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0440" windowHeight="8640" firstSheet="10" activeTab="14"/>
  </bookViews>
  <sheets>
    <sheet name="GAS DAILY" sheetId="25" r:id="rId1"/>
    <sheet name="STRADDLES" sheetId="10" r:id="rId2"/>
    <sheet name="EXTENDABLE" sheetId="78" r:id="rId3"/>
    <sheet name="hh-weighted" sheetId="53" r:id="rId4"/>
    <sheet name="Sheet2" sheetId="77" r:id="rId5"/>
    <sheet name="Sheet1" sheetId="76" r:id="rId6"/>
    <sheet name="opt calc" sheetId="56" r:id="rId7"/>
    <sheet name="BASIS OPT 2" sheetId="58" r:id="rId8"/>
    <sheet name="pipes" sheetId="17" r:id="rId9"/>
    <sheet name="SWAPTION" sheetId="24" r:id="rId10"/>
    <sheet name="nymex" sheetId="61" r:id="rId11"/>
    <sheet name="Skews" sheetId="4" r:id="rId12"/>
    <sheet name="basis settles" sheetId="28" r:id="rId13"/>
    <sheet name="BASIS GAS DAILY" sheetId="59" r:id="rId14"/>
    <sheet name="curves" sheetId="16" r:id="rId15"/>
    <sheet name="vols" sheetId="32" r:id="rId16"/>
    <sheet name="correlation" sheetId="31" r:id="rId17"/>
    <sheet name="expiry" sheetId="3" r:id="rId18"/>
  </sheets>
  <externalReferences>
    <externalReference r:id="rId19"/>
    <externalReference r:id="rId20"/>
  </externalReferences>
  <definedNames>
    <definedName name="accuracy">#REF!</definedName>
    <definedName name="aproct">STRADDLES!$B$6</definedName>
    <definedName name="Basis">#REF!</definedName>
    <definedName name="basisyn">#REF!</definedName>
    <definedName name="BeginDate">#REF!</definedName>
    <definedName name="BLAHBLAH">#REF!</definedName>
    <definedName name="CAL7VOL">STRADDLES!$B$102</definedName>
    <definedName name="CAL8VOL">STRADDLES!$B$103</definedName>
    <definedName name="CAL9VOL">STRADDLES!$B$104</definedName>
    <definedName name="CalcMode">#REF!</definedName>
    <definedName name="Call1">#REF!</definedName>
    <definedName name="Call2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correlation!$A$1:$AA$210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curves!$C$1:$BV$312</definedName>
    <definedName name="CurveTable">vols!$B$4:$AI$12</definedName>
    <definedName name="CUSTOMVOLUME">#REF!</definedName>
    <definedName name="DATE">#REF!</definedName>
    <definedName name="datelook">STRADDLES!$A$18:$B$137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STRADDLES!$K$1</definedName>
    <definedName name="maxvol">#REF!</definedName>
    <definedName name="mktprem">#REF!</definedName>
    <definedName name="MONTHS">#REF!</definedName>
    <definedName name="notionalvolumes">#REF!</definedName>
    <definedName name="NYMEXPrices">#REF!</definedName>
    <definedName name="PARAMS">STRADDLES!$B$146:$J$281</definedName>
    <definedName name="Password">#REF!</definedName>
    <definedName name="Physical">#REF!</definedName>
    <definedName name="_xlnm.Print_Area" localSheetId="7">'BASIS OPT 2'!$A$3:$H$30</definedName>
    <definedName name="_xlnm.Print_Area" localSheetId="12">'basis settles'!$A$2:$Q$25</definedName>
    <definedName name="_xlnm.Print_Area" localSheetId="10">nymex!$A$4:$I$23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STRADDLES!$Y$160:$AA$171</definedName>
    <definedName name="simvol">#REF!</definedName>
    <definedName name="SkewTable">Skews!$A$1:$FZ$1000</definedName>
    <definedName name="SKEWYN">#REF!</definedName>
    <definedName name="StartDate">#REF!</definedName>
    <definedName name="STRADDLE">STRADDLES!$B$17:$W$138</definedName>
    <definedName name="STRADDLEYN">#REF!</definedName>
    <definedName name="strike">#REF!</definedName>
    <definedName name="Strike1">#REF!</definedName>
    <definedName name="summerstrip">STRADDLES!$B$4</definedName>
    <definedName name="SWAPTIONBASIS1">SWAPTION!$AI$41</definedName>
    <definedName name="SWAPTIONBASIS2">SWAPTION!$AS$41</definedName>
    <definedName name="SWAPTIONBASIS3">SWAPTION!$BC$41</definedName>
    <definedName name="SWAPTIONSWAP1">SWAPTION!$AH$41</definedName>
    <definedName name="SWAPTIONSWAP2">SWAPTION!$AR$41</definedName>
    <definedName name="SWAPTIONSWAP3">SWAPTION!$BB$41</definedName>
    <definedName name="SWAPTIONVOL1">SWAPTION!$AK$41</definedName>
    <definedName name="SWAPTIONVOL2">SWAPTION!$AU$41</definedName>
    <definedName name="SWAPTIONVOL3">SWAPTION!$BE$41</definedName>
    <definedName name="Today">#REF!</definedName>
    <definedName name="TOTALVOLUME">#REF!</definedName>
    <definedName name="TSETTLE">STRADDLES!$C$3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vols!$A$1:$CA$212</definedName>
    <definedName name="VolLookup">#REF!</definedName>
    <definedName name="VOLS">[1]STRADDLES!$B$5:$K$50</definedName>
    <definedName name="voltable">vols!$A$1:$AJ$210</definedName>
    <definedName name="Volume">#REF!</definedName>
    <definedName name="winterstrip">STRADDLES!$B$5</definedName>
  </definedNames>
  <calcPr calcId="0" calcMode="manual" calcOnSave="0"/>
</workbook>
</file>

<file path=xl/calcChain.xml><?xml version="1.0" encoding="utf-8"?>
<calcChain xmlns="http://schemas.openxmlformats.org/spreadsheetml/2006/main">
  <c r="E3" i="59" l="1"/>
  <c r="H6" i="59"/>
  <c r="I6" i="59"/>
  <c r="F8" i="59"/>
  <c r="H10" i="59"/>
  <c r="H12" i="59"/>
  <c r="H15" i="59"/>
  <c r="L22" i="59"/>
  <c r="N22" i="59"/>
  <c r="O22" i="59"/>
  <c r="B25" i="59"/>
  <c r="C25" i="59"/>
  <c r="D25" i="59"/>
  <c r="E25" i="59"/>
  <c r="F25" i="59"/>
  <c r="G25" i="59"/>
  <c r="H25" i="59"/>
  <c r="I25" i="59"/>
  <c r="J25" i="59"/>
  <c r="K25" i="59"/>
  <c r="L25" i="59"/>
  <c r="M25" i="59"/>
  <c r="N25" i="59"/>
  <c r="O25" i="59"/>
  <c r="A26" i="59"/>
  <c r="B26" i="59"/>
  <c r="C26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A27" i="59"/>
  <c r="B27" i="59"/>
  <c r="C27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A28" i="59"/>
  <c r="B28" i="59"/>
  <c r="C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A29" i="59"/>
  <c r="B29" i="59"/>
  <c r="C29" i="59"/>
  <c r="D29" i="59"/>
  <c r="E29" i="59"/>
  <c r="F29" i="59"/>
  <c r="G29" i="59"/>
  <c r="H29" i="59"/>
  <c r="I29" i="59"/>
  <c r="J29" i="59"/>
  <c r="K29" i="59"/>
  <c r="L29" i="59"/>
  <c r="M29" i="59"/>
  <c r="N29" i="59"/>
  <c r="O29" i="59"/>
  <c r="A30" i="59"/>
  <c r="B30" i="59"/>
  <c r="C30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A31" i="59"/>
  <c r="B31" i="59"/>
  <c r="C31" i="59"/>
  <c r="D31" i="59"/>
  <c r="E31" i="59"/>
  <c r="F31" i="59"/>
  <c r="G31" i="59"/>
  <c r="H31" i="59"/>
  <c r="I31" i="59"/>
  <c r="J31" i="59"/>
  <c r="K31" i="59"/>
  <c r="L31" i="59"/>
  <c r="M31" i="59"/>
  <c r="N31" i="59"/>
  <c r="O31" i="59"/>
  <c r="A32" i="59"/>
  <c r="B32" i="59"/>
  <c r="C32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A33" i="59"/>
  <c r="B33" i="59"/>
  <c r="C33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A34" i="59"/>
  <c r="B34" i="59"/>
  <c r="C34" i="59"/>
  <c r="D34" i="59"/>
  <c r="E34" i="59"/>
  <c r="F34" i="59"/>
  <c r="G34" i="59"/>
  <c r="H34" i="59"/>
  <c r="I34" i="59"/>
  <c r="J34" i="59"/>
  <c r="K34" i="59"/>
  <c r="L34" i="59"/>
  <c r="M34" i="59"/>
  <c r="N34" i="59"/>
  <c r="O34" i="59"/>
  <c r="A35" i="59"/>
  <c r="B35" i="59"/>
  <c r="C35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A36" i="59"/>
  <c r="B36" i="59"/>
  <c r="C36" i="59"/>
  <c r="D36" i="59"/>
  <c r="E36" i="59"/>
  <c r="F36" i="59"/>
  <c r="G36" i="59"/>
  <c r="H36" i="59"/>
  <c r="I36" i="59"/>
  <c r="J36" i="59"/>
  <c r="K36" i="59"/>
  <c r="L36" i="59"/>
  <c r="M36" i="59"/>
  <c r="N36" i="59"/>
  <c r="O36" i="59"/>
  <c r="A37" i="59"/>
  <c r="B37" i="59"/>
  <c r="C37" i="59"/>
  <c r="D37" i="59"/>
  <c r="E37" i="59"/>
  <c r="F37" i="59"/>
  <c r="G37" i="59"/>
  <c r="H37" i="59"/>
  <c r="I37" i="59"/>
  <c r="J37" i="59"/>
  <c r="K37" i="59"/>
  <c r="L37" i="59"/>
  <c r="M37" i="59"/>
  <c r="N37" i="59"/>
  <c r="O37" i="59"/>
  <c r="A38" i="59"/>
  <c r="B38" i="59"/>
  <c r="C38" i="59"/>
  <c r="D38" i="59"/>
  <c r="E38" i="59"/>
  <c r="F38" i="59"/>
  <c r="G38" i="59"/>
  <c r="H38" i="59"/>
  <c r="I38" i="59"/>
  <c r="J38" i="59"/>
  <c r="K38" i="59"/>
  <c r="L38" i="59"/>
  <c r="M38" i="59"/>
  <c r="N38" i="59"/>
  <c r="O38" i="59"/>
  <c r="A39" i="59"/>
  <c r="B39" i="59"/>
  <c r="C39" i="59"/>
  <c r="D39" i="59"/>
  <c r="E39" i="59"/>
  <c r="F39" i="59"/>
  <c r="G39" i="59"/>
  <c r="H39" i="59"/>
  <c r="I39" i="59"/>
  <c r="J39" i="59"/>
  <c r="K39" i="59"/>
  <c r="L39" i="59"/>
  <c r="M39" i="59"/>
  <c r="N39" i="59"/>
  <c r="O39" i="59"/>
  <c r="A40" i="59"/>
  <c r="B40" i="59"/>
  <c r="C40" i="59"/>
  <c r="D40" i="59"/>
  <c r="E40" i="59"/>
  <c r="F40" i="59"/>
  <c r="G40" i="59"/>
  <c r="H40" i="59"/>
  <c r="I40" i="59"/>
  <c r="J40" i="59"/>
  <c r="K40" i="59"/>
  <c r="L40" i="59"/>
  <c r="M40" i="59"/>
  <c r="N40" i="59"/>
  <c r="O40" i="59"/>
  <c r="A41" i="59"/>
  <c r="B41" i="59"/>
  <c r="C41" i="59"/>
  <c r="D41" i="59"/>
  <c r="E41" i="59"/>
  <c r="F41" i="59"/>
  <c r="G41" i="59"/>
  <c r="H41" i="59"/>
  <c r="I41" i="59"/>
  <c r="J41" i="59"/>
  <c r="K41" i="59"/>
  <c r="L41" i="59"/>
  <c r="M41" i="59"/>
  <c r="N41" i="59"/>
  <c r="O41" i="59"/>
  <c r="A42" i="59"/>
  <c r="B42" i="59"/>
  <c r="C42" i="59"/>
  <c r="D42" i="59"/>
  <c r="E42" i="59"/>
  <c r="F42" i="59"/>
  <c r="G42" i="59"/>
  <c r="H42" i="59"/>
  <c r="I42" i="59"/>
  <c r="J42" i="59"/>
  <c r="K42" i="59"/>
  <c r="L42" i="59"/>
  <c r="M42" i="59"/>
  <c r="N42" i="59"/>
  <c r="O42" i="59"/>
  <c r="A43" i="59"/>
  <c r="B43" i="59"/>
  <c r="C43" i="59"/>
  <c r="D43" i="59"/>
  <c r="E43" i="59"/>
  <c r="F43" i="59"/>
  <c r="G43" i="59"/>
  <c r="H43" i="59"/>
  <c r="I43" i="59"/>
  <c r="J43" i="59"/>
  <c r="K43" i="59"/>
  <c r="L43" i="59"/>
  <c r="M43" i="59"/>
  <c r="N43" i="59"/>
  <c r="O43" i="59"/>
  <c r="A44" i="59"/>
  <c r="B44" i="59"/>
  <c r="C44" i="59"/>
  <c r="D44" i="59"/>
  <c r="E44" i="59"/>
  <c r="F44" i="59"/>
  <c r="G44" i="59"/>
  <c r="H44" i="59"/>
  <c r="I44" i="59"/>
  <c r="J44" i="59"/>
  <c r="K44" i="59"/>
  <c r="L44" i="59"/>
  <c r="M44" i="59"/>
  <c r="N44" i="59"/>
  <c r="O44" i="59"/>
  <c r="A45" i="59"/>
  <c r="B45" i="59"/>
  <c r="C45" i="59"/>
  <c r="D45" i="59"/>
  <c r="E45" i="59"/>
  <c r="F45" i="59"/>
  <c r="G45" i="59"/>
  <c r="H45" i="59"/>
  <c r="I45" i="59"/>
  <c r="J45" i="59"/>
  <c r="K45" i="59"/>
  <c r="L45" i="59"/>
  <c r="M45" i="59"/>
  <c r="N45" i="59"/>
  <c r="O45" i="59"/>
  <c r="A46" i="59"/>
  <c r="B46" i="59"/>
  <c r="C46" i="59"/>
  <c r="D46" i="59"/>
  <c r="E46" i="59"/>
  <c r="F46" i="59"/>
  <c r="G46" i="59"/>
  <c r="H46" i="59"/>
  <c r="I46" i="59"/>
  <c r="J46" i="59"/>
  <c r="K46" i="59"/>
  <c r="L46" i="59"/>
  <c r="M46" i="59"/>
  <c r="N46" i="59"/>
  <c r="O46" i="59"/>
  <c r="A47" i="59"/>
  <c r="B47" i="59"/>
  <c r="C47" i="59"/>
  <c r="D47" i="59"/>
  <c r="E47" i="59"/>
  <c r="F47" i="59"/>
  <c r="G47" i="59"/>
  <c r="H47" i="59"/>
  <c r="I47" i="59"/>
  <c r="J47" i="59"/>
  <c r="K47" i="59"/>
  <c r="L47" i="59"/>
  <c r="M47" i="59"/>
  <c r="N47" i="59"/>
  <c r="O47" i="59"/>
  <c r="A48" i="59"/>
  <c r="B48" i="59"/>
  <c r="C48" i="59"/>
  <c r="D48" i="59"/>
  <c r="E48" i="59"/>
  <c r="F48" i="59"/>
  <c r="G48" i="59"/>
  <c r="H48" i="59"/>
  <c r="I48" i="59"/>
  <c r="J48" i="59"/>
  <c r="K48" i="59"/>
  <c r="L48" i="59"/>
  <c r="M48" i="59"/>
  <c r="N48" i="59"/>
  <c r="O48" i="59"/>
  <c r="A49" i="59"/>
  <c r="B49" i="59"/>
  <c r="C49" i="59"/>
  <c r="D49" i="59"/>
  <c r="E49" i="59"/>
  <c r="F49" i="59"/>
  <c r="G49" i="59"/>
  <c r="H49" i="59"/>
  <c r="I49" i="59"/>
  <c r="J49" i="59"/>
  <c r="K49" i="59"/>
  <c r="L49" i="59"/>
  <c r="M49" i="59"/>
  <c r="N49" i="59"/>
  <c r="O49" i="59"/>
  <c r="A50" i="59"/>
  <c r="B50" i="59"/>
  <c r="C50" i="59"/>
  <c r="D50" i="59"/>
  <c r="E50" i="59"/>
  <c r="F50" i="59"/>
  <c r="G50" i="59"/>
  <c r="H50" i="59"/>
  <c r="I50" i="59"/>
  <c r="J50" i="59"/>
  <c r="K50" i="59"/>
  <c r="L50" i="59"/>
  <c r="M50" i="59"/>
  <c r="N50" i="59"/>
  <c r="O50" i="59"/>
  <c r="A51" i="59"/>
  <c r="B51" i="59"/>
  <c r="C51" i="59"/>
  <c r="D51" i="59"/>
  <c r="E51" i="59"/>
  <c r="F51" i="59"/>
  <c r="G51" i="59"/>
  <c r="H51" i="59"/>
  <c r="I51" i="59"/>
  <c r="J51" i="59"/>
  <c r="K51" i="59"/>
  <c r="L51" i="59"/>
  <c r="M51" i="59"/>
  <c r="N51" i="59"/>
  <c r="O51" i="59"/>
  <c r="A52" i="59"/>
  <c r="B52" i="59"/>
  <c r="C52" i="59"/>
  <c r="D52" i="59"/>
  <c r="E52" i="59"/>
  <c r="F52" i="59"/>
  <c r="G52" i="59"/>
  <c r="H52" i="59"/>
  <c r="I52" i="59"/>
  <c r="J52" i="59"/>
  <c r="K52" i="59"/>
  <c r="L52" i="59"/>
  <c r="M52" i="59"/>
  <c r="N52" i="59"/>
  <c r="O52" i="59"/>
  <c r="A53" i="59"/>
  <c r="B53" i="59"/>
  <c r="C53" i="59"/>
  <c r="D53" i="59"/>
  <c r="E53" i="59"/>
  <c r="F53" i="59"/>
  <c r="G53" i="59"/>
  <c r="H53" i="59"/>
  <c r="I53" i="59"/>
  <c r="J53" i="59"/>
  <c r="K53" i="59"/>
  <c r="L53" i="59"/>
  <c r="M53" i="59"/>
  <c r="N53" i="59"/>
  <c r="O53" i="59"/>
  <c r="A54" i="59"/>
  <c r="B54" i="59"/>
  <c r="C54" i="59"/>
  <c r="D54" i="59"/>
  <c r="E54" i="59"/>
  <c r="F54" i="59"/>
  <c r="G54" i="59"/>
  <c r="H54" i="59"/>
  <c r="I54" i="59"/>
  <c r="J54" i="59"/>
  <c r="K54" i="59"/>
  <c r="L54" i="59"/>
  <c r="M54" i="59"/>
  <c r="N54" i="59"/>
  <c r="O54" i="59"/>
  <c r="A55" i="59"/>
  <c r="B55" i="59"/>
  <c r="C55" i="59"/>
  <c r="D55" i="59"/>
  <c r="E55" i="59"/>
  <c r="F55" i="59"/>
  <c r="G55" i="59"/>
  <c r="H55" i="59"/>
  <c r="I55" i="59"/>
  <c r="J55" i="59"/>
  <c r="K55" i="59"/>
  <c r="L55" i="59"/>
  <c r="M55" i="59"/>
  <c r="N55" i="59"/>
  <c r="O55" i="59"/>
  <c r="A56" i="59"/>
  <c r="E1" i="58"/>
  <c r="B2" i="58"/>
  <c r="E2" i="58"/>
  <c r="K3" i="58"/>
  <c r="L3" i="58"/>
  <c r="K5" i="58"/>
  <c r="L5" i="58"/>
  <c r="K6" i="58"/>
  <c r="L6" i="58"/>
  <c r="B9" i="58"/>
  <c r="D9" i="58"/>
  <c r="F9" i="58"/>
  <c r="H9" i="58"/>
  <c r="B10" i="58"/>
  <c r="D10" i="58"/>
  <c r="F10" i="58"/>
  <c r="H10" i="58"/>
  <c r="B21" i="58"/>
  <c r="D21" i="58"/>
  <c r="F21" i="58"/>
  <c r="H21" i="58"/>
  <c r="AM21" i="58"/>
  <c r="B22" i="58"/>
  <c r="D22" i="58"/>
  <c r="F22" i="58"/>
  <c r="H22" i="58"/>
  <c r="AM22" i="58"/>
  <c r="B23" i="58"/>
  <c r="D23" i="58"/>
  <c r="F23" i="58"/>
  <c r="H23" i="58"/>
  <c r="AM23" i="58"/>
  <c r="B24" i="58"/>
  <c r="D24" i="58"/>
  <c r="F24" i="58"/>
  <c r="H24" i="58"/>
  <c r="AM24" i="58"/>
  <c r="B25" i="58"/>
  <c r="D25" i="58"/>
  <c r="F25" i="58"/>
  <c r="H25" i="58"/>
  <c r="AM25" i="58"/>
  <c r="B26" i="58"/>
  <c r="D26" i="58"/>
  <c r="F26" i="58"/>
  <c r="H26" i="58"/>
  <c r="AM26" i="58"/>
  <c r="B27" i="58"/>
  <c r="D27" i="58"/>
  <c r="F27" i="58"/>
  <c r="H27" i="58"/>
  <c r="AM27" i="58"/>
  <c r="B28" i="58"/>
  <c r="D28" i="58"/>
  <c r="F28" i="58"/>
  <c r="H28" i="58"/>
  <c r="AM28" i="58"/>
  <c r="B29" i="58"/>
  <c r="D29" i="58"/>
  <c r="F29" i="58"/>
  <c r="H29" i="58"/>
  <c r="AM29" i="58"/>
  <c r="B30" i="58"/>
  <c r="D30" i="58"/>
  <c r="F30" i="58"/>
  <c r="H30" i="58"/>
  <c r="AM30" i="58"/>
  <c r="B31" i="58"/>
  <c r="D31" i="58"/>
  <c r="F31" i="58"/>
  <c r="H31" i="58"/>
  <c r="AM31" i="58"/>
  <c r="AS31" i="58"/>
  <c r="AT31" i="58"/>
  <c r="BK31" i="58"/>
  <c r="BL31" i="58"/>
  <c r="BM31" i="58"/>
  <c r="BN31" i="58"/>
  <c r="BO31" i="58"/>
  <c r="BP31" i="58"/>
  <c r="BQ31" i="58"/>
  <c r="BR31" i="58"/>
  <c r="BS31" i="58"/>
  <c r="BT31" i="58"/>
  <c r="BU31" i="58"/>
  <c r="BV31" i="58"/>
  <c r="CA31" i="58"/>
  <c r="CB31" i="58"/>
  <c r="CS31" i="58"/>
  <c r="CT31" i="58"/>
  <c r="CU31" i="58"/>
  <c r="CV31" i="58"/>
  <c r="CW31" i="58"/>
  <c r="CX31" i="58"/>
  <c r="CY31" i="58"/>
  <c r="CZ31" i="58"/>
  <c r="DA31" i="58"/>
  <c r="DB31" i="58"/>
  <c r="DC31" i="58"/>
  <c r="DD31" i="58"/>
  <c r="DI31" i="58"/>
  <c r="DJ31" i="58"/>
  <c r="EA31" i="58"/>
  <c r="EB31" i="58"/>
  <c r="EC31" i="58"/>
  <c r="ED31" i="58"/>
  <c r="EE31" i="58"/>
  <c r="EF31" i="58"/>
  <c r="EG31" i="58"/>
  <c r="EH31" i="58"/>
  <c r="EI31" i="58"/>
  <c r="EJ31" i="58"/>
  <c r="EK31" i="58"/>
  <c r="EL31" i="58"/>
  <c r="EQ31" i="58"/>
  <c r="ER31" i="58"/>
  <c r="FI31" i="58"/>
  <c r="FJ31" i="58"/>
  <c r="FK31" i="58"/>
  <c r="FL31" i="58"/>
  <c r="FM31" i="58"/>
  <c r="FN31" i="58"/>
  <c r="FO31" i="58"/>
  <c r="FP31" i="58"/>
  <c r="FQ31" i="58"/>
  <c r="FR31" i="58"/>
  <c r="FS31" i="58"/>
  <c r="FT31" i="58"/>
  <c r="B32" i="58"/>
  <c r="D32" i="58"/>
  <c r="F32" i="58"/>
  <c r="H32" i="58"/>
  <c r="AM32" i="58"/>
  <c r="AR32" i="58"/>
  <c r="BZ32" i="58"/>
  <c r="DH32" i="58"/>
  <c r="EP32" i="58"/>
  <c r="AR33" i="58"/>
  <c r="AS33" i="58"/>
  <c r="AT33" i="58"/>
  <c r="BK33" i="58"/>
  <c r="BL33" i="58"/>
  <c r="BM33" i="58"/>
  <c r="BN33" i="58"/>
  <c r="BO33" i="58"/>
  <c r="BP33" i="58"/>
  <c r="BQ33" i="58"/>
  <c r="BR33" i="58"/>
  <c r="BS33" i="58"/>
  <c r="BT33" i="58"/>
  <c r="BU33" i="58"/>
  <c r="BV33" i="58"/>
  <c r="BZ33" i="58"/>
  <c r="CA33" i="58"/>
  <c r="CB33" i="58"/>
  <c r="CS33" i="58"/>
  <c r="CT33" i="58"/>
  <c r="CU33" i="58"/>
  <c r="CV33" i="58"/>
  <c r="CW33" i="58"/>
  <c r="CX33" i="58"/>
  <c r="CY33" i="58"/>
  <c r="CZ33" i="58"/>
  <c r="DA33" i="58"/>
  <c r="DB33" i="58"/>
  <c r="DC33" i="58"/>
  <c r="DD33" i="58"/>
  <c r="DH33" i="58"/>
  <c r="DI33" i="58"/>
  <c r="DJ33" i="58"/>
  <c r="EA33" i="58"/>
  <c r="EB33" i="58"/>
  <c r="EC33" i="58"/>
  <c r="ED33" i="58"/>
  <c r="EE33" i="58"/>
  <c r="EF33" i="58"/>
  <c r="EG33" i="58"/>
  <c r="EH33" i="58"/>
  <c r="EI33" i="58"/>
  <c r="EJ33" i="58"/>
  <c r="EK33" i="58"/>
  <c r="EL33" i="58"/>
  <c r="EP33" i="58"/>
  <c r="EQ33" i="58"/>
  <c r="ER33" i="58"/>
  <c r="FI33" i="58"/>
  <c r="FJ33" i="58"/>
  <c r="FK33" i="58"/>
  <c r="FL33" i="58"/>
  <c r="FM33" i="58"/>
  <c r="FN33" i="58"/>
  <c r="FO33" i="58"/>
  <c r="FP33" i="58"/>
  <c r="FQ33" i="58"/>
  <c r="FR33" i="58"/>
  <c r="FS33" i="58"/>
  <c r="FT33" i="58"/>
  <c r="B34" i="58"/>
  <c r="F34" i="58"/>
  <c r="L34" i="58"/>
  <c r="S34" i="58"/>
  <c r="Z34" i="58"/>
  <c r="AG34" i="58"/>
  <c r="AP35" i="58"/>
  <c r="BX35" i="58"/>
  <c r="DF35" i="58"/>
  <c r="EN35" i="58"/>
  <c r="B38" i="58"/>
  <c r="C38" i="58"/>
  <c r="F38" i="58"/>
  <c r="K38" i="58"/>
  <c r="L38" i="58"/>
  <c r="M38" i="58"/>
  <c r="N38" i="58"/>
  <c r="O38" i="58"/>
  <c r="P38" i="58"/>
  <c r="R38" i="58"/>
  <c r="S38" i="58"/>
  <c r="T38" i="58"/>
  <c r="U38" i="58"/>
  <c r="V38" i="58"/>
  <c r="W38" i="58"/>
  <c r="Y38" i="58"/>
  <c r="Z38" i="58"/>
  <c r="AA38" i="58"/>
  <c r="AB38" i="58"/>
  <c r="AC38" i="58"/>
  <c r="AD38" i="58"/>
  <c r="AF38" i="58"/>
  <c r="AG38" i="58"/>
  <c r="AH38" i="58"/>
  <c r="AI38" i="58"/>
  <c r="AJ38" i="58"/>
  <c r="AK38" i="58"/>
  <c r="AM38" i="58"/>
  <c r="AN38" i="58"/>
  <c r="AP38" i="58"/>
  <c r="AQ38" i="58"/>
  <c r="AR38" i="58"/>
  <c r="AS38" i="58"/>
  <c r="AT38" i="58"/>
  <c r="AU38" i="58"/>
  <c r="AV38" i="58"/>
  <c r="AW38" i="58"/>
  <c r="AX38" i="58"/>
  <c r="AY38" i="58"/>
  <c r="AZ38" i="58"/>
  <c r="BA38" i="58"/>
  <c r="BB38" i="58"/>
  <c r="BC38" i="58"/>
  <c r="BD38" i="58"/>
  <c r="BE38" i="58"/>
  <c r="BF38" i="58"/>
  <c r="BG38" i="58"/>
  <c r="BH38" i="58"/>
  <c r="BI38" i="58"/>
  <c r="BK38" i="58"/>
  <c r="BL38" i="58"/>
  <c r="BM38" i="58"/>
  <c r="BN38" i="58"/>
  <c r="BO38" i="58"/>
  <c r="BP38" i="58"/>
  <c r="BQ38" i="58"/>
  <c r="BR38" i="58"/>
  <c r="BS38" i="58"/>
  <c r="BT38" i="58"/>
  <c r="BU38" i="58"/>
  <c r="BV38" i="58"/>
  <c r="BX38" i="58"/>
  <c r="BY38" i="58"/>
  <c r="BZ38" i="58"/>
  <c r="CA38" i="58"/>
  <c r="CB38" i="58"/>
  <c r="CC38" i="58"/>
  <c r="CD38" i="58"/>
  <c r="CE38" i="58"/>
  <c r="CF38" i="58"/>
  <c r="CG38" i="58"/>
  <c r="CH38" i="58"/>
  <c r="CI38" i="58"/>
  <c r="CJ38" i="58"/>
  <c r="CK38" i="58"/>
  <c r="CL38" i="58"/>
  <c r="CM38" i="58"/>
  <c r="CN38" i="58"/>
  <c r="CO38" i="58"/>
  <c r="CP38" i="58"/>
  <c r="CQ38" i="58"/>
  <c r="CS38" i="58"/>
  <c r="CT38" i="58"/>
  <c r="CU38" i="58"/>
  <c r="CV38" i="58"/>
  <c r="CW38" i="58"/>
  <c r="CX38" i="58"/>
  <c r="CY38" i="58"/>
  <c r="CZ38" i="58"/>
  <c r="DA38" i="58"/>
  <c r="DB38" i="58"/>
  <c r="DC38" i="58"/>
  <c r="DD38" i="58"/>
  <c r="DF38" i="58"/>
  <c r="DG38" i="58"/>
  <c r="DH38" i="58"/>
  <c r="DI38" i="58"/>
  <c r="DJ38" i="58"/>
  <c r="DK38" i="58"/>
  <c r="DL38" i="58"/>
  <c r="DM38" i="58"/>
  <c r="DN38" i="58"/>
  <c r="DO38" i="58"/>
  <c r="DP38" i="58"/>
  <c r="DQ38" i="58"/>
  <c r="DR38" i="58"/>
  <c r="DS38" i="58"/>
  <c r="DT38" i="58"/>
  <c r="DU38" i="58"/>
  <c r="DV38" i="58"/>
  <c r="DW38" i="58"/>
  <c r="DX38" i="58"/>
  <c r="DY38" i="58"/>
  <c r="EA38" i="58"/>
  <c r="EB38" i="58"/>
  <c r="EC38" i="58"/>
  <c r="ED38" i="58"/>
  <c r="EE38" i="58"/>
  <c r="EF38" i="58"/>
  <c r="EG38" i="58"/>
  <c r="EH38" i="58"/>
  <c r="EI38" i="58"/>
  <c r="EJ38" i="58"/>
  <c r="EK38" i="58"/>
  <c r="EL38" i="58"/>
  <c r="EN38" i="58"/>
  <c r="EO38" i="58"/>
  <c r="EP38" i="58"/>
  <c r="EQ38" i="58"/>
  <c r="ER38" i="58"/>
  <c r="ES38" i="58"/>
  <c r="ET38" i="58"/>
  <c r="EU38" i="58"/>
  <c r="EV38" i="58"/>
  <c r="EW38" i="58"/>
  <c r="EX38" i="58"/>
  <c r="EY38" i="58"/>
  <c r="EZ38" i="58"/>
  <c r="FA38" i="58"/>
  <c r="FB38" i="58"/>
  <c r="FC38" i="58"/>
  <c r="FD38" i="58"/>
  <c r="FE38" i="58"/>
  <c r="FF38" i="58"/>
  <c r="FG38" i="58"/>
  <c r="FI38" i="58"/>
  <c r="FJ38" i="58"/>
  <c r="FK38" i="58"/>
  <c r="FL38" i="58"/>
  <c r="FM38" i="58"/>
  <c r="FN38" i="58"/>
  <c r="FO38" i="58"/>
  <c r="FP38" i="58"/>
  <c r="FQ38" i="58"/>
  <c r="FR38" i="58"/>
  <c r="FS38" i="58"/>
  <c r="FT38" i="58"/>
  <c r="A39" i="58"/>
  <c r="B39" i="58"/>
  <c r="C39" i="58"/>
  <c r="F39" i="58"/>
  <c r="K39" i="58"/>
  <c r="L39" i="58"/>
  <c r="M39" i="58"/>
  <c r="N39" i="58"/>
  <c r="O39" i="58"/>
  <c r="P39" i="58"/>
  <c r="R39" i="58"/>
  <c r="S39" i="58"/>
  <c r="T39" i="58"/>
  <c r="U39" i="58"/>
  <c r="V39" i="58"/>
  <c r="W39" i="58"/>
  <c r="Y39" i="58"/>
  <c r="Z39" i="58"/>
  <c r="AA39" i="58"/>
  <c r="AB39" i="58"/>
  <c r="AC39" i="58"/>
  <c r="AD39" i="58"/>
  <c r="AF39" i="58"/>
  <c r="AG39" i="58"/>
  <c r="AH39" i="58"/>
  <c r="AI39" i="58"/>
  <c r="AJ39" i="58"/>
  <c r="AK39" i="58"/>
  <c r="AM39" i="58"/>
  <c r="AN39" i="58"/>
  <c r="AP39" i="58"/>
  <c r="AQ39" i="58"/>
  <c r="AR39" i="58"/>
  <c r="AS39" i="58"/>
  <c r="AT39" i="58"/>
  <c r="AU39" i="58"/>
  <c r="AV39" i="58"/>
  <c r="AW39" i="58"/>
  <c r="AX39" i="58"/>
  <c r="AY39" i="58"/>
  <c r="AZ39" i="58"/>
  <c r="BA39" i="58"/>
  <c r="BB39" i="58"/>
  <c r="BC39" i="58"/>
  <c r="BD39" i="58"/>
  <c r="BE39" i="58"/>
  <c r="BF39" i="58"/>
  <c r="BG39" i="58"/>
  <c r="BH39" i="58"/>
  <c r="BI39" i="58"/>
  <c r="BK39" i="58"/>
  <c r="BL39" i="58"/>
  <c r="BM39" i="58"/>
  <c r="BN39" i="58"/>
  <c r="BO39" i="58"/>
  <c r="BP39" i="58"/>
  <c r="BQ39" i="58"/>
  <c r="BR39" i="58"/>
  <c r="BS39" i="58"/>
  <c r="BT39" i="58"/>
  <c r="BU39" i="58"/>
  <c r="BV39" i="58"/>
  <c r="BX39" i="58"/>
  <c r="BY39" i="58"/>
  <c r="BZ39" i="58"/>
  <c r="CA39" i="58"/>
  <c r="CB39" i="58"/>
  <c r="CC39" i="58"/>
  <c r="CD39" i="58"/>
  <c r="CE39" i="58"/>
  <c r="CF39" i="58"/>
  <c r="CG39" i="58"/>
  <c r="CH39" i="58"/>
  <c r="CI39" i="58"/>
  <c r="CJ39" i="58"/>
  <c r="CK39" i="58"/>
  <c r="CL39" i="58"/>
  <c r="CM39" i="58"/>
  <c r="CN39" i="58"/>
  <c r="CO39" i="58"/>
  <c r="CP39" i="58"/>
  <c r="CQ39" i="58"/>
  <c r="CS39" i="58"/>
  <c r="CT39" i="58"/>
  <c r="CU39" i="58"/>
  <c r="CV39" i="58"/>
  <c r="CW39" i="58"/>
  <c r="CX39" i="58"/>
  <c r="CY39" i="58"/>
  <c r="CZ39" i="58"/>
  <c r="DA39" i="58"/>
  <c r="DB39" i="58"/>
  <c r="DC39" i="58"/>
  <c r="DD39" i="58"/>
  <c r="DF39" i="58"/>
  <c r="DG39" i="58"/>
  <c r="DH39" i="58"/>
  <c r="DI39" i="58"/>
  <c r="DJ39" i="58"/>
  <c r="DK39" i="58"/>
  <c r="DL39" i="58"/>
  <c r="DM39" i="58"/>
  <c r="DN39" i="58"/>
  <c r="DO39" i="58"/>
  <c r="DP39" i="58"/>
  <c r="DQ39" i="58"/>
  <c r="DR39" i="58"/>
  <c r="DS39" i="58"/>
  <c r="DT39" i="58"/>
  <c r="DU39" i="58"/>
  <c r="DV39" i="58"/>
  <c r="DW39" i="58"/>
  <c r="DX39" i="58"/>
  <c r="DY39" i="58"/>
  <c r="EA39" i="58"/>
  <c r="EB39" i="58"/>
  <c r="EC39" i="58"/>
  <c r="ED39" i="58"/>
  <c r="EE39" i="58"/>
  <c r="EF39" i="58"/>
  <c r="EG39" i="58"/>
  <c r="EH39" i="58"/>
  <c r="EI39" i="58"/>
  <c r="EJ39" i="58"/>
  <c r="EK39" i="58"/>
  <c r="EL39" i="58"/>
  <c r="EN39" i="58"/>
  <c r="EO39" i="58"/>
  <c r="EP39" i="58"/>
  <c r="EQ39" i="58"/>
  <c r="ER39" i="58"/>
  <c r="ES39" i="58"/>
  <c r="ET39" i="58"/>
  <c r="EU39" i="58"/>
  <c r="EV39" i="58"/>
  <c r="EW39" i="58"/>
  <c r="EX39" i="58"/>
  <c r="EY39" i="58"/>
  <c r="EZ39" i="58"/>
  <c r="FA39" i="58"/>
  <c r="FB39" i="58"/>
  <c r="FC39" i="58"/>
  <c r="FD39" i="58"/>
  <c r="FE39" i="58"/>
  <c r="FF39" i="58"/>
  <c r="FG39" i="58"/>
  <c r="FI39" i="58"/>
  <c r="FJ39" i="58"/>
  <c r="FK39" i="58"/>
  <c r="FL39" i="58"/>
  <c r="FM39" i="58"/>
  <c r="FN39" i="58"/>
  <c r="FO39" i="58"/>
  <c r="FP39" i="58"/>
  <c r="FQ39" i="58"/>
  <c r="FR39" i="58"/>
  <c r="FS39" i="58"/>
  <c r="FT39" i="58"/>
  <c r="A40" i="58"/>
  <c r="B40" i="58"/>
  <c r="C40" i="58"/>
  <c r="F40" i="58"/>
  <c r="K40" i="58"/>
  <c r="L40" i="58"/>
  <c r="M40" i="58"/>
  <c r="N40" i="58"/>
  <c r="O40" i="58"/>
  <c r="P40" i="58"/>
  <c r="R40" i="58"/>
  <c r="S40" i="58"/>
  <c r="T40" i="58"/>
  <c r="U40" i="58"/>
  <c r="V40" i="58"/>
  <c r="W40" i="58"/>
  <c r="Y40" i="58"/>
  <c r="Z40" i="58"/>
  <c r="AA40" i="58"/>
  <c r="AB40" i="58"/>
  <c r="AC40" i="58"/>
  <c r="AD40" i="58"/>
  <c r="AF40" i="58"/>
  <c r="AG40" i="58"/>
  <c r="AH40" i="58"/>
  <c r="AI40" i="58"/>
  <c r="AJ40" i="58"/>
  <c r="AK40" i="58"/>
  <c r="AM40" i="58"/>
  <c r="AN40" i="58"/>
  <c r="AP40" i="58"/>
  <c r="AQ40" i="58"/>
  <c r="AR40" i="58"/>
  <c r="AS40" i="58"/>
  <c r="AT40" i="58"/>
  <c r="AU40" i="58"/>
  <c r="AV40" i="58"/>
  <c r="AW40" i="58"/>
  <c r="AX40" i="58"/>
  <c r="AY40" i="58"/>
  <c r="AZ40" i="58"/>
  <c r="BA40" i="58"/>
  <c r="BB40" i="58"/>
  <c r="BC40" i="58"/>
  <c r="BD40" i="58"/>
  <c r="BE40" i="58"/>
  <c r="BF40" i="58"/>
  <c r="BG40" i="58"/>
  <c r="BH40" i="58"/>
  <c r="BI40" i="58"/>
  <c r="BK40" i="58"/>
  <c r="BL40" i="58"/>
  <c r="BM40" i="58"/>
  <c r="BN40" i="58"/>
  <c r="BO40" i="58"/>
  <c r="BP40" i="58"/>
  <c r="BQ40" i="58"/>
  <c r="BR40" i="58"/>
  <c r="BS40" i="58"/>
  <c r="BT40" i="58"/>
  <c r="BU40" i="58"/>
  <c r="BV40" i="58"/>
  <c r="BX40" i="58"/>
  <c r="BY40" i="58"/>
  <c r="BZ40" i="58"/>
  <c r="CA40" i="58"/>
  <c r="CB40" i="58"/>
  <c r="CC40" i="58"/>
  <c r="CD40" i="58"/>
  <c r="CE40" i="58"/>
  <c r="CF40" i="58"/>
  <c r="CG40" i="58"/>
  <c r="CH40" i="58"/>
  <c r="CI40" i="58"/>
  <c r="CJ40" i="58"/>
  <c r="CK40" i="58"/>
  <c r="CL40" i="58"/>
  <c r="CM40" i="58"/>
  <c r="CN40" i="58"/>
  <c r="CO40" i="58"/>
  <c r="CP40" i="58"/>
  <c r="CQ40" i="58"/>
  <c r="CS40" i="58"/>
  <c r="CT40" i="58"/>
  <c r="CU40" i="58"/>
  <c r="CV40" i="58"/>
  <c r="CW40" i="58"/>
  <c r="CX40" i="58"/>
  <c r="CY40" i="58"/>
  <c r="CZ40" i="58"/>
  <c r="DA40" i="58"/>
  <c r="DB40" i="58"/>
  <c r="DC40" i="58"/>
  <c r="DD40" i="58"/>
  <c r="DF40" i="58"/>
  <c r="DG40" i="58"/>
  <c r="DH40" i="58"/>
  <c r="DI40" i="58"/>
  <c r="DJ40" i="58"/>
  <c r="DK40" i="58"/>
  <c r="DL40" i="58"/>
  <c r="DM40" i="58"/>
  <c r="DN40" i="58"/>
  <c r="DO40" i="58"/>
  <c r="DP40" i="58"/>
  <c r="DQ40" i="58"/>
  <c r="DR40" i="58"/>
  <c r="DS40" i="58"/>
  <c r="DT40" i="58"/>
  <c r="DU40" i="58"/>
  <c r="DV40" i="58"/>
  <c r="DW40" i="58"/>
  <c r="DX40" i="58"/>
  <c r="DY40" i="58"/>
  <c r="EA40" i="58"/>
  <c r="EB40" i="58"/>
  <c r="EC40" i="58"/>
  <c r="ED40" i="58"/>
  <c r="EE40" i="58"/>
  <c r="EF40" i="58"/>
  <c r="EG40" i="58"/>
  <c r="EH40" i="58"/>
  <c r="EI40" i="58"/>
  <c r="EJ40" i="58"/>
  <c r="EK40" i="58"/>
  <c r="EL40" i="58"/>
  <c r="EN40" i="58"/>
  <c r="EO40" i="58"/>
  <c r="EP40" i="58"/>
  <c r="EQ40" i="58"/>
  <c r="ER40" i="58"/>
  <c r="ES40" i="58"/>
  <c r="ET40" i="58"/>
  <c r="EU40" i="58"/>
  <c r="EV40" i="58"/>
  <c r="EW40" i="58"/>
  <c r="EX40" i="58"/>
  <c r="EY40" i="58"/>
  <c r="EZ40" i="58"/>
  <c r="FA40" i="58"/>
  <c r="FB40" i="58"/>
  <c r="FC40" i="58"/>
  <c r="FD40" i="58"/>
  <c r="FE40" i="58"/>
  <c r="FF40" i="58"/>
  <c r="FG40" i="58"/>
  <c r="FI40" i="58"/>
  <c r="FJ40" i="58"/>
  <c r="FK40" i="58"/>
  <c r="FL40" i="58"/>
  <c r="FM40" i="58"/>
  <c r="FN40" i="58"/>
  <c r="FO40" i="58"/>
  <c r="FP40" i="58"/>
  <c r="FQ40" i="58"/>
  <c r="FR40" i="58"/>
  <c r="FS40" i="58"/>
  <c r="FT40" i="58"/>
  <c r="A41" i="58"/>
  <c r="B41" i="58"/>
  <c r="C41" i="58"/>
  <c r="F41" i="58"/>
  <c r="K41" i="58"/>
  <c r="L41" i="58"/>
  <c r="M41" i="58"/>
  <c r="N41" i="58"/>
  <c r="O41" i="58"/>
  <c r="P41" i="58"/>
  <c r="R41" i="58"/>
  <c r="S41" i="58"/>
  <c r="T41" i="58"/>
  <c r="U41" i="58"/>
  <c r="V41" i="58"/>
  <c r="W41" i="58"/>
  <c r="Y41" i="58"/>
  <c r="Z41" i="58"/>
  <c r="AA41" i="58"/>
  <c r="AB41" i="58"/>
  <c r="AC41" i="58"/>
  <c r="AD41" i="58"/>
  <c r="AF41" i="58"/>
  <c r="AG41" i="58"/>
  <c r="AH41" i="58"/>
  <c r="AI41" i="58"/>
  <c r="AJ41" i="58"/>
  <c r="AK41" i="58"/>
  <c r="AM41" i="58"/>
  <c r="AN41" i="58"/>
  <c r="AP41" i="58"/>
  <c r="AQ41" i="58"/>
  <c r="AR41" i="58"/>
  <c r="AS41" i="58"/>
  <c r="AT41" i="58"/>
  <c r="AU41" i="58"/>
  <c r="AV41" i="58"/>
  <c r="AW41" i="58"/>
  <c r="AX41" i="58"/>
  <c r="AY41" i="58"/>
  <c r="AZ41" i="58"/>
  <c r="BA41" i="58"/>
  <c r="BB41" i="58"/>
  <c r="BC41" i="58"/>
  <c r="BD41" i="58"/>
  <c r="BE41" i="58"/>
  <c r="BF41" i="58"/>
  <c r="BG41" i="58"/>
  <c r="BH41" i="58"/>
  <c r="BI41" i="58"/>
  <c r="BK41" i="58"/>
  <c r="BL41" i="58"/>
  <c r="BM41" i="58"/>
  <c r="BN41" i="58"/>
  <c r="BO41" i="58"/>
  <c r="BP41" i="58"/>
  <c r="BQ41" i="58"/>
  <c r="BR41" i="58"/>
  <c r="BS41" i="58"/>
  <c r="BT41" i="58"/>
  <c r="BU41" i="58"/>
  <c r="BV41" i="58"/>
  <c r="BX41" i="58"/>
  <c r="BY41" i="58"/>
  <c r="BZ41" i="58"/>
  <c r="CA41" i="58"/>
  <c r="CB41" i="58"/>
  <c r="CC41" i="58"/>
  <c r="CD41" i="58"/>
  <c r="CE41" i="58"/>
  <c r="CF41" i="58"/>
  <c r="CG41" i="58"/>
  <c r="CH41" i="58"/>
  <c r="CI41" i="58"/>
  <c r="CJ41" i="58"/>
  <c r="CK41" i="58"/>
  <c r="CL41" i="58"/>
  <c r="CM41" i="58"/>
  <c r="CN41" i="58"/>
  <c r="CO41" i="58"/>
  <c r="CP41" i="58"/>
  <c r="CQ41" i="58"/>
  <c r="CS41" i="58"/>
  <c r="CT41" i="58"/>
  <c r="CU41" i="58"/>
  <c r="CV41" i="58"/>
  <c r="CW41" i="58"/>
  <c r="CX41" i="58"/>
  <c r="CY41" i="58"/>
  <c r="CZ41" i="58"/>
  <c r="DA41" i="58"/>
  <c r="DB41" i="58"/>
  <c r="DC41" i="58"/>
  <c r="DD41" i="58"/>
  <c r="DF41" i="58"/>
  <c r="DG41" i="58"/>
  <c r="DH41" i="58"/>
  <c r="DI41" i="58"/>
  <c r="DJ41" i="58"/>
  <c r="DK41" i="58"/>
  <c r="DL41" i="58"/>
  <c r="DM41" i="58"/>
  <c r="DN41" i="58"/>
  <c r="DO41" i="58"/>
  <c r="DP41" i="58"/>
  <c r="DQ41" i="58"/>
  <c r="DR41" i="58"/>
  <c r="DS41" i="58"/>
  <c r="DT41" i="58"/>
  <c r="DU41" i="58"/>
  <c r="DV41" i="58"/>
  <c r="DW41" i="58"/>
  <c r="DX41" i="58"/>
  <c r="DY41" i="58"/>
  <c r="EA41" i="58"/>
  <c r="EB41" i="58"/>
  <c r="EC41" i="58"/>
  <c r="ED41" i="58"/>
  <c r="EE41" i="58"/>
  <c r="EF41" i="58"/>
  <c r="EG41" i="58"/>
  <c r="EH41" i="58"/>
  <c r="EI41" i="58"/>
  <c r="EJ41" i="58"/>
  <c r="EK41" i="58"/>
  <c r="EL41" i="58"/>
  <c r="EN41" i="58"/>
  <c r="EO41" i="58"/>
  <c r="EP41" i="58"/>
  <c r="EQ41" i="58"/>
  <c r="ER41" i="58"/>
  <c r="ES41" i="58"/>
  <c r="ET41" i="58"/>
  <c r="EU41" i="58"/>
  <c r="EV41" i="58"/>
  <c r="EW41" i="58"/>
  <c r="EX41" i="58"/>
  <c r="EY41" i="58"/>
  <c r="EZ41" i="58"/>
  <c r="FA41" i="58"/>
  <c r="FB41" i="58"/>
  <c r="FC41" i="58"/>
  <c r="FD41" i="58"/>
  <c r="FE41" i="58"/>
  <c r="FF41" i="58"/>
  <c r="FG41" i="58"/>
  <c r="FI41" i="58"/>
  <c r="FJ41" i="58"/>
  <c r="FK41" i="58"/>
  <c r="FL41" i="58"/>
  <c r="FM41" i="58"/>
  <c r="FN41" i="58"/>
  <c r="FO41" i="58"/>
  <c r="FP41" i="58"/>
  <c r="FQ41" i="58"/>
  <c r="FR41" i="58"/>
  <c r="FS41" i="58"/>
  <c r="FT41" i="58"/>
  <c r="A42" i="58"/>
  <c r="B42" i="58"/>
  <c r="C42" i="58"/>
  <c r="F42" i="58"/>
  <c r="K42" i="58"/>
  <c r="L42" i="58"/>
  <c r="M42" i="58"/>
  <c r="N42" i="58"/>
  <c r="O42" i="58"/>
  <c r="P42" i="58"/>
  <c r="R42" i="58"/>
  <c r="S42" i="58"/>
  <c r="T42" i="58"/>
  <c r="U42" i="58"/>
  <c r="V42" i="58"/>
  <c r="W42" i="58"/>
  <c r="Y42" i="58"/>
  <c r="Z42" i="58"/>
  <c r="AA42" i="58"/>
  <c r="AB42" i="58"/>
  <c r="AC42" i="58"/>
  <c r="AD42" i="58"/>
  <c r="AF42" i="58"/>
  <c r="AG42" i="58"/>
  <c r="AH42" i="58"/>
  <c r="AI42" i="58"/>
  <c r="AJ42" i="58"/>
  <c r="AK42" i="58"/>
  <c r="AM42" i="58"/>
  <c r="AN42" i="58"/>
  <c r="AP42" i="58"/>
  <c r="AQ42" i="58"/>
  <c r="AR42" i="58"/>
  <c r="AS42" i="58"/>
  <c r="AT42" i="58"/>
  <c r="AU42" i="58"/>
  <c r="AV42" i="58"/>
  <c r="AW42" i="58"/>
  <c r="AX42" i="58"/>
  <c r="AY42" i="58"/>
  <c r="AZ42" i="58"/>
  <c r="BA42" i="58"/>
  <c r="BB42" i="58"/>
  <c r="BC42" i="58"/>
  <c r="BD42" i="58"/>
  <c r="BE42" i="58"/>
  <c r="BF42" i="58"/>
  <c r="BG42" i="58"/>
  <c r="BH42" i="58"/>
  <c r="BI42" i="58"/>
  <c r="BK42" i="58"/>
  <c r="BL42" i="58"/>
  <c r="BM42" i="58"/>
  <c r="BN42" i="58"/>
  <c r="BO42" i="58"/>
  <c r="BP42" i="58"/>
  <c r="BQ42" i="58"/>
  <c r="BR42" i="58"/>
  <c r="BS42" i="58"/>
  <c r="BT42" i="58"/>
  <c r="BU42" i="58"/>
  <c r="BV42" i="58"/>
  <c r="BX42" i="58"/>
  <c r="BY42" i="58"/>
  <c r="BZ42" i="58"/>
  <c r="CA42" i="58"/>
  <c r="CB42" i="58"/>
  <c r="CC42" i="58"/>
  <c r="CD42" i="58"/>
  <c r="CE42" i="58"/>
  <c r="CF42" i="58"/>
  <c r="CG42" i="58"/>
  <c r="CH42" i="58"/>
  <c r="CI42" i="58"/>
  <c r="CJ42" i="58"/>
  <c r="CK42" i="58"/>
  <c r="CL42" i="58"/>
  <c r="CM42" i="58"/>
  <c r="CN42" i="58"/>
  <c r="CO42" i="58"/>
  <c r="CP42" i="58"/>
  <c r="CQ42" i="58"/>
  <c r="CS42" i="58"/>
  <c r="CT42" i="58"/>
  <c r="CU42" i="58"/>
  <c r="CV42" i="58"/>
  <c r="CW42" i="58"/>
  <c r="CX42" i="58"/>
  <c r="CY42" i="58"/>
  <c r="CZ42" i="58"/>
  <c r="DA42" i="58"/>
  <c r="DB42" i="58"/>
  <c r="DC42" i="58"/>
  <c r="DD42" i="58"/>
  <c r="DF42" i="58"/>
  <c r="DG42" i="58"/>
  <c r="DH42" i="58"/>
  <c r="DI42" i="58"/>
  <c r="DJ42" i="58"/>
  <c r="DK42" i="58"/>
  <c r="DL42" i="58"/>
  <c r="DM42" i="58"/>
  <c r="DN42" i="58"/>
  <c r="DO42" i="58"/>
  <c r="DP42" i="58"/>
  <c r="DQ42" i="58"/>
  <c r="DR42" i="58"/>
  <c r="DS42" i="58"/>
  <c r="DT42" i="58"/>
  <c r="DU42" i="58"/>
  <c r="DV42" i="58"/>
  <c r="DW42" i="58"/>
  <c r="DX42" i="58"/>
  <c r="DY42" i="58"/>
  <c r="EA42" i="58"/>
  <c r="EB42" i="58"/>
  <c r="EC42" i="58"/>
  <c r="ED42" i="58"/>
  <c r="EE42" i="58"/>
  <c r="EF42" i="58"/>
  <c r="EG42" i="58"/>
  <c r="EH42" i="58"/>
  <c r="EI42" i="58"/>
  <c r="EJ42" i="58"/>
  <c r="EK42" i="58"/>
  <c r="EL42" i="58"/>
  <c r="EN42" i="58"/>
  <c r="EO42" i="58"/>
  <c r="EP42" i="58"/>
  <c r="EQ42" i="58"/>
  <c r="ER42" i="58"/>
  <c r="ES42" i="58"/>
  <c r="ET42" i="58"/>
  <c r="EU42" i="58"/>
  <c r="EV42" i="58"/>
  <c r="EW42" i="58"/>
  <c r="EX42" i="58"/>
  <c r="EY42" i="58"/>
  <c r="EZ42" i="58"/>
  <c r="FA42" i="58"/>
  <c r="FB42" i="58"/>
  <c r="FC42" i="58"/>
  <c r="FD42" i="58"/>
  <c r="FE42" i="58"/>
  <c r="FF42" i="58"/>
  <c r="FG42" i="58"/>
  <c r="FI42" i="58"/>
  <c r="FJ42" i="58"/>
  <c r="FK42" i="58"/>
  <c r="FL42" i="58"/>
  <c r="FM42" i="58"/>
  <c r="FN42" i="58"/>
  <c r="FO42" i="58"/>
  <c r="FP42" i="58"/>
  <c r="FQ42" i="58"/>
  <c r="FR42" i="58"/>
  <c r="FS42" i="58"/>
  <c r="FT42" i="58"/>
  <c r="A43" i="58"/>
  <c r="B43" i="58"/>
  <c r="C43" i="58"/>
  <c r="F43" i="58"/>
  <c r="K43" i="58"/>
  <c r="L43" i="58"/>
  <c r="M43" i="58"/>
  <c r="N43" i="58"/>
  <c r="O43" i="58"/>
  <c r="P43" i="58"/>
  <c r="R43" i="58"/>
  <c r="S43" i="58"/>
  <c r="T43" i="58"/>
  <c r="U43" i="58"/>
  <c r="V43" i="58"/>
  <c r="W43" i="58"/>
  <c r="Y43" i="58"/>
  <c r="Z43" i="58"/>
  <c r="AA43" i="58"/>
  <c r="AB43" i="58"/>
  <c r="AC43" i="58"/>
  <c r="AD43" i="58"/>
  <c r="AF43" i="58"/>
  <c r="AG43" i="58"/>
  <c r="AH43" i="58"/>
  <c r="AI43" i="58"/>
  <c r="AJ43" i="58"/>
  <c r="AK43" i="58"/>
  <c r="AM43" i="58"/>
  <c r="AN43" i="58"/>
  <c r="AP43" i="58"/>
  <c r="AQ43" i="58"/>
  <c r="AR43" i="58"/>
  <c r="AS43" i="58"/>
  <c r="AT43" i="58"/>
  <c r="AU43" i="58"/>
  <c r="AV43" i="58"/>
  <c r="AW43" i="58"/>
  <c r="AX43" i="58"/>
  <c r="AY43" i="58"/>
  <c r="AZ43" i="58"/>
  <c r="BA43" i="58"/>
  <c r="BB43" i="58"/>
  <c r="BC43" i="58"/>
  <c r="BD43" i="58"/>
  <c r="BE43" i="58"/>
  <c r="BF43" i="58"/>
  <c r="BG43" i="58"/>
  <c r="BH43" i="58"/>
  <c r="BI43" i="58"/>
  <c r="BK43" i="58"/>
  <c r="BL43" i="58"/>
  <c r="BM43" i="58"/>
  <c r="BN43" i="58"/>
  <c r="BO43" i="58"/>
  <c r="BP43" i="58"/>
  <c r="BQ43" i="58"/>
  <c r="BR43" i="58"/>
  <c r="BS43" i="58"/>
  <c r="BT43" i="58"/>
  <c r="BU43" i="58"/>
  <c r="BV43" i="58"/>
  <c r="BX43" i="58"/>
  <c r="BY43" i="58"/>
  <c r="BZ43" i="58"/>
  <c r="CA43" i="58"/>
  <c r="CB43" i="58"/>
  <c r="CC43" i="58"/>
  <c r="CD43" i="58"/>
  <c r="CE43" i="58"/>
  <c r="CF43" i="58"/>
  <c r="CG43" i="58"/>
  <c r="CH43" i="58"/>
  <c r="CI43" i="58"/>
  <c r="CJ43" i="58"/>
  <c r="CK43" i="58"/>
  <c r="CL43" i="58"/>
  <c r="CM43" i="58"/>
  <c r="CN43" i="58"/>
  <c r="CO43" i="58"/>
  <c r="CP43" i="58"/>
  <c r="CQ43" i="58"/>
  <c r="CS43" i="58"/>
  <c r="CT43" i="58"/>
  <c r="CU43" i="58"/>
  <c r="CV43" i="58"/>
  <c r="CW43" i="58"/>
  <c r="CX43" i="58"/>
  <c r="CY43" i="58"/>
  <c r="CZ43" i="58"/>
  <c r="DA43" i="58"/>
  <c r="DB43" i="58"/>
  <c r="DC43" i="58"/>
  <c r="DD43" i="58"/>
  <c r="DF43" i="58"/>
  <c r="DG43" i="58"/>
  <c r="DH43" i="58"/>
  <c r="DI43" i="58"/>
  <c r="DJ43" i="58"/>
  <c r="DK43" i="58"/>
  <c r="DL43" i="58"/>
  <c r="DM43" i="58"/>
  <c r="DN43" i="58"/>
  <c r="DO43" i="58"/>
  <c r="DP43" i="58"/>
  <c r="DQ43" i="58"/>
  <c r="DR43" i="58"/>
  <c r="DS43" i="58"/>
  <c r="DT43" i="58"/>
  <c r="DU43" i="58"/>
  <c r="DV43" i="58"/>
  <c r="DW43" i="58"/>
  <c r="DX43" i="58"/>
  <c r="DY43" i="58"/>
  <c r="EA43" i="58"/>
  <c r="EB43" i="58"/>
  <c r="EC43" i="58"/>
  <c r="ED43" i="58"/>
  <c r="EE43" i="58"/>
  <c r="EF43" i="58"/>
  <c r="EG43" i="58"/>
  <c r="EH43" i="58"/>
  <c r="EI43" i="58"/>
  <c r="EJ43" i="58"/>
  <c r="EK43" i="58"/>
  <c r="EL43" i="58"/>
  <c r="EN43" i="58"/>
  <c r="EO43" i="58"/>
  <c r="EP43" i="58"/>
  <c r="EQ43" i="58"/>
  <c r="ER43" i="58"/>
  <c r="ES43" i="58"/>
  <c r="ET43" i="58"/>
  <c r="EU43" i="58"/>
  <c r="EV43" i="58"/>
  <c r="EW43" i="58"/>
  <c r="EX43" i="58"/>
  <c r="EY43" i="58"/>
  <c r="EZ43" i="58"/>
  <c r="FA43" i="58"/>
  <c r="FB43" i="58"/>
  <c r="FC43" i="58"/>
  <c r="FD43" i="58"/>
  <c r="FE43" i="58"/>
  <c r="FF43" i="58"/>
  <c r="FG43" i="58"/>
  <c r="FI43" i="58"/>
  <c r="FJ43" i="58"/>
  <c r="FK43" i="58"/>
  <c r="FL43" i="58"/>
  <c r="FM43" i="58"/>
  <c r="FN43" i="58"/>
  <c r="FO43" i="58"/>
  <c r="FP43" i="58"/>
  <c r="FQ43" i="58"/>
  <c r="FR43" i="58"/>
  <c r="FS43" i="58"/>
  <c r="FT43" i="58"/>
  <c r="A44" i="58"/>
  <c r="B44" i="58"/>
  <c r="C44" i="58"/>
  <c r="F44" i="58"/>
  <c r="K44" i="58"/>
  <c r="L44" i="58"/>
  <c r="M44" i="58"/>
  <c r="N44" i="58"/>
  <c r="O44" i="58"/>
  <c r="P44" i="58"/>
  <c r="R44" i="58"/>
  <c r="S44" i="58"/>
  <c r="T44" i="58"/>
  <c r="U44" i="58"/>
  <c r="V44" i="58"/>
  <c r="W44" i="58"/>
  <c r="Y44" i="58"/>
  <c r="Z44" i="58"/>
  <c r="AA44" i="58"/>
  <c r="AB44" i="58"/>
  <c r="AC44" i="58"/>
  <c r="AD44" i="58"/>
  <c r="AF44" i="58"/>
  <c r="AG44" i="58"/>
  <c r="AH44" i="58"/>
  <c r="AI44" i="58"/>
  <c r="AJ44" i="58"/>
  <c r="AK44" i="58"/>
  <c r="AM44" i="58"/>
  <c r="AN44" i="58"/>
  <c r="AP44" i="58"/>
  <c r="AQ44" i="58"/>
  <c r="AR44" i="58"/>
  <c r="AS44" i="58"/>
  <c r="AT44" i="58"/>
  <c r="AU44" i="58"/>
  <c r="AV44" i="58"/>
  <c r="AW44" i="58"/>
  <c r="AX44" i="58"/>
  <c r="AY44" i="58"/>
  <c r="AZ44" i="58"/>
  <c r="BA44" i="58"/>
  <c r="BB44" i="58"/>
  <c r="BC44" i="58"/>
  <c r="BD44" i="58"/>
  <c r="BE44" i="58"/>
  <c r="BF44" i="58"/>
  <c r="BG44" i="58"/>
  <c r="BH44" i="58"/>
  <c r="BI44" i="58"/>
  <c r="BK44" i="58"/>
  <c r="BL44" i="58"/>
  <c r="BM44" i="58"/>
  <c r="BN44" i="58"/>
  <c r="BO44" i="58"/>
  <c r="BP44" i="58"/>
  <c r="BQ44" i="58"/>
  <c r="BR44" i="58"/>
  <c r="BS44" i="58"/>
  <c r="BT44" i="58"/>
  <c r="BU44" i="58"/>
  <c r="BV44" i="58"/>
  <c r="BX44" i="58"/>
  <c r="BY44" i="58"/>
  <c r="BZ44" i="58"/>
  <c r="CA44" i="58"/>
  <c r="CB44" i="58"/>
  <c r="CC44" i="58"/>
  <c r="CD44" i="58"/>
  <c r="CE44" i="58"/>
  <c r="CF44" i="58"/>
  <c r="CG44" i="58"/>
  <c r="CH44" i="58"/>
  <c r="CI44" i="58"/>
  <c r="CJ44" i="58"/>
  <c r="CK44" i="58"/>
  <c r="CL44" i="58"/>
  <c r="CM44" i="58"/>
  <c r="CN44" i="58"/>
  <c r="CO44" i="58"/>
  <c r="CP44" i="58"/>
  <c r="CQ44" i="58"/>
  <c r="CS44" i="58"/>
  <c r="CT44" i="58"/>
  <c r="CU44" i="58"/>
  <c r="CV44" i="58"/>
  <c r="CW44" i="58"/>
  <c r="CX44" i="58"/>
  <c r="CY44" i="58"/>
  <c r="CZ44" i="58"/>
  <c r="DA44" i="58"/>
  <c r="DB44" i="58"/>
  <c r="DC44" i="58"/>
  <c r="DD44" i="58"/>
  <c r="DF44" i="58"/>
  <c r="DG44" i="58"/>
  <c r="DH44" i="58"/>
  <c r="DI44" i="58"/>
  <c r="DJ44" i="58"/>
  <c r="DK44" i="58"/>
  <c r="DL44" i="58"/>
  <c r="DM44" i="58"/>
  <c r="DN44" i="58"/>
  <c r="DO44" i="58"/>
  <c r="DP44" i="58"/>
  <c r="DQ44" i="58"/>
  <c r="DR44" i="58"/>
  <c r="DS44" i="58"/>
  <c r="DT44" i="58"/>
  <c r="DU44" i="58"/>
  <c r="DV44" i="58"/>
  <c r="DW44" i="58"/>
  <c r="DX44" i="58"/>
  <c r="DY44" i="58"/>
  <c r="EA44" i="58"/>
  <c r="EB44" i="58"/>
  <c r="EC44" i="58"/>
  <c r="ED44" i="58"/>
  <c r="EE44" i="58"/>
  <c r="EF44" i="58"/>
  <c r="EG44" i="58"/>
  <c r="EH44" i="58"/>
  <c r="EI44" i="58"/>
  <c r="EJ44" i="58"/>
  <c r="EK44" i="58"/>
  <c r="EL44" i="58"/>
  <c r="EN44" i="58"/>
  <c r="EO44" i="58"/>
  <c r="EP44" i="58"/>
  <c r="EQ44" i="58"/>
  <c r="ER44" i="58"/>
  <c r="ES44" i="58"/>
  <c r="ET44" i="58"/>
  <c r="EU44" i="58"/>
  <c r="EV44" i="58"/>
  <c r="EW44" i="58"/>
  <c r="EX44" i="58"/>
  <c r="EY44" i="58"/>
  <c r="EZ44" i="58"/>
  <c r="FA44" i="58"/>
  <c r="FB44" i="58"/>
  <c r="FC44" i="58"/>
  <c r="FD44" i="58"/>
  <c r="FE44" i="58"/>
  <c r="FF44" i="58"/>
  <c r="FG44" i="58"/>
  <c r="FI44" i="58"/>
  <c r="FJ44" i="58"/>
  <c r="FK44" i="58"/>
  <c r="FL44" i="58"/>
  <c r="FM44" i="58"/>
  <c r="FN44" i="58"/>
  <c r="FO44" i="58"/>
  <c r="FP44" i="58"/>
  <c r="FQ44" i="58"/>
  <c r="FR44" i="58"/>
  <c r="FS44" i="58"/>
  <c r="FT44" i="58"/>
  <c r="A45" i="58"/>
  <c r="B45" i="58"/>
  <c r="C45" i="58"/>
  <c r="F45" i="58"/>
  <c r="K45" i="58"/>
  <c r="L45" i="58"/>
  <c r="M45" i="58"/>
  <c r="N45" i="58"/>
  <c r="O45" i="58"/>
  <c r="P45" i="58"/>
  <c r="R45" i="58"/>
  <c r="S45" i="58"/>
  <c r="T45" i="58"/>
  <c r="U45" i="58"/>
  <c r="V45" i="58"/>
  <c r="W45" i="58"/>
  <c r="Y45" i="58"/>
  <c r="Z45" i="58"/>
  <c r="AA45" i="58"/>
  <c r="AB45" i="58"/>
  <c r="AC45" i="58"/>
  <c r="AD45" i="58"/>
  <c r="AF45" i="58"/>
  <c r="AG45" i="58"/>
  <c r="AH45" i="58"/>
  <c r="AI45" i="58"/>
  <c r="AJ45" i="58"/>
  <c r="AK45" i="58"/>
  <c r="AM45" i="58"/>
  <c r="AN45" i="58"/>
  <c r="AP45" i="58"/>
  <c r="AQ45" i="58"/>
  <c r="AR45" i="58"/>
  <c r="AS45" i="58"/>
  <c r="AT45" i="58"/>
  <c r="AU45" i="58"/>
  <c r="AV45" i="58"/>
  <c r="AW45" i="58"/>
  <c r="AX45" i="58"/>
  <c r="AY45" i="58"/>
  <c r="AZ45" i="58"/>
  <c r="BA45" i="58"/>
  <c r="BB45" i="58"/>
  <c r="BC45" i="58"/>
  <c r="BD45" i="58"/>
  <c r="BE45" i="58"/>
  <c r="BF45" i="58"/>
  <c r="BG45" i="58"/>
  <c r="BH45" i="58"/>
  <c r="BI45" i="58"/>
  <c r="BK45" i="58"/>
  <c r="BL45" i="58"/>
  <c r="BM45" i="58"/>
  <c r="BN45" i="58"/>
  <c r="BO45" i="58"/>
  <c r="BP45" i="58"/>
  <c r="BQ45" i="58"/>
  <c r="BR45" i="58"/>
  <c r="BS45" i="58"/>
  <c r="BT45" i="58"/>
  <c r="BU45" i="58"/>
  <c r="BV45" i="58"/>
  <c r="BX45" i="58"/>
  <c r="BY45" i="58"/>
  <c r="BZ45" i="58"/>
  <c r="CA45" i="58"/>
  <c r="CB45" i="58"/>
  <c r="CC45" i="58"/>
  <c r="CD45" i="58"/>
  <c r="CE45" i="58"/>
  <c r="CF45" i="58"/>
  <c r="CG45" i="58"/>
  <c r="CH45" i="58"/>
  <c r="CI45" i="58"/>
  <c r="CJ45" i="58"/>
  <c r="CK45" i="58"/>
  <c r="CL45" i="58"/>
  <c r="CM45" i="58"/>
  <c r="CN45" i="58"/>
  <c r="CO45" i="58"/>
  <c r="CP45" i="58"/>
  <c r="CQ45" i="58"/>
  <c r="CS45" i="58"/>
  <c r="CT45" i="58"/>
  <c r="CU45" i="58"/>
  <c r="CV45" i="58"/>
  <c r="CW45" i="58"/>
  <c r="CX45" i="58"/>
  <c r="CY45" i="58"/>
  <c r="CZ45" i="58"/>
  <c r="DA45" i="58"/>
  <c r="DB45" i="58"/>
  <c r="DC45" i="58"/>
  <c r="DD45" i="58"/>
  <c r="DF45" i="58"/>
  <c r="DG45" i="58"/>
  <c r="DH45" i="58"/>
  <c r="DI45" i="58"/>
  <c r="DJ45" i="58"/>
  <c r="DK45" i="58"/>
  <c r="DL45" i="58"/>
  <c r="DM45" i="58"/>
  <c r="DN45" i="58"/>
  <c r="DO45" i="58"/>
  <c r="DP45" i="58"/>
  <c r="DQ45" i="58"/>
  <c r="DR45" i="58"/>
  <c r="DS45" i="58"/>
  <c r="DT45" i="58"/>
  <c r="DU45" i="58"/>
  <c r="DV45" i="58"/>
  <c r="DW45" i="58"/>
  <c r="DX45" i="58"/>
  <c r="DY45" i="58"/>
  <c r="EA45" i="58"/>
  <c r="EB45" i="58"/>
  <c r="EC45" i="58"/>
  <c r="ED45" i="58"/>
  <c r="EE45" i="58"/>
  <c r="EF45" i="58"/>
  <c r="EG45" i="58"/>
  <c r="EH45" i="58"/>
  <c r="EI45" i="58"/>
  <c r="EJ45" i="58"/>
  <c r="EK45" i="58"/>
  <c r="EL45" i="58"/>
  <c r="EN45" i="58"/>
  <c r="EO45" i="58"/>
  <c r="EP45" i="58"/>
  <c r="EQ45" i="58"/>
  <c r="ER45" i="58"/>
  <c r="ES45" i="58"/>
  <c r="ET45" i="58"/>
  <c r="EU45" i="58"/>
  <c r="EV45" i="58"/>
  <c r="EW45" i="58"/>
  <c r="EX45" i="58"/>
  <c r="EY45" i="58"/>
  <c r="EZ45" i="58"/>
  <c r="FA45" i="58"/>
  <c r="FB45" i="58"/>
  <c r="FC45" i="58"/>
  <c r="FD45" i="58"/>
  <c r="FE45" i="58"/>
  <c r="FF45" i="58"/>
  <c r="FG45" i="58"/>
  <c r="FI45" i="58"/>
  <c r="FJ45" i="58"/>
  <c r="FK45" i="58"/>
  <c r="FL45" i="58"/>
  <c r="FM45" i="58"/>
  <c r="FN45" i="58"/>
  <c r="FO45" i="58"/>
  <c r="FP45" i="58"/>
  <c r="FQ45" i="58"/>
  <c r="FR45" i="58"/>
  <c r="FS45" i="58"/>
  <c r="FT45" i="58"/>
  <c r="A46" i="58"/>
  <c r="B46" i="58"/>
  <c r="C46" i="58"/>
  <c r="F46" i="58"/>
  <c r="K46" i="58"/>
  <c r="L46" i="58"/>
  <c r="M46" i="58"/>
  <c r="N46" i="58"/>
  <c r="O46" i="58"/>
  <c r="P46" i="58"/>
  <c r="R46" i="58"/>
  <c r="S46" i="58"/>
  <c r="T46" i="58"/>
  <c r="U46" i="58"/>
  <c r="V46" i="58"/>
  <c r="W46" i="58"/>
  <c r="Y46" i="58"/>
  <c r="Z46" i="58"/>
  <c r="AA46" i="58"/>
  <c r="AB46" i="58"/>
  <c r="AC46" i="58"/>
  <c r="AD46" i="58"/>
  <c r="AF46" i="58"/>
  <c r="AG46" i="58"/>
  <c r="AH46" i="58"/>
  <c r="AI46" i="58"/>
  <c r="AJ46" i="58"/>
  <c r="AK46" i="58"/>
  <c r="AM46" i="58"/>
  <c r="AN46" i="58"/>
  <c r="AP46" i="58"/>
  <c r="AQ46" i="58"/>
  <c r="AR46" i="58"/>
  <c r="AS46" i="58"/>
  <c r="AT46" i="58"/>
  <c r="AU46" i="58"/>
  <c r="AV46" i="58"/>
  <c r="AW46" i="58"/>
  <c r="AX46" i="58"/>
  <c r="AY46" i="58"/>
  <c r="AZ46" i="58"/>
  <c r="BA46" i="58"/>
  <c r="BB46" i="58"/>
  <c r="BC46" i="58"/>
  <c r="BD46" i="58"/>
  <c r="BE46" i="58"/>
  <c r="BF46" i="58"/>
  <c r="BG46" i="58"/>
  <c r="BH46" i="58"/>
  <c r="BI46" i="58"/>
  <c r="BK46" i="58"/>
  <c r="BL46" i="58"/>
  <c r="BM46" i="58"/>
  <c r="BN46" i="58"/>
  <c r="BO46" i="58"/>
  <c r="BP46" i="58"/>
  <c r="BQ46" i="58"/>
  <c r="BR46" i="58"/>
  <c r="BS46" i="58"/>
  <c r="BT46" i="58"/>
  <c r="BU46" i="58"/>
  <c r="BV46" i="58"/>
  <c r="BX46" i="58"/>
  <c r="BY46" i="58"/>
  <c r="BZ46" i="58"/>
  <c r="CA46" i="58"/>
  <c r="CB46" i="58"/>
  <c r="CC46" i="58"/>
  <c r="CD46" i="58"/>
  <c r="CE46" i="58"/>
  <c r="CF46" i="58"/>
  <c r="CG46" i="58"/>
  <c r="CH46" i="58"/>
  <c r="CI46" i="58"/>
  <c r="CJ46" i="58"/>
  <c r="CK46" i="58"/>
  <c r="CL46" i="58"/>
  <c r="CM46" i="58"/>
  <c r="CN46" i="58"/>
  <c r="CO46" i="58"/>
  <c r="CP46" i="58"/>
  <c r="CQ46" i="58"/>
  <c r="CS46" i="58"/>
  <c r="CT46" i="58"/>
  <c r="CU46" i="58"/>
  <c r="CV46" i="58"/>
  <c r="CW46" i="58"/>
  <c r="CX46" i="58"/>
  <c r="CY46" i="58"/>
  <c r="CZ46" i="58"/>
  <c r="DA46" i="58"/>
  <c r="DB46" i="58"/>
  <c r="DC46" i="58"/>
  <c r="DD46" i="58"/>
  <c r="DF46" i="58"/>
  <c r="DG46" i="58"/>
  <c r="DH46" i="58"/>
  <c r="DI46" i="58"/>
  <c r="DJ46" i="58"/>
  <c r="DK46" i="58"/>
  <c r="DL46" i="58"/>
  <c r="DM46" i="58"/>
  <c r="DN46" i="58"/>
  <c r="DO46" i="58"/>
  <c r="DP46" i="58"/>
  <c r="DQ46" i="58"/>
  <c r="DR46" i="58"/>
  <c r="DS46" i="58"/>
  <c r="DT46" i="58"/>
  <c r="DU46" i="58"/>
  <c r="DV46" i="58"/>
  <c r="DW46" i="58"/>
  <c r="DX46" i="58"/>
  <c r="DY46" i="58"/>
  <c r="EA46" i="58"/>
  <c r="EB46" i="58"/>
  <c r="EC46" i="58"/>
  <c r="ED46" i="58"/>
  <c r="EE46" i="58"/>
  <c r="EF46" i="58"/>
  <c r="EG46" i="58"/>
  <c r="EH46" i="58"/>
  <c r="EI46" i="58"/>
  <c r="EJ46" i="58"/>
  <c r="EK46" i="58"/>
  <c r="EL46" i="58"/>
  <c r="EN46" i="58"/>
  <c r="EO46" i="58"/>
  <c r="EP46" i="58"/>
  <c r="EQ46" i="58"/>
  <c r="ER46" i="58"/>
  <c r="ES46" i="58"/>
  <c r="ET46" i="58"/>
  <c r="EU46" i="58"/>
  <c r="EV46" i="58"/>
  <c r="EW46" i="58"/>
  <c r="EX46" i="58"/>
  <c r="EY46" i="58"/>
  <c r="EZ46" i="58"/>
  <c r="FA46" i="58"/>
  <c r="FB46" i="58"/>
  <c r="FC46" i="58"/>
  <c r="FD46" i="58"/>
  <c r="FE46" i="58"/>
  <c r="FF46" i="58"/>
  <c r="FG46" i="58"/>
  <c r="FI46" i="58"/>
  <c r="FJ46" i="58"/>
  <c r="FK46" i="58"/>
  <c r="FL46" i="58"/>
  <c r="FM46" i="58"/>
  <c r="FN46" i="58"/>
  <c r="FO46" i="58"/>
  <c r="FP46" i="58"/>
  <c r="FQ46" i="58"/>
  <c r="FR46" i="58"/>
  <c r="FS46" i="58"/>
  <c r="FT46" i="58"/>
  <c r="A47" i="58"/>
  <c r="B47" i="58"/>
  <c r="C47" i="58"/>
  <c r="F47" i="58"/>
  <c r="K47" i="58"/>
  <c r="L47" i="58"/>
  <c r="M47" i="58"/>
  <c r="N47" i="58"/>
  <c r="O47" i="58"/>
  <c r="P47" i="58"/>
  <c r="R47" i="58"/>
  <c r="S47" i="58"/>
  <c r="T47" i="58"/>
  <c r="U47" i="58"/>
  <c r="V47" i="58"/>
  <c r="W47" i="58"/>
  <c r="Y47" i="58"/>
  <c r="Z47" i="58"/>
  <c r="AA47" i="58"/>
  <c r="AB47" i="58"/>
  <c r="AC47" i="58"/>
  <c r="AD47" i="58"/>
  <c r="AF47" i="58"/>
  <c r="AG47" i="58"/>
  <c r="AH47" i="58"/>
  <c r="AI47" i="58"/>
  <c r="AJ47" i="58"/>
  <c r="AK47" i="58"/>
  <c r="AM47" i="58"/>
  <c r="AN47" i="58"/>
  <c r="AP47" i="58"/>
  <c r="AQ47" i="58"/>
  <c r="AR47" i="58"/>
  <c r="AS47" i="58"/>
  <c r="AT47" i="58"/>
  <c r="AU47" i="58"/>
  <c r="AV47" i="58"/>
  <c r="AW47" i="58"/>
  <c r="AX47" i="58"/>
  <c r="AY47" i="58"/>
  <c r="AZ47" i="58"/>
  <c r="BA47" i="58"/>
  <c r="BB47" i="58"/>
  <c r="BC47" i="58"/>
  <c r="BD47" i="58"/>
  <c r="BE47" i="58"/>
  <c r="BF47" i="58"/>
  <c r="BG47" i="58"/>
  <c r="BH47" i="58"/>
  <c r="BI47" i="58"/>
  <c r="BK47" i="58"/>
  <c r="BL47" i="58"/>
  <c r="BM47" i="58"/>
  <c r="BN47" i="58"/>
  <c r="BO47" i="58"/>
  <c r="BP47" i="58"/>
  <c r="BQ47" i="58"/>
  <c r="BR47" i="58"/>
  <c r="BS47" i="58"/>
  <c r="BT47" i="58"/>
  <c r="BU47" i="58"/>
  <c r="BV47" i="58"/>
  <c r="BX47" i="58"/>
  <c r="BY47" i="58"/>
  <c r="BZ47" i="58"/>
  <c r="CA47" i="58"/>
  <c r="CB47" i="58"/>
  <c r="CC47" i="58"/>
  <c r="CD47" i="58"/>
  <c r="CE47" i="58"/>
  <c r="CF47" i="58"/>
  <c r="CG47" i="58"/>
  <c r="CH47" i="58"/>
  <c r="CI47" i="58"/>
  <c r="CJ47" i="58"/>
  <c r="CK47" i="58"/>
  <c r="CL47" i="58"/>
  <c r="CM47" i="58"/>
  <c r="CN47" i="58"/>
  <c r="CO47" i="58"/>
  <c r="CP47" i="58"/>
  <c r="CQ47" i="58"/>
  <c r="CS47" i="58"/>
  <c r="CT47" i="58"/>
  <c r="CU47" i="58"/>
  <c r="CV47" i="58"/>
  <c r="CW47" i="58"/>
  <c r="CX47" i="58"/>
  <c r="CY47" i="58"/>
  <c r="CZ47" i="58"/>
  <c r="DA47" i="58"/>
  <c r="DB47" i="58"/>
  <c r="DC47" i="58"/>
  <c r="DD47" i="58"/>
  <c r="DF47" i="58"/>
  <c r="DG47" i="58"/>
  <c r="DH47" i="58"/>
  <c r="DI47" i="58"/>
  <c r="DJ47" i="58"/>
  <c r="DK47" i="58"/>
  <c r="DL47" i="58"/>
  <c r="DM47" i="58"/>
  <c r="DN47" i="58"/>
  <c r="DO47" i="58"/>
  <c r="DP47" i="58"/>
  <c r="DQ47" i="58"/>
  <c r="DR47" i="58"/>
  <c r="DS47" i="58"/>
  <c r="DT47" i="58"/>
  <c r="DU47" i="58"/>
  <c r="DV47" i="58"/>
  <c r="DW47" i="58"/>
  <c r="DX47" i="58"/>
  <c r="DY47" i="58"/>
  <c r="EA47" i="58"/>
  <c r="EB47" i="58"/>
  <c r="EC47" i="58"/>
  <c r="ED47" i="58"/>
  <c r="EE47" i="58"/>
  <c r="EF47" i="58"/>
  <c r="EG47" i="58"/>
  <c r="EH47" i="58"/>
  <c r="EI47" i="58"/>
  <c r="EJ47" i="58"/>
  <c r="EK47" i="58"/>
  <c r="EL47" i="58"/>
  <c r="EN47" i="58"/>
  <c r="EO47" i="58"/>
  <c r="EP47" i="58"/>
  <c r="EQ47" i="58"/>
  <c r="ER47" i="58"/>
  <c r="ES47" i="58"/>
  <c r="ET47" i="58"/>
  <c r="EU47" i="58"/>
  <c r="EV47" i="58"/>
  <c r="EW47" i="58"/>
  <c r="EX47" i="58"/>
  <c r="EY47" i="58"/>
  <c r="EZ47" i="58"/>
  <c r="FA47" i="58"/>
  <c r="FB47" i="58"/>
  <c r="FC47" i="58"/>
  <c r="FD47" i="58"/>
  <c r="FE47" i="58"/>
  <c r="FF47" i="58"/>
  <c r="FG47" i="58"/>
  <c r="FI47" i="58"/>
  <c r="FJ47" i="58"/>
  <c r="FK47" i="58"/>
  <c r="FL47" i="58"/>
  <c r="FM47" i="58"/>
  <c r="FN47" i="58"/>
  <c r="FO47" i="58"/>
  <c r="FP47" i="58"/>
  <c r="FQ47" i="58"/>
  <c r="FR47" i="58"/>
  <c r="FS47" i="58"/>
  <c r="FT47" i="58"/>
  <c r="A48" i="58"/>
  <c r="B48" i="58"/>
  <c r="C48" i="58"/>
  <c r="F48" i="58"/>
  <c r="K48" i="58"/>
  <c r="L48" i="58"/>
  <c r="M48" i="58"/>
  <c r="N48" i="58"/>
  <c r="O48" i="58"/>
  <c r="P48" i="58"/>
  <c r="R48" i="58"/>
  <c r="S48" i="58"/>
  <c r="T48" i="58"/>
  <c r="U48" i="58"/>
  <c r="V48" i="58"/>
  <c r="W48" i="58"/>
  <c r="Y48" i="58"/>
  <c r="Z48" i="58"/>
  <c r="AA48" i="58"/>
  <c r="AB48" i="58"/>
  <c r="AC48" i="58"/>
  <c r="AD48" i="58"/>
  <c r="AF48" i="58"/>
  <c r="AG48" i="58"/>
  <c r="AH48" i="58"/>
  <c r="AI48" i="58"/>
  <c r="AJ48" i="58"/>
  <c r="AK48" i="58"/>
  <c r="AM48" i="58"/>
  <c r="AN48" i="58"/>
  <c r="AP48" i="58"/>
  <c r="AQ48" i="58"/>
  <c r="AR48" i="58"/>
  <c r="AS48" i="58"/>
  <c r="AT48" i="58"/>
  <c r="AU48" i="58"/>
  <c r="AV48" i="58"/>
  <c r="AW48" i="58"/>
  <c r="AX48" i="58"/>
  <c r="AY48" i="58"/>
  <c r="AZ48" i="58"/>
  <c r="BA48" i="58"/>
  <c r="BB48" i="58"/>
  <c r="BC48" i="58"/>
  <c r="BD48" i="58"/>
  <c r="BE48" i="58"/>
  <c r="BF48" i="58"/>
  <c r="BG48" i="58"/>
  <c r="BH48" i="58"/>
  <c r="BI48" i="58"/>
  <c r="BK48" i="58"/>
  <c r="BL48" i="58"/>
  <c r="BM48" i="58"/>
  <c r="BN48" i="58"/>
  <c r="BO48" i="58"/>
  <c r="BP48" i="58"/>
  <c r="BQ48" i="58"/>
  <c r="BR48" i="58"/>
  <c r="BS48" i="58"/>
  <c r="BT48" i="58"/>
  <c r="BU48" i="58"/>
  <c r="BV48" i="58"/>
  <c r="BX48" i="58"/>
  <c r="BY48" i="58"/>
  <c r="BZ48" i="58"/>
  <c r="CA48" i="58"/>
  <c r="CB48" i="58"/>
  <c r="CC48" i="58"/>
  <c r="CD48" i="58"/>
  <c r="CE48" i="58"/>
  <c r="CF48" i="58"/>
  <c r="CG48" i="58"/>
  <c r="CH48" i="58"/>
  <c r="CI48" i="58"/>
  <c r="CJ48" i="58"/>
  <c r="CK48" i="58"/>
  <c r="CL48" i="58"/>
  <c r="CM48" i="58"/>
  <c r="CN48" i="58"/>
  <c r="CO48" i="58"/>
  <c r="CP48" i="58"/>
  <c r="CQ48" i="58"/>
  <c r="CS48" i="58"/>
  <c r="CT48" i="58"/>
  <c r="CU48" i="58"/>
  <c r="CV48" i="58"/>
  <c r="CW48" i="58"/>
  <c r="CX48" i="58"/>
  <c r="CY48" i="58"/>
  <c r="CZ48" i="58"/>
  <c r="DA48" i="58"/>
  <c r="DB48" i="58"/>
  <c r="DC48" i="58"/>
  <c r="DD48" i="58"/>
  <c r="DF48" i="58"/>
  <c r="DG48" i="58"/>
  <c r="DH48" i="58"/>
  <c r="DI48" i="58"/>
  <c r="DJ48" i="58"/>
  <c r="DK48" i="58"/>
  <c r="DL48" i="58"/>
  <c r="DM48" i="58"/>
  <c r="DN48" i="58"/>
  <c r="DO48" i="58"/>
  <c r="DP48" i="58"/>
  <c r="DQ48" i="58"/>
  <c r="DR48" i="58"/>
  <c r="DS48" i="58"/>
  <c r="DT48" i="58"/>
  <c r="DU48" i="58"/>
  <c r="DV48" i="58"/>
  <c r="DW48" i="58"/>
  <c r="DX48" i="58"/>
  <c r="DY48" i="58"/>
  <c r="EA48" i="58"/>
  <c r="EB48" i="58"/>
  <c r="EC48" i="58"/>
  <c r="ED48" i="58"/>
  <c r="EE48" i="58"/>
  <c r="EF48" i="58"/>
  <c r="EG48" i="58"/>
  <c r="EH48" i="58"/>
  <c r="EI48" i="58"/>
  <c r="EJ48" i="58"/>
  <c r="EK48" i="58"/>
  <c r="EL48" i="58"/>
  <c r="EN48" i="58"/>
  <c r="EO48" i="58"/>
  <c r="EP48" i="58"/>
  <c r="EQ48" i="58"/>
  <c r="ER48" i="58"/>
  <c r="ES48" i="58"/>
  <c r="ET48" i="58"/>
  <c r="EU48" i="58"/>
  <c r="EV48" i="58"/>
  <c r="EW48" i="58"/>
  <c r="EX48" i="58"/>
  <c r="EY48" i="58"/>
  <c r="EZ48" i="58"/>
  <c r="FA48" i="58"/>
  <c r="FB48" i="58"/>
  <c r="FC48" i="58"/>
  <c r="FD48" i="58"/>
  <c r="FE48" i="58"/>
  <c r="FF48" i="58"/>
  <c r="FG48" i="58"/>
  <c r="FI48" i="58"/>
  <c r="FJ48" i="58"/>
  <c r="FK48" i="58"/>
  <c r="FL48" i="58"/>
  <c r="FM48" i="58"/>
  <c r="FN48" i="58"/>
  <c r="FO48" i="58"/>
  <c r="FP48" i="58"/>
  <c r="FQ48" i="58"/>
  <c r="FR48" i="58"/>
  <c r="FS48" i="58"/>
  <c r="FT48" i="58"/>
  <c r="A49" i="58"/>
  <c r="B49" i="58"/>
  <c r="C49" i="58"/>
  <c r="F49" i="58"/>
  <c r="K49" i="58"/>
  <c r="L49" i="58"/>
  <c r="M49" i="58"/>
  <c r="N49" i="58"/>
  <c r="O49" i="58"/>
  <c r="P49" i="58"/>
  <c r="R49" i="58"/>
  <c r="S49" i="58"/>
  <c r="T49" i="58"/>
  <c r="U49" i="58"/>
  <c r="V49" i="58"/>
  <c r="W49" i="58"/>
  <c r="Y49" i="58"/>
  <c r="Z49" i="58"/>
  <c r="AA49" i="58"/>
  <c r="AB49" i="58"/>
  <c r="AC49" i="58"/>
  <c r="AD49" i="58"/>
  <c r="AF49" i="58"/>
  <c r="AG49" i="58"/>
  <c r="AH49" i="58"/>
  <c r="AI49" i="58"/>
  <c r="AJ49" i="58"/>
  <c r="AK49" i="58"/>
  <c r="AM49" i="58"/>
  <c r="AN49" i="58"/>
  <c r="AP49" i="58"/>
  <c r="AQ49" i="58"/>
  <c r="AR49" i="58"/>
  <c r="AS49" i="58"/>
  <c r="AT49" i="58"/>
  <c r="AU49" i="58"/>
  <c r="AV49" i="58"/>
  <c r="AW49" i="58"/>
  <c r="AX49" i="58"/>
  <c r="AY49" i="58"/>
  <c r="AZ49" i="58"/>
  <c r="BA49" i="58"/>
  <c r="BB49" i="58"/>
  <c r="BC49" i="58"/>
  <c r="BD49" i="58"/>
  <c r="BE49" i="58"/>
  <c r="BF49" i="58"/>
  <c r="BG49" i="58"/>
  <c r="BH49" i="58"/>
  <c r="BI49" i="58"/>
  <c r="BK49" i="58"/>
  <c r="BL49" i="58"/>
  <c r="BM49" i="58"/>
  <c r="BN49" i="58"/>
  <c r="BO49" i="58"/>
  <c r="BP49" i="58"/>
  <c r="BQ49" i="58"/>
  <c r="BR49" i="58"/>
  <c r="BS49" i="58"/>
  <c r="BT49" i="58"/>
  <c r="BU49" i="58"/>
  <c r="BV49" i="58"/>
  <c r="BX49" i="58"/>
  <c r="BY49" i="58"/>
  <c r="BZ49" i="58"/>
  <c r="CA49" i="58"/>
  <c r="CB49" i="58"/>
  <c r="CC49" i="58"/>
  <c r="CD49" i="58"/>
  <c r="CE49" i="58"/>
  <c r="CF49" i="58"/>
  <c r="CG49" i="58"/>
  <c r="CH49" i="58"/>
  <c r="CI49" i="58"/>
  <c r="CJ49" i="58"/>
  <c r="CK49" i="58"/>
  <c r="CL49" i="58"/>
  <c r="CM49" i="58"/>
  <c r="CN49" i="58"/>
  <c r="CO49" i="58"/>
  <c r="CP49" i="58"/>
  <c r="CQ49" i="58"/>
  <c r="CS49" i="58"/>
  <c r="CT49" i="58"/>
  <c r="CU49" i="58"/>
  <c r="CV49" i="58"/>
  <c r="CW49" i="58"/>
  <c r="CX49" i="58"/>
  <c r="CY49" i="58"/>
  <c r="CZ49" i="58"/>
  <c r="DA49" i="58"/>
  <c r="DB49" i="58"/>
  <c r="DC49" i="58"/>
  <c r="DD49" i="58"/>
  <c r="DF49" i="58"/>
  <c r="DG49" i="58"/>
  <c r="DH49" i="58"/>
  <c r="DI49" i="58"/>
  <c r="DJ49" i="58"/>
  <c r="DK49" i="58"/>
  <c r="DL49" i="58"/>
  <c r="DM49" i="58"/>
  <c r="DN49" i="58"/>
  <c r="DO49" i="58"/>
  <c r="DP49" i="58"/>
  <c r="DQ49" i="58"/>
  <c r="DR49" i="58"/>
  <c r="DS49" i="58"/>
  <c r="DT49" i="58"/>
  <c r="DU49" i="58"/>
  <c r="DV49" i="58"/>
  <c r="DW49" i="58"/>
  <c r="DX49" i="58"/>
  <c r="DY49" i="58"/>
  <c r="EA49" i="58"/>
  <c r="EB49" i="58"/>
  <c r="EC49" i="58"/>
  <c r="ED49" i="58"/>
  <c r="EE49" i="58"/>
  <c r="EF49" i="58"/>
  <c r="EG49" i="58"/>
  <c r="EH49" i="58"/>
  <c r="EI49" i="58"/>
  <c r="EJ49" i="58"/>
  <c r="EK49" i="58"/>
  <c r="EL49" i="58"/>
  <c r="EN49" i="58"/>
  <c r="EO49" i="58"/>
  <c r="EP49" i="58"/>
  <c r="EQ49" i="58"/>
  <c r="ER49" i="58"/>
  <c r="ES49" i="58"/>
  <c r="ET49" i="58"/>
  <c r="EU49" i="58"/>
  <c r="EV49" i="58"/>
  <c r="EW49" i="58"/>
  <c r="EX49" i="58"/>
  <c r="EY49" i="58"/>
  <c r="EZ49" i="58"/>
  <c r="FA49" i="58"/>
  <c r="FB49" i="58"/>
  <c r="FC49" i="58"/>
  <c r="FD49" i="58"/>
  <c r="FE49" i="58"/>
  <c r="FF49" i="58"/>
  <c r="FG49" i="58"/>
  <c r="FI49" i="58"/>
  <c r="FJ49" i="58"/>
  <c r="FK49" i="58"/>
  <c r="FL49" i="58"/>
  <c r="FM49" i="58"/>
  <c r="FN49" i="58"/>
  <c r="FO49" i="58"/>
  <c r="FP49" i="58"/>
  <c r="FQ49" i="58"/>
  <c r="FR49" i="58"/>
  <c r="FS49" i="58"/>
  <c r="FT49" i="58"/>
  <c r="A50" i="58"/>
  <c r="B50" i="58"/>
  <c r="C50" i="58"/>
  <c r="F50" i="58"/>
  <c r="K50" i="58"/>
  <c r="L50" i="58"/>
  <c r="M50" i="58"/>
  <c r="N50" i="58"/>
  <c r="O50" i="58"/>
  <c r="P50" i="58"/>
  <c r="R50" i="58"/>
  <c r="S50" i="58"/>
  <c r="T50" i="58"/>
  <c r="U50" i="58"/>
  <c r="V50" i="58"/>
  <c r="W50" i="58"/>
  <c r="Y50" i="58"/>
  <c r="Z50" i="58"/>
  <c r="AA50" i="58"/>
  <c r="AB50" i="58"/>
  <c r="AC50" i="58"/>
  <c r="AD50" i="58"/>
  <c r="AF50" i="58"/>
  <c r="AG50" i="58"/>
  <c r="AH50" i="58"/>
  <c r="AI50" i="58"/>
  <c r="AJ50" i="58"/>
  <c r="AK50" i="58"/>
  <c r="AM50" i="58"/>
  <c r="AN50" i="58"/>
  <c r="AP50" i="58"/>
  <c r="AQ50" i="58"/>
  <c r="AR50" i="58"/>
  <c r="AS50" i="58"/>
  <c r="AT50" i="58"/>
  <c r="AU50" i="58"/>
  <c r="AV50" i="58"/>
  <c r="AW50" i="58"/>
  <c r="AX50" i="58"/>
  <c r="AY50" i="58"/>
  <c r="AZ50" i="58"/>
  <c r="BA50" i="58"/>
  <c r="BB50" i="58"/>
  <c r="BC50" i="58"/>
  <c r="BD50" i="58"/>
  <c r="BE50" i="58"/>
  <c r="BF50" i="58"/>
  <c r="BG50" i="58"/>
  <c r="BH50" i="58"/>
  <c r="BI50" i="58"/>
  <c r="BK50" i="58"/>
  <c r="BL50" i="58"/>
  <c r="BM50" i="58"/>
  <c r="BN50" i="58"/>
  <c r="BO50" i="58"/>
  <c r="BP50" i="58"/>
  <c r="BQ50" i="58"/>
  <c r="BR50" i="58"/>
  <c r="BS50" i="58"/>
  <c r="BT50" i="58"/>
  <c r="BU50" i="58"/>
  <c r="BV50" i="58"/>
  <c r="BX50" i="58"/>
  <c r="BY50" i="58"/>
  <c r="BZ50" i="58"/>
  <c r="CA50" i="58"/>
  <c r="CB50" i="58"/>
  <c r="CC50" i="58"/>
  <c r="CD50" i="58"/>
  <c r="CE50" i="58"/>
  <c r="CF50" i="58"/>
  <c r="CG50" i="58"/>
  <c r="CH50" i="58"/>
  <c r="CI50" i="58"/>
  <c r="CJ50" i="58"/>
  <c r="CK50" i="58"/>
  <c r="CL50" i="58"/>
  <c r="CM50" i="58"/>
  <c r="CN50" i="58"/>
  <c r="CO50" i="58"/>
  <c r="CP50" i="58"/>
  <c r="CQ50" i="58"/>
  <c r="CS50" i="58"/>
  <c r="CT50" i="58"/>
  <c r="CU50" i="58"/>
  <c r="CV50" i="58"/>
  <c r="CW50" i="58"/>
  <c r="CX50" i="58"/>
  <c r="CY50" i="58"/>
  <c r="CZ50" i="58"/>
  <c r="DA50" i="58"/>
  <c r="DB50" i="58"/>
  <c r="DC50" i="58"/>
  <c r="DD50" i="58"/>
  <c r="DF50" i="58"/>
  <c r="DG50" i="58"/>
  <c r="DH50" i="58"/>
  <c r="DI50" i="58"/>
  <c r="DJ50" i="58"/>
  <c r="DK50" i="58"/>
  <c r="DL50" i="58"/>
  <c r="DM50" i="58"/>
  <c r="DN50" i="58"/>
  <c r="DO50" i="58"/>
  <c r="DP50" i="58"/>
  <c r="DQ50" i="58"/>
  <c r="DR50" i="58"/>
  <c r="DS50" i="58"/>
  <c r="DT50" i="58"/>
  <c r="DU50" i="58"/>
  <c r="DV50" i="58"/>
  <c r="DW50" i="58"/>
  <c r="DX50" i="58"/>
  <c r="DY50" i="58"/>
  <c r="EA50" i="58"/>
  <c r="EB50" i="58"/>
  <c r="EC50" i="58"/>
  <c r="ED50" i="58"/>
  <c r="EE50" i="58"/>
  <c r="EF50" i="58"/>
  <c r="EG50" i="58"/>
  <c r="EH50" i="58"/>
  <c r="EI50" i="58"/>
  <c r="EJ50" i="58"/>
  <c r="EK50" i="58"/>
  <c r="EL50" i="58"/>
  <c r="EN50" i="58"/>
  <c r="EO50" i="58"/>
  <c r="EP50" i="58"/>
  <c r="EQ50" i="58"/>
  <c r="ER50" i="58"/>
  <c r="ES50" i="58"/>
  <c r="ET50" i="58"/>
  <c r="EU50" i="58"/>
  <c r="EV50" i="58"/>
  <c r="EW50" i="58"/>
  <c r="EX50" i="58"/>
  <c r="EY50" i="58"/>
  <c r="EZ50" i="58"/>
  <c r="FA50" i="58"/>
  <c r="FB50" i="58"/>
  <c r="FC50" i="58"/>
  <c r="FD50" i="58"/>
  <c r="FE50" i="58"/>
  <c r="FF50" i="58"/>
  <c r="FG50" i="58"/>
  <c r="FI50" i="58"/>
  <c r="FJ50" i="58"/>
  <c r="FK50" i="58"/>
  <c r="FL50" i="58"/>
  <c r="FM50" i="58"/>
  <c r="FN50" i="58"/>
  <c r="FO50" i="58"/>
  <c r="FP50" i="58"/>
  <c r="FQ50" i="58"/>
  <c r="FR50" i="58"/>
  <c r="FS50" i="58"/>
  <c r="FT50" i="58"/>
  <c r="A51" i="58"/>
  <c r="B51" i="58"/>
  <c r="C51" i="58"/>
  <c r="F51" i="58"/>
  <c r="K51" i="58"/>
  <c r="L51" i="58"/>
  <c r="M51" i="58"/>
  <c r="N51" i="58"/>
  <c r="O51" i="58"/>
  <c r="P51" i="58"/>
  <c r="R51" i="58"/>
  <c r="S51" i="58"/>
  <c r="T51" i="58"/>
  <c r="U51" i="58"/>
  <c r="V51" i="58"/>
  <c r="W51" i="58"/>
  <c r="Y51" i="58"/>
  <c r="Z51" i="58"/>
  <c r="AA51" i="58"/>
  <c r="AB51" i="58"/>
  <c r="AC51" i="58"/>
  <c r="AD51" i="58"/>
  <c r="AF51" i="58"/>
  <c r="AG51" i="58"/>
  <c r="AH51" i="58"/>
  <c r="AI51" i="58"/>
  <c r="AJ51" i="58"/>
  <c r="AK51" i="58"/>
  <c r="AM51" i="58"/>
  <c r="AN51" i="58"/>
  <c r="AP51" i="58"/>
  <c r="AQ51" i="58"/>
  <c r="AR51" i="58"/>
  <c r="AS51" i="58"/>
  <c r="AT51" i="58"/>
  <c r="AU51" i="58"/>
  <c r="AV51" i="58"/>
  <c r="AW51" i="58"/>
  <c r="AX51" i="58"/>
  <c r="AY51" i="58"/>
  <c r="AZ51" i="58"/>
  <c r="BA51" i="58"/>
  <c r="BB51" i="58"/>
  <c r="BC51" i="58"/>
  <c r="BD51" i="58"/>
  <c r="BE51" i="58"/>
  <c r="BF51" i="58"/>
  <c r="BG51" i="58"/>
  <c r="BH51" i="58"/>
  <c r="BI51" i="58"/>
  <c r="BK51" i="58"/>
  <c r="BL51" i="58"/>
  <c r="BM51" i="58"/>
  <c r="BN51" i="58"/>
  <c r="BO51" i="58"/>
  <c r="BP51" i="58"/>
  <c r="BQ51" i="58"/>
  <c r="BR51" i="58"/>
  <c r="BS51" i="58"/>
  <c r="BT51" i="58"/>
  <c r="BU51" i="58"/>
  <c r="BV51" i="58"/>
  <c r="BX51" i="58"/>
  <c r="BY51" i="58"/>
  <c r="BZ51" i="58"/>
  <c r="CA51" i="58"/>
  <c r="CB51" i="58"/>
  <c r="CC51" i="58"/>
  <c r="CD51" i="58"/>
  <c r="CE51" i="58"/>
  <c r="CF51" i="58"/>
  <c r="CG51" i="58"/>
  <c r="CH51" i="58"/>
  <c r="CI51" i="58"/>
  <c r="CJ51" i="58"/>
  <c r="CK51" i="58"/>
  <c r="CL51" i="58"/>
  <c r="CM51" i="58"/>
  <c r="CN51" i="58"/>
  <c r="CO51" i="58"/>
  <c r="CP51" i="58"/>
  <c r="CQ51" i="58"/>
  <c r="CS51" i="58"/>
  <c r="CT51" i="58"/>
  <c r="CU51" i="58"/>
  <c r="CV51" i="58"/>
  <c r="CW51" i="58"/>
  <c r="CX51" i="58"/>
  <c r="CY51" i="58"/>
  <c r="CZ51" i="58"/>
  <c r="DA51" i="58"/>
  <c r="DB51" i="58"/>
  <c r="DC51" i="58"/>
  <c r="DD51" i="58"/>
  <c r="DF51" i="58"/>
  <c r="DG51" i="58"/>
  <c r="DH51" i="58"/>
  <c r="DI51" i="58"/>
  <c r="DJ51" i="58"/>
  <c r="DK51" i="58"/>
  <c r="DL51" i="58"/>
  <c r="DM51" i="58"/>
  <c r="DN51" i="58"/>
  <c r="DO51" i="58"/>
  <c r="DP51" i="58"/>
  <c r="DQ51" i="58"/>
  <c r="DR51" i="58"/>
  <c r="DS51" i="58"/>
  <c r="DT51" i="58"/>
  <c r="DU51" i="58"/>
  <c r="DV51" i="58"/>
  <c r="DW51" i="58"/>
  <c r="DX51" i="58"/>
  <c r="DY51" i="58"/>
  <c r="EA51" i="58"/>
  <c r="EB51" i="58"/>
  <c r="EC51" i="58"/>
  <c r="ED51" i="58"/>
  <c r="EE51" i="58"/>
  <c r="EF51" i="58"/>
  <c r="EG51" i="58"/>
  <c r="EH51" i="58"/>
  <c r="EI51" i="58"/>
  <c r="EJ51" i="58"/>
  <c r="EK51" i="58"/>
  <c r="EL51" i="58"/>
  <c r="EN51" i="58"/>
  <c r="EO51" i="58"/>
  <c r="EP51" i="58"/>
  <c r="EQ51" i="58"/>
  <c r="ER51" i="58"/>
  <c r="ES51" i="58"/>
  <c r="ET51" i="58"/>
  <c r="EU51" i="58"/>
  <c r="EV51" i="58"/>
  <c r="EW51" i="58"/>
  <c r="EX51" i="58"/>
  <c r="EY51" i="58"/>
  <c r="EZ51" i="58"/>
  <c r="FA51" i="58"/>
  <c r="FB51" i="58"/>
  <c r="FC51" i="58"/>
  <c r="FD51" i="58"/>
  <c r="FE51" i="58"/>
  <c r="FF51" i="58"/>
  <c r="FG51" i="58"/>
  <c r="FI51" i="58"/>
  <c r="FJ51" i="58"/>
  <c r="FK51" i="58"/>
  <c r="FL51" i="58"/>
  <c r="FM51" i="58"/>
  <c r="FN51" i="58"/>
  <c r="FO51" i="58"/>
  <c r="FP51" i="58"/>
  <c r="FQ51" i="58"/>
  <c r="FR51" i="58"/>
  <c r="FS51" i="58"/>
  <c r="FT51" i="58"/>
  <c r="A52" i="58"/>
  <c r="B52" i="58"/>
  <c r="C52" i="58"/>
  <c r="F52" i="58"/>
  <c r="K52" i="58"/>
  <c r="L52" i="58"/>
  <c r="M52" i="58"/>
  <c r="N52" i="58"/>
  <c r="O52" i="58"/>
  <c r="P52" i="58"/>
  <c r="R52" i="58"/>
  <c r="S52" i="58"/>
  <c r="T52" i="58"/>
  <c r="U52" i="58"/>
  <c r="V52" i="58"/>
  <c r="W52" i="58"/>
  <c r="Y52" i="58"/>
  <c r="Z52" i="58"/>
  <c r="AA52" i="58"/>
  <c r="AB52" i="58"/>
  <c r="AC52" i="58"/>
  <c r="AD52" i="58"/>
  <c r="AF52" i="58"/>
  <c r="AG52" i="58"/>
  <c r="AH52" i="58"/>
  <c r="AI52" i="58"/>
  <c r="AJ52" i="58"/>
  <c r="AK52" i="58"/>
  <c r="AM52" i="58"/>
  <c r="AN52" i="58"/>
  <c r="AP52" i="58"/>
  <c r="AQ52" i="58"/>
  <c r="AR52" i="58"/>
  <c r="AS52" i="58"/>
  <c r="AT52" i="58"/>
  <c r="AU52" i="58"/>
  <c r="AV52" i="58"/>
  <c r="AW52" i="58"/>
  <c r="AX52" i="58"/>
  <c r="AY52" i="58"/>
  <c r="AZ52" i="58"/>
  <c r="BA52" i="58"/>
  <c r="BB52" i="58"/>
  <c r="BC52" i="58"/>
  <c r="BD52" i="58"/>
  <c r="BE52" i="58"/>
  <c r="BF52" i="58"/>
  <c r="BG52" i="58"/>
  <c r="BH52" i="58"/>
  <c r="BI52" i="58"/>
  <c r="BK52" i="58"/>
  <c r="BL52" i="58"/>
  <c r="BM52" i="58"/>
  <c r="BN52" i="58"/>
  <c r="BO52" i="58"/>
  <c r="BP52" i="58"/>
  <c r="BQ52" i="58"/>
  <c r="BR52" i="58"/>
  <c r="BS52" i="58"/>
  <c r="BT52" i="58"/>
  <c r="BU52" i="58"/>
  <c r="BV52" i="58"/>
  <c r="BX52" i="58"/>
  <c r="BY52" i="58"/>
  <c r="BZ52" i="58"/>
  <c r="CA52" i="58"/>
  <c r="CB52" i="58"/>
  <c r="CC52" i="58"/>
  <c r="CD52" i="58"/>
  <c r="CE52" i="58"/>
  <c r="CF52" i="58"/>
  <c r="CG52" i="58"/>
  <c r="CH52" i="58"/>
  <c r="CI52" i="58"/>
  <c r="CJ52" i="58"/>
  <c r="CK52" i="58"/>
  <c r="CL52" i="58"/>
  <c r="CM52" i="58"/>
  <c r="CN52" i="58"/>
  <c r="CO52" i="58"/>
  <c r="CP52" i="58"/>
  <c r="CQ52" i="58"/>
  <c r="CS52" i="58"/>
  <c r="CT52" i="58"/>
  <c r="CU52" i="58"/>
  <c r="CV52" i="58"/>
  <c r="CW52" i="58"/>
  <c r="CX52" i="58"/>
  <c r="CY52" i="58"/>
  <c r="CZ52" i="58"/>
  <c r="DA52" i="58"/>
  <c r="DB52" i="58"/>
  <c r="DC52" i="58"/>
  <c r="DD52" i="58"/>
  <c r="DF52" i="58"/>
  <c r="DG52" i="58"/>
  <c r="DH52" i="58"/>
  <c r="DI52" i="58"/>
  <c r="DJ52" i="58"/>
  <c r="DK52" i="58"/>
  <c r="DL52" i="58"/>
  <c r="DM52" i="58"/>
  <c r="DN52" i="58"/>
  <c r="DO52" i="58"/>
  <c r="DP52" i="58"/>
  <c r="DQ52" i="58"/>
  <c r="DR52" i="58"/>
  <c r="DS52" i="58"/>
  <c r="DT52" i="58"/>
  <c r="DU52" i="58"/>
  <c r="DV52" i="58"/>
  <c r="DW52" i="58"/>
  <c r="DX52" i="58"/>
  <c r="DY52" i="58"/>
  <c r="EA52" i="58"/>
  <c r="EB52" i="58"/>
  <c r="EC52" i="58"/>
  <c r="ED52" i="58"/>
  <c r="EE52" i="58"/>
  <c r="EF52" i="58"/>
  <c r="EG52" i="58"/>
  <c r="EH52" i="58"/>
  <c r="EI52" i="58"/>
  <c r="EJ52" i="58"/>
  <c r="EK52" i="58"/>
  <c r="EL52" i="58"/>
  <c r="EN52" i="58"/>
  <c r="EO52" i="58"/>
  <c r="EP52" i="58"/>
  <c r="EQ52" i="58"/>
  <c r="ER52" i="58"/>
  <c r="ES52" i="58"/>
  <c r="ET52" i="58"/>
  <c r="EU52" i="58"/>
  <c r="EV52" i="58"/>
  <c r="EW52" i="58"/>
  <c r="EX52" i="58"/>
  <c r="EY52" i="58"/>
  <c r="EZ52" i="58"/>
  <c r="FA52" i="58"/>
  <c r="FB52" i="58"/>
  <c r="FC52" i="58"/>
  <c r="FD52" i="58"/>
  <c r="FE52" i="58"/>
  <c r="FF52" i="58"/>
  <c r="FG52" i="58"/>
  <c r="FI52" i="58"/>
  <c r="FJ52" i="58"/>
  <c r="FK52" i="58"/>
  <c r="FL52" i="58"/>
  <c r="FM52" i="58"/>
  <c r="FN52" i="58"/>
  <c r="FO52" i="58"/>
  <c r="FP52" i="58"/>
  <c r="FQ52" i="58"/>
  <c r="FR52" i="58"/>
  <c r="FS52" i="58"/>
  <c r="FT52" i="58"/>
  <c r="A53" i="58"/>
  <c r="B53" i="58"/>
  <c r="C53" i="58"/>
  <c r="F53" i="58"/>
  <c r="K53" i="58"/>
  <c r="L53" i="58"/>
  <c r="M53" i="58"/>
  <c r="N53" i="58"/>
  <c r="O53" i="58"/>
  <c r="P53" i="58"/>
  <c r="R53" i="58"/>
  <c r="S53" i="58"/>
  <c r="T53" i="58"/>
  <c r="U53" i="58"/>
  <c r="V53" i="58"/>
  <c r="W53" i="58"/>
  <c r="Y53" i="58"/>
  <c r="Z53" i="58"/>
  <c r="AA53" i="58"/>
  <c r="AB53" i="58"/>
  <c r="AC53" i="58"/>
  <c r="AD53" i="58"/>
  <c r="AF53" i="58"/>
  <c r="AG53" i="58"/>
  <c r="AH53" i="58"/>
  <c r="AI53" i="58"/>
  <c r="AJ53" i="58"/>
  <c r="AK53" i="58"/>
  <c r="AM53" i="58"/>
  <c r="AN53" i="58"/>
  <c r="AP53" i="58"/>
  <c r="AQ53" i="58"/>
  <c r="AR53" i="58"/>
  <c r="AS53" i="58"/>
  <c r="AT53" i="58"/>
  <c r="AU53" i="58"/>
  <c r="AV53" i="58"/>
  <c r="AW53" i="58"/>
  <c r="AX53" i="58"/>
  <c r="AY53" i="58"/>
  <c r="AZ53" i="58"/>
  <c r="BA53" i="58"/>
  <c r="BB53" i="58"/>
  <c r="BC53" i="58"/>
  <c r="BD53" i="58"/>
  <c r="BE53" i="58"/>
  <c r="BF53" i="58"/>
  <c r="BG53" i="58"/>
  <c r="BH53" i="58"/>
  <c r="BI53" i="58"/>
  <c r="BK53" i="58"/>
  <c r="BL53" i="58"/>
  <c r="BM53" i="58"/>
  <c r="BN53" i="58"/>
  <c r="BO53" i="58"/>
  <c r="BP53" i="58"/>
  <c r="BQ53" i="58"/>
  <c r="BR53" i="58"/>
  <c r="BS53" i="58"/>
  <c r="BT53" i="58"/>
  <c r="BU53" i="58"/>
  <c r="BV53" i="58"/>
  <c r="BX53" i="58"/>
  <c r="BY53" i="58"/>
  <c r="BZ53" i="58"/>
  <c r="CA53" i="58"/>
  <c r="CB53" i="58"/>
  <c r="CC53" i="58"/>
  <c r="CD53" i="58"/>
  <c r="CE53" i="58"/>
  <c r="CF53" i="58"/>
  <c r="CG53" i="58"/>
  <c r="CH53" i="58"/>
  <c r="CI53" i="58"/>
  <c r="CJ53" i="58"/>
  <c r="CK53" i="58"/>
  <c r="CL53" i="58"/>
  <c r="CM53" i="58"/>
  <c r="CN53" i="58"/>
  <c r="CO53" i="58"/>
  <c r="CP53" i="58"/>
  <c r="CQ53" i="58"/>
  <c r="CS53" i="58"/>
  <c r="CT53" i="58"/>
  <c r="CU53" i="58"/>
  <c r="CV53" i="58"/>
  <c r="CW53" i="58"/>
  <c r="CX53" i="58"/>
  <c r="CY53" i="58"/>
  <c r="CZ53" i="58"/>
  <c r="DA53" i="58"/>
  <c r="DB53" i="58"/>
  <c r="DC53" i="58"/>
  <c r="DD53" i="58"/>
  <c r="DF53" i="58"/>
  <c r="DG53" i="58"/>
  <c r="DH53" i="58"/>
  <c r="DI53" i="58"/>
  <c r="DJ53" i="58"/>
  <c r="DK53" i="58"/>
  <c r="DL53" i="58"/>
  <c r="DM53" i="58"/>
  <c r="DN53" i="58"/>
  <c r="DO53" i="58"/>
  <c r="DP53" i="58"/>
  <c r="DQ53" i="58"/>
  <c r="DR53" i="58"/>
  <c r="DS53" i="58"/>
  <c r="DT53" i="58"/>
  <c r="DU53" i="58"/>
  <c r="DV53" i="58"/>
  <c r="DW53" i="58"/>
  <c r="DX53" i="58"/>
  <c r="DY53" i="58"/>
  <c r="EA53" i="58"/>
  <c r="EB53" i="58"/>
  <c r="EC53" i="58"/>
  <c r="ED53" i="58"/>
  <c r="EE53" i="58"/>
  <c r="EF53" i="58"/>
  <c r="EG53" i="58"/>
  <c r="EH53" i="58"/>
  <c r="EI53" i="58"/>
  <c r="EJ53" i="58"/>
  <c r="EK53" i="58"/>
  <c r="EL53" i="58"/>
  <c r="EN53" i="58"/>
  <c r="EO53" i="58"/>
  <c r="EP53" i="58"/>
  <c r="EQ53" i="58"/>
  <c r="ER53" i="58"/>
  <c r="ES53" i="58"/>
  <c r="ET53" i="58"/>
  <c r="EU53" i="58"/>
  <c r="EV53" i="58"/>
  <c r="EW53" i="58"/>
  <c r="EX53" i="58"/>
  <c r="EY53" i="58"/>
  <c r="EZ53" i="58"/>
  <c r="FA53" i="58"/>
  <c r="FB53" i="58"/>
  <c r="FC53" i="58"/>
  <c r="FD53" i="58"/>
  <c r="FE53" i="58"/>
  <c r="FF53" i="58"/>
  <c r="FG53" i="58"/>
  <c r="FI53" i="58"/>
  <c r="FJ53" i="58"/>
  <c r="FK53" i="58"/>
  <c r="FL53" i="58"/>
  <c r="FM53" i="58"/>
  <c r="FN53" i="58"/>
  <c r="FO53" i="58"/>
  <c r="FP53" i="58"/>
  <c r="FQ53" i="58"/>
  <c r="FR53" i="58"/>
  <c r="FS53" i="58"/>
  <c r="FT53" i="58"/>
  <c r="A54" i="58"/>
  <c r="B54" i="58"/>
  <c r="C54" i="58"/>
  <c r="F54" i="58"/>
  <c r="K54" i="58"/>
  <c r="L54" i="58"/>
  <c r="M54" i="58"/>
  <c r="N54" i="58"/>
  <c r="O54" i="58"/>
  <c r="P54" i="58"/>
  <c r="R54" i="58"/>
  <c r="S54" i="58"/>
  <c r="T54" i="58"/>
  <c r="U54" i="58"/>
  <c r="V54" i="58"/>
  <c r="W54" i="58"/>
  <c r="Y54" i="58"/>
  <c r="Z54" i="58"/>
  <c r="AA54" i="58"/>
  <c r="AB54" i="58"/>
  <c r="AC54" i="58"/>
  <c r="AD54" i="58"/>
  <c r="AF54" i="58"/>
  <c r="AG54" i="58"/>
  <c r="AH54" i="58"/>
  <c r="AI54" i="58"/>
  <c r="AJ54" i="58"/>
  <c r="AK54" i="58"/>
  <c r="AM54" i="58"/>
  <c r="AN54" i="58"/>
  <c r="AP54" i="58"/>
  <c r="AQ54" i="58"/>
  <c r="AR54" i="58"/>
  <c r="AS54" i="58"/>
  <c r="AT54" i="58"/>
  <c r="AU54" i="58"/>
  <c r="AV54" i="58"/>
  <c r="AW54" i="58"/>
  <c r="AX54" i="58"/>
  <c r="AY54" i="58"/>
  <c r="AZ54" i="58"/>
  <c r="BA54" i="58"/>
  <c r="BB54" i="58"/>
  <c r="BC54" i="58"/>
  <c r="BD54" i="58"/>
  <c r="BE54" i="58"/>
  <c r="BF54" i="58"/>
  <c r="BG54" i="58"/>
  <c r="BH54" i="58"/>
  <c r="BI54" i="58"/>
  <c r="BK54" i="58"/>
  <c r="BL54" i="58"/>
  <c r="BM54" i="58"/>
  <c r="BN54" i="58"/>
  <c r="BO54" i="58"/>
  <c r="BP54" i="58"/>
  <c r="BQ54" i="58"/>
  <c r="BR54" i="58"/>
  <c r="BS54" i="58"/>
  <c r="BT54" i="58"/>
  <c r="BU54" i="58"/>
  <c r="BV54" i="58"/>
  <c r="BX54" i="58"/>
  <c r="BY54" i="58"/>
  <c r="BZ54" i="58"/>
  <c r="CA54" i="58"/>
  <c r="CB54" i="58"/>
  <c r="CC54" i="58"/>
  <c r="CD54" i="58"/>
  <c r="CE54" i="58"/>
  <c r="CF54" i="58"/>
  <c r="CG54" i="58"/>
  <c r="CH54" i="58"/>
  <c r="CI54" i="58"/>
  <c r="CJ54" i="58"/>
  <c r="CK54" i="58"/>
  <c r="CL54" i="58"/>
  <c r="CM54" i="58"/>
  <c r="CN54" i="58"/>
  <c r="CO54" i="58"/>
  <c r="CP54" i="58"/>
  <c r="CQ54" i="58"/>
  <c r="CS54" i="58"/>
  <c r="CT54" i="58"/>
  <c r="CU54" i="58"/>
  <c r="CV54" i="58"/>
  <c r="CW54" i="58"/>
  <c r="CX54" i="58"/>
  <c r="CY54" i="58"/>
  <c r="CZ54" i="58"/>
  <c r="DA54" i="58"/>
  <c r="DB54" i="58"/>
  <c r="DC54" i="58"/>
  <c r="DD54" i="58"/>
  <c r="DF54" i="58"/>
  <c r="DG54" i="58"/>
  <c r="DH54" i="58"/>
  <c r="DI54" i="58"/>
  <c r="DJ54" i="58"/>
  <c r="DK54" i="58"/>
  <c r="DL54" i="58"/>
  <c r="DM54" i="58"/>
  <c r="DN54" i="58"/>
  <c r="DO54" i="58"/>
  <c r="DP54" i="58"/>
  <c r="DQ54" i="58"/>
  <c r="DR54" i="58"/>
  <c r="DS54" i="58"/>
  <c r="DT54" i="58"/>
  <c r="DU54" i="58"/>
  <c r="DV54" i="58"/>
  <c r="DW54" i="58"/>
  <c r="DX54" i="58"/>
  <c r="DY54" i="58"/>
  <c r="EA54" i="58"/>
  <c r="EB54" i="58"/>
  <c r="EC54" i="58"/>
  <c r="ED54" i="58"/>
  <c r="EE54" i="58"/>
  <c r="EF54" i="58"/>
  <c r="EG54" i="58"/>
  <c r="EH54" i="58"/>
  <c r="EI54" i="58"/>
  <c r="EJ54" i="58"/>
  <c r="EK54" i="58"/>
  <c r="EL54" i="58"/>
  <c r="EN54" i="58"/>
  <c r="EO54" i="58"/>
  <c r="EP54" i="58"/>
  <c r="EQ54" i="58"/>
  <c r="ER54" i="58"/>
  <c r="ES54" i="58"/>
  <c r="ET54" i="58"/>
  <c r="EU54" i="58"/>
  <c r="EV54" i="58"/>
  <c r="EW54" i="58"/>
  <c r="EX54" i="58"/>
  <c r="EY54" i="58"/>
  <c r="EZ54" i="58"/>
  <c r="FA54" i="58"/>
  <c r="FB54" i="58"/>
  <c r="FC54" i="58"/>
  <c r="FD54" i="58"/>
  <c r="FE54" i="58"/>
  <c r="FF54" i="58"/>
  <c r="FG54" i="58"/>
  <c r="FI54" i="58"/>
  <c r="FJ54" i="58"/>
  <c r="FK54" i="58"/>
  <c r="FL54" i="58"/>
  <c r="FM54" i="58"/>
  <c r="FN54" i="58"/>
  <c r="FO54" i="58"/>
  <c r="FP54" i="58"/>
  <c r="FQ54" i="58"/>
  <c r="FR54" i="58"/>
  <c r="FS54" i="58"/>
  <c r="FT54" i="58"/>
  <c r="A55" i="58"/>
  <c r="B55" i="58"/>
  <c r="C55" i="58"/>
  <c r="F55" i="58"/>
  <c r="K55" i="58"/>
  <c r="L55" i="58"/>
  <c r="M55" i="58"/>
  <c r="N55" i="58"/>
  <c r="O55" i="58"/>
  <c r="P55" i="58"/>
  <c r="R55" i="58"/>
  <c r="S55" i="58"/>
  <c r="T55" i="58"/>
  <c r="U55" i="58"/>
  <c r="V55" i="58"/>
  <c r="W55" i="58"/>
  <c r="Y55" i="58"/>
  <c r="Z55" i="58"/>
  <c r="AA55" i="58"/>
  <c r="AB55" i="58"/>
  <c r="AC55" i="58"/>
  <c r="AD55" i="58"/>
  <c r="AF55" i="58"/>
  <c r="AG55" i="58"/>
  <c r="AH55" i="58"/>
  <c r="AI55" i="58"/>
  <c r="AJ55" i="58"/>
  <c r="AK55" i="58"/>
  <c r="AM55" i="58"/>
  <c r="AN55" i="58"/>
  <c r="AP55" i="58"/>
  <c r="AQ55" i="58"/>
  <c r="AR55" i="58"/>
  <c r="AS55" i="58"/>
  <c r="AT55" i="58"/>
  <c r="AU55" i="58"/>
  <c r="AV55" i="58"/>
  <c r="AW55" i="58"/>
  <c r="AX55" i="58"/>
  <c r="AY55" i="58"/>
  <c r="AZ55" i="58"/>
  <c r="BA55" i="58"/>
  <c r="BB55" i="58"/>
  <c r="BC55" i="58"/>
  <c r="BD55" i="58"/>
  <c r="BE55" i="58"/>
  <c r="BF55" i="58"/>
  <c r="BG55" i="58"/>
  <c r="BH55" i="58"/>
  <c r="BI55" i="58"/>
  <c r="BK55" i="58"/>
  <c r="BL55" i="58"/>
  <c r="BM55" i="58"/>
  <c r="BN55" i="58"/>
  <c r="BO55" i="58"/>
  <c r="BP55" i="58"/>
  <c r="BQ55" i="58"/>
  <c r="BR55" i="58"/>
  <c r="BS55" i="58"/>
  <c r="BT55" i="58"/>
  <c r="BU55" i="58"/>
  <c r="BV55" i="58"/>
  <c r="BX55" i="58"/>
  <c r="BY55" i="58"/>
  <c r="BZ55" i="58"/>
  <c r="CA55" i="58"/>
  <c r="CB55" i="58"/>
  <c r="CC55" i="58"/>
  <c r="CD55" i="58"/>
  <c r="CE55" i="58"/>
  <c r="CF55" i="58"/>
  <c r="CG55" i="58"/>
  <c r="CH55" i="58"/>
  <c r="CI55" i="58"/>
  <c r="CJ55" i="58"/>
  <c r="CK55" i="58"/>
  <c r="CL55" i="58"/>
  <c r="CM55" i="58"/>
  <c r="CN55" i="58"/>
  <c r="CO55" i="58"/>
  <c r="CP55" i="58"/>
  <c r="CQ55" i="58"/>
  <c r="CS55" i="58"/>
  <c r="CT55" i="58"/>
  <c r="CU55" i="58"/>
  <c r="CV55" i="58"/>
  <c r="CW55" i="58"/>
  <c r="CX55" i="58"/>
  <c r="CY55" i="58"/>
  <c r="CZ55" i="58"/>
  <c r="DA55" i="58"/>
  <c r="DB55" i="58"/>
  <c r="DC55" i="58"/>
  <c r="DD55" i="58"/>
  <c r="DF55" i="58"/>
  <c r="DG55" i="58"/>
  <c r="DH55" i="58"/>
  <c r="DI55" i="58"/>
  <c r="DJ55" i="58"/>
  <c r="DK55" i="58"/>
  <c r="DL55" i="58"/>
  <c r="DM55" i="58"/>
  <c r="DN55" i="58"/>
  <c r="DO55" i="58"/>
  <c r="DP55" i="58"/>
  <c r="DQ55" i="58"/>
  <c r="DR55" i="58"/>
  <c r="DS55" i="58"/>
  <c r="DT55" i="58"/>
  <c r="DU55" i="58"/>
  <c r="DV55" i="58"/>
  <c r="DW55" i="58"/>
  <c r="DX55" i="58"/>
  <c r="DY55" i="58"/>
  <c r="EA55" i="58"/>
  <c r="EB55" i="58"/>
  <c r="EC55" i="58"/>
  <c r="ED55" i="58"/>
  <c r="EE55" i="58"/>
  <c r="EF55" i="58"/>
  <c r="EG55" i="58"/>
  <c r="EH55" i="58"/>
  <c r="EI55" i="58"/>
  <c r="EJ55" i="58"/>
  <c r="EK55" i="58"/>
  <c r="EL55" i="58"/>
  <c r="EN55" i="58"/>
  <c r="EO55" i="58"/>
  <c r="EP55" i="58"/>
  <c r="EQ55" i="58"/>
  <c r="ER55" i="58"/>
  <c r="ES55" i="58"/>
  <c r="ET55" i="58"/>
  <c r="EU55" i="58"/>
  <c r="EV55" i="58"/>
  <c r="EW55" i="58"/>
  <c r="EX55" i="58"/>
  <c r="EY55" i="58"/>
  <c r="EZ55" i="58"/>
  <c r="FA55" i="58"/>
  <c r="FB55" i="58"/>
  <c r="FC55" i="58"/>
  <c r="FD55" i="58"/>
  <c r="FE55" i="58"/>
  <c r="FF55" i="58"/>
  <c r="FG55" i="58"/>
  <c r="FI55" i="58"/>
  <c r="FJ55" i="58"/>
  <c r="FK55" i="58"/>
  <c r="FL55" i="58"/>
  <c r="FM55" i="58"/>
  <c r="FN55" i="58"/>
  <c r="FO55" i="58"/>
  <c r="FP55" i="58"/>
  <c r="FQ55" i="58"/>
  <c r="FR55" i="58"/>
  <c r="FS55" i="58"/>
  <c r="FT55" i="58"/>
  <c r="A56" i="58"/>
  <c r="B56" i="58"/>
  <c r="C56" i="58"/>
  <c r="F56" i="58"/>
  <c r="K56" i="58"/>
  <c r="L56" i="58"/>
  <c r="M56" i="58"/>
  <c r="N56" i="58"/>
  <c r="O56" i="58"/>
  <c r="P56" i="58"/>
  <c r="R56" i="58"/>
  <c r="S56" i="58"/>
  <c r="T56" i="58"/>
  <c r="U56" i="58"/>
  <c r="V56" i="58"/>
  <c r="W56" i="58"/>
  <c r="Y56" i="58"/>
  <c r="Z56" i="58"/>
  <c r="AA56" i="58"/>
  <c r="AB56" i="58"/>
  <c r="AC56" i="58"/>
  <c r="AD56" i="58"/>
  <c r="AF56" i="58"/>
  <c r="AG56" i="58"/>
  <c r="AH56" i="58"/>
  <c r="AI56" i="58"/>
  <c r="AJ56" i="58"/>
  <c r="AK56" i="58"/>
  <c r="AM56" i="58"/>
  <c r="AN56" i="58"/>
  <c r="AP56" i="58"/>
  <c r="AQ56" i="58"/>
  <c r="AR56" i="58"/>
  <c r="AS56" i="58"/>
  <c r="AT56" i="58"/>
  <c r="AU56" i="58"/>
  <c r="AV56" i="58"/>
  <c r="AW56" i="58"/>
  <c r="AX56" i="58"/>
  <c r="AY56" i="58"/>
  <c r="AZ56" i="58"/>
  <c r="BA56" i="58"/>
  <c r="BB56" i="58"/>
  <c r="BC56" i="58"/>
  <c r="BD56" i="58"/>
  <c r="BE56" i="58"/>
  <c r="BF56" i="58"/>
  <c r="BG56" i="58"/>
  <c r="BH56" i="58"/>
  <c r="BI56" i="58"/>
  <c r="BK56" i="58"/>
  <c r="BL56" i="58"/>
  <c r="BM56" i="58"/>
  <c r="BN56" i="58"/>
  <c r="BO56" i="58"/>
  <c r="BP56" i="58"/>
  <c r="BQ56" i="58"/>
  <c r="BR56" i="58"/>
  <c r="BS56" i="58"/>
  <c r="BT56" i="58"/>
  <c r="BU56" i="58"/>
  <c r="BV56" i="58"/>
  <c r="BX56" i="58"/>
  <c r="BY56" i="58"/>
  <c r="BZ56" i="58"/>
  <c r="CA56" i="58"/>
  <c r="CB56" i="58"/>
  <c r="CC56" i="58"/>
  <c r="CD56" i="58"/>
  <c r="CE56" i="58"/>
  <c r="CF56" i="58"/>
  <c r="CG56" i="58"/>
  <c r="CH56" i="58"/>
  <c r="CI56" i="58"/>
  <c r="CJ56" i="58"/>
  <c r="CK56" i="58"/>
  <c r="CL56" i="58"/>
  <c r="CM56" i="58"/>
  <c r="CN56" i="58"/>
  <c r="CO56" i="58"/>
  <c r="CP56" i="58"/>
  <c r="CQ56" i="58"/>
  <c r="CS56" i="58"/>
  <c r="CT56" i="58"/>
  <c r="CU56" i="58"/>
  <c r="CV56" i="58"/>
  <c r="CW56" i="58"/>
  <c r="CX56" i="58"/>
  <c r="CY56" i="58"/>
  <c r="CZ56" i="58"/>
  <c r="DA56" i="58"/>
  <c r="DB56" i="58"/>
  <c r="DC56" i="58"/>
  <c r="DD56" i="58"/>
  <c r="DF56" i="58"/>
  <c r="DG56" i="58"/>
  <c r="DH56" i="58"/>
  <c r="DI56" i="58"/>
  <c r="DJ56" i="58"/>
  <c r="DK56" i="58"/>
  <c r="DL56" i="58"/>
  <c r="DM56" i="58"/>
  <c r="DN56" i="58"/>
  <c r="DO56" i="58"/>
  <c r="DP56" i="58"/>
  <c r="DQ56" i="58"/>
  <c r="DR56" i="58"/>
  <c r="DS56" i="58"/>
  <c r="DT56" i="58"/>
  <c r="DU56" i="58"/>
  <c r="DV56" i="58"/>
  <c r="DW56" i="58"/>
  <c r="DX56" i="58"/>
  <c r="DY56" i="58"/>
  <c r="EA56" i="58"/>
  <c r="EB56" i="58"/>
  <c r="EC56" i="58"/>
  <c r="ED56" i="58"/>
  <c r="EE56" i="58"/>
  <c r="EF56" i="58"/>
  <c r="EG56" i="58"/>
  <c r="EH56" i="58"/>
  <c r="EI56" i="58"/>
  <c r="EJ56" i="58"/>
  <c r="EK56" i="58"/>
  <c r="EL56" i="58"/>
  <c r="EN56" i="58"/>
  <c r="EO56" i="58"/>
  <c r="EP56" i="58"/>
  <c r="EQ56" i="58"/>
  <c r="ER56" i="58"/>
  <c r="ES56" i="58"/>
  <c r="ET56" i="58"/>
  <c r="EU56" i="58"/>
  <c r="EV56" i="58"/>
  <c r="EW56" i="58"/>
  <c r="EX56" i="58"/>
  <c r="EY56" i="58"/>
  <c r="EZ56" i="58"/>
  <c r="FA56" i="58"/>
  <c r="FB56" i="58"/>
  <c r="FC56" i="58"/>
  <c r="FD56" i="58"/>
  <c r="FE56" i="58"/>
  <c r="FF56" i="58"/>
  <c r="FG56" i="58"/>
  <c r="FI56" i="58"/>
  <c r="FJ56" i="58"/>
  <c r="FK56" i="58"/>
  <c r="FL56" i="58"/>
  <c r="FM56" i="58"/>
  <c r="FN56" i="58"/>
  <c r="FO56" i="58"/>
  <c r="FP56" i="58"/>
  <c r="FQ56" i="58"/>
  <c r="FR56" i="58"/>
  <c r="FS56" i="58"/>
  <c r="FT56" i="58"/>
  <c r="A57" i="58"/>
  <c r="B57" i="58"/>
  <c r="C57" i="58"/>
  <c r="F57" i="58"/>
  <c r="K57" i="58"/>
  <c r="L57" i="58"/>
  <c r="M57" i="58"/>
  <c r="N57" i="58"/>
  <c r="O57" i="58"/>
  <c r="P57" i="58"/>
  <c r="R57" i="58"/>
  <c r="S57" i="58"/>
  <c r="T57" i="58"/>
  <c r="U57" i="58"/>
  <c r="V57" i="58"/>
  <c r="W57" i="58"/>
  <c r="Y57" i="58"/>
  <c r="Z57" i="58"/>
  <c r="AA57" i="58"/>
  <c r="AB57" i="58"/>
  <c r="AC57" i="58"/>
  <c r="AD57" i="58"/>
  <c r="AF57" i="58"/>
  <c r="AG57" i="58"/>
  <c r="AH57" i="58"/>
  <c r="AI57" i="58"/>
  <c r="AJ57" i="58"/>
  <c r="AK57" i="58"/>
  <c r="AM57" i="58"/>
  <c r="AN57" i="58"/>
  <c r="AP57" i="58"/>
  <c r="AQ57" i="58"/>
  <c r="AR57" i="58"/>
  <c r="AS57" i="58"/>
  <c r="AT57" i="58"/>
  <c r="AU57" i="58"/>
  <c r="AV57" i="58"/>
  <c r="AW57" i="58"/>
  <c r="AX57" i="58"/>
  <c r="AY57" i="58"/>
  <c r="AZ57" i="58"/>
  <c r="BA57" i="58"/>
  <c r="BB57" i="58"/>
  <c r="BC57" i="58"/>
  <c r="BD57" i="58"/>
  <c r="BE57" i="58"/>
  <c r="BF57" i="58"/>
  <c r="BG57" i="58"/>
  <c r="BH57" i="58"/>
  <c r="BI57" i="58"/>
  <c r="BK57" i="58"/>
  <c r="BL57" i="58"/>
  <c r="BM57" i="58"/>
  <c r="BN57" i="58"/>
  <c r="BO57" i="58"/>
  <c r="BP57" i="58"/>
  <c r="BQ57" i="58"/>
  <c r="BR57" i="58"/>
  <c r="BS57" i="58"/>
  <c r="BT57" i="58"/>
  <c r="BU57" i="58"/>
  <c r="BV57" i="58"/>
  <c r="BX57" i="58"/>
  <c r="BY57" i="58"/>
  <c r="BZ57" i="58"/>
  <c r="CA57" i="58"/>
  <c r="CB57" i="58"/>
  <c r="CC57" i="58"/>
  <c r="CD57" i="58"/>
  <c r="CE57" i="58"/>
  <c r="CF57" i="58"/>
  <c r="CG57" i="58"/>
  <c r="CH57" i="58"/>
  <c r="CI57" i="58"/>
  <c r="CJ57" i="58"/>
  <c r="CK57" i="58"/>
  <c r="CL57" i="58"/>
  <c r="CM57" i="58"/>
  <c r="CN57" i="58"/>
  <c r="CO57" i="58"/>
  <c r="CP57" i="58"/>
  <c r="CQ57" i="58"/>
  <c r="CS57" i="58"/>
  <c r="CT57" i="58"/>
  <c r="CU57" i="58"/>
  <c r="CV57" i="58"/>
  <c r="CW57" i="58"/>
  <c r="CX57" i="58"/>
  <c r="CY57" i="58"/>
  <c r="CZ57" i="58"/>
  <c r="DA57" i="58"/>
  <c r="DB57" i="58"/>
  <c r="DC57" i="58"/>
  <c r="DD57" i="58"/>
  <c r="DF57" i="58"/>
  <c r="DG57" i="58"/>
  <c r="DH57" i="58"/>
  <c r="DI57" i="58"/>
  <c r="DJ57" i="58"/>
  <c r="DK57" i="58"/>
  <c r="DL57" i="58"/>
  <c r="DM57" i="58"/>
  <c r="DN57" i="58"/>
  <c r="DO57" i="58"/>
  <c r="DP57" i="58"/>
  <c r="DQ57" i="58"/>
  <c r="DR57" i="58"/>
  <c r="DS57" i="58"/>
  <c r="DT57" i="58"/>
  <c r="DU57" i="58"/>
  <c r="DV57" i="58"/>
  <c r="DW57" i="58"/>
  <c r="DX57" i="58"/>
  <c r="DY57" i="58"/>
  <c r="EA57" i="58"/>
  <c r="EB57" i="58"/>
  <c r="EC57" i="58"/>
  <c r="ED57" i="58"/>
  <c r="EE57" i="58"/>
  <c r="EF57" i="58"/>
  <c r="EG57" i="58"/>
  <c r="EH57" i="58"/>
  <c r="EI57" i="58"/>
  <c r="EJ57" i="58"/>
  <c r="EK57" i="58"/>
  <c r="EL57" i="58"/>
  <c r="EN57" i="58"/>
  <c r="EO57" i="58"/>
  <c r="EP57" i="58"/>
  <c r="EQ57" i="58"/>
  <c r="ER57" i="58"/>
  <c r="ES57" i="58"/>
  <c r="ET57" i="58"/>
  <c r="EU57" i="58"/>
  <c r="EV57" i="58"/>
  <c r="EW57" i="58"/>
  <c r="EX57" i="58"/>
  <c r="EY57" i="58"/>
  <c r="EZ57" i="58"/>
  <c r="FA57" i="58"/>
  <c r="FB57" i="58"/>
  <c r="FC57" i="58"/>
  <c r="FD57" i="58"/>
  <c r="FE57" i="58"/>
  <c r="FF57" i="58"/>
  <c r="FG57" i="58"/>
  <c r="FI57" i="58"/>
  <c r="FJ57" i="58"/>
  <c r="FK57" i="58"/>
  <c r="FL57" i="58"/>
  <c r="FM57" i="58"/>
  <c r="FN57" i="58"/>
  <c r="FO57" i="58"/>
  <c r="FP57" i="58"/>
  <c r="FQ57" i="58"/>
  <c r="FR57" i="58"/>
  <c r="FS57" i="58"/>
  <c r="FT57" i="58"/>
  <c r="A58" i="58"/>
  <c r="B58" i="58"/>
  <c r="C58" i="58"/>
  <c r="F58" i="58"/>
  <c r="K58" i="58"/>
  <c r="L58" i="58"/>
  <c r="M58" i="58"/>
  <c r="N58" i="58"/>
  <c r="O58" i="58"/>
  <c r="P58" i="58"/>
  <c r="R58" i="58"/>
  <c r="S58" i="58"/>
  <c r="T58" i="58"/>
  <c r="U58" i="58"/>
  <c r="V58" i="58"/>
  <c r="W58" i="58"/>
  <c r="Y58" i="58"/>
  <c r="Z58" i="58"/>
  <c r="AA58" i="58"/>
  <c r="AB58" i="58"/>
  <c r="AC58" i="58"/>
  <c r="AD58" i="58"/>
  <c r="AF58" i="58"/>
  <c r="AG58" i="58"/>
  <c r="AH58" i="58"/>
  <c r="AI58" i="58"/>
  <c r="AJ58" i="58"/>
  <c r="AK58" i="58"/>
  <c r="AM58" i="58"/>
  <c r="AN58" i="58"/>
  <c r="AP58" i="58"/>
  <c r="AQ58" i="58"/>
  <c r="AR58" i="58"/>
  <c r="AS58" i="58"/>
  <c r="AT58" i="58"/>
  <c r="AU58" i="58"/>
  <c r="AV58" i="58"/>
  <c r="AW58" i="58"/>
  <c r="AX58" i="58"/>
  <c r="AY58" i="58"/>
  <c r="AZ58" i="58"/>
  <c r="BA58" i="58"/>
  <c r="BB58" i="58"/>
  <c r="BC58" i="58"/>
  <c r="BD58" i="58"/>
  <c r="BE58" i="58"/>
  <c r="BF58" i="58"/>
  <c r="BG58" i="58"/>
  <c r="BH58" i="58"/>
  <c r="BI58" i="58"/>
  <c r="BK58" i="58"/>
  <c r="BL58" i="58"/>
  <c r="BM58" i="58"/>
  <c r="BN58" i="58"/>
  <c r="BO58" i="58"/>
  <c r="BP58" i="58"/>
  <c r="BQ58" i="58"/>
  <c r="BR58" i="58"/>
  <c r="BS58" i="58"/>
  <c r="BT58" i="58"/>
  <c r="BU58" i="58"/>
  <c r="BV58" i="58"/>
  <c r="BX58" i="58"/>
  <c r="BY58" i="58"/>
  <c r="BZ58" i="58"/>
  <c r="CA58" i="58"/>
  <c r="CB58" i="58"/>
  <c r="CC58" i="58"/>
  <c r="CD58" i="58"/>
  <c r="CE58" i="58"/>
  <c r="CF58" i="58"/>
  <c r="CG58" i="58"/>
  <c r="CH58" i="58"/>
  <c r="CI58" i="58"/>
  <c r="CJ58" i="58"/>
  <c r="CK58" i="58"/>
  <c r="CL58" i="58"/>
  <c r="CM58" i="58"/>
  <c r="CN58" i="58"/>
  <c r="CO58" i="58"/>
  <c r="CP58" i="58"/>
  <c r="CQ58" i="58"/>
  <c r="CS58" i="58"/>
  <c r="CT58" i="58"/>
  <c r="CU58" i="58"/>
  <c r="CV58" i="58"/>
  <c r="CW58" i="58"/>
  <c r="CX58" i="58"/>
  <c r="CY58" i="58"/>
  <c r="CZ58" i="58"/>
  <c r="DA58" i="58"/>
  <c r="DB58" i="58"/>
  <c r="DC58" i="58"/>
  <c r="DD58" i="58"/>
  <c r="DF58" i="58"/>
  <c r="DG58" i="58"/>
  <c r="DH58" i="58"/>
  <c r="DI58" i="58"/>
  <c r="DJ58" i="58"/>
  <c r="DK58" i="58"/>
  <c r="DL58" i="58"/>
  <c r="DM58" i="58"/>
  <c r="DN58" i="58"/>
  <c r="DO58" i="58"/>
  <c r="DP58" i="58"/>
  <c r="DQ58" i="58"/>
  <c r="DR58" i="58"/>
  <c r="DS58" i="58"/>
  <c r="DT58" i="58"/>
  <c r="DU58" i="58"/>
  <c r="DV58" i="58"/>
  <c r="DW58" i="58"/>
  <c r="DX58" i="58"/>
  <c r="DY58" i="58"/>
  <c r="EA58" i="58"/>
  <c r="EB58" i="58"/>
  <c r="EC58" i="58"/>
  <c r="ED58" i="58"/>
  <c r="EE58" i="58"/>
  <c r="EF58" i="58"/>
  <c r="EG58" i="58"/>
  <c r="EH58" i="58"/>
  <c r="EI58" i="58"/>
  <c r="EJ58" i="58"/>
  <c r="EK58" i="58"/>
  <c r="EL58" i="58"/>
  <c r="EN58" i="58"/>
  <c r="EO58" i="58"/>
  <c r="EP58" i="58"/>
  <c r="EQ58" i="58"/>
  <c r="ER58" i="58"/>
  <c r="ES58" i="58"/>
  <c r="ET58" i="58"/>
  <c r="EU58" i="58"/>
  <c r="EV58" i="58"/>
  <c r="EW58" i="58"/>
  <c r="EX58" i="58"/>
  <c r="EY58" i="58"/>
  <c r="EZ58" i="58"/>
  <c r="FA58" i="58"/>
  <c r="FB58" i="58"/>
  <c r="FC58" i="58"/>
  <c r="FD58" i="58"/>
  <c r="FE58" i="58"/>
  <c r="FF58" i="58"/>
  <c r="FG58" i="58"/>
  <c r="FI58" i="58"/>
  <c r="FJ58" i="58"/>
  <c r="FK58" i="58"/>
  <c r="FL58" i="58"/>
  <c r="FM58" i="58"/>
  <c r="FN58" i="58"/>
  <c r="FO58" i="58"/>
  <c r="FP58" i="58"/>
  <c r="FQ58" i="58"/>
  <c r="FR58" i="58"/>
  <c r="FS58" i="58"/>
  <c r="FT58" i="58"/>
  <c r="A59" i="58"/>
  <c r="B59" i="58"/>
  <c r="C59" i="58"/>
  <c r="F59" i="58"/>
  <c r="K59" i="58"/>
  <c r="L59" i="58"/>
  <c r="M59" i="58"/>
  <c r="N59" i="58"/>
  <c r="O59" i="58"/>
  <c r="P59" i="58"/>
  <c r="R59" i="58"/>
  <c r="S59" i="58"/>
  <c r="T59" i="58"/>
  <c r="U59" i="58"/>
  <c r="V59" i="58"/>
  <c r="W59" i="58"/>
  <c r="Y59" i="58"/>
  <c r="Z59" i="58"/>
  <c r="AA59" i="58"/>
  <c r="AB59" i="58"/>
  <c r="AC59" i="58"/>
  <c r="AD59" i="58"/>
  <c r="AF59" i="58"/>
  <c r="AG59" i="58"/>
  <c r="AH59" i="58"/>
  <c r="AI59" i="58"/>
  <c r="AJ59" i="58"/>
  <c r="AK59" i="58"/>
  <c r="AM59" i="58"/>
  <c r="AN59" i="58"/>
  <c r="AP59" i="58"/>
  <c r="AQ59" i="58"/>
  <c r="AR59" i="58"/>
  <c r="AS59" i="58"/>
  <c r="AT59" i="58"/>
  <c r="AU59" i="58"/>
  <c r="AV59" i="58"/>
  <c r="AW59" i="58"/>
  <c r="AX59" i="58"/>
  <c r="AY59" i="58"/>
  <c r="AZ59" i="58"/>
  <c r="BA59" i="58"/>
  <c r="BB59" i="58"/>
  <c r="BC59" i="58"/>
  <c r="BD59" i="58"/>
  <c r="BE59" i="58"/>
  <c r="BF59" i="58"/>
  <c r="BG59" i="58"/>
  <c r="BH59" i="58"/>
  <c r="BI59" i="58"/>
  <c r="BK59" i="58"/>
  <c r="BL59" i="58"/>
  <c r="BM59" i="58"/>
  <c r="BN59" i="58"/>
  <c r="BO59" i="58"/>
  <c r="BP59" i="58"/>
  <c r="BQ59" i="58"/>
  <c r="BR59" i="58"/>
  <c r="BS59" i="58"/>
  <c r="BT59" i="58"/>
  <c r="BU59" i="58"/>
  <c r="BV59" i="58"/>
  <c r="BX59" i="58"/>
  <c r="BY59" i="58"/>
  <c r="BZ59" i="58"/>
  <c r="CA59" i="58"/>
  <c r="CB59" i="58"/>
  <c r="CC59" i="58"/>
  <c r="CD59" i="58"/>
  <c r="CE59" i="58"/>
  <c r="CF59" i="58"/>
  <c r="CG59" i="58"/>
  <c r="CH59" i="58"/>
  <c r="CI59" i="58"/>
  <c r="CJ59" i="58"/>
  <c r="CK59" i="58"/>
  <c r="CL59" i="58"/>
  <c r="CM59" i="58"/>
  <c r="CN59" i="58"/>
  <c r="CO59" i="58"/>
  <c r="CP59" i="58"/>
  <c r="CQ59" i="58"/>
  <c r="CS59" i="58"/>
  <c r="CT59" i="58"/>
  <c r="CU59" i="58"/>
  <c r="CV59" i="58"/>
  <c r="CW59" i="58"/>
  <c r="CX59" i="58"/>
  <c r="CY59" i="58"/>
  <c r="CZ59" i="58"/>
  <c r="DA59" i="58"/>
  <c r="DB59" i="58"/>
  <c r="DC59" i="58"/>
  <c r="DD59" i="58"/>
  <c r="DF59" i="58"/>
  <c r="DG59" i="58"/>
  <c r="DH59" i="58"/>
  <c r="DI59" i="58"/>
  <c r="DJ59" i="58"/>
  <c r="DK59" i="58"/>
  <c r="DL59" i="58"/>
  <c r="DM59" i="58"/>
  <c r="DN59" i="58"/>
  <c r="DO59" i="58"/>
  <c r="DP59" i="58"/>
  <c r="DQ59" i="58"/>
  <c r="DR59" i="58"/>
  <c r="DS59" i="58"/>
  <c r="DT59" i="58"/>
  <c r="DU59" i="58"/>
  <c r="DV59" i="58"/>
  <c r="DW59" i="58"/>
  <c r="DX59" i="58"/>
  <c r="DY59" i="58"/>
  <c r="EA59" i="58"/>
  <c r="EB59" i="58"/>
  <c r="EC59" i="58"/>
  <c r="ED59" i="58"/>
  <c r="EE59" i="58"/>
  <c r="EF59" i="58"/>
  <c r="EG59" i="58"/>
  <c r="EH59" i="58"/>
  <c r="EI59" i="58"/>
  <c r="EJ59" i="58"/>
  <c r="EK59" i="58"/>
  <c r="EL59" i="58"/>
  <c r="EN59" i="58"/>
  <c r="EO59" i="58"/>
  <c r="EP59" i="58"/>
  <c r="EQ59" i="58"/>
  <c r="ER59" i="58"/>
  <c r="ES59" i="58"/>
  <c r="ET59" i="58"/>
  <c r="EU59" i="58"/>
  <c r="EV59" i="58"/>
  <c r="EW59" i="58"/>
  <c r="EX59" i="58"/>
  <c r="EY59" i="58"/>
  <c r="EZ59" i="58"/>
  <c r="FA59" i="58"/>
  <c r="FB59" i="58"/>
  <c r="FC59" i="58"/>
  <c r="FD59" i="58"/>
  <c r="FE59" i="58"/>
  <c r="FF59" i="58"/>
  <c r="FG59" i="58"/>
  <c r="FI59" i="58"/>
  <c r="FJ59" i="58"/>
  <c r="FK59" i="58"/>
  <c r="FL59" i="58"/>
  <c r="FM59" i="58"/>
  <c r="FN59" i="58"/>
  <c r="FO59" i="58"/>
  <c r="FP59" i="58"/>
  <c r="FQ59" i="58"/>
  <c r="FR59" i="58"/>
  <c r="FS59" i="58"/>
  <c r="FT59" i="58"/>
  <c r="A60" i="58"/>
  <c r="B60" i="58"/>
  <c r="C60" i="58"/>
  <c r="F60" i="58"/>
  <c r="K60" i="58"/>
  <c r="L60" i="58"/>
  <c r="M60" i="58"/>
  <c r="N60" i="58"/>
  <c r="O60" i="58"/>
  <c r="P60" i="58"/>
  <c r="R60" i="58"/>
  <c r="S60" i="58"/>
  <c r="T60" i="58"/>
  <c r="U60" i="58"/>
  <c r="V60" i="58"/>
  <c r="W60" i="58"/>
  <c r="Y60" i="58"/>
  <c r="Z60" i="58"/>
  <c r="AA60" i="58"/>
  <c r="AB60" i="58"/>
  <c r="AC60" i="58"/>
  <c r="AD60" i="58"/>
  <c r="AF60" i="58"/>
  <c r="AG60" i="58"/>
  <c r="AH60" i="58"/>
  <c r="AI60" i="58"/>
  <c r="AJ60" i="58"/>
  <c r="AK60" i="58"/>
  <c r="AM60" i="58"/>
  <c r="AN60" i="58"/>
  <c r="AP60" i="58"/>
  <c r="AQ60" i="58"/>
  <c r="AR60" i="58"/>
  <c r="AS60" i="58"/>
  <c r="AT60" i="58"/>
  <c r="AU60" i="58"/>
  <c r="AV60" i="58"/>
  <c r="AW60" i="58"/>
  <c r="AX60" i="58"/>
  <c r="AY60" i="58"/>
  <c r="AZ60" i="58"/>
  <c r="BA60" i="58"/>
  <c r="BB60" i="58"/>
  <c r="BC60" i="58"/>
  <c r="BD60" i="58"/>
  <c r="BE60" i="58"/>
  <c r="BF60" i="58"/>
  <c r="BG60" i="58"/>
  <c r="BH60" i="58"/>
  <c r="BI60" i="58"/>
  <c r="BK60" i="58"/>
  <c r="BL60" i="58"/>
  <c r="BM60" i="58"/>
  <c r="BN60" i="58"/>
  <c r="BO60" i="58"/>
  <c r="BP60" i="58"/>
  <c r="BQ60" i="58"/>
  <c r="BR60" i="58"/>
  <c r="BS60" i="58"/>
  <c r="BT60" i="58"/>
  <c r="BU60" i="58"/>
  <c r="BV60" i="58"/>
  <c r="BX60" i="58"/>
  <c r="BY60" i="58"/>
  <c r="BZ60" i="58"/>
  <c r="CA60" i="58"/>
  <c r="CB60" i="58"/>
  <c r="CC60" i="58"/>
  <c r="CD60" i="58"/>
  <c r="CE60" i="58"/>
  <c r="CF60" i="58"/>
  <c r="CG60" i="58"/>
  <c r="CH60" i="58"/>
  <c r="CI60" i="58"/>
  <c r="CJ60" i="58"/>
  <c r="CK60" i="58"/>
  <c r="CL60" i="58"/>
  <c r="CM60" i="58"/>
  <c r="CN60" i="58"/>
  <c r="CO60" i="58"/>
  <c r="CP60" i="58"/>
  <c r="CQ60" i="58"/>
  <c r="CS60" i="58"/>
  <c r="CT60" i="58"/>
  <c r="CU60" i="58"/>
  <c r="CV60" i="58"/>
  <c r="CW60" i="58"/>
  <c r="CX60" i="58"/>
  <c r="CY60" i="58"/>
  <c r="CZ60" i="58"/>
  <c r="DA60" i="58"/>
  <c r="DB60" i="58"/>
  <c r="DC60" i="58"/>
  <c r="DD60" i="58"/>
  <c r="DF60" i="58"/>
  <c r="DG60" i="58"/>
  <c r="DH60" i="58"/>
  <c r="DI60" i="58"/>
  <c r="DJ60" i="58"/>
  <c r="DK60" i="58"/>
  <c r="DL60" i="58"/>
  <c r="DM60" i="58"/>
  <c r="DN60" i="58"/>
  <c r="DO60" i="58"/>
  <c r="DP60" i="58"/>
  <c r="DQ60" i="58"/>
  <c r="DR60" i="58"/>
  <c r="DS60" i="58"/>
  <c r="DT60" i="58"/>
  <c r="DU60" i="58"/>
  <c r="DV60" i="58"/>
  <c r="DW60" i="58"/>
  <c r="DX60" i="58"/>
  <c r="DY60" i="58"/>
  <c r="EA60" i="58"/>
  <c r="EB60" i="58"/>
  <c r="EC60" i="58"/>
  <c r="ED60" i="58"/>
  <c r="EE60" i="58"/>
  <c r="EF60" i="58"/>
  <c r="EG60" i="58"/>
  <c r="EH60" i="58"/>
  <c r="EI60" i="58"/>
  <c r="EJ60" i="58"/>
  <c r="EK60" i="58"/>
  <c r="EL60" i="58"/>
  <c r="EN60" i="58"/>
  <c r="EO60" i="58"/>
  <c r="EP60" i="58"/>
  <c r="EQ60" i="58"/>
  <c r="ER60" i="58"/>
  <c r="ES60" i="58"/>
  <c r="ET60" i="58"/>
  <c r="EU60" i="58"/>
  <c r="EV60" i="58"/>
  <c r="EW60" i="58"/>
  <c r="EX60" i="58"/>
  <c r="EY60" i="58"/>
  <c r="EZ60" i="58"/>
  <c r="FA60" i="58"/>
  <c r="FB60" i="58"/>
  <c r="FC60" i="58"/>
  <c r="FD60" i="58"/>
  <c r="FE60" i="58"/>
  <c r="FF60" i="58"/>
  <c r="FG60" i="58"/>
  <c r="FI60" i="58"/>
  <c r="FJ60" i="58"/>
  <c r="FK60" i="58"/>
  <c r="FL60" i="58"/>
  <c r="FM60" i="58"/>
  <c r="FN60" i="58"/>
  <c r="FO60" i="58"/>
  <c r="FP60" i="58"/>
  <c r="FQ60" i="58"/>
  <c r="FR60" i="58"/>
  <c r="FS60" i="58"/>
  <c r="FT60" i="58"/>
  <c r="A61" i="58"/>
  <c r="B61" i="58"/>
  <c r="C61" i="58"/>
  <c r="F61" i="58"/>
  <c r="K61" i="58"/>
  <c r="L61" i="58"/>
  <c r="M61" i="58"/>
  <c r="N61" i="58"/>
  <c r="O61" i="58"/>
  <c r="P61" i="58"/>
  <c r="R61" i="58"/>
  <c r="S61" i="58"/>
  <c r="T61" i="58"/>
  <c r="U61" i="58"/>
  <c r="V61" i="58"/>
  <c r="W61" i="58"/>
  <c r="Y61" i="58"/>
  <c r="Z61" i="58"/>
  <c r="AA61" i="58"/>
  <c r="AB61" i="58"/>
  <c r="AC61" i="58"/>
  <c r="AD61" i="58"/>
  <c r="AF61" i="58"/>
  <c r="AG61" i="58"/>
  <c r="AH61" i="58"/>
  <c r="AI61" i="58"/>
  <c r="AJ61" i="58"/>
  <c r="AK61" i="58"/>
  <c r="AM61" i="58"/>
  <c r="AN61" i="58"/>
  <c r="AP61" i="58"/>
  <c r="AQ61" i="58"/>
  <c r="AR61" i="58"/>
  <c r="AS61" i="58"/>
  <c r="AT61" i="58"/>
  <c r="AU61" i="58"/>
  <c r="AV61" i="58"/>
  <c r="AW61" i="58"/>
  <c r="AX61" i="58"/>
  <c r="AY61" i="58"/>
  <c r="AZ61" i="58"/>
  <c r="BA61" i="58"/>
  <c r="BB61" i="58"/>
  <c r="BC61" i="58"/>
  <c r="BD61" i="58"/>
  <c r="BE61" i="58"/>
  <c r="BF61" i="58"/>
  <c r="BG61" i="58"/>
  <c r="BH61" i="58"/>
  <c r="BI61" i="58"/>
  <c r="BK61" i="58"/>
  <c r="BL61" i="58"/>
  <c r="BM61" i="58"/>
  <c r="BN61" i="58"/>
  <c r="BO61" i="58"/>
  <c r="BP61" i="58"/>
  <c r="BQ61" i="58"/>
  <c r="BR61" i="58"/>
  <c r="BS61" i="58"/>
  <c r="BT61" i="58"/>
  <c r="BU61" i="58"/>
  <c r="BV61" i="58"/>
  <c r="BX61" i="58"/>
  <c r="BY61" i="58"/>
  <c r="BZ61" i="58"/>
  <c r="CA61" i="58"/>
  <c r="CB61" i="58"/>
  <c r="CC61" i="58"/>
  <c r="CD61" i="58"/>
  <c r="CE61" i="58"/>
  <c r="CF61" i="58"/>
  <c r="CG61" i="58"/>
  <c r="CH61" i="58"/>
  <c r="CI61" i="58"/>
  <c r="CJ61" i="58"/>
  <c r="CK61" i="58"/>
  <c r="CL61" i="58"/>
  <c r="CM61" i="58"/>
  <c r="CN61" i="58"/>
  <c r="CO61" i="58"/>
  <c r="CP61" i="58"/>
  <c r="CQ61" i="58"/>
  <c r="CS61" i="58"/>
  <c r="CT61" i="58"/>
  <c r="CU61" i="58"/>
  <c r="CV61" i="58"/>
  <c r="CW61" i="58"/>
  <c r="CX61" i="58"/>
  <c r="CY61" i="58"/>
  <c r="CZ61" i="58"/>
  <c r="DA61" i="58"/>
  <c r="DB61" i="58"/>
  <c r="DC61" i="58"/>
  <c r="DD61" i="58"/>
  <c r="DF61" i="58"/>
  <c r="DG61" i="58"/>
  <c r="DH61" i="58"/>
  <c r="DI61" i="58"/>
  <c r="DJ61" i="58"/>
  <c r="DK61" i="58"/>
  <c r="DL61" i="58"/>
  <c r="DM61" i="58"/>
  <c r="DN61" i="58"/>
  <c r="DO61" i="58"/>
  <c r="DP61" i="58"/>
  <c r="DQ61" i="58"/>
  <c r="DR61" i="58"/>
  <c r="DS61" i="58"/>
  <c r="DT61" i="58"/>
  <c r="DU61" i="58"/>
  <c r="DV61" i="58"/>
  <c r="DW61" i="58"/>
  <c r="DX61" i="58"/>
  <c r="DY61" i="58"/>
  <c r="EA61" i="58"/>
  <c r="EB61" i="58"/>
  <c r="EC61" i="58"/>
  <c r="ED61" i="58"/>
  <c r="EE61" i="58"/>
  <c r="EF61" i="58"/>
  <c r="EG61" i="58"/>
  <c r="EH61" i="58"/>
  <c r="EI61" i="58"/>
  <c r="EJ61" i="58"/>
  <c r="EK61" i="58"/>
  <c r="EL61" i="58"/>
  <c r="EN61" i="58"/>
  <c r="EO61" i="58"/>
  <c r="EP61" i="58"/>
  <c r="EQ61" i="58"/>
  <c r="ER61" i="58"/>
  <c r="ES61" i="58"/>
  <c r="ET61" i="58"/>
  <c r="EU61" i="58"/>
  <c r="EV61" i="58"/>
  <c r="EW61" i="58"/>
  <c r="EX61" i="58"/>
  <c r="EY61" i="58"/>
  <c r="EZ61" i="58"/>
  <c r="FA61" i="58"/>
  <c r="FB61" i="58"/>
  <c r="FC61" i="58"/>
  <c r="FD61" i="58"/>
  <c r="FE61" i="58"/>
  <c r="FF61" i="58"/>
  <c r="FG61" i="58"/>
  <c r="FI61" i="58"/>
  <c r="FJ61" i="58"/>
  <c r="FK61" i="58"/>
  <c r="FL61" i="58"/>
  <c r="FM61" i="58"/>
  <c r="FN61" i="58"/>
  <c r="FO61" i="58"/>
  <c r="FP61" i="58"/>
  <c r="FQ61" i="58"/>
  <c r="FR61" i="58"/>
  <c r="FS61" i="58"/>
  <c r="FT61" i="58"/>
  <c r="A62" i="58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D4" i="28"/>
  <c r="B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D7" i="28"/>
  <c r="AE7" i="28"/>
  <c r="AG7" i="28"/>
  <c r="AH7" i="28"/>
  <c r="AI7" i="28"/>
  <c r="AJ7" i="28"/>
  <c r="AK7" i="28"/>
  <c r="AL7" i="28"/>
  <c r="AM7" i="28"/>
  <c r="AP7" i="28"/>
  <c r="AQ7" i="28"/>
  <c r="AR7" i="28"/>
  <c r="AS7" i="28"/>
  <c r="AT7" i="28"/>
  <c r="A8" i="28"/>
  <c r="B8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D8" i="28"/>
  <c r="AE8" i="28"/>
  <c r="AG8" i="28"/>
  <c r="AH8" i="28"/>
  <c r="AI8" i="28"/>
  <c r="AJ8" i="28"/>
  <c r="AK8" i="28"/>
  <c r="AL8" i="28"/>
  <c r="AM8" i="28"/>
  <c r="AP8" i="28"/>
  <c r="AQ8" i="28"/>
  <c r="AR8" i="28"/>
  <c r="AS8" i="28"/>
  <c r="AT8" i="28"/>
  <c r="A9" i="28"/>
  <c r="B9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D9" i="28"/>
  <c r="AE9" i="28"/>
  <c r="AG9" i="28"/>
  <c r="AH9" i="28"/>
  <c r="AI9" i="28"/>
  <c r="AJ9" i="28"/>
  <c r="AK9" i="28"/>
  <c r="AL9" i="28"/>
  <c r="AM9" i="28"/>
  <c r="AP9" i="28"/>
  <c r="AQ9" i="28"/>
  <c r="AR9" i="28"/>
  <c r="AS9" i="28"/>
  <c r="AT9" i="28"/>
  <c r="A10" i="28"/>
  <c r="B10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D10" i="28"/>
  <c r="AE10" i="28"/>
  <c r="AG10" i="28"/>
  <c r="AH10" i="28"/>
  <c r="AI10" i="28"/>
  <c r="AJ10" i="28"/>
  <c r="AK10" i="28"/>
  <c r="AL10" i="28"/>
  <c r="AM10" i="28"/>
  <c r="AP10" i="28"/>
  <c r="AQ10" i="28"/>
  <c r="AR10" i="28"/>
  <c r="AS10" i="28"/>
  <c r="AT10" i="28"/>
  <c r="A11" i="28"/>
  <c r="B11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D11" i="28"/>
  <c r="AE11" i="28"/>
  <c r="AG11" i="28"/>
  <c r="AH11" i="28"/>
  <c r="AI11" i="28"/>
  <c r="AJ11" i="28"/>
  <c r="AK11" i="28"/>
  <c r="AL11" i="28"/>
  <c r="AM11" i="28"/>
  <c r="AP11" i="28"/>
  <c r="AQ11" i="28"/>
  <c r="AR11" i="28"/>
  <c r="AS11" i="28"/>
  <c r="AT11" i="28"/>
  <c r="A12" i="28"/>
  <c r="B12" i="28"/>
  <c r="C12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D12" i="28"/>
  <c r="AE12" i="28"/>
  <c r="AG12" i="28"/>
  <c r="AH12" i="28"/>
  <c r="AI12" i="28"/>
  <c r="AJ12" i="28"/>
  <c r="AK12" i="28"/>
  <c r="AL12" i="28"/>
  <c r="AM12" i="28"/>
  <c r="AP12" i="28"/>
  <c r="AQ12" i="28"/>
  <c r="AR12" i="28"/>
  <c r="AS12" i="28"/>
  <c r="AT12" i="28"/>
  <c r="A13" i="28"/>
  <c r="B13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D13" i="28"/>
  <c r="AE13" i="28"/>
  <c r="AG13" i="28"/>
  <c r="AH13" i="28"/>
  <c r="AI13" i="28"/>
  <c r="AJ13" i="28"/>
  <c r="AK13" i="28"/>
  <c r="AL13" i="28"/>
  <c r="AM13" i="28"/>
  <c r="AP13" i="28"/>
  <c r="AQ13" i="28"/>
  <c r="AR13" i="28"/>
  <c r="AS13" i="28"/>
  <c r="AT13" i="28"/>
  <c r="A14" i="28"/>
  <c r="B14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D14" i="28"/>
  <c r="AE14" i="28"/>
  <c r="AG14" i="28"/>
  <c r="AH14" i="28"/>
  <c r="AI14" i="28"/>
  <c r="AJ14" i="28"/>
  <c r="AK14" i="28"/>
  <c r="AL14" i="28"/>
  <c r="AM14" i="28"/>
  <c r="AP14" i="28"/>
  <c r="AQ14" i="28"/>
  <c r="AR14" i="28"/>
  <c r="AS14" i="28"/>
  <c r="AT14" i="28"/>
  <c r="A15" i="28"/>
  <c r="B15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D15" i="28"/>
  <c r="AE15" i="28"/>
  <c r="AG15" i="28"/>
  <c r="AH15" i="28"/>
  <c r="AI15" i="28"/>
  <c r="AJ15" i="28"/>
  <c r="AK15" i="28"/>
  <c r="AL15" i="28"/>
  <c r="AM15" i="28"/>
  <c r="AP15" i="28"/>
  <c r="AQ15" i="28"/>
  <c r="AR15" i="28"/>
  <c r="AS15" i="28"/>
  <c r="AT15" i="28"/>
  <c r="A16" i="28"/>
  <c r="B16" i="28"/>
  <c r="C16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D16" i="28"/>
  <c r="AE16" i="28"/>
  <c r="AG16" i="28"/>
  <c r="AH16" i="28"/>
  <c r="AI16" i="28"/>
  <c r="AJ16" i="28"/>
  <c r="AK16" i="28"/>
  <c r="AL16" i="28"/>
  <c r="AM16" i="28"/>
  <c r="AP16" i="28"/>
  <c r="AQ16" i="28"/>
  <c r="AR16" i="28"/>
  <c r="AS16" i="28"/>
  <c r="AT16" i="28"/>
  <c r="A17" i="28"/>
  <c r="B17" i="28"/>
  <c r="C17" i="28"/>
  <c r="D17" i="28"/>
  <c r="E17" i="28"/>
  <c r="F17" i="28"/>
  <c r="G17" i="28"/>
  <c r="H17" i="28"/>
  <c r="I17" i="28"/>
  <c r="J17" i="28"/>
  <c r="K17" i="28"/>
  <c r="L17" i="28"/>
  <c r="M17" i="28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D17" i="28"/>
  <c r="AE17" i="28"/>
  <c r="AG17" i="28"/>
  <c r="AH17" i="28"/>
  <c r="AI17" i="28"/>
  <c r="AJ17" i="28"/>
  <c r="AK17" i="28"/>
  <c r="AL17" i="28"/>
  <c r="AM17" i="28"/>
  <c r="AP17" i="28"/>
  <c r="AQ17" i="28"/>
  <c r="AR17" i="28"/>
  <c r="AS17" i="28"/>
  <c r="AT17" i="28"/>
  <c r="A18" i="28"/>
  <c r="B18" i="28"/>
  <c r="C18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W18" i="28"/>
  <c r="X18" i="28"/>
  <c r="Y18" i="28"/>
  <c r="Z18" i="28"/>
  <c r="AA18" i="28"/>
  <c r="AD18" i="28"/>
  <c r="AE18" i="28"/>
  <c r="AG18" i="28"/>
  <c r="AH18" i="28"/>
  <c r="AI18" i="28"/>
  <c r="AJ18" i="28"/>
  <c r="AK18" i="28"/>
  <c r="AL18" i="28"/>
  <c r="AM18" i="28"/>
  <c r="AP18" i="28"/>
  <c r="AQ18" i="28"/>
  <c r="AR18" i="28"/>
  <c r="AS18" i="28"/>
  <c r="AT18" i="28"/>
  <c r="A19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D19" i="28"/>
  <c r="AE19" i="28"/>
  <c r="AG19" i="28"/>
  <c r="AH19" i="28"/>
  <c r="AI19" i="28"/>
  <c r="AJ19" i="28"/>
  <c r="AK19" i="28"/>
  <c r="AL19" i="28"/>
  <c r="AM19" i="28"/>
  <c r="AP19" i="28"/>
  <c r="AQ19" i="28"/>
  <c r="AR19" i="28"/>
  <c r="AS19" i="28"/>
  <c r="AT19" i="28"/>
  <c r="A20" i="28"/>
  <c r="B20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D20" i="28"/>
  <c r="AE20" i="28"/>
  <c r="AG20" i="28"/>
  <c r="AH20" i="28"/>
  <c r="AI20" i="28"/>
  <c r="AJ20" i="28"/>
  <c r="AK20" i="28"/>
  <c r="AL20" i="28"/>
  <c r="AM20" i="28"/>
  <c r="AP20" i="28"/>
  <c r="AQ20" i="28"/>
  <c r="AR20" i="28"/>
  <c r="AS20" i="28"/>
  <c r="AT20" i="28"/>
  <c r="A21" i="28"/>
  <c r="B21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D21" i="28"/>
  <c r="AE21" i="28"/>
  <c r="AG21" i="28"/>
  <c r="AH21" i="28"/>
  <c r="AI21" i="28"/>
  <c r="AJ21" i="28"/>
  <c r="AK21" i="28"/>
  <c r="AL21" i="28"/>
  <c r="AM21" i="28"/>
  <c r="AP21" i="28"/>
  <c r="AQ21" i="28"/>
  <c r="AR21" i="28"/>
  <c r="AS21" i="28"/>
  <c r="AT21" i="28"/>
  <c r="A22" i="28"/>
  <c r="B22" i="28"/>
  <c r="C22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D22" i="28"/>
  <c r="AE22" i="28"/>
  <c r="AG22" i="28"/>
  <c r="AH22" i="28"/>
  <c r="AI22" i="28"/>
  <c r="AJ22" i="28"/>
  <c r="AK22" i="28"/>
  <c r="AL22" i="28"/>
  <c r="AM22" i="28"/>
  <c r="AP22" i="28"/>
  <c r="AQ22" i="28"/>
  <c r="AR22" i="28"/>
  <c r="AS22" i="28"/>
  <c r="AT22" i="28"/>
  <c r="A23" i="28"/>
  <c r="B23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D23" i="28"/>
  <c r="AE23" i="28"/>
  <c r="AG23" i="28"/>
  <c r="AH23" i="28"/>
  <c r="AI23" i="28"/>
  <c r="AJ23" i="28"/>
  <c r="AK23" i="28"/>
  <c r="AL23" i="28"/>
  <c r="AM23" i="28"/>
  <c r="AP23" i="28"/>
  <c r="AQ23" i="28"/>
  <c r="AR23" i="28"/>
  <c r="AS23" i="28"/>
  <c r="AT23" i="28"/>
  <c r="A24" i="28"/>
  <c r="B24" i="28"/>
  <c r="C24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D24" i="28"/>
  <c r="AE24" i="28"/>
  <c r="AG24" i="28"/>
  <c r="AH24" i="28"/>
  <c r="AI24" i="28"/>
  <c r="AJ24" i="28"/>
  <c r="AK24" i="28"/>
  <c r="AL24" i="28"/>
  <c r="AM24" i="28"/>
  <c r="AP24" i="28"/>
  <c r="AQ24" i="28"/>
  <c r="AR24" i="28"/>
  <c r="AS24" i="28"/>
  <c r="AT24" i="28"/>
  <c r="A25" i="28"/>
  <c r="B25" i="28"/>
  <c r="C25" i="28"/>
  <c r="D25" i="28"/>
  <c r="E25" i="28"/>
  <c r="F25" i="28"/>
  <c r="G25" i="28"/>
  <c r="H25" i="28"/>
  <c r="I25" i="28"/>
  <c r="J25" i="28"/>
  <c r="K25" i="28"/>
  <c r="L25" i="28"/>
  <c r="M25" i="28"/>
  <c r="N25" i="28"/>
  <c r="O25" i="28"/>
  <c r="P25" i="28"/>
  <c r="Q25" i="28"/>
  <c r="R25" i="28"/>
  <c r="S25" i="28"/>
  <c r="T25" i="28"/>
  <c r="U25" i="28"/>
  <c r="V25" i="28"/>
  <c r="W25" i="28"/>
  <c r="X25" i="28"/>
  <c r="Y25" i="28"/>
  <c r="Z25" i="28"/>
  <c r="AA25" i="28"/>
  <c r="AD25" i="28"/>
  <c r="AE25" i="28"/>
  <c r="AG25" i="28"/>
  <c r="AH25" i="28"/>
  <c r="AI25" i="28"/>
  <c r="AJ25" i="28"/>
  <c r="AK25" i="28"/>
  <c r="AL25" i="28"/>
  <c r="AM25" i="28"/>
  <c r="AP25" i="28"/>
  <c r="AQ25" i="28"/>
  <c r="AR25" i="28"/>
  <c r="AS25" i="28"/>
  <c r="AT25" i="28"/>
  <c r="A26" i="28"/>
  <c r="B26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W26" i="28"/>
  <c r="X26" i="28"/>
  <c r="Y26" i="28"/>
  <c r="Z26" i="28"/>
  <c r="AA26" i="28"/>
  <c r="AD26" i="28"/>
  <c r="AE26" i="28"/>
  <c r="AG26" i="28"/>
  <c r="AH26" i="28"/>
  <c r="AI26" i="28"/>
  <c r="AJ26" i="28"/>
  <c r="AK26" i="28"/>
  <c r="AL26" i="28"/>
  <c r="AM26" i="28"/>
  <c r="AP26" i="28"/>
  <c r="AQ26" i="28"/>
  <c r="AR26" i="28"/>
  <c r="AS26" i="28"/>
  <c r="AT26" i="28"/>
  <c r="A27" i="28"/>
  <c r="D30" i="28"/>
  <c r="C2" i="31"/>
  <c r="D2" i="31"/>
  <c r="E2" i="31"/>
  <c r="F2" i="31"/>
  <c r="G2" i="31"/>
  <c r="H2" i="31"/>
  <c r="I2" i="31"/>
  <c r="J2" i="31"/>
  <c r="K2" i="31"/>
  <c r="L2" i="31"/>
  <c r="M2" i="31"/>
  <c r="N2" i="31"/>
  <c r="D1" i="16"/>
  <c r="E1" i="16"/>
  <c r="F1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BE2" i="16"/>
  <c r="BF2" i="16"/>
  <c r="BG2" i="16"/>
  <c r="BH2" i="16"/>
  <c r="BI2" i="16"/>
  <c r="BJ2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D4" i="78"/>
  <c r="H4" i="78"/>
  <c r="D5" i="78"/>
  <c r="H12" i="78"/>
  <c r="D14" i="78"/>
  <c r="H14" i="78"/>
  <c r="I14" i="78"/>
  <c r="D15" i="78"/>
  <c r="D18" i="78"/>
  <c r="H18" i="78"/>
  <c r="D19" i="78"/>
  <c r="H19" i="78"/>
  <c r="D21" i="78"/>
  <c r="H21" i="78"/>
  <c r="H2" i="25"/>
  <c r="I2" i="25"/>
  <c r="J2" i="25"/>
  <c r="K2" i="25"/>
  <c r="L2" i="25"/>
  <c r="R2" i="25"/>
  <c r="R3" i="25"/>
  <c r="H6" i="25"/>
  <c r="I6" i="25"/>
  <c r="J6" i="25"/>
  <c r="K6" i="25"/>
  <c r="L6" i="25"/>
  <c r="I10" i="25"/>
  <c r="AD13" i="25"/>
  <c r="H14" i="25"/>
  <c r="K14" i="25"/>
  <c r="AE15" i="25"/>
  <c r="AL15" i="25"/>
  <c r="AE20" i="25"/>
  <c r="AF20" i="25"/>
  <c r="AG20" i="25"/>
  <c r="AH20" i="25"/>
  <c r="AI20" i="25"/>
  <c r="AL20" i="25"/>
  <c r="AM20" i="25"/>
  <c r="AN20" i="25"/>
  <c r="AO20" i="25"/>
  <c r="AP20" i="25"/>
  <c r="L22" i="25"/>
  <c r="N22" i="25"/>
  <c r="O22" i="25"/>
  <c r="P22" i="25"/>
  <c r="Q22" i="25"/>
  <c r="R22" i="25"/>
  <c r="S22" i="25"/>
  <c r="T22" i="25"/>
  <c r="U22" i="25"/>
  <c r="V22" i="25"/>
  <c r="W22" i="25"/>
  <c r="B25" i="25"/>
  <c r="C25" i="25"/>
  <c r="D25" i="25"/>
  <c r="E25" i="25"/>
  <c r="F25" i="25"/>
  <c r="H25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AE25" i="25"/>
  <c r="AF25" i="25"/>
  <c r="AG25" i="25"/>
  <c r="AH25" i="25"/>
  <c r="AI25" i="25"/>
  <c r="AL25" i="25"/>
  <c r="AM25" i="25"/>
  <c r="AN25" i="25"/>
  <c r="AO25" i="25"/>
  <c r="AP25" i="25"/>
  <c r="A26" i="25"/>
  <c r="B26" i="25"/>
  <c r="C26" i="25"/>
  <c r="D26" i="25"/>
  <c r="E26" i="25"/>
  <c r="F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AE26" i="25"/>
  <c r="AF26" i="25"/>
  <c r="AG26" i="25"/>
  <c r="AH26" i="25"/>
  <c r="AI26" i="25"/>
  <c r="AL26" i="25"/>
  <c r="AM26" i="25"/>
  <c r="AN26" i="25"/>
  <c r="AO26" i="25"/>
  <c r="AP26" i="25"/>
  <c r="A27" i="25"/>
  <c r="B27" i="25"/>
  <c r="C27" i="25"/>
  <c r="D27" i="25"/>
  <c r="E27" i="25"/>
  <c r="F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AE27" i="25"/>
  <c r="AF27" i="25"/>
  <c r="AG27" i="25"/>
  <c r="AH27" i="25"/>
  <c r="AI27" i="25"/>
  <c r="AL27" i="25"/>
  <c r="AM27" i="25"/>
  <c r="AN27" i="25"/>
  <c r="AO27" i="25"/>
  <c r="AP27" i="25"/>
  <c r="A28" i="25"/>
  <c r="B28" i="25"/>
  <c r="C28" i="25"/>
  <c r="D28" i="25"/>
  <c r="E28" i="25"/>
  <c r="F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AE28" i="25"/>
  <c r="AF28" i="25"/>
  <c r="AG28" i="25"/>
  <c r="AH28" i="25"/>
  <c r="AI28" i="25"/>
  <c r="AL28" i="25"/>
  <c r="AM28" i="25"/>
  <c r="AN28" i="25"/>
  <c r="AO28" i="25"/>
  <c r="AP28" i="25"/>
  <c r="A29" i="25"/>
  <c r="B29" i="25"/>
  <c r="C29" i="25"/>
  <c r="D29" i="25"/>
  <c r="E29" i="25"/>
  <c r="F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AE29" i="25"/>
  <c r="AF29" i="25"/>
  <c r="AG29" i="25"/>
  <c r="AH29" i="25"/>
  <c r="AI29" i="25"/>
  <c r="AL29" i="25"/>
  <c r="AM29" i="25"/>
  <c r="AN29" i="25"/>
  <c r="AO29" i="25"/>
  <c r="AP29" i="25"/>
  <c r="A30" i="25"/>
  <c r="B30" i="25"/>
  <c r="C30" i="25"/>
  <c r="D30" i="25"/>
  <c r="E30" i="25"/>
  <c r="F30" i="25"/>
  <c r="H30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AE30" i="25"/>
  <c r="AF30" i="25"/>
  <c r="AG30" i="25"/>
  <c r="AH30" i="25"/>
  <c r="AI30" i="25"/>
  <c r="AL30" i="25"/>
  <c r="AM30" i="25"/>
  <c r="AN30" i="25"/>
  <c r="AO30" i="25"/>
  <c r="AP30" i="25"/>
  <c r="A31" i="25"/>
  <c r="B31" i="25"/>
  <c r="C31" i="25"/>
  <c r="D31" i="25"/>
  <c r="E31" i="25"/>
  <c r="F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AE31" i="25"/>
  <c r="AF31" i="25"/>
  <c r="AG31" i="25"/>
  <c r="AH31" i="25"/>
  <c r="AI31" i="25"/>
  <c r="AL31" i="25"/>
  <c r="AM31" i="25"/>
  <c r="AN31" i="25"/>
  <c r="AO31" i="25"/>
  <c r="AP31" i="25"/>
  <c r="A32" i="25"/>
  <c r="B32" i="25"/>
  <c r="C32" i="25"/>
  <c r="D32" i="25"/>
  <c r="E32" i="25"/>
  <c r="F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AE32" i="25"/>
  <c r="AF32" i="25"/>
  <c r="AG32" i="25"/>
  <c r="AH32" i="25"/>
  <c r="AI32" i="25"/>
  <c r="AL32" i="25"/>
  <c r="AM32" i="25"/>
  <c r="AN32" i="25"/>
  <c r="AO32" i="25"/>
  <c r="AP32" i="25"/>
  <c r="A33" i="25"/>
  <c r="B33" i="25"/>
  <c r="C33" i="25"/>
  <c r="D33" i="25"/>
  <c r="E33" i="25"/>
  <c r="F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AE33" i="25"/>
  <c r="AF33" i="25"/>
  <c r="AG33" i="25"/>
  <c r="AH33" i="25"/>
  <c r="AI33" i="25"/>
  <c r="AL33" i="25"/>
  <c r="AM33" i="25"/>
  <c r="AN33" i="25"/>
  <c r="AO33" i="25"/>
  <c r="AP33" i="25"/>
  <c r="A34" i="25"/>
  <c r="B34" i="25"/>
  <c r="C34" i="25"/>
  <c r="D34" i="25"/>
  <c r="E34" i="25"/>
  <c r="F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AE34" i="25"/>
  <c r="AF34" i="25"/>
  <c r="AG34" i="25"/>
  <c r="AH34" i="25"/>
  <c r="AI34" i="25"/>
  <c r="AL34" i="25"/>
  <c r="AM34" i="25"/>
  <c r="AN34" i="25"/>
  <c r="AO34" i="25"/>
  <c r="AP34" i="25"/>
  <c r="A35" i="25"/>
  <c r="B35" i="25"/>
  <c r="C35" i="25"/>
  <c r="D35" i="25"/>
  <c r="E35" i="25"/>
  <c r="F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AE35" i="25"/>
  <c r="AF35" i="25"/>
  <c r="AG35" i="25"/>
  <c r="AH35" i="25"/>
  <c r="AI35" i="25"/>
  <c r="AL35" i="25"/>
  <c r="AM35" i="25"/>
  <c r="AN35" i="25"/>
  <c r="AO35" i="25"/>
  <c r="AP35" i="25"/>
  <c r="A36" i="25"/>
  <c r="B36" i="25"/>
  <c r="C36" i="25"/>
  <c r="D36" i="25"/>
  <c r="E36" i="25"/>
  <c r="F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AE36" i="25"/>
  <c r="AF36" i="25"/>
  <c r="AG36" i="25"/>
  <c r="AH36" i="25"/>
  <c r="AI36" i="25"/>
  <c r="AL36" i="25"/>
  <c r="AM36" i="25"/>
  <c r="AN36" i="25"/>
  <c r="AO36" i="25"/>
  <c r="AP36" i="25"/>
  <c r="A37" i="25"/>
  <c r="B37" i="25"/>
  <c r="C37" i="25"/>
  <c r="D37" i="25"/>
  <c r="E37" i="25"/>
  <c r="F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AE37" i="25"/>
  <c r="AF37" i="25"/>
  <c r="AG37" i="25"/>
  <c r="AH37" i="25"/>
  <c r="AI37" i="25"/>
  <c r="AL37" i="25"/>
  <c r="AM37" i="25"/>
  <c r="AN37" i="25"/>
  <c r="AO37" i="25"/>
  <c r="AP37" i="25"/>
  <c r="A38" i="25"/>
  <c r="B38" i="25"/>
  <c r="C38" i="25"/>
  <c r="D38" i="25"/>
  <c r="E38" i="25"/>
  <c r="F38" i="25"/>
  <c r="H38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AE38" i="25"/>
  <c r="AF38" i="25"/>
  <c r="AG38" i="25"/>
  <c r="AH38" i="25"/>
  <c r="AI38" i="25"/>
  <c r="AL38" i="25"/>
  <c r="AM38" i="25"/>
  <c r="AN38" i="25"/>
  <c r="AO38" i="25"/>
  <c r="AP38" i="25"/>
  <c r="A39" i="25"/>
  <c r="B39" i="25"/>
  <c r="C39" i="25"/>
  <c r="D39" i="25"/>
  <c r="E39" i="25"/>
  <c r="F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AE39" i="25"/>
  <c r="AF39" i="25"/>
  <c r="AG39" i="25"/>
  <c r="AH39" i="25"/>
  <c r="AI39" i="25"/>
  <c r="AL39" i="25"/>
  <c r="AM39" i="25"/>
  <c r="AN39" i="25"/>
  <c r="AO39" i="25"/>
  <c r="AP39" i="25"/>
  <c r="A40" i="25"/>
  <c r="B40" i="25"/>
  <c r="C40" i="25"/>
  <c r="D40" i="25"/>
  <c r="E40" i="25"/>
  <c r="F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AE40" i="25"/>
  <c r="AF40" i="25"/>
  <c r="AG40" i="25"/>
  <c r="AH40" i="25"/>
  <c r="AI40" i="25"/>
  <c r="AL40" i="25"/>
  <c r="AM40" i="25"/>
  <c r="AN40" i="25"/>
  <c r="AO40" i="25"/>
  <c r="AP40" i="25"/>
  <c r="A41" i="25"/>
  <c r="B41" i="25"/>
  <c r="C41" i="25"/>
  <c r="D41" i="25"/>
  <c r="E41" i="25"/>
  <c r="F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AE41" i="25"/>
  <c r="AF41" i="25"/>
  <c r="AG41" i="25"/>
  <c r="AH41" i="25"/>
  <c r="AI41" i="25"/>
  <c r="AL41" i="25"/>
  <c r="AM41" i="25"/>
  <c r="AN41" i="25"/>
  <c r="AO41" i="25"/>
  <c r="AP41" i="25"/>
  <c r="A42" i="25"/>
  <c r="B42" i="25"/>
  <c r="C42" i="25"/>
  <c r="D42" i="25"/>
  <c r="E42" i="25"/>
  <c r="F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AE42" i="25"/>
  <c r="AF42" i="25"/>
  <c r="AG42" i="25"/>
  <c r="AH42" i="25"/>
  <c r="AI42" i="25"/>
  <c r="AL42" i="25"/>
  <c r="AM42" i="25"/>
  <c r="AN42" i="25"/>
  <c r="AO42" i="25"/>
  <c r="AP42" i="25"/>
  <c r="A43" i="25"/>
  <c r="B43" i="25"/>
  <c r="C43" i="25"/>
  <c r="D43" i="25"/>
  <c r="E43" i="25"/>
  <c r="F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AE43" i="25"/>
  <c r="AF43" i="25"/>
  <c r="AG43" i="25"/>
  <c r="AH43" i="25"/>
  <c r="AI43" i="25"/>
  <c r="AL43" i="25"/>
  <c r="AM43" i="25"/>
  <c r="AN43" i="25"/>
  <c r="AO43" i="25"/>
  <c r="AP43" i="25"/>
  <c r="A44" i="25"/>
  <c r="B44" i="25"/>
  <c r="C44" i="25"/>
  <c r="D44" i="25"/>
  <c r="E44" i="25"/>
  <c r="F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AE44" i="25"/>
  <c r="AF44" i="25"/>
  <c r="AG44" i="25"/>
  <c r="AH44" i="25"/>
  <c r="AI44" i="25"/>
  <c r="AL44" i="25"/>
  <c r="AM44" i="25"/>
  <c r="AN44" i="25"/>
  <c r="AO44" i="25"/>
  <c r="AP44" i="25"/>
  <c r="A45" i="25"/>
  <c r="B45" i="25"/>
  <c r="C45" i="25"/>
  <c r="D45" i="25"/>
  <c r="E45" i="25"/>
  <c r="F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AE45" i="25"/>
  <c r="AF45" i="25"/>
  <c r="AG45" i="25"/>
  <c r="AH45" i="25"/>
  <c r="AI45" i="25"/>
  <c r="AL45" i="25"/>
  <c r="AM45" i="25"/>
  <c r="AN45" i="25"/>
  <c r="AO45" i="25"/>
  <c r="AP45" i="25"/>
  <c r="A46" i="25"/>
  <c r="B46" i="25"/>
  <c r="C46" i="25"/>
  <c r="D46" i="25"/>
  <c r="E46" i="25"/>
  <c r="F46" i="25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AE46" i="25"/>
  <c r="AF46" i="25"/>
  <c r="AG46" i="25"/>
  <c r="AH46" i="25"/>
  <c r="AI46" i="25"/>
  <c r="AL46" i="25"/>
  <c r="AM46" i="25"/>
  <c r="AN46" i="25"/>
  <c r="AO46" i="25"/>
  <c r="AP46" i="25"/>
  <c r="A47" i="25"/>
  <c r="B47" i="25"/>
  <c r="C47" i="25"/>
  <c r="D47" i="25"/>
  <c r="E47" i="25"/>
  <c r="F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AE47" i="25"/>
  <c r="AF47" i="25"/>
  <c r="AG47" i="25"/>
  <c r="AH47" i="25"/>
  <c r="AI47" i="25"/>
  <c r="AL47" i="25"/>
  <c r="AM47" i="25"/>
  <c r="AN47" i="25"/>
  <c r="AO47" i="25"/>
  <c r="AP47" i="25"/>
  <c r="A48" i="25"/>
  <c r="B48" i="25"/>
  <c r="C48" i="25"/>
  <c r="D48" i="25"/>
  <c r="E48" i="25"/>
  <c r="F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AE48" i="25"/>
  <c r="AF48" i="25"/>
  <c r="AG48" i="25"/>
  <c r="AH48" i="25"/>
  <c r="AI48" i="25"/>
  <c r="AL48" i="25"/>
  <c r="AM48" i="25"/>
  <c r="AN48" i="25"/>
  <c r="AO48" i="25"/>
  <c r="AP48" i="25"/>
  <c r="A49" i="25"/>
  <c r="B49" i="25"/>
  <c r="C49" i="25"/>
  <c r="D49" i="25"/>
  <c r="E49" i="25"/>
  <c r="F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AE49" i="25"/>
  <c r="AF49" i="25"/>
  <c r="AG49" i="25"/>
  <c r="AH49" i="25"/>
  <c r="AI49" i="25"/>
  <c r="AL49" i="25"/>
  <c r="AM49" i="25"/>
  <c r="AN49" i="25"/>
  <c r="AO49" i="25"/>
  <c r="AP49" i="25"/>
  <c r="A50" i="25"/>
  <c r="B50" i="25"/>
  <c r="C50" i="25"/>
  <c r="D50" i="25"/>
  <c r="E50" i="25"/>
  <c r="F50" i="25"/>
  <c r="H50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AE50" i="25"/>
  <c r="AF50" i="25"/>
  <c r="AG50" i="25"/>
  <c r="AH50" i="25"/>
  <c r="AI50" i="25"/>
  <c r="AL50" i="25"/>
  <c r="AM50" i="25"/>
  <c r="AN50" i="25"/>
  <c r="AO50" i="25"/>
  <c r="AP50" i="25"/>
  <c r="A51" i="25"/>
  <c r="B51" i="25"/>
  <c r="C51" i="25"/>
  <c r="D51" i="25"/>
  <c r="E51" i="25"/>
  <c r="F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AE51" i="25"/>
  <c r="AF51" i="25"/>
  <c r="AG51" i="25"/>
  <c r="AH51" i="25"/>
  <c r="AI51" i="25"/>
  <c r="AL51" i="25"/>
  <c r="AM51" i="25"/>
  <c r="AN51" i="25"/>
  <c r="AO51" i="25"/>
  <c r="AP51" i="25"/>
  <c r="A52" i="25"/>
  <c r="B52" i="25"/>
  <c r="C52" i="25"/>
  <c r="D52" i="25"/>
  <c r="E52" i="25"/>
  <c r="F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AE52" i="25"/>
  <c r="AF52" i="25"/>
  <c r="AG52" i="25"/>
  <c r="AH52" i="25"/>
  <c r="AI52" i="25"/>
  <c r="AL52" i="25"/>
  <c r="AM52" i="25"/>
  <c r="AN52" i="25"/>
  <c r="AO52" i="25"/>
  <c r="AP52" i="25"/>
  <c r="A53" i="25"/>
  <c r="B53" i="25"/>
  <c r="C53" i="25"/>
  <c r="D53" i="25"/>
  <c r="E53" i="25"/>
  <c r="F53" i="25"/>
  <c r="H53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U53" i="25"/>
  <c r="V53" i="25"/>
  <c r="W53" i="25"/>
  <c r="AE53" i="25"/>
  <c r="AF53" i="25"/>
  <c r="AG53" i="25"/>
  <c r="AH53" i="25"/>
  <c r="AI53" i="25"/>
  <c r="AL53" i="25"/>
  <c r="AM53" i="25"/>
  <c r="AN53" i="25"/>
  <c r="AO53" i="25"/>
  <c r="AP53" i="25"/>
  <c r="A54" i="25"/>
  <c r="B54" i="25"/>
  <c r="C54" i="25"/>
  <c r="D54" i="25"/>
  <c r="E54" i="25"/>
  <c r="F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AE54" i="25"/>
  <c r="AF54" i="25"/>
  <c r="AG54" i="25"/>
  <c r="AH54" i="25"/>
  <c r="AI54" i="25"/>
  <c r="AL54" i="25"/>
  <c r="AM54" i="25"/>
  <c r="AN54" i="25"/>
  <c r="AO54" i="25"/>
  <c r="AP54" i="25"/>
  <c r="A55" i="25"/>
  <c r="B55" i="25"/>
  <c r="C55" i="25"/>
  <c r="D55" i="25"/>
  <c r="E55" i="25"/>
  <c r="F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AE55" i="25"/>
  <c r="AF55" i="25"/>
  <c r="AG55" i="25"/>
  <c r="AH55" i="25"/>
  <c r="AI55" i="25"/>
  <c r="AL55" i="25"/>
  <c r="AM55" i="25"/>
  <c r="AN55" i="25"/>
  <c r="AO55" i="25"/>
  <c r="AP55" i="25"/>
  <c r="A56" i="25"/>
  <c r="E1" i="53"/>
  <c r="B2" i="53"/>
  <c r="E2" i="53"/>
  <c r="T2" i="53"/>
  <c r="U2" i="53"/>
  <c r="T3" i="53"/>
  <c r="U3" i="53"/>
  <c r="C9" i="53"/>
  <c r="E9" i="53"/>
  <c r="G9" i="53"/>
  <c r="I9" i="53"/>
  <c r="C10" i="53"/>
  <c r="E10" i="53"/>
  <c r="G10" i="53"/>
  <c r="I10" i="53"/>
  <c r="B11" i="53"/>
  <c r="D11" i="53"/>
  <c r="F11" i="53"/>
  <c r="H11" i="53"/>
  <c r="B12" i="53"/>
  <c r="D12" i="53"/>
  <c r="F12" i="53"/>
  <c r="H12" i="53"/>
  <c r="B14" i="53"/>
  <c r="D14" i="53"/>
  <c r="F14" i="53"/>
  <c r="H14" i="53"/>
  <c r="B20" i="53"/>
  <c r="D20" i="53"/>
  <c r="F20" i="53"/>
  <c r="H20" i="53"/>
  <c r="K20" i="53"/>
  <c r="L20" i="53"/>
  <c r="B21" i="53"/>
  <c r="D21" i="53"/>
  <c r="F21" i="53"/>
  <c r="H21" i="53"/>
  <c r="L21" i="53"/>
  <c r="A22" i="53"/>
  <c r="B22" i="53"/>
  <c r="D22" i="53"/>
  <c r="F22" i="53"/>
  <c r="H22" i="53"/>
  <c r="B24" i="53"/>
  <c r="F24" i="53"/>
  <c r="AC24" i="53"/>
  <c r="AD24" i="53"/>
  <c r="AH24" i="53"/>
  <c r="AI24" i="53"/>
  <c r="AJ24" i="53"/>
  <c r="AN24" i="53"/>
  <c r="AO24" i="53"/>
  <c r="AS24" i="53"/>
  <c r="AT24" i="53"/>
  <c r="AU24" i="53"/>
  <c r="AY24" i="53"/>
  <c r="AZ24" i="53"/>
  <c r="BD24" i="53"/>
  <c r="BE24" i="53"/>
  <c r="BF24" i="53"/>
  <c r="BJ24" i="53"/>
  <c r="BK24" i="53"/>
  <c r="BO24" i="53"/>
  <c r="BP24" i="53"/>
  <c r="BQ24" i="53"/>
  <c r="AB25" i="53"/>
  <c r="AM25" i="53"/>
  <c r="AX25" i="53"/>
  <c r="BI25" i="53"/>
  <c r="AB26" i="53"/>
  <c r="AC26" i="53"/>
  <c r="AD26" i="53"/>
  <c r="AH26" i="53"/>
  <c r="AI26" i="53"/>
  <c r="AJ26" i="53"/>
  <c r="AM26" i="53"/>
  <c r="AN26" i="53"/>
  <c r="AO26" i="53"/>
  <c r="AS26" i="53"/>
  <c r="AT26" i="53"/>
  <c r="AU26" i="53"/>
  <c r="AX26" i="53"/>
  <c r="AY26" i="53"/>
  <c r="AZ26" i="53"/>
  <c r="BD26" i="53"/>
  <c r="BE26" i="53"/>
  <c r="BF26" i="53"/>
  <c r="BI26" i="53"/>
  <c r="BJ26" i="53"/>
  <c r="BK26" i="53"/>
  <c r="BO26" i="53"/>
  <c r="BP26" i="53"/>
  <c r="BQ26" i="53"/>
  <c r="AF27" i="53"/>
  <c r="AQ27" i="53"/>
  <c r="BB27" i="53"/>
  <c r="BM27" i="53"/>
  <c r="AA28" i="53"/>
  <c r="AF28" i="53"/>
  <c r="AL28" i="53"/>
  <c r="AQ28" i="53"/>
  <c r="AW28" i="53"/>
  <c r="BB28" i="53"/>
  <c r="BH28" i="53"/>
  <c r="BM28" i="53"/>
  <c r="AG29" i="53"/>
  <c r="AJ29" i="53"/>
  <c r="AR29" i="53"/>
  <c r="AU29" i="53"/>
  <c r="BC29" i="53"/>
  <c r="BF29" i="53"/>
  <c r="BN29" i="53"/>
  <c r="BQ29" i="53"/>
  <c r="B31" i="53"/>
  <c r="C31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R31" i="53"/>
  <c r="S31" i="53"/>
  <c r="AA31" i="53"/>
  <c r="AB31" i="53"/>
  <c r="AC31" i="53"/>
  <c r="AD31" i="53"/>
  <c r="AE31" i="53"/>
  <c r="AF31" i="53"/>
  <c r="AG31" i="53"/>
  <c r="AH31" i="53"/>
  <c r="AI31" i="53"/>
  <c r="AJ31" i="53"/>
  <c r="AL31" i="53"/>
  <c r="AM31" i="53"/>
  <c r="AN31" i="53"/>
  <c r="AO31" i="53"/>
  <c r="AP31" i="53"/>
  <c r="AQ31" i="53"/>
  <c r="AR31" i="53"/>
  <c r="AS31" i="53"/>
  <c r="AT31" i="53"/>
  <c r="AU31" i="53"/>
  <c r="AW31" i="53"/>
  <c r="AX31" i="53"/>
  <c r="AY31" i="53"/>
  <c r="AZ31" i="53"/>
  <c r="BA31" i="53"/>
  <c r="BB31" i="53"/>
  <c r="BC31" i="53"/>
  <c r="BD31" i="53"/>
  <c r="BE31" i="53"/>
  <c r="BF31" i="53"/>
  <c r="BH31" i="53"/>
  <c r="BI31" i="53"/>
  <c r="BJ31" i="53"/>
  <c r="BK31" i="53"/>
  <c r="BL31" i="53"/>
  <c r="BM31" i="53"/>
  <c r="BN31" i="53"/>
  <c r="BO31" i="53"/>
  <c r="BP31" i="53"/>
  <c r="BQ31" i="53"/>
  <c r="A32" i="53"/>
  <c r="B32" i="53"/>
  <c r="C32" i="53"/>
  <c r="D32" i="53"/>
  <c r="E32" i="53"/>
  <c r="F32" i="53"/>
  <c r="G32" i="53"/>
  <c r="H32" i="53"/>
  <c r="I32" i="53"/>
  <c r="J32" i="53"/>
  <c r="K32" i="53"/>
  <c r="L32" i="53"/>
  <c r="M32" i="53"/>
  <c r="N32" i="53"/>
  <c r="O32" i="53"/>
  <c r="P32" i="53"/>
  <c r="Q32" i="53"/>
  <c r="R32" i="53"/>
  <c r="S32" i="53"/>
  <c r="AA32" i="53"/>
  <c r="AB32" i="53"/>
  <c r="AC32" i="53"/>
  <c r="AD32" i="53"/>
  <c r="AE32" i="53"/>
  <c r="AF32" i="53"/>
  <c r="AG32" i="53"/>
  <c r="AH32" i="53"/>
  <c r="AI32" i="53"/>
  <c r="AJ32" i="53"/>
  <c r="AL32" i="53"/>
  <c r="AM32" i="53"/>
  <c r="AN32" i="53"/>
  <c r="AO32" i="53"/>
  <c r="AP32" i="53"/>
  <c r="AQ32" i="53"/>
  <c r="AR32" i="53"/>
  <c r="AS32" i="53"/>
  <c r="AT32" i="53"/>
  <c r="AU32" i="53"/>
  <c r="AW32" i="53"/>
  <c r="AX32" i="53"/>
  <c r="AY32" i="53"/>
  <c r="AZ32" i="53"/>
  <c r="BA32" i="53"/>
  <c r="BB32" i="53"/>
  <c r="BC32" i="53"/>
  <c r="BD32" i="53"/>
  <c r="BE32" i="53"/>
  <c r="BF32" i="53"/>
  <c r="BH32" i="53"/>
  <c r="BI32" i="53"/>
  <c r="BJ32" i="53"/>
  <c r="BK32" i="53"/>
  <c r="BL32" i="53"/>
  <c r="BM32" i="53"/>
  <c r="BN32" i="53"/>
  <c r="BO32" i="53"/>
  <c r="BP32" i="53"/>
  <c r="BQ32" i="53"/>
  <c r="A33" i="53"/>
  <c r="B33" i="53"/>
  <c r="C33" i="53"/>
  <c r="D33" i="53"/>
  <c r="E33" i="53"/>
  <c r="F33" i="53"/>
  <c r="G33" i="53"/>
  <c r="H33" i="53"/>
  <c r="I33" i="53"/>
  <c r="J33" i="53"/>
  <c r="K33" i="53"/>
  <c r="L33" i="53"/>
  <c r="M33" i="53"/>
  <c r="N33" i="53"/>
  <c r="O33" i="53"/>
  <c r="P33" i="53"/>
  <c r="Q33" i="53"/>
  <c r="R33" i="53"/>
  <c r="S33" i="53"/>
  <c r="AA33" i="53"/>
  <c r="AB33" i="53"/>
  <c r="AC33" i="53"/>
  <c r="AD33" i="53"/>
  <c r="AE33" i="53"/>
  <c r="AF33" i="53"/>
  <c r="AG33" i="53"/>
  <c r="AH33" i="53"/>
  <c r="AI33" i="53"/>
  <c r="AJ33" i="53"/>
  <c r="AL33" i="53"/>
  <c r="AM33" i="53"/>
  <c r="AN33" i="53"/>
  <c r="AO33" i="53"/>
  <c r="AP33" i="53"/>
  <c r="AQ33" i="53"/>
  <c r="AR33" i="53"/>
  <c r="AS33" i="53"/>
  <c r="AT33" i="53"/>
  <c r="AU33" i="53"/>
  <c r="AW33" i="53"/>
  <c r="AX33" i="53"/>
  <c r="AY33" i="53"/>
  <c r="AZ33" i="53"/>
  <c r="BA33" i="53"/>
  <c r="BB33" i="53"/>
  <c r="BC33" i="53"/>
  <c r="BD33" i="53"/>
  <c r="BE33" i="53"/>
  <c r="BF33" i="53"/>
  <c r="BH33" i="53"/>
  <c r="BI33" i="53"/>
  <c r="BJ33" i="53"/>
  <c r="BK33" i="53"/>
  <c r="BL33" i="53"/>
  <c r="BM33" i="53"/>
  <c r="BN33" i="53"/>
  <c r="BO33" i="53"/>
  <c r="BP33" i="53"/>
  <c r="BQ33" i="53"/>
  <c r="A34" i="53"/>
  <c r="B34" i="53"/>
  <c r="C34" i="53"/>
  <c r="D34" i="53"/>
  <c r="E34" i="53"/>
  <c r="F34" i="53"/>
  <c r="G34" i="53"/>
  <c r="H34" i="53"/>
  <c r="I34" i="53"/>
  <c r="J34" i="53"/>
  <c r="K34" i="53"/>
  <c r="L34" i="53"/>
  <c r="M34" i="53"/>
  <c r="N34" i="53"/>
  <c r="O34" i="53"/>
  <c r="P34" i="53"/>
  <c r="Q34" i="53"/>
  <c r="R34" i="53"/>
  <c r="S34" i="53"/>
  <c r="AA34" i="53"/>
  <c r="AB34" i="53"/>
  <c r="AC34" i="53"/>
  <c r="AD34" i="53"/>
  <c r="AE34" i="53"/>
  <c r="AF34" i="53"/>
  <c r="AG34" i="53"/>
  <c r="AH34" i="53"/>
  <c r="AI34" i="53"/>
  <c r="AJ34" i="53"/>
  <c r="AL34" i="53"/>
  <c r="AM34" i="53"/>
  <c r="AN34" i="53"/>
  <c r="AO34" i="53"/>
  <c r="AP34" i="53"/>
  <c r="AQ34" i="53"/>
  <c r="AR34" i="53"/>
  <c r="AS34" i="53"/>
  <c r="AT34" i="53"/>
  <c r="AU34" i="53"/>
  <c r="AW34" i="53"/>
  <c r="AX34" i="53"/>
  <c r="AY34" i="53"/>
  <c r="AZ34" i="53"/>
  <c r="BA34" i="53"/>
  <c r="BB34" i="53"/>
  <c r="BC34" i="53"/>
  <c r="BD34" i="53"/>
  <c r="BE34" i="53"/>
  <c r="BF34" i="53"/>
  <c r="BH34" i="53"/>
  <c r="BI34" i="53"/>
  <c r="BJ34" i="53"/>
  <c r="BK34" i="53"/>
  <c r="BL34" i="53"/>
  <c r="BM34" i="53"/>
  <c r="BN34" i="53"/>
  <c r="BO34" i="53"/>
  <c r="BP34" i="53"/>
  <c r="BQ34" i="53"/>
  <c r="A35" i="53"/>
  <c r="B35" i="53"/>
  <c r="C35" i="53"/>
  <c r="D35" i="53"/>
  <c r="E35" i="53"/>
  <c r="F35" i="53"/>
  <c r="G35" i="53"/>
  <c r="H35" i="53"/>
  <c r="I35" i="53"/>
  <c r="J35" i="53"/>
  <c r="K35" i="53"/>
  <c r="L35" i="53"/>
  <c r="M35" i="53"/>
  <c r="N35" i="53"/>
  <c r="O35" i="53"/>
  <c r="P35" i="53"/>
  <c r="Q35" i="53"/>
  <c r="R35" i="53"/>
  <c r="S35" i="53"/>
  <c r="AA35" i="53"/>
  <c r="AB35" i="53"/>
  <c r="AC35" i="53"/>
  <c r="AD35" i="53"/>
  <c r="AE35" i="53"/>
  <c r="AF35" i="53"/>
  <c r="AG35" i="53"/>
  <c r="AH35" i="53"/>
  <c r="AI35" i="53"/>
  <c r="AJ35" i="53"/>
  <c r="AL35" i="53"/>
  <c r="AM35" i="53"/>
  <c r="AN35" i="53"/>
  <c r="AO35" i="53"/>
  <c r="AP35" i="53"/>
  <c r="AQ35" i="53"/>
  <c r="AR35" i="53"/>
  <c r="AS35" i="53"/>
  <c r="AT35" i="53"/>
  <c r="AU35" i="53"/>
  <c r="AW35" i="53"/>
  <c r="AX35" i="53"/>
  <c r="AY35" i="53"/>
  <c r="AZ35" i="53"/>
  <c r="BA35" i="53"/>
  <c r="BB35" i="53"/>
  <c r="BC35" i="53"/>
  <c r="BD35" i="53"/>
  <c r="BE35" i="53"/>
  <c r="BF35" i="53"/>
  <c r="BH35" i="53"/>
  <c r="BI35" i="53"/>
  <c r="BJ35" i="53"/>
  <c r="BK35" i="53"/>
  <c r="BL35" i="53"/>
  <c r="BM35" i="53"/>
  <c r="BN35" i="53"/>
  <c r="BO35" i="53"/>
  <c r="BP35" i="53"/>
  <c r="BQ35" i="53"/>
  <c r="A36" i="53"/>
  <c r="B36" i="53"/>
  <c r="C36" i="53"/>
  <c r="D36" i="53"/>
  <c r="E36" i="53"/>
  <c r="F36" i="53"/>
  <c r="G36" i="53"/>
  <c r="H36" i="53"/>
  <c r="I36" i="53"/>
  <c r="J36" i="53"/>
  <c r="K36" i="53"/>
  <c r="L36" i="53"/>
  <c r="M36" i="53"/>
  <c r="N36" i="53"/>
  <c r="O36" i="53"/>
  <c r="P36" i="53"/>
  <c r="Q36" i="53"/>
  <c r="R36" i="53"/>
  <c r="S36" i="53"/>
  <c r="AA36" i="53"/>
  <c r="AB36" i="53"/>
  <c r="AC36" i="53"/>
  <c r="AD36" i="53"/>
  <c r="AE36" i="53"/>
  <c r="AF36" i="53"/>
  <c r="AG36" i="53"/>
  <c r="AH36" i="53"/>
  <c r="AI36" i="53"/>
  <c r="AJ36" i="53"/>
  <c r="AL36" i="53"/>
  <c r="AM36" i="53"/>
  <c r="AN36" i="53"/>
  <c r="AO36" i="53"/>
  <c r="AP36" i="53"/>
  <c r="AQ36" i="53"/>
  <c r="AR36" i="53"/>
  <c r="AS36" i="53"/>
  <c r="AT36" i="53"/>
  <c r="AU36" i="53"/>
  <c r="AW36" i="53"/>
  <c r="AX36" i="53"/>
  <c r="AY36" i="53"/>
  <c r="AZ36" i="53"/>
  <c r="BA36" i="53"/>
  <c r="BB36" i="53"/>
  <c r="BC36" i="53"/>
  <c r="BD36" i="53"/>
  <c r="BE36" i="53"/>
  <c r="BF36" i="53"/>
  <c r="BH36" i="53"/>
  <c r="BI36" i="53"/>
  <c r="BJ36" i="53"/>
  <c r="BK36" i="53"/>
  <c r="BL36" i="53"/>
  <c r="BM36" i="53"/>
  <c r="BN36" i="53"/>
  <c r="BO36" i="53"/>
  <c r="BP36" i="53"/>
  <c r="BQ36" i="53"/>
  <c r="A37" i="53"/>
  <c r="B37" i="53"/>
  <c r="C37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R37" i="53"/>
  <c r="S37" i="53"/>
  <c r="AA37" i="53"/>
  <c r="AB37" i="53"/>
  <c r="AC37" i="53"/>
  <c r="AD37" i="53"/>
  <c r="AE37" i="53"/>
  <c r="AF37" i="53"/>
  <c r="AG37" i="53"/>
  <c r="AH37" i="53"/>
  <c r="AI37" i="53"/>
  <c r="AJ37" i="53"/>
  <c r="AL37" i="53"/>
  <c r="AM37" i="53"/>
  <c r="AN37" i="53"/>
  <c r="AO37" i="53"/>
  <c r="AP37" i="53"/>
  <c r="AQ37" i="53"/>
  <c r="AR37" i="53"/>
  <c r="AS37" i="53"/>
  <c r="AT37" i="53"/>
  <c r="AU37" i="53"/>
  <c r="AW37" i="53"/>
  <c r="AX37" i="53"/>
  <c r="AY37" i="53"/>
  <c r="AZ37" i="53"/>
  <c r="BA37" i="53"/>
  <c r="BB37" i="53"/>
  <c r="BC37" i="53"/>
  <c r="BD37" i="53"/>
  <c r="BE37" i="53"/>
  <c r="BF37" i="53"/>
  <c r="BH37" i="53"/>
  <c r="BI37" i="53"/>
  <c r="BJ37" i="53"/>
  <c r="BK37" i="53"/>
  <c r="BL37" i="53"/>
  <c r="BM37" i="53"/>
  <c r="BN37" i="53"/>
  <c r="BO37" i="53"/>
  <c r="BP37" i="53"/>
  <c r="BQ37" i="53"/>
  <c r="A38" i="53"/>
  <c r="B38" i="53"/>
  <c r="C38" i="53"/>
  <c r="D38" i="53"/>
  <c r="E38" i="53"/>
  <c r="F38" i="53"/>
  <c r="G38" i="53"/>
  <c r="H38" i="53"/>
  <c r="I38" i="53"/>
  <c r="J38" i="53"/>
  <c r="K38" i="53"/>
  <c r="L38" i="53"/>
  <c r="M38" i="53"/>
  <c r="N38" i="53"/>
  <c r="O38" i="53"/>
  <c r="P38" i="53"/>
  <c r="Q38" i="53"/>
  <c r="R38" i="53"/>
  <c r="S38" i="53"/>
  <c r="AA38" i="53"/>
  <c r="AB38" i="53"/>
  <c r="AC38" i="53"/>
  <c r="AD38" i="53"/>
  <c r="AE38" i="53"/>
  <c r="AF38" i="53"/>
  <c r="AG38" i="53"/>
  <c r="AH38" i="53"/>
  <c r="AI38" i="53"/>
  <c r="AJ38" i="53"/>
  <c r="AL38" i="53"/>
  <c r="AM38" i="53"/>
  <c r="AN38" i="53"/>
  <c r="AO38" i="53"/>
  <c r="AP38" i="53"/>
  <c r="AQ38" i="53"/>
  <c r="AR38" i="53"/>
  <c r="AS38" i="53"/>
  <c r="AT38" i="53"/>
  <c r="AU38" i="53"/>
  <c r="AW38" i="53"/>
  <c r="AX38" i="53"/>
  <c r="AY38" i="53"/>
  <c r="AZ38" i="53"/>
  <c r="BA38" i="53"/>
  <c r="BB38" i="53"/>
  <c r="BC38" i="53"/>
  <c r="BD38" i="53"/>
  <c r="BE38" i="53"/>
  <c r="BF38" i="53"/>
  <c r="BH38" i="53"/>
  <c r="BI38" i="53"/>
  <c r="BJ38" i="53"/>
  <c r="BK38" i="53"/>
  <c r="BL38" i="53"/>
  <c r="BM38" i="53"/>
  <c r="BN38" i="53"/>
  <c r="BO38" i="53"/>
  <c r="BP38" i="53"/>
  <c r="BQ38" i="53"/>
  <c r="A39" i="53"/>
  <c r="B39" i="53"/>
  <c r="C39" i="53"/>
  <c r="D39" i="53"/>
  <c r="E39" i="53"/>
  <c r="F39" i="53"/>
  <c r="G39" i="53"/>
  <c r="H39" i="53"/>
  <c r="I39" i="53"/>
  <c r="J39" i="53"/>
  <c r="K39" i="53"/>
  <c r="L39" i="53"/>
  <c r="M39" i="53"/>
  <c r="N39" i="53"/>
  <c r="O39" i="53"/>
  <c r="P39" i="53"/>
  <c r="Q39" i="53"/>
  <c r="R39" i="53"/>
  <c r="S39" i="53"/>
  <c r="AA39" i="53"/>
  <c r="AB39" i="53"/>
  <c r="AC39" i="53"/>
  <c r="AD39" i="53"/>
  <c r="AE39" i="53"/>
  <c r="AF39" i="53"/>
  <c r="AG39" i="53"/>
  <c r="AH39" i="53"/>
  <c r="AI39" i="53"/>
  <c r="AJ39" i="53"/>
  <c r="AL39" i="53"/>
  <c r="AM39" i="53"/>
  <c r="AN39" i="53"/>
  <c r="AO39" i="53"/>
  <c r="AP39" i="53"/>
  <c r="AQ39" i="53"/>
  <c r="AR39" i="53"/>
  <c r="AS39" i="53"/>
  <c r="AT39" i="53"/>
  <c r="AU39" i="53"/>
  <c r="AW39" i="53"/>
  <c r="AX39" i="53"/>
  <c r="AY39" i="53"/>
  <c r="AZ39" i="53"/>
  <c r="BA39" i="53"/>
  <c r="BB39" i="53"/>
  <c r="BC39" i="53"/>
  <c r="BD39" i="53"/>
  <c r="BE39" i="53"/>
  <c r="BF39" i="53"/>
  <c r="BH39" i="53"/>
  <c r="BI39" i="53"/>
  <c r="BJ39" i="53"/>
  <c r="BK39" i="53"/>
  <c r="BL39" i="53"/>
  <c r="BM39" i="53"/>
  <c r="BN39" i="53"/>
  <c r="BO39" i="53"/>
  <c r="BP39" i="53"/>
  <c r="BQ39" i="53"/>
  <c r="A40" i="53"/>
  <c r="B40" i="53"/>
  <c r="C40" i="53"/>
  <c r="D40" i="53"/>
  <c r="E40" i="53"/>
  <c r="F40" i="53"/>
  <c r="G40" i="53"/>
  <c r="H40" i="53"/>
  <c r="I40" i="53"/>
  <c r="J40" i="53"/>
  <c r="K40" i="53"/>
  <c r="L40" i="53"/>
  <c r="M40" i="53"/>
  <c r="N40" i="53"/>
  <c r="O40" i="53"/>
  <c r="P40" i="53"/>
  <c r="Q40" i="53"/>
  <c r="R40" i="53"/>
  <c r="S40" i="53"/>
  <c r="AA40" i="53"/>
  <c r="AB40" i="53"/>
  <c r="AC40" i="53"/>
  <c r="AD40" i="53"/>
  <c r="AE40" i="53"/>
  <c r="AF40" i="53"/>
  <c r="AG40" i="53"/>
  <c r="AH40" i="53"/>
  <c r="AI40" i="53"/>
  <c r="AJ40" i="53"/>
  <c r="AL40" i="53"/>
  <c r="AM40" i="53"/>
  <c r="AN40" i="53"/>
  <c r="AO40" i="53"/>
  <c r="AP40" i="53"/>
  <c r="AQ40" i="53"/>
  <c r="AR40" i="53"/>
  <c r="AS40" i="53"/>
  <c r="AT40" i="53"/>
  <c r="AU40" i="53"/>
  <c r="AW40" i="53"/>
  <c r="AX40" i="53"/>
  <c r="AY40" i="53"/>
  <c r="AZ40" i="53"/>
  <c r="BA40" i="53"/>
  <c r="BB40" i="53"/>
  <c r="BC40" i="53"/>
  <c r="BD40" i="53"/>
  <c r="BE40" i="53"/>
  <c r="BF40" i="53"/>
  <c r="BH40" i="53"/>
  <c r="BI40" i="53"/>
  <c r="BJ40" i="53"/>
  <c r="BK40" i="53"/>
  <c r="BL40" i="53"/>
  <c r="BM40" i="53"/>
  <c r="BN40" i="53"/>
  <c r="BO40" i="53"/>
  <c r="BP40" i="53"/>
  <c r="BQ40" i="53"/>
  <c r="A41" i="53"/>
  <c r="B41" i="53"/>
  <c r="C41" i="53"/>
  <c r="D41" i="53"/>
  <c r="E41" i="53"/>
  <c r="F41" i="53"/>
  <c r="G41" i="53"/>
  <c r="H41" i="53"/>
  <c r="I41" i="53"/>
  <c r="J41" i="53"/>
  <c r="K41" i="53"/>
  <c r="L41" i="53"/>
  <c r="M41" i="53"/>
  <c r="N41" i="53"/>
  <c r="O41" i="53"/>
  <c r="P41" i="53"/>
  <c r="Q41" i="53"/>
  <c r="R41" i="53"/>
  <c r="S41" i="53"/>
  <c r="AA41" i="53"/>
  <c r="AB41" i="53"/>
  <c r="AC41" i="53"/>
  <c r="AD41" i="53"/>
  <c r="AE41" i="53"/>
  <c r="AF41" i="53"/>
  <c r="AG41" i="53"/>
  <c r="AH41" i="53"/>
  <c r="AI41" i="53"/>
  <c r="AJ41" i="53"/>
  <c r="AL41" i="53"/>
  <c r="AM41" i="53"/>
  <c r="AN41" i="53"/>
  <c r="AO41" i="53"/>
  <c r="AP41" i="53"/>
  <c r="AQ41" i="53"/>
  <c r="AR41" i="53"/>
  <c r="AS41" i="53"/>
  <c r="AT41" i="53"/>
  <c r="AU41" i="53"/>
  <c r="AW41" i="53"/>
  <c r="AX41" i="53"/>
  <c r="AY41" i="53"/>
  <c r="AZ41" i="53"/>
  <c r="BA41" i="53"/>
  <c r="BB41" i="53"/>
  <c r="BC41" i="53"/>
  <c r="BD41" i="53"/>
  <c r="BE41" i="53"/>
  <c r="BF41" i="53"/>
  <c r="BH41" i="53"/>
  <c r="BI41" i="53"/>
  <c r="BJ41" i="53"/>
  <c r="BK41" i="53"/>
  <c r="BL41" i="53"/>
  <c r="BM41" i="53"/>
  <c r="BN41" i="53"/>
  <c r="BO41" i="53"/>
  <c r="BP41" i="53"/>
  <c r="BQ41" i="53"/>
  <c r="A42" i="53"/>
  <c r="B42" i="53"/>
  <c r="C42" i="53"/>
  <c r="D42" i="53"/>
  <c r="E42" i="53"/>
  <c r="F42" i="53"/>
  <c r="G42" i="53"/>
  <c r="H42" i="53"/>
  <c r="I42" i="53"/>
  <c r="J42" i="53"/>
  <c r="K42" i="53"/>
  <c r="L42" i="53"/>
  <c r="M42" i="53"/>
  <c r="N42" i="53"/>
  <c r="O42" i="53"/>
  <c r="P42" i="53"/>
  <c r="Q42" i="53"/>
  <c r="R42" i="53"/>
  <c r="S42" i="53"/>
  <c r="AA42" i="53"/>
  <c r="AB42" i="53"/>
  <c r="AC42" i="53"/>
  <c r="AD42" i="53"/>
  <c r="AE42" i="53"/>
  <c r="AF42" i="53"/>
  <c r="AG42" i="53"/>
  <c r="AH42" i="53"/>
  <c r="AI42" i="53"/>
  <c r="AJ42" i="53"/>
  <c r="AL42" i="53"/>
  <c r="AM42" i="53"/>
  <c r="AN42" i="53"/>
  <c r="AO42" i="53"/>
  <c r="AP42" i="53"/>
  <c r="AQ42" i="53"/>
  <c r="AR42" i="53"/>
  <c r="AS42" i="53"/>
  <c r="AT42" i="53"/>
  <c r="AU42" i="53"/>
  <c r="AW42" i="53"/>
  <c r="AX42" i="53"/>
  <c r="AY42" i="53"/>
  <c r="AZ42" i="53"/>
  <c r="BA42" i="53"/>
  <c r="BB42" i="53"/>
  <c r="BC42" i="53"/>
  <c r="BD42" i="53"/>
  <c r="BE42" i="53"/>
  <c r="BF42" i="53"/>
  <c r="BH42" i="53"/>
  <c r="BI42" i="53"/>
  <c r="BJ42" i="53"/>
  <c r="BK42" i="53"/>
  <c r="BL42" i="53"/>
  <c r="BM42" i="53"/>
  <c r="BN42" i="53"/>
  <c r="BO42" i="53"/>
  <c r="BP42" i="53"/>
  <c r="BQ42" i="53"/>
  <c r="A43" i="53"/>
  <c r="B43" i="53"/>
  <c r="C43" i="53"/>
  <c r="D43" i="53"/>
  <c r="E43" i="53"/>
  <c r="F43" i="53"/>
  <c r="G43" i="53"/>
  <c r="H43" i="53"/>
  <c r="I43" i="53"/>
  <c r="J43" i="53"/>
  <c r="K43" i="53"/>
  <c r="L43" i="53"/>
  <c r="M43" i="53"/>
  <c r="N43" i="53"/>
  <c r="O43" i="53"/>
  <c r="P43" i="53"/>
  <c r="Q43" i="53"/>
  <c r="R43" i="53"/>
  <c r="S43" i="53"/>
  <c r="AA43" i="53"/>
  <c r="AB43" i="53"/>
  <c r="AC43" i="53"/>
  <c r="AD43" i="53"/>
  <c r="AE43" i="53"/>
  <c r="AF43" i="53"/>
  <c r="AG43" i="53"/>
  <c r="AH43" i="53"/>
  <c r="AI43" i="53"/>
  <c r="AJ43" i="53"/>
  <c r="AL43" i="53"/>
  <c r="AM43" i="53"/>
  <c r="AN43" i="53"/>
  <c r="AO43" i="53"/>
  <c r="AP43" i="53"/>
  <c r="AQ43" i="53"/>
  <c r="AR43" i="53"/>
  <c r="AS43" i="53"/>
  <c r="AT43" i="53"/>
  <c r="AU43" i="53"/>
  <c r="AW43" i="53"/>
  <c r="AX43" i="53"/>
  <c r="AY43" i="53"/>
  <c r="AZ43" i="53"/>
  <c r="BA43" i="53"/>
  <c r="BB43" i="53"/>
  <c r="BC43" i="53"/>
  <c r="BD43" i="53"/>
  <c r="BE43" i="53"/>
  <c r="BF43" i="53"/>
  <c r="BH43" i="53"/>
  <c r="BI43" i="53"/>
  <c r="BJ43" i="53"/>
  <c r="BK43" i="53"/>
  <c r="BL43" i="53"/>
  <c r="BM43" i="53"/>
  <c r="BN43" i="53"/>
  <c r="BO43" i="53"/>
  <c r="BP43" i="53"/>
  <c r="BQ43" i="53"/>
  <c r="A44" i="53"/>
  <c r="B44" i="53"/>
  <c r="C44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R44" i="53"/>
  <c r="S44" i="53"/>
  <c r="AA44" i="53"/>
  <c r="AB44" i="53"/>
  <c r="AC44" i="53"/>
  <c r="AD44" i="53"/>
  <c r="AE44" i="53"/>
  <c r="AF44" i="53"/>
  <c r="AG44" i="53"/>
  <c r="AH44" i="53"/>
  <c r="AI44" i="53"/>
  <c r="AJ44" i="53"/>
  <c r="AL44" i="53"/>
  <c r="AM44" i="53"/>
  <c r="AN44" i="53"/>
  <c r="AO44" i="53"/>
  <c r="AP44" i="53"/>
  <c r="AQ44" i="53"/>
  <c r="AR44" i="53"/>
  <c r="AS44" i="53"/>
  <c r="AT44" i="53"/>
  <c r="AU44" i="53"/>
  <c r="AW44" i="53"/>
  <c r="AX44" i="53"/>
  <c r="AY44" i="53"/>
  <c r="AZ44" i="53"/>
  <c r="BA44" i="53"/>
  <c r="BB44" i="53"/>
  <c r="BC44" i="53"/>
  <c r="BD44" i="53"/>
  <c r="BE44" i="53"/>
  <c r="BF44" i="53"/>
  <c r="BH44" i="53"/>
  <c r="BI44" i="53"/>
  <c r="BJ44" i="53"/>
  <c r="BK44" i="53"/>
  <c r="BL44" i="53"/>
  <c r="BM44" i="53"/>
  <c r="BN44" i="53"/>
  <c r="BO44" i="53"/>
  <c r="BP44" i="53"/>
  <c r="BQ44" i="53"/>
  <c r="A45" i="53"/>
  <c r="B45" i="53"/>
  <c r="C45" i="53"/>
  <c r="D45" i="53"/>
  <c r="E45" i="53"/>
  <c r="F45" i="53"/>
  <c r="G45" i="53"/>
  <c r="H45" i="53"/>
  <c r="I45" i="53"/>
  <c r="J45" i="53"/>
  <c r="K45" i="53"/>
  <c r="L45" i="53"/>
  <c r="M45" i="53"/>
  <c r="N45" i="53"/>
  <c r="O45" i="53"/>
  <c r="P45" i="53"/>
  <c r="Q45" i="53"/>
  <c r="R45" i="53"/>
  <c r="S45" i="53"/>
  <c r="AA45" i="53"/>
  <c r="AB45" i="53"/>
  <c r="AC45" i="53"/>
  <c r="AD45" i="53"/>
  <c r="AE45" i="53"/>
  <c r="AF45" i="53"/>
  <c r="AG45" i="53"/>
  <c r="AH45" i="53"/>
  <c r="AI45" i="53"/>
  <c r="AJ45" i="53"/>
  <c r="AL45" i="53"/>
  <c r="AM45" i="53"/>
  <c r="AN45" i="53"/>
  <c r="AO45" i="53"/>
  <c r="AP45" i="53"/>
  <c r="AQ45" i="53"/>
  <c r="AR45" i="53"/>
  <c r="AS45" i="53"/>
  <c r="AT45" i="53"/>
  <c r="AU45" i="53"/>
  <c r="AW45" i="53"/>
  <c r="AX45" i="53"/>
  <c r="AY45" i="53"/>
  <c r="AZ45" i="53"/>
  <c r="BA45" i="53"/>
  <c r="BB45" i="53"/>
  <c r="BC45" i="53"/>
  <c r="BD45" i="53"/>
  <c r="BE45" i="53"/>
  <c r="BF45" i="53"/>
  <c r="BH45" i="53"/>
  <c r="BI45" i="53"/>
  <c r="BJ45" i="53"/>
  <c r="BK45" i="53"/>
  <c r="BL45" i="53"/>
  <c r="BM45" i="53"/>
  <c r="BN45" i="53"/>
  <c r="BO45" i="53"/>
  <c r="BP45" i="53"/>
  <c r="BQ45" i="53"/>
  <c r="A46" i="53"/>
  <c r="B46" i="53"/>
  <c r="C46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R46" i="53"/>
  <c r="S46" i="53"/>
  <c r="AA46" i="53"/>
  <c r="AB46" i="53"/>
  <c r="AC46" i="53"/>
  <c r="AD46" i="53"/>
  <c r="AE46" i="53"/>
  <c r="AF46" i="53"/>
  <c r="AG46" i="53"/>
  <c r="AH46" i="53"/>
  <c r="AI46" i="53"/>
  <c r="AJ46" i="53"/>
  <c r="AL46" i="53"/>
  <c r="AM46" i="53"/>
  <c r="AN46" i="53"/>
  <c r="AO46" i="53"/>
  <c r="AP46" i="53"/>
  <c r="AQ46" i="53"/>
  <c r="AR46" i="53"/>
  <c r="AS46" i="53"/>
  <c r="AT46" i="53"/>
  <c r="AU46" i="53"/>
  <c r="AW46" i="53"/>
  <c r="AX46" i="53"/>
  <c r="AY46" i="53"/>
  <c r="AZ46" i="53"/>
  <c r="BA46" i="53"/>
  <c r="BB46" i="53"/>
  <c r="BC46" i="53"/>
  <c r="BD46" i="53"/>
  <c r="BE46" i="53"/>
  <c r="BF46" i="53"/>
  <c r="BH46" i="53"/>
  <c r="BI46" i="53"/>
  <c r="BJ46" i="53"/>
  <c r="BK46" i="53"/>
  <c r="BL46" i="53"/>
  <c r="BM46" i="53"/>
  <c r="BN46" i="53"/>
  <c r="BO46" i="53"/>
  <c r="BP46" i="53"/>
  <c r="BQ46" i="53"/>
  <c r="A47" i="53"/>
  <c r="B47" i="53"/>
  <c r="C47" i="53"/>
  <c r="D47" i="53"/>
  <c r="E47" i="53"/>
  <c r="F47" i="53"/>
  <c r="G47" i="53"/>
  <c r="H47" i="53"/>
  <c r="I47" i="53"/>
  <c r="J47" i="53"/>
  <c r="K47" i="53"/>
  <c r="L47" i="53"/>
  <c r="M47" i="53"/>
  <c r="N47" i="53"/>
  <c r="O47" i="53"/>
  <c r="P47" i="53"/>
  <c r="Q47" i="53"/>
  <c r="R47" i="53"/>
  <c r="S47" i="53"/>
  <c r="AA47" i="53"/>
  <c r="AB47" i="53"/>
  <c r="AC47" i="53"/>
  <c r="AD47" i="53"/>
  <c r="AE47" i="53"/>
  <c r="AF47" i="53"/>
  <c r="AG47" i="53"/>
  <c r="AH47" i="53"/>
  <c r="AI47" i="53"/>
  <c r="AJ47" i="53"/>
  <c r="AL47" i="53"/>
  <c r="AM47" i="53"/>
  <c r="AN47" i="53"/>
  <c r="AO47" i="53"/>
  <c r="AP47" i="53"/>
  <c r="AQ47" i="53"/>
  <c r="AR47" i="53"/>
  <c r="AS47" i="53"/>
  <c r="AT47" i="53"/>
  <c r="AU47" i="53"/>
  <c r="AW47" i="53"/>
  <c r="AX47" i="53"/>
  <c r="AY47" i="53"/>
  <c r="AZ47" i="53"/>
  <c r="BA47" i="53"/>
  <c r="BB47" i="53"/>
  <c r="BC47" i="53"/>
  <c r="BD47" i="53"/>
  <c r="BE47" i="53"/>
  <c r="BF47" i="53"/>
  <c r="BH47" i="53"/>
  <c r="BI47" i="53"/>
  <c r="BJ47" i="53"/>
  <c r="BK47" i="53"/>
  <c r="BL47" i="53"/>
  <c r="BM47" i="53"/>
  <c r="BN47" i="53"/>
  <c r="BO47" i="53"/>
  <c r="BP47" i="53"/>
  <c r="BQ47" i="53"/>
  <c r="A48" i="53"/>
  <c r="B48" i="53"/>
  <c r="C48" i="53"/>
  <c r="D48" i="53"/>
  <c r="E48" i="53"/>
  <c r="F48" i="53"/>
  <c r="G48" i="53"/>
  <c r="H48" i="53"/>
  <c r="I48" i="53"/>
  <c r="J48" i="53"/>
  <c r="K48" i="53"/>
  <c r="L48" i="53"/>
  <c r="M48" i="53"/>
  <c r="N48" i="53"/>
  <c r="O48" i="53"/>
  <c r="P48" i="53"/>
  <c r="Q48" i="53"/>
  <c r="R48" i="53"/>
  <c r="S48" i="53"/>
  <c r="AA48" i="53"/>
  <c r="AB48" i="53"/>
  <c r="AC48" i="53"/>
  <c r="AD48" i="53"/>
  <c r="AE48" i="53"/>
  <c r="AF48" i="53"/>
  <c r="AG48" i="53"/>
  <c r="AH48" i="53"/>
  <c r="AI48" i="53"/>
  <c r="AJ48" i="53"/>
  <c r="AL48" i="53"/>
  <c r="AM48" i="53"/>
  <c r="AN48" i="53"/>
  <c r="AO48" i="53"/>
  <c r="AP48" i="53"/>
  <c r="AQ48" i="53"/>
  <c r="AR48" i="53"/>
  <c r="AS48" i="53"/>
  <c r="AT48" i="53"/>
  <c r="AU48" i="53"/>
  <c r="AW48" i="53"/>
  <c r="AX48" i="53"/>
  <c r="AY48" i="53"/>
  <c r="AZ48" i="53"/>
  <c r="BA48" i="53"/>
  <c r="BB48" i="53"/>
  <c r="BC48" i="53"/>
  <c r="BD48" i="53"/>
  <c r="BE48" i="53"/>
  <c r="BF48" i="53"/>
  <c r="BH48" i="53"/>
  <c r="BI48" i="53"/>
  <c r="BJ48" i="53"/>
  <c r="BK48" i="53"/>
  <c r="BL48" i="53"/>
  <c r="BM48" i="53"/>
  <c r="BN48" i="53"/>
  <c r="BO48" i="53"/>
  <c r="BP48" i="53"/>
  <c r="BQ48" i="53"/>
  <c r="A49" i="53"/>
  <c r="B49" i="53"/>
  <c r="C49" i="53"/>
  <c r="D49" i="53"/>
  <c r="E49" i="53"/>
  <c r="F49" i="53"/>
  <c r="G49" i="53"/>
  <c r="H49" i="53"/>
  <c r="I49" i="53"/>
  <c r="J49" i="53"/>
  <c r="K49" i="53"/>
  <c r="L49" i="53"/>
  <c r="M49" i="53"/>
  <c r="N49" i="53"/>
  <c r="O49" i="53"/>
  <c r="P49" i="53"/>
  <c r="Q49" i="53"/>
  <c r="R49" i="53"/>
  <c r="S49" i="53"/>
  <c r="AA49" i="53"/>
  <c r="AB49" i="53"/>
  <c r="AC49" i="53"/>
  <c r="AD49" i="53"/>
  <c r="AE49" i="53"/>
  <c r="AF49" i="53"/>
  <c r="AG49" i="53"/>
  <c r="AH49" i="53"/>
  <c r="AI49" i="53"/>
  <c r="AJ49" i="53"/>
  <c r="AL49" i="53"/>
  <c r="AM49" i="53"/>
  <c r="AN49" i="53"/>
  <c r="AO49" i="53"/>
  <c r="AP49" i="53"/>
  <c r="AQ49" i="53"/>
  <c r="AR49" i="53"/>
  <c r="AS49" i="53"/>
  <c r="AT49" i="53"/>
  <c r="AU49" i="53"/>
  <c r="AW49" i="53"/>
  <c r="AX49" i="53"/>
  <c r="AY49" i="53"/>
  <c r="AZ49" i="53"/>
  <c r="BA49" i="53"/>
  <c r="BB49" i="53"/>
  <c r="BC49" i="53"/>
  <c r="BD49" i="53"/>
  <c r="BE49" i="53"/>
  <c r="BF49" i="53"/>
  <c r="BH49" i="53"/>
  <c r="BI49" i="53"/>
  <c r="BJ49" i="53"/>
  <c r="BK49" i="53"/>
  <c r="BL49" i="53"/>
  <c r="BM49" i="53"/>
  <c r="BN49" i="53"/>
  <c r="BO49" i="53"/>
  <c r="BP49" i="53"/>
  <c r="BQ49" i="53"/>
  <c r="A50" i="53"/>
  <c r="B50" i="53"/>
  <c r="C50" i="53"/>
  <c r="D50" i="53"/>
  <c r="E50" i="53"/>
  <c r="F50" i="53"/>
  <c r="G50" i="53"/>
  <c r="H50" i="53"/>
  <c r="I50" i="53"/>
  <c r="J50" i="53"/>
  <c r="K50" i="53"/>
  <c r="L50" i="53"/>
  <c r="M50" i="53"/>
  <c r="N50" i="53"/>
  <c r="O50" i="53"/>
  <c r="P50" i="53"/>
  <c r="Q50" i="53"/>
  <c r="R50" i="53"/>
  <c r="S50" i="53"/>
  <c r="AA50" i="53"/>
  <c r="AB50" i="53"/>
  <c r="AC50" i="53"/>
  <c r="AD50" i="53"/>
  <c r="AE50" i="53"/>
  <c r="AF50" i="53"/>
  <c r="AG50" i="53"/>
  <c r="AH50" i="53"/>
  <c r="AI50" i="53"/>
  <c r="AJ50" i="53"/>
  <c r="AL50" i="53"/>
  <c r="AM50" i="53"/>
  <c r="AN50" i="53"/>
  <c r="AO50" i="53"/>
  <c r="AP50" i="53"/>
  <c r="AQ50" i="53"/>
  <c r="AR50" i="53"/>
  <c r="AS50" i="53"/>
  <c r="AT50" i="53"/>
  <c r="AU50" i="53"/>
  <c r="AW50" i="53"/>
  <c r="AX50" i="53"/>
  <c r="AY50" i="53"/>
  <c r="AZ50" i="53"/>
  <c r="BA50" i="53"/>
  <c r="BB50" i="53"/>
  <c r="BC50" i="53"/>
  <c r="BD50" i="53"/>
  <c r="BE50" i="53"/>
  <c r="BF50" i="53"/>
  <c r="BH50" i="53"/>
  <c r="BI50" i="53"/>
  <c r="BJ50" i="53"/>
  <c r="BK50" i="53"/>
  <c r="BL50" i="53"/>
  <c r="BM50" i="53"/>
  <c r="BN50" i="53"/>
  <c r="BO50" i="53"/>
  <c r="BP50" i="53"/>
  <c r="BQ50" i="53"/>
  <c r="A51" i="53"/>
  <c r="B51" i="53"/>
  <c r="C51" i="53"/>
  <c r="D51" i="53"/>
  <c r="E51" i="53"/>
  <c r="F51" i="53"/>
  <c r="G51" i="53"/>
  <c r="H51" i="53"/>
  <c r="I51" i="53"/>
  <c r="J51" i="53"/>
  <c r="K51" i="53"/>
  <c r="L51" i="53"/>
  <c r="M51" i="53"/>
  <c r="N51" i="53"/>
  <c r="O51" i="53"/>
  <c r="P51" i="53"/>
  <c r="Q51" i="53"/>
  <c r="R51" i="53"/>
  <c r="S51" i="53"/>
  <c r="AA51" i="53"/>
  <c r="AB51" i="53"/>
  <c r="AC51" i="53"/>
  <c r="AD51" i="53"/>
  <c r="AE51" i="53"/>
  <c r="AF51" i="53"/>
  <c r="AG51" i="53"/>
  <c r="AH51" i="53"/>
  <c r="AI51" i="53"/>
  <c r="AJ51" i="53"/>
  <c r="AL51" i="53"/>
  <c r="AM51" i="53"/>
  <c r="AN51" i="53"/>
  <c r="AO51" i="53"/>
  <c r="AP51" i="53"/>
  <c r="AQ51" i="53"/>
  <c r="AR51" i="53"/>
  <c r="AS51" i="53"/>
  <c r="AT51" i="53"/>
  <c r="AU51" i="53"/>
  <c r="AW51" i="53"/>
  <c r="AX51" i="53"/>
  <c r="AY51" i="53"/>
  <c r="AZ51" i="53"/>
  <c r="BA51" i="53"/>
  <c r="BB51" i="53"/>
  <c r="BC51" i="53"/>
  <c r="BD51" i="53"/>
  <c r="BE51" i="53"/>
  <c r="BF51" i="53"/>
  <c r="BH51" i="53"/>
  <c r="BI51" i="53"/>
  <c r="BJ51" i="53"/>
  <c r="BK51" i="53"/>
  <c r="BL51" i="53"/>
  <c r="BM51" i="53"/>
  <c r="BN51" i="53"/>
  <c r="BO51" i="53"/>
  <c r="BP51" i="53"/>
  <c r="BQ51" i="53"/>
  <c r="A52" i="53"/>
  <c r="B52" i="53"/>
  <c r="C52" i="53"/>
  <c r="D52" i="53"/>
  <c r="E52" i="53"/>
  <c r="F52" i="53"/>
  <c r="G52" i="53"/>
  <c r="H52" i="53"/>
  <c r="I52" i="53"/>
  <c r="J52" i="53"/>
  <c r="K52" i="53"/>
  <c r="L52" i="53"/>
  <c r="M52" i="53"/>
  <c r="N52" i="53"/>
  <c r="O52" i="53"/>
  <c r="P52" i="53"/>
  <c r="Q52" i="53"/>
  <c r="R52" i="53"/>
  <c r="S52" i="53"/>
  <c r="AA52" i="53"/>
  <c r="AB52" i="53"/>
  <c r="AC52" i="53"/>
  <c r="AD52" i="53"/>
  <c r="AE52" i="53"/>
  <c r="AF52" i="53"/>
  <c r="AG52" i="53"/>
  <c r="AH52" i="53"/>
  <c r="AI52" i="53"/>
  <c r="AJ52" i="53"/>
  <c r="AL52" i="53"/>
  <c r="AM52" i="53"/>
  <c r="AN52" i="53"/>
  <c r="AO52" i="53"/>
  <c r="AP52" i="53"/>
  <c r="AQ52" i="53"/>
  <c r="AR52" i="53"/>
  <c r="AS52" i="53"/>
  <c r="AT52" i="53"/>
  <c r="AU52" i="53"/>
  <c r="AW52" i="53"/>
  <c r="AX52" i="53"/>
  <c r="AY52" i="53"/>
  <c r="AZ52" i="53"/>
  <c r="BA52" i="53"/>
  <c r="BB52" i="53"/>
  <c r="BC52" i="53"/>
  <c r="BD52" i="53"/>
  <c r="BE52" i="53"/>
  <c r="BF52" i="53"/>
  <c r="BH52" i="53"/>
  <c r="BI52" i="53"/>
  <c r="BJ52" i="53"/>
  <c r="BK52" i="53"/>
  <c r="BL52" i="53"/>
  <c r="BM52" i="53"/>
  <c r="BN52" i="53"/>
  <c r="BO52" i="53"/>
  <c r="BP52" i="53"/>
  <c r="BQ52" i="53"/>
  <c r="A53" i="53"/>
  <c r="B53" i="53"/>
  <c r="C53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R53" i="53"/>
  <c r="S53" i="53"/>
  <c r="AA53" i="53"/>
  <c r="AB53" i="53"/>
  <c r="AC53" i="53"/>
  <c r="AD53" i="53"/>
  <c r="AE53" i="53"/>
  <c r="AF53" i="53"/>
  <c r="AG53" i="53"/>
  <c r="AH53" i="53"/>
  <c r="AI53" i="53"/>
  <c r="AJ53" i="53"/>
  <c r="AL53" i="53"/>
  <c r="AM53" i="53"/>
  <c r="AN53" i="53"/>
  <c r="AO53" i="53"/>
  <c r="AP53" i="53"/>
  <c r="AQ53" i="53"/>
  <c r="AR53" i="53"/>
  <c r="AS53" i="53"/>
  <c r="AT53" i="53"/>
  <c r="AU53" i="53"/>
  <c r="AW53" i="53"/>
  <c r="AX53" i="53"/>
  <c r="AY53" i="53"/>
  <c r="AZ53" i="53"/>
  <c r="BA53" i="53"/>
  <c r="BB53" i="53"/>
  <c r="BC53" i="53"/>
  <c r="BD53" i="53"/>
  <c r="BE53" i="53"/>
  <c r="BF53" i="53"/>
  <c r="BH53" i="53"/>
  <c r="BI53" i="53"/>
  <c r="BJ53" i="53"/>
  <c r="BK53" i="53"/>
  <c r="BL53" i="53"/>
  <c r="BM53" i="53"/>
  <c r="BN53" i="53"/>
  <c r="BO53" i="53"/>
  <c r="BP53" i="53"/>
  <c r="BQ53" i="53"/>
  <c r="A54" i="53"/>
  <c r="B54" i="53"/>
  <c r="C54" i="53"/>
  <c r="D54" i="53"/>
  <c r="E54" i="53"/>
  <c r="F54" i="53"/>
  <c r="G54" i="53"/>
  <c r="H54" i="53"/>
  <c r="I54" i="53"/>
  <c r="J54" i="53"/>
  <c r="K54" i="53"/>
  <c r="L54" i="53"/>
  <c r="M54" i="53"/>
  <c r="N54" i="53"/>
  <c r="O54" i="53"/>
  <c r="P54" i="53"/>
  <c r="Q54" i="53"/>
  <c r="R54" i="53"/>
  <c r="S54" i="53"/>
  <c r="AA54" i="53"/>
  <c r="AB54" i="53"/>
  <c r="AC54" i="53"/>
  <c r="AD54" i="53"/>
  <c r="AE54" i="53"/>
  <c r="AF54" i="53"/>
  <c r="AG54" i="53"/>
  <c r="AH54" i="53"/>
  <c r="AI54" i="53"/>
  <c r="AJ54" i="53"/>
  <c r="AL54" i="53"/>
  <c r="AM54" i="53"/>
  <c r="AN54" i="53"/>
  <c r="AO54" i="53"/>
  <c r="AP54" i="53"/>
  <c r="AQ54" i="53"/>
  <c r="AR54" i="53"/>
  <c r="AS54" i="53"/>
  <c r="AT54" i="53"/>
  <c r="AU54" i="53"/>
  <c r="AW54" i="53"/>
  <c r="AX54" i="53"/>
  <c r="AY54" i="53"/>
  <c r="AZ54" i="53"/>
  <c r="BA54" i="53"/>
  <c r="BB54" i="53"/>
  <c r="BC54" i="53"/>
  <c r="BD54" i="53"/>
  <c r="BE54" i="53"/>
  <c r="BF54" i="53"/>
  <c r="BH54" i="53"/>
  <c r="BI54" i="53"/>
  <c r="BJ54" i="53"/>
  <c r="BK54" i="53"/>
  <c r="BL54" i="53"/>
  <c r="BM54" i="53"/>
  <c r="BN54" i="53"/>
  <c r="BO54" i="53"/>
  <c r="BP54" i="53"/>
  <c r="BQ54" i="53"/>
  <c r="A55" i="53"/>
  <c r="B55" i="53"/>
  <c r="C55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R55" i="53"/>
  <c r="S55" i="53"/>
  <c r="AA55" i="53"/>
  <c r="AB55" i="53"/>
  <c r="AC55" i="53"/>
  <c r="AD55" i="53"/>
  <c r="AE55" i="53"/>
  <c r="AF55" i="53"/>
  <c r="AG55" i="53"/>
  <c r="AH55" i="53"/>
  <c r="AI55" i="53"/>
  <c r="AJ55" i="53"/>
  <c r="AL55" i="53"/>
  <c r="AM55" i="53"/>
  <c r="AN55" i="53"/>
  <c r="AO55" i="53"/>
  <c r="AP55" i="53"/>
  <c r="AQ55" i="53"/>
  <c r="AR55" i="53"/>
  <c r="AS55" i="53"/>
  <c r="AT55" i="53"/>
  <c r="AU55" i="53"/>
  <c r="AW55" i="53"/>
  <c r="AX55" i="53"/>
  <c r="AY55" i="53"/>
  <c r="AZ55" i="53"/>
  <c r="BA55" i="53"/>
  <c r="BB55" i="53"/>
  <c r="BC55" i="53"/>
  <c r="BD55" i="53"/>
  <c r="BE55" i="53"/>
  <c r="BF55" i="53"/>
  <c r="BH55" i="53"/>
  <c r="BI55" i="53"/>
  <c r="BJ55" i="53"/>
  <c r="BK55" i="53"/>
  <c r="BL55" i="53"/>
  <c r="BM55" i="53"/>
  <c r="BN55" i="53"/>
  <c r="BO55" i="53"/>
  <c r="BP55" i="53"/>
  <c r="BQ55" i="53"/>
  <c r="A56" i="53"/>
  <c r="B56" i="53"/>
  <c r="C56" i="53"/>
  <c r="D56" i="53"/>
  <c r="E56" i="53"/>
  <c r="F56" i="53"/>
  <c r="G56" i="53"/>
  <c r="H56" i="53"/>
  <c r="I56" i="53"/>
  <c r="J56" i="53"/>
  <c r="K56" i="53"/>
  <c r="L56" i="53"/>
  <c r="M56" i="53"/>
  <c r="N56" i="53"/>
  <c r="O56" i="53"/>
  <c r="P56" i="53"/>
  <c r="Q56" i="53"/>
  <c r="R56" i="53"/>
  <c r="S56" i="53"/>
  <c r="AA56" i="53"/>
  <c r="AB56" i="53"/>
  <c r="AC56" i="53"/>
  <c r="AD56" i="53"/>
  <c r="AE56" i="53"/>
  <c r="AF56" i="53"/>
  <c r="AG56" i="53"/>
  <c r="AH56" i="53"/>
  <c r="AI56" i="53"/>
  <c r="AJ56" i="53"/>
  <c r="AL56" i="53"/>
  <c r="AM56" i="53"/>
  <c r="AN56" i="53"/>
  <c r="AO56" i="53"/>
  <c r="AP56" i="53"/>
  <c r="AQ56" i="53"/>
  <c r="AR56" i="53"/>
  <c r="AS56" i="53"/>
  <c r="AT56" i="53"/>
  <c r="AU56" i="53"/>
  <c r="AW56" i="53"/>
  <c r="AX56" i="53"/>
  <c r="AY56" i="53"/>
  <c r="AZ56" i="53"/>
  <c r="BA56" i="53"/>
  <c r="BB56" i="53"/>
  <c r="BC56" i="53"/>
  <c r="BD56" i="53"/>
  <c r="BE56" i="53"/>
  <c r="BF56" i="53"/>
  <c r="BH56" i="53"/>
  <c r="BI56" i="53"/>
  <c r="BJ56" i="53"/>
  <c r="BK56" i="53"/>
  <c r="BL56" i="53"/>
  <c r="BM56" i="53"/>
  <c r="BN56" i="53"/>
  <c r="BO56" i="53"/>
  <c r="BP56" i="53"/>
  <c r="BQ56" i="53"/>
  <c r="A57" i="53"/>
  <c r="B57" i="53"/>
  <c r="C57" i="53"/>
  <c r="D57" i="53"/>
  <c r="E57" i="53"/>
  <c r="F57" i="53"/>
  <c r="G57" i="53"/>
  <c r="H57" i="53"/>
  <c r="I57" i="53"/>
  <c r="J57" i="53"/>
  <c r="K57" i="53"/>
  <c r="L57" i="53"/>
  <c r="M57" i="53"/>
  <c r="N57" i="53"/>
  <c r="O57" i="53"/>
  <c r="P57" i="53"/>
  <c r="Q57" i="53"/>
  <c r="R57" i="53"/>
  <c r="S57" i="53"/>
  <c r="AA57" i="53"/>
  <c r="AB57" i="53"/>
  <c r="AC57" i="53"/>
  <c r="AD57" i="53"/>
  <c r="AE57" i="53"/>
  <c r="AF57" i="53"/>
  <c r="AG57" i="53"/>
  <c r="AH57" i="53"/>
  <c r="AI57" i="53"/>
  <c r="AJ57" i="53"/>
  <c r="AL57" i="53"/>
  <c r="AM57" i="53"/>
  <c r="AN57" i="53"/>
  <c r="AO57" i="53"/>
  <c r="AP57" i="53"/>
  <c r="AQ57" i="53"/>
  <c r="AR57" i="53"/>
  <c r="AS57" i="53"/>
  <c r="AT57" i="53"/>
  <c r="AU57" i="53"/>
  <c r="AW57" i="53"/>
  <c r="AX57" i="53"/>
  <c r="AY57" i="53"/>
  <c r="AZ57" i="53"/>
  <c r="BA57" i="53"/>
  <c r="BB57" i="53"/>
  <c r="BC57" i="53"/>
  <c r="BD57" i="53"/>
  <c r="BE57" i="53"/>
  <c r="BF57" i="53"/>
  <c r="BH57" i="53"/>
  <c r="BI57" i="53"/>
  <c r="BJ57" i="53"/>
  <c r="BK57" i="53"/>
  <c r="BL57" i="53"/>
  <c r="BM57" i="53"/>
  <c r="BN57" i="53"/>
  <c r="BO57" i="53"/>
  <c r="BP57" i="53"/>
  <c r="BQ57" i="53"/>
  <c r="A58" i="53"/>
  <c r="B58" i="53"/>
  <c r="C58" i="53"/>
  <c r="D58" i="53"/>
  <c r="E58" i="53"/>
  <c r="F58" i="53"/>
  <c r="G58" i="53"/>
  <c r="H58" i="53"/>
  <c r="I58" i="53"/>
  <c r="J58" i="53"/>
  <c r="K58" i="53"/>
  <c r="L58" i="53"/>
  <c r="M58" i="53"/>
  <c r="N58" i="53"/>
  <c r="O58" i="53"/>
  <c r="P58" i="53"/>
  <c r="Q58" i="53"/>
  <c r="R58" i="53"/>
  <c r="S58" i="53"/>
  <c r="AA58" i="53"/>
  <c r="AB58" i="53"/>
  <c r="AC58" i="53"/>
  <c r="AD58" i="53"/>
  <c r="AE58" i="53"/>
  <c r="AF58" i="53"/>
  <c r="AG58" i="53"/>
  <c r="AH58" i="53"/>
  <c r="AI58" i="53"/>
  <c r="AJ58" i="53"/>
  <c r="AL58" i="53"/>
  <c r="AM58" i="53"/>
  <c r="AN58" i="53"/>
  <c r="AO58" i="53"/>
  <c r="AP58" i="53"/>
  <c r="AQ58" i="53"/>
  <c r="AR58" i="53"/>
  <c r="AS58" i="53"/>
  <c r="AT58" i="53"/>
  <c r="AU58" i="53"/>
  <c r="AW58" i="53"/>
  <c r="AX58" i="53"/>
  <c r="AY58" i="53"/>
  <c r="AZ58" i="53"/>
  <c r="BA58" i="53"/>
  <c r="BB58" i="53"/>
  <c r="BC58" i="53"/>
  <c r="BD58" i="53"/>
  <c r="BE58" i="53"/>
  <c r="BF58" i="53"/>
  <c r="BH58" i="53"/>
  <c r="BI58" i="53"/>
  <c r="BJ58" i="53"/>
  <c r="BK58" i="53"/>
  <c r="BL58" i="53"/>
  <c r="BM58" i="53"/>
  <c r="BN58" i="53"/>
  <c r="BO58" i="53"/>
  <c r="BP58" i="53"/>
  <c r="BQ58" i="53"/>
  <c r="A59" i="53"/>
  <c r="B59" i="53"/>
  <c r="C59" i="53"/>
  <c r="D59" i="53"/>
  <c r="E59" i="53"/>
  <c r="F59" i="53"/>
  <c r="G59" i="53"/>
  <c r="H59" i="53"/>
  <c r="I59" i="53"/>
  <c r="J59" i="53"/>
  <c r="K59" i="53"/>
  <c r="L59" i="53"/>
  <c r="M59" i="53"/>
  <c r="N59" i="53"/>
  <c r="O59" i="53"/>
  <c r="P59" i="53"/>
  <c r="Q59" i="53"/>
  <c r="R59" i="53"/>
  <c r="S59" i="53"/>
  <c r="AA59" i="53"/>
  <c r="AB59" i="53"/>
  <c r="AC59" i="53"/>
  <c r="AD59" i="53"/>
  <c r="AE59" i="53"/>
  <c r="AF59" i="53"/>
  <c r="AG59" i="53"/>
  <c r="AH59" i="53"/>
  <c r="AI59" i="53"/>
  <c r="AJ59" i="53"/>
  <c r="AL59" i="53"/>
  <c r="AM59" i="53"/>
  <c r="AN59" i="53"/>
  <c r="AO59" i="53"/>
  <c r="AP59" i="53"/>
  <c r="AQ59" i="53"/>
  <c r="AR59" i="53"/>
  <c r="AS59" i="53"/>
  <c r="AT59" i="53"/>
  <c r="AU59" i="53"/>
  <c r="AW59" i="53"/>
  <c r="AX59" i="53"/>
  <c r="AY59" i="53"/>
  <c r="AZ59" i="53"/>
  <c r="BA59" i="53"/>
  <c r="BB59" i="53"/>
  <c r="BC59" i="53"/>
  <c r="BD59" i="53"/>
  <c r="BE59" i="53"/>
  <c r="BF59" i="53"/>
  <c r="BH59" i="53"/>
  <c r="BI59" i="53"/>
  <c r="BJ59" i="53"/>
  <c r="BK59" i="53"/>
  <c r="BL59" i="53"/>
  <c r="BM59" i="53"/>
  <c r="BN59" i="53"/>
  <c r="BO59" i="53"/>
  <c r="BP59" i="53"/>
  <c r="BQ59" i="53"/>
  <c r="A60" i="53"/>
  <c r="B60" i="53"/>
  <c r="C60" i="53"/>
  <c r="D60" i="53"/>
  <c r="E60" i="53"/>
  <c r="F60" i="53"/>
  <c r="G60" i="53"/>
  <c r="H60" i="53"/>
  <c r="I60" i="53"/>
  <c r="J60" i="53"/>
  <c r="K60" i="53"/>
  <c r="L60" i="53"/>
  <c r="M60" i="53"/>
  <c r="N60" i="53"/>
  <c r="O60" i="53"/>
  <c r="P60" i="53"/>
  <c r="Q60" i="53"/>
  <c r="R60" i="53"/>
  <c r="S60" i="53"/>
  <c r="AA60" i="53"/>
  <c r="AB60" i="53"/>
  <c r="AC60" i="53"/>
  <c r="AD60" i="53"/>
  <c r="AE60" i="53"/>
  <c r="AF60" i="53"/>
  <c r="AG60" i="53"/>
  <c r="AH60" i="53"/>
  <c r="AI60" i="53"/>
  <c r="AJ60" i="53"/>
  <c r="AL60" i="53"/>
  <c r="AM60" i="53"/>
  <c r="AN60" i="53"/>
  <c r="AO60" i="53"/>
  <c r="AP60" i="53"/>
  <c r="AQ60" i="53"/>
  <c r="AR60" i="53"/>
  <c r="AS60" i="53"/>
  <c r="AT60" i="53"/>
  <c r="AU60" i="53"/>
  <c r="AW60" i="53"/>
  <c r="AX60" i="53"/>
  <c r="AY60" i="53"/>
  <c r="AZ60" i="53"/>
  <c r="BA60" i="53"/>
  <c r="BB60" i="53"/>
  <c r="BC60" i="53"/>
  <c r="BD60" i="53"/>
  <c r="BE60" i="53"/>
  <c r="BF60" i="53"/>
  <c r="BH60" i="53"/>
  <c r="BI60" i="53"/>
  <c r="BJ60" i="53"/>
  <c r="BK60" i="53"/>
  <c r="BL60" i="53"/>
  <c r="BM60" i="53"/>
  <c r="BN60" i="53"/>
  <c r="BO60" i="53"/>
  <c r="BP60" i="53"/>
  <c r="BQ60" i="53"/>
  <c r="A61" i="53"/>
  <c r="B61" i="53"/>
  <c r="C61" i="53"/>
  <c r="D61" i="53"/>
  <c r="E61" i="53"/>
  <c r="F61" i="53"/>
  <c r="G61" i="53"/>
  <c r="H61" i="53"/>
  <c r="I61" i="53"/>
  <c r="J61" i="53"/>
  <c r="K61" i="53"/>
  <c r="L61" i="53"/>
  <c r="M61" i="53"/>
  <c r="N61" i="53"/>
  <c r="O61" i="53"/>
  <c r="P61" i="53"/>
  <c r="Q61" i="53"/>
  <c r="R61" i="53"/>
  <c r="S61" i="53"/>
  <c r="AA61" i="53"/>
  <c r="AB61" i="53"/>
  <c r="AC61" i="53"/>
  <c r="AD61" i="53"/>
  <c r="AE61" i="53"/>
  <c r="AF61" i="53"/>
  <c r="AG61" i="53"/>
  <c r="AH61" i="53"/>
  <c r="AI61" i="53"/>
  <c r="AJ61" i="53"/>
  <c r="AL61" i="53"/>
  <c r="AM61" i="53"/>
  <c r="AN61" i="53"/>
  <c r="AO61" i="53"/>
  <c r="AP61" i="53"/>
  <c r="AQ61" i="53"/>
  <c r="AR61" i="53"/>
  <c r="AS61" i="53"/>
  <c r="AT61" i="53"/>
  <c r="AU61" i="53"/>
  <c r="AW61" i="53"/>
  <c r="AX61" i="53"/>
  <c r="AY61" i="53"/>
  <c r="AZ61" i="53"/>
  <c r="BA61" i="53"/>
  <c r="BB61" i="53"/>
  <c r="BC61" i="53"/>
  <c r="BD61" i="53"/>
  <c r="BE61" i="53"/>
  <c r="BF61" i="53"/>
  <c r="BH61" i="53"/>
  <c r="BI61" i="53"/>
  <c r="BJ61" i="53"/>
  <c r="BK61" i="53"/>
  <c r="BL61" i="53"/>
  <c r="BM61" i="53"/>
  <c r="BN61" i="53"/>
  <c r="BO61" i="53"/>
  <c r="BP61" i="53"/>
  <c r="BQ61" i="53"/>
  <c r="A62" i="53"/>
  <c r="B62" i="53"/>
  <c r="C62" i="53"/>
  <c r="D62" i="53"/>
  <c r="E62" i="53"/>
  <c r="F62" i="53"/>
  <c r="G62" i="53"/>
  <c r="H62" i="53"/>
  <c r="I62" i="53"/>
  <c r="J62" i="53"/>
  <c r="K62" i="53"/>
  <c r="L62" i="53"/>
  <c r="M62" i="53"/>
  <c r="N62" i="53"/>
  <c r="O62" i="53"/>
  <c r="P62" i="53"/>
  <c r="Q62" i="53"/>
  <c r="R62" i="53"/>
  <c r="S62" i="53"/>
  <c r="AA62" i="53"/>
  <c r="AB62" i="53"/>
  <c r="AC62" i="53"/>
  <c r="AD62" i="53"/>
  <c r="AE62" i="53"/>
  <c r="AF62" i="53"/>
  <c r="AG62" i="53"/>
  <c r="AH62" i="53"/>
  <c r="AI62" i="53"/>
  <c r="AJ62" i="53"/>
  <c r="AL62" i="53"/>
  <c r="AM62" i="53"/>
  <c r="AN62" i="53"/>
  <c r="AO62" i="53"/>
  <c r="AP62" i="53"/>
  <c r="AQ62" i="53"/>
  <c r="AR62" i="53"/>
  <c r="AS62" i="53"/>
  <c r="AT62" i="53"/>
  <c r="AU62" i="53"/>
  <c r="AW62" i="53"/>
  <c r="AX62" i="53"/>
  <c r="AY62" i="53"/>
  <c r="AZ62" i="53"/>
  <c r="BA62" i="53"/>
  <c r="BB62" i="53"/>
  <c r="BC62" i="53"/>
  <c r="BD62" i="53"/>
  <c r="BE62" i="53"/>
  <c r="BF62" i="53"/>
  <c r="BH62" i="53"/>
  <c r="BI62" i="53"/>
  <c r="BJ62" i="53"/>
  <c r="BK62" i="53"/>
  <c r="BL62" i="53"/>
  <c r="BM62" i="53"/>
  <c r="BN62" i="53"/>
  <c r="BO62" i="53"/>
  <c r="BP62" i="53"/>
  <c r="BQ62" i="53"/>
  <c r="A63" i="53"/>
  <c r="B63" i="53"/>
  <c r="C63" i="53"/>
  <c r="D63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R63" i="53"/>
  <c r="S63" i="53"/>
  <c r="AA63" i="53"/>
  <c r="AB63" i="53"/>
  <c r="AC63" i="53"/>
  <c r="AD63" i="53"/>
  <c r="AE63" i="53"/>
  <c r="AF63" i="53"/>
  <c r="AG63" i="53"/>
  <c r="AH63" i="53"/>
  <c r="AI63" i="53"/>
  <c r="AJ63" i="53"/>
  <c r="AL63" i="53"/>
  <c r="AM63" i="53"/>
  <c r="AN63" i="53"/>
  <c r="AO63" i="53"/>
  <c r="AP63" i="53"/>
  <c r="AQ63" i="53"/>
  <c r="AR63" i="53"/>
  <c r="AS63" i="53"/>
  <c r="AT63" i="53"/>
  <c r="AU63" i="53"/>
  <c r="AW63" i="53"/>
  <c r="AX63" i="53"/>
  <c r="AY63" i="53"/>
  <c r="AZ63" i="53"/>
  <c r="BA63" i="53"/>
  <c r="BB63" i="53"/>
  <c r="BC63" i="53"/>
  <c r="BD63" i="53"/>
  <c r="BE63" i="53"/>
  <c r="BF63" i="53"/>
  <c r="BH63" i="53"/>
  <c r="BI63" i="53"/>
  <c r="BJ63" i="53"/>
  <c r="BK63" i="53"/>
  <c r="BL63" i="53"/>
  <c r="BM63" i="53"/>
  <c r="BN63" i="53"/>
  <c r="BO63" i="53"/>
  <c r="BP63" i="53"/>
  <c r="BQ63" i="53"/>
  <c r="A64" i="53"/>
  <c r="B64" i="53"/>
  <c r="C64" i="53"/>
  <c r="D64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R64" i="53"/>
  <c r="S64" i="53"/>
  <c r="AA64" i="53"/>
  <c r="AB64" i="53"/>
  <c r="AC64" i="53"/>
  <c r="AD64" i="53"/>
  <c r="AE64" i="53"/>
  <c r="AF64" i="53"/>
  <c r="AG64" i="53"/>
  <c r="AH64" i="53"/>
  <c r="AI64" i="53"/>
  <c r="AJ64" i="53"/>
  <c r="AL64" i="53"/>
  <c r="AM64" i="53"/>
  <c r="AN64" i="53"/>
  <c r="AO64" i="53"/>
  <c r="AP64" i="53"/>
  <c r="AQ64" i="53"/>
  <c r="AR64" i="53"/>
  <c r="AS64" i="53"/>
  <c r="AT64" i="53"/>
  <c r="AU64" i="53"/>
  <c r="AW64" i="53"/>
  <c r="AX64" i="53"/>
  <c r="AY64" i="53"/>
  <c r="AZ64" i="53"/>
  <c r="BA64" i="53"/>
  <c r="BB64" i="53"/>
  <c r="BC64" i="53"/>
  <c r="BD64" i="53"/>
  <c r="BE64" i="53"/>
  <c r="BF64" i="53"/>
  <c r="BH64" i="53"/>
  <c r="BI64" i="53"/>
  <c r="BJ64" i="53"/>
  <c r="BK64" i="53"/>
  <c r="BL64" i="53"/>
  <c r="BM64" i="53"/>
  <c r="BN64" i="53"/>
  <c r="BO64" i="53"/>
  <c r="BP64" i="53"/>
  <c r="BQ64" i="53"/>
  <c r="A65" i="53"/>
  <c r="B65" i="53"/>
  <c r="C65" i="53"/>
  <c r="D65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R65" i="53"/>
  <c r="S65" i="53"/>
  <c r="AA65" i="53"/>
  <c r="AB65" i="53"/>
  <c r="AC65" i="53"/>
  <c r="AD65" i="53"/>
  <c r="AE65" i="53"/>
  <c r="AF65" i="53"/>
  <c r="AG65" i="53"/>
  <c r="AH65" i="53"/>
  <c r="AI65" i="53"/>
  <c r="AJ65" i="53"/>
  <c r="AL65" i="53"/>
  <c r="AM65" i="53"/>
  <c r="AN65" i="53"/>
  <c r="AO65" i="53"/>
  <c r="AP65" i="53"/>
  <c r="AQ65" i="53"/>
  <c r="AR65" i="53"/>
  <c r="AS65" i="53"/>
  <c r="AT65" i="53"/>
  <c r="AU65" i="53"/>
  <c r="AW65" i="53"/>
  <c r="AX65" i="53"/>
  <c r="AY65" i="53"/>
  <c r="AZ65" i="53"/>
  <c r="BA65" i="53"/>
  <c r="BB65" i="53"/>
  <c r="BC65" i="53"/>
  <c r="BD65" i="53"/>
  <c r="BE65" i="53"/>
  <c r="BF65" i="53"/>
  <c r="BH65" i="53"/>
  <c r="BI65" i="53"/>
  <c r="BJ65" i="53"/>
  <c r="BK65" i="53"/>
  <c r="BL65" i="53"/>
  <c r="BM65" i="53"/>
  <c r="BN65" i="53"/>
  <c r="BO65" i="53"/>
  <c r="BP65" i="53"/>
  <c r="BQ65" i="53"/>
  <c r="A66" i="53"/>
  <c r="B66" i="53"/>
  <c r="C66" i="53"/>
  <c r="D66" i="53"/>
  <c r="E66" i="53"/>
  <c r="F66" i="53"/>
  <c r="G66" i="53"/>
  <c r="H66" i="53"/>
  <c r="I66" i="53"/>
  <c r="J66" i="53"/>
  <c r="K66" i="53"/>
  <c r="L66" i="53"/>
  <c r="M66" i="53"/>
  <c r="N66" i="53"/>
  <c r="O66" i="53"/>
  <c r="P66" i="53"/>
  <c r="Q66" i="53"/>
  <c r="R66" i="53"/>
  <c r="S66" i="53"/>
  <c r="AA66" i="53"/>
  <c r="AB66" i="53"/>
  <c r="AC66" i="53"/>
  <c r="AD66" i="53"/>
  <c r="AE66" i="53"/>
  <c r="AF66" i="53"/>
  <c r="AG66" i="53"/>
  <c r="AH66" i="53"/>
  <c r="AI66" i="53"/>
  <c r="AJ66" i="53"/>
  <c r="AL66" i="53"/>
  <c r="AM66" i="53"/>
  <c r="AN66" i="53"/>
  <c r="AO66" i="53"/>
  <c r="AP66" i="53"/>
  <c r="AQ66" i="53"/>
  <c r="AR66" i="53"/>
  <c r="AS66" i="53"/>
  <c r="AT66" i="53"/>
  <c r="AU66" i="53"/>
  <c r="AW66" i="53"/>
  <c r="AX66" i="53"/>
  <c r="AY66" i="53"/>
  <c r="AZ66" i="53"/>
  <c r="BA66" i="53"/>
  <c r="BB66" i="53"/>
  <c r="BC66" i="53"/>
  <c r="BD66" i="53"/>
  <c r="BE66" i="53"/>
  <c r="BF66" i="53"/>
  <c r="BH66" i="53"/>
  <c r="BI66" i="53"/>
  <c r="BJ66" i="53"/>
  <c r="BK66" i="53"/>
  <c r="BL66" i="53"/>
  <c r="BM66" i="53"/>
  <c r="BN66" i="53"/>
  <c r="BO66" i="53"/>
  <c r="BP66" i="53"/>
  <c r="BQ66" i="53"/>
  <c r="A67" i="53"/>
  <c r="B67" i="53"/>
  <c r="C67" i="53"/>
  <c r="D67" i="53"/>
  <c r="E67" i="53"/>
  <c r="F67" i="53"/>
  <c r="G67" i="53"/>
  <c r="H67" i="53"/>
  <c r="I67" i="53"/>
  <c r="J67" i="53"/>
  <c r="K67" i="53"/>
  <c r="L67" i="53"/>
  <c r="M67" i="53"/>
  <c r="N67" i="53"/>
  <c r="O67" i="53"/>
  <c r="P67" i="53"/>
  <c r="Q67" i="53"/>
  <c r="R67" i="53"/>
  <c r="S67" i="53"/>
  <c r="AA67" i="53"/>
  <c r="AB67" i="53"/>
  <c r="AC67" i="53"/>
  <c r="AD67" i="53"/>
  <c r="AE67" i="53"/>
  <c r="AF67" i="53"/>
  <c r="AG67" i="53"/>
  <c r="AH67" i="53"/>
  <c r="AI67" i="53"/>
  <c r="AJ67" i="53"/>
  <c r="AL67" i="53"/>
  <c r="AM67" i="53"/>
  <c r="AN67" i="53"/>
  <c r="AO67" i="53"/>
  <c r="AP67" i="53"/>
  <c r="AQ67" i="53"/>
  <c r="AR67" i="53"/>
  <c r="AS67" i="53"/>
  <c r="AT67" i="53"/>
  <c r="AU67" i="53"/>
  <c r="AW67" i="53"/>
  <c r="AX67" i="53"/>
  <c r="AY67" i="53"/>
  <c r="AZ67" i="53"/>
  <c r="BA67" i="53"/>
  <c r="BB67" i="53"/>
  <c r="BC67" i="53"/>
  <c r="BD67" i="53"/>
  <c r="BE67" i="53"/>
  <c r="BF67" i="53"/>
  <c r="BH67" i="53"/>
  <c r="BI67" i="53"/>
  <c r="BJ67" i="53"/>
  <c r="BK67" i="53"/>
  <c r="BL67" i="53"/>
  <c r="BM67" i="53"/>
  <c r="BN67" i="53"/>
  <c r="BO67" i="53"/>
  <c r="BP67" i="53"/>
  <c r="BQ67" i="53"/>
  <c r="A68" i="53"/>
  <c r="B68" i="53"/>
  <c r="C68" i="53"/>
  <c r="D68" i="53"/>
  <c r="E68" i="53"/>
  <c r="F68" i="53"/>
  <c r="G68" i="53"/>
  <c r="H68" i="53"/>
  <c r="I68" i="53"/>
  <c r="J68" i="53"/>
  <c r="K68" i="53"/>
  <c r="L68" i="53"/>
  <c r="M68" i="53"/>
  <c r="N68" i="53"/>
  <c r="O68" i="53"/>
  <c r="P68" i="53"/>
  <c r="Q68" i="53"/>
  <c r="R68" i="53"/>
  <c r="S68" i="53"/>
  <c r="AA68" i="53"/>
  <c r="AB68" i="53"/>
  <c r="AC68" i="53"/>
  <c r="AD68" i="53"/>
  <c r="AE68" i="53"/>
  <c r="AF68" i="53"/>
  <c r="AG68" i="53"/>
  <c r="AH68" i="53"/>
  <c r="AI68" i="53"/>
  <c r="AJ68" i="53"/>
  <c r="AL68" i="53"/>
  <c r="AM68" i="53"/>
  <c r="AN68" i="53"/>
  <c r="AO68" i="53"/>
  <c r="AP68" i="53"/>
  <c r="AQ68" i="53"/>
  <c r="AR68" i="53"/>
  <c r="AS68" i="53"/>
  <c r="AT68" i="53"/>
  <c r="AU68" i="53"/>
  <c r="AW68" i="53"/>
  <c r="AX68" i="53"/>
  <c r="AY68" i="53"/>
  <c r="AZ68" i="53"/>
  <c r="BA68" i="53"/>
  <c r="BB68" i="53"/>
  <c r="BC68" i="53"/>
  <c r="BD68" i="53"/>
  <c r="BE68" i="53"/>
  <c r="BF68" i="53"/>
  <c r="BH68" i="53"/>
  <c r="BI68" i="53"/>
  <c r="BJ68" i="53"/>
  <c r="BK68" i="53"/>
  <c r="BL68" i="53"/>
  <c r="BM68" i="53"/>
  <c r="BN68" i="53"/>
  <c r="BO68" i="53"/>
  <c r="BP68" i="53"/>
  <c r="BQ68" i="53"/>
  <c r="A69" i="53"/>
  <c r="B69" i="53"/>
  <c r="C69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R69" i="53"/>
  <c r="S69" i="53"/>
  <c r="AA69" i="53"/>
  <c r="AB69" i="53"/>
  <c r="AC69" i="53"/>
  <c r="AD69" i="53"/>
  <c r="AE69" i="53"/>
  <c r="AF69" i="53"/>
  <c r="AG69" i="53"/>
  <c r="AH69" i="53"/>
  <c r="AI69" i="53"/>
  <c r="AJ69" i="53"/>
  <c r="AL69" i="53"/>
  <c r="AM69" i="53"/>
  <c r="AN69" i="53"/>
  <c r="AO69" i="53"/>
  <c r="AP69" i="53"/>
  <c r="AQ69" i="53"/>
  <c r="AR69" i="53"/>
  <c r="AS69" i="53"/>
  <c r="AT69" i="53"/>
  <c r="AU69" i="53"/>
  <c r="AW69" i="53"/>
  <c r="AX69" i="53"/>
  <c r="AY69" i="53"/>
  <c r="AZ69" i="53"/>
  <c r="BA69" i="53"/>
  <c r="BB69" i="53"/>
  <c r="BC69" i="53"/>
  <c r="BD69" i="53"/>
  <c r="BE69" i="53"/>
  <c r="BF69" i="53"/>
  <c r="BH69" i="53"/>
  <c r="BI69" i="53"/>
  <c r="BJ69" i="53"/>
  <c r="BK69" i="53"/>
  <c r="BL69" i="53"/>
  <c r="BM69" i="53"/>
  <c r="BN69" i="53"/>
  <c r="BO69" i="53"/>
  <c r="BP69" i="53"/>
  <c r="BQ69" i="53"/>
  <c r="A70" i="53"/>
  <c r="B70" i="53"/>
  <c r="C70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R70" i="53"/>
  <c r="S70" i="53"/>
  <c r="AA70" i="53"/>
  <c r="AB70" i="53"/>
  <c r="AC70" i="53"/>
  <c r="AD70" i="53"/>
  <c r="AE70" i="53"/>
  <c r="AF70" i="53"/>
  <c r="AG70" i="53"/>
  <c r="AH70" i="53"/>
  <c r="AI70" i="53"/>
  <c r="AJ70" i="53"/>
  <c r="AL70" i="53"/>
  <c r="AM70" i="53"/>
  <c r="AN70" i="53"/>
  <c r="AO70" i="53"/>
  <c r="AP70" i="53"/>
  <c r="AQ70" i="53"/>
  <c r="AR70" i="53"/>
  <c r="AS70" i="53"/>
  <c r="AT70" i="53"/>
  <c r="AU70" i="53"/>
  <c r="AW70" i="53"/>
  <c r="AX70" i="53"/>
  <c r="AY70" i="53"/>
  <c r="AZ70" i="53"/>
  <c r="BA70" i="53"/>
  <c r="BB70" i="53"/>
  <c r="BC70" i="53"/>
  <c r="BD70" i="53"/>
  <c r="BE70" i="53"/>
  <c r="BF70" i="53"/>
  <c r="BH70" i="53"/>
  <c r="BI70" i="53"/>
  <c r="BJ70" i="53"/>
  <c r="BK70" i="53"/>
  <c r="BL70" i="53"/>
  <c r="BM70" i="53"/>
  <c r="BN70" i="53"/>
  <c r="BO70" i="53"/>
  <c r="BP70" i="53"/>
  <c r="BQ70" i="53"/>
  <c r="A71" i="53"/>
  <c r="B71" i="53"/>
  <c r="C71" i="53"/>
  <c r="D71" i="53"/>
  <c r="E71" i="53"/>
  <c r="F71" i="53"/>
  <c r="G71" i="53"/>
  <c r="H71" i="53"/>
  <c r="I71" i="53"/>
  <c r="J71" i="53"/>
  <c r="K71" i="53"/>
  <c r="L71" i="53"/>
  <c r="M71" i="53"/>
  <c r="N71" i="53"/>
  <c r="O71" i="53"/>
  <c r="P71" i="53"/>
  <c r="Q71" i="53"/>
  <c r="R71" i="53"/>
  <c r="S71" i="53"/>
  <c r="AA71" i="53"/>
  <c r="AB71" i="53"/>
  <c r="AC71" i="53"/>
  <c r="AD71" i="53"/>
  <c r="AE71" i="53"/>
  <c r="AF71" i="53"/>
  <c r="AG71" i="53"/>
  <c r="AH71" i="53"/>
  <c r="AI71" i="53"/>
  <c r="AJ71" i="53"/>
  <c r="AL71" i="53"/>
  <c r="AM71" i="53"/>
  <c r="AN71" i="53"/>
  <c r="AO71" i="53"/>
  <c r="AP71" i="53"/>
  <c r="AQ71" i="53"/>
  <c r="AR71" i="53"/>
  <c r="AS71" i="53"/>
  <c r="AT71" i="53"/>
  <c r="AU71" i="53"/>
  <c r="AW71" i="53"/>
  <c r="AX71" i="53"/>
  <c r="AY71" i="53"/>
  <c r="AZ71" i="53"/>
  <c r="BA71" i="53"/>
  <c r="BB71" i="53"/>
  <c r="BC71" i="53"/>
  <c r="BD71" i="53"/>
  <c r="BE71" i="53"/>
  <c r="BF71" i="53"/>
  <c r="BH71" i="53"/>
  <c r="BI71" i="53"/>
  <c r="BJ71" i="53"/>
  <c r="BK71" i="53"/>
  <c r="BL71" i="53"/>
  <c r="BM71" i="53"/>
  <c r="BN71" i="53"/>
  <c r="BO71" i="53"/>
  <c r="BP71" i="53"/>
  <c r="BQ71" i="53"/>
  <c r="A72" i="53"/>
  <c r="B72" i="53"/>
  <c r="C72" i="53"/>
  <c r="D72" i="53"/>
  <c r="E72" i="53"/>
  <c r="F72" i="53"/>
  <c r="G72" i="53"/>
  <c r="H72" i="53"/>
  <c r="I72" i="53"/>
  <c r="J72" i="53"/>
  <c r="K72" i="53"/>
  <c r="L72" i="53"/>
  <c r="M72" i="53"/>
  <c r="N72" i="53"/>
  <c r="O72" i="53"/>
  <c r="P72" i="53"/>
  <c r="Q72" i="53"/>
  <c r="R72" i="53"/>
  <c r="S72" i="53"/>
  <c r="AA72" i="53"/>
  <c r="AB72" i="53"/>
  <c r="AC72" i="53"/>
  <c r="AD72" i="53"/>
  <c r="AE72" i="53"/>
  <c r="AF72" i="53"/>
  <c r="AG72" i="53"/>
  <c r="AH72" i="53"/>
  <c r="AI72" i="53"/>
  <c r="AJ72" i="53"/>
  <c r="AL72" i="53"/>
  <c r="AM72" i="53"/>
  <c r="AN72" i="53"/>
  <c r="AO72" i="53"/>
  <c r="AP72" i="53"/>
  <c r="AQ72" i="53"/>
  <c r="AR72" i="53"/>
  <c r="AS72" i="53"/>
  <c r="AT72" i="53"/>
  <c r="AU72" i="53"/>
  <c r="AW72" i="53"/>
  <c r="AX72" i="53"/>
  <c r="AY72" i="53"/>
  <c r="AZ72" i="53"/>
  <c r="BA72" i="53"/>
  <c r="BB72" i="53"/>
  <c r="BC72" i="53"/>
  <c r="BD72" i="53"/>
  <c r="BE72" i="53"/>
  <c r="BF72" i="53"/>
  <c r="BH72" i="53"/>
  <c r="BI72" i="53"/>
  <c r="BJ72" i="53"/>
  <c r="BK72" i="53"/>
  <c r="BL72" i="53"/>
  <c r="BM72" i="53"/>
  <c r="BN72" i="53"/>
  <c r="BO72" i="53"/>
  <c r="BP72" i="53"/>
  <c r="BQ72" i="53"/>
  <c r="A73" i="53"/>
  <c r="B73" i="53"/>
  <c r="C73" i="53"/>
  <c r="D73" i="53"/>
  <c r="E73" i="53"/>
  <c r="F73" i="53"/>
  <c r="G73" i="53"/>
  <c r="H73" i="53"/>
  <c r="I73" i="53"/>
  <c r="J73" i="53"/>
  <c r="K73" i="53"/>
  <c r="L73" i="53"/>
  <c r="M73" i="53"/>
  <c r="N73" i="53"/>
  <c r="O73" i="53"/>
  <c r="P73" i="53"/>
  <c r="Q73" i="53"/>
  <c r="R73" i="53"/>
  <c r="S73" i="53"/>
  <c r="AA73" i="53"/>
  <c r="AB73" i="53"/>
  <c r="AC73" i="53"/>
  <c r="AD73" i="53"/>
  <c r="AE73" i="53"/>
  <c r="AF73" i="53"/>
  <c r="AG73" i="53"/>
  <c r="AH73" i="53"/>
  <c r="AI73" i="53"/>
  <c r="AJ73" i="53"/>
  <c r="AL73" i="53"/>
  <c r="AM73" i="53"/>
  <c r="AN73" i="53"/>
  <c r="AO73" i="53"/>
  <c r="AP73" i="53"/>
  <c r="AQ73" i="53"/>
  <c r="AR73" i="53"/>
  <c r="AS73" i="53"/>
  <c r="AT73" i="53"/>
  <c r="AU73" i="53"/>
  <c r="AW73" i="53"/>
  <c r="AX73" i="53"/>
  <c r="AY73" i="53"/>
  <c r="AZ73" i="53"/>
  <c r="BA73" i="53"/>
  <c r="BB73" i="53"/>
  <c r="BC73" i="53"/>
  <c r="BD73" i="53"/>
  <c r="BE73" i="53"/>
  <c r="BF73" i="53"/>
  <c r="BH73" i="53"/>
  <c r="BI73" i="53"/>
  <c r="BJ73" i="53"/>
  <c r="BK73" i="53"/>
  <c r="BL73" i="53"/>
  <c r="BM73" i="53"/>
  <c r="BN73" i="53"/>
  <c r="BO73" i="53"/>
  <c r="BP73" i="53"/>
  <c r="BQ73" i="53"/>
  <c r="A74" i="53"/>
  <c r="B74" i="53"/>
  <c r="C74" i="53"/>
  <c r="D74" i="53"/>
  <c r="E74" i="53"/>
  <c r="F74" i="53"/>
  <c r="G74" i="53"/>
  <c r="H74" i="53"/>
  <c r="I74" i="53"/>
  <c r="J74" i="53"/>
  <c r="K74" i="53"/>
  <c r="L74" i="53"/>
  <c r="M74" i="53"/>
  <c r="N74" i="53"/>
  <c r="O74" i="53"/>
  <c r="P74" i="53"/>
  <c r="Q74" i="53"/>
  <c r="R74" i="53"/>
  <c r="S74" i="53"/>
  <c r="AA74" i="53"/>
  <c r="AB74" i="53"/>
  <c r="AC74" i="53"/>
  <c r="AD74" i="53"/>
  <c r="AE74" i="53"/>
  <c r="AF74" i="53"/>
  <c r="AG74" i="53"/>
  <c r="AH74" i="53"/>
  <c r="AI74" i="53"/>
  <c r="AJ74" i="53"/>
  <c r="AL74" i="53"/>
  <c r="AM74" i="53"/>
  <c r="AN74" i="53"/>
  <c r="AO74" i="53"/>
  <c r="AP74" i="53"/>
  <c r="AQ74" i="53"/>
  <c r="AR74" i="53"/>
  <c r="AS74" i="53"/>
  <c r="AT74" i="53"/>
  <c r="AU74" i="53"/>
  <c r="AW74" i="53"/>
  <c r="AX74" i="53"/>
  <c r="AY74" i="53"/>
  <c r="AZ74" i="53"/>
  <c r="BA74" i="53"/>
  <c r="BB74" i="53"/>
  <c r="BC74" i="53"/>
  <c r="BD74" i="53"/>
  <c r="BE74" i="53"/>
  <c r="BF74" i="53"/>
  <c r="BH74" i="53"/>
  <c r="BI74" i="53"/>
  <c r="BJ74" i="53"/>
  <c r="BK74" i="53"/>
  <c r="BL74" i="53"/>
  <c r="BM74" i="53"/>
  <c r="BN74" i="53"/>
  <c r="BO74" i="53"/>
  <c r="BP74" i="53"/>
  <c r="BQ74" i="53"/>
  <c r="A75" i="53"/>
  <c r="B75" i="53"/>
  <c r="C75" i="53"/>
  <c r="D75" i="53"/>
  <c r="E75" i="53"/>
  <c r="F75" i="53"/>
  <c r="G75" i="53"/>
  <c r="H75" i="53"/>
  <c r="I75" i="53"/>
  <c r="J75" i="53"/>
  <c r="K75" i="53"/>
  <c r="L75" i="53"/>
  <c r="M75" i="53"/>
  <c r="N75" i="53"/>
  <c r="O75" i="53"/>
  <c r="P75" i="53"/>
  <c r="Q75" i="53"/>
  <c r="R75" i="53"/>
  <c r="S75" i="53"/>
  <c r="AA75" i="53"/>
  <c r="AB75" i="53"/>
  <c r="AC75" i="53"/>
  <c r="AD75" i="53"/>
  <c r="AE75" i="53"/>
  <c r="AF75" i="53"/>
  <c r="AG75" i="53"/>
  <c r="AH75" i="53"/>
  <c r="AI75" i="53"/>
  <c r="AJ75" i="53"/>
  <c r="AL75" i="53"/>
  <c r="AM75" i="53"/>
  <c r="AN75" i="53"/>
  <c r="AO75" i="53"/>
  <c r="AP75" i="53"/>
  <c r="AQ75" i="53"/>
  <c r="AR75" i="53"/>
  <c r="AS75" i="53"/>
  <c r="AT75" i="53"/>
  <c r="AU75" i="53"/>
  <c r="AW75" i="53"/>
  <c r="AX75" i="53"/>
  <c r="AY75" i="53"/>
  <c r="AZ75" i="53"/>
  <c r="BA75" i="53"/>
  <c r="BB75" i="53"/>
  <c r="BC75" i="53"/>
  <c r="BD75" i="53"/>
  <c r="BE75" i="53"/>
  <c r="BF75" i="53"/>
  <c r="BH75" i="53"/>
  <c r="BI75" i="53"/>
  <c r="BJ75" i="53"/>
  <c r="BK75" i="53"/>
  <c r="BL75" i="53"/>
  <c r="BM75" i="53"/>
  <c r="BN75" i="53"/>
  <c r="BO75" i="53"/>
  <c r="BP75" i="53"/>
  <c r="BQ75" i="53"/>
  <c r="A76" i="53"/>
  <c r="B76" i="53"/>
  <c r="C76" i="53"/>
  <c r="D76" i="53"/>
  <c r="E76" i="53"/>
  <c r="F76" i="53"/>
  <c r="G76" i="53"/>
  <c r="H76" i="53"/>
  <c r="I76" i="53"/>
  <c r="J76" i="53"/>
  <c r="K76" i="53"/>
  <c r="L76" i="53"/>
  <c r="M76" i="53"/>
  <c r="N76" i="53"/>
  <c r="O76" i="53"/>
  <c r="P76" i="53"/>
  <c r="Q76" i="53"/>
  <c r="R76" i="53"/>
  <c r="S76" i="53"/>
  <c r="AA76" i="53"/>
  <c r="AB76" i="53"/>
  <c r="AC76" i="53"/>
  <c r="AD76" i="53"/>
  <c r="AE76" i="53"/>
  <c r="AF76" i="53"/>
  <c r="AG76" i="53"/>
  <c r="AH76" i="53"/>
  <c r="AI76" i="53"/>
  <c r="AJ76" i="53"/>
  <c r="AL76" i="53"/>
  <c r="AM76" i="53"/>
  <c r="AN76" i="53"/>
  <c r="AO76" i="53"/>
  <c r="AP76" i="53"/>
  <c r="AQ76" i="53"/>
  <c r="AR76" i="53"/>
  <c r="AS76" i="53"/>
  <c r="AT76" i="53"/>
  <c r="AU76" i="53"/>
  <c r="AW76" i="53"/>
  <c r="AX76" i="53"/>
  <c r="AY76" i="53"/>
  <c r="AZ76" i="53"/>
  <c r="BA76" i="53"/>
  <c r="BB76" i="53"/>
  <c r="BC76" i="53"/>
  <c r="BD76" i="53"/>
  <c r="BE76" i="53"/>
  <c r="BF76" i="53"/>
  <c r="BH76" i="53"/>
  <c r="BI76" i="53"/>
  <c r="BJ76" i="53"/>
  <c r="BK76" i="53"/>
  <c r="BL76" i="53"/>
  <c r="BM76" i="53"/>
  <c r="BN76" i="53"/>
  <c r="BO76" i="53"/>
  <c r="BP76" i="53"/>
  <c r="BQ76" i="53"/>
  <c r="A77" i="53"/>
  <c r="B77" i="53"/>
  <c r="C77" i="53"/>
  <c r="D77" i="53"/>
  <c r="E77" i="53"/>
  <c r="F77" i="53"/>
  <c r="G77" i="53"/>
  <c r="H77" i="53"/>
  <c r="I77" i="53"/>
  <c r="J77" i="53"/>
  <c r="K77" i="53"/>
  <c r="L77" i="53"/>
  <c r="M77" i="53"/>
  <c r="N77" i="53"/>
  <c r="O77" i="53"/>
  <c r="P77" i="53"/>
  <c r="Q77" i="53"/>
  <c r="R77" i="53"/>
  <c r="S77" i="53"/>
  <c r="AA77" i="53"/>
  <c r="AB77" i="53"/>
  <c r="AC77" i="53"/>
  <c r="AD77" i="53"/>
  <c r="AE77" i="53"/>
  <c r="AF77" i="53"/>
  <c r="AG77" i="53"/>
  <c r="AH77" i="53"/>
  <c r="AI77" i="53"/>
  <c r="AJ77" i="53"/>
  <c r="AL77" i="53"/>
  <c r="AM77" i="53"/>
  <c r="AN77" i="53"/>
  <c r="AO77" i="53"/>
  <c r="AP77" i="53"/>
  <c r="AQ77" i="53"/>
  <c r="AR77" i="53"/>
  <c r="AS77" i="53"/>
  <c r="AT77" i="53"/>
  <c r="AU77" i="53"/>
  <c r="AW77" i="53"/>
  <c r="AX77" i="53"/>
  <c r="AY77" i="53"/>
  <c r="AZ77" i="53"/>
  <c r="BA77" i="53"/>
  <c r="BB77" i="53"/>
  <c r="BC77" i="53"/>
  <c r="BD77" i="53"/>
  <c r="BE77" i="53"/>
  <c r="BF77" i="53"/>
  <c r="BH77" i="53"/>
  <c r="BI77" i="53"/>
  <c r="BJ77" i="53"/>
  <c r="BK77" i="53"/>
  <c r="BL77" i="53"/>
  <c r="BM77" i="53"/>
  <c r="BN77" i="53"/>
  <c r="BO77" i="53"/>
  <c r="BP77" i="53"/>
  <c r="BQ77" i="53"/>
  <c r="A78" i="53"/>
  <c r="B78" i="53"/>
  <c r="C78" i="53"/>
  <c r="D78" i="53"/>
  <c r="E78" i="53"/>
  <c r="F78" i="53"/>
  <c r="G78" i="53"/>
  <c r="H78" i="53"/>
  <c r="I78" i="53"/>
  <c r="J78" i="53"/>
  <c r="K78" i="53"/>
  <c r="L78" i="53"/>
  <c r="M78" i="53"/>
  <c r="N78" i="53"/>
  <c r="O78" i="53"/>
  <c r="P78" i="53"/>
  <c r="Q78" i="53"/>
  <c r="R78" i="53"/>
  <c r="S78" i="53"/>
  <c r="AA78" i="53"/>
  <c r="AB78" i="53"/>
  <c r="AC78" i="53"/>
  <c r="AD78" i="53"/>
  <c r="AE78" i="53"/>
  <c r="AF78" i="53"/>
  <c r="AG78" i="53"/>
  <c r="AH78" i="53"/>
  <c r="AI78" i="53"/>
  <c r="AJ78" i="53"/>
  <c r="AL78" i="53"/>
  <c r="AM78" i="53"/>
  <c r="AN78" i="53"/>
  <c r="AO78" i="53"/>
  <c r="AP78" i="53"/>
  <c r="AQ78" i="53"/>
  <c r="AR78" i="53"/>
  <c r="AS78" i="53"/>
  <c r="AT78" i="53"/>
  <c r="AU78" i="53"/>
  <c r="AW78" i="53"/>
  <c r="AX78" i="53"/>
  <c r="AY78" i="53"/>
  <c r="AZ78" i="53"/>
  <c r="BA78" i="53"/>
  <c r="BB78" i="53"/>
  <c r="BC78" i="53"/>
  <c r="BD78" i="53"/>
  <c r="BE78" i="53"/>
  <c r="BF78" i="53"/>
  <c r="BH78" i="53"/>
  <c r="BI78" i="53"/>
  <c r="BJ78" i="53"/>
  <c r="BK78" i="53"/>
  <c r="BL78" i="53"/>
  <c r="BM78" i="53"/>
  <c r="BN78" i="53"/>
  <c r="BO78" i="53"/>
  <c r="BP78" i="53"/>
  <c r="BQ78" i="53"/>
  <c r="A79" i="53"/>
  <c r="B79" i="53"/>
  <c r="C79" i="53"/>
  <c r="D79" i="53"/>
  <c r="E79" i="53"/>
  <c r="F79" i="53"/>
  <c r="G79" i="53"/>
  <c r="H79" i="53"/>
  <c r="I79" i="53"/>
  <c r="J79" i="53"/>
  <c r="K79" i="53"/>
  <c r="L79" i="53"/>
  <c r="M79" i="53"/>
  <c r="N79" i="53"/>
  <c r="O79" i="53"/>
  <c r="P79" i="53"/>
  <c r="Q79" i="53"/>
  <c r="R79" i="53"/>
  <c r="S79" i="53"/>
  <c r="AA79" i="53"/>
  <c r="AB79" i="53"/>
  <c r="AC79" i="53"/>
  <c r="AD79" i="53"/>
  <c r="AE79" i="53"/>
  <c r="AF79" i="53"/>
  <c r="AG79" i="53"/>
  <c r="AH79" i="53"/>
  <c r="AI79" i="53"/>
  <c r="AJ79" i="53"/>
  <c r="AL79" i="53"/>
  <c r="AM79" i="53"/>
  <c r="AN79" i="53"/>
  <c r="AO79" i="53"/>
  <c r="AP79" i="53"/>
  <c r="AQ79" i="53"/>
  <c r="AR79" i="53"/>
  <c r="AS79" i="53"/>
  <c r="AT79" i="53"/>
  <c r="AU79" i="53"/>
  <c r="AW79" i="53"/>
  <c r="AX79" i="53"/>
  <c r="AY79" i="53"/>
  <c r="AZ79" i="53"/>
  <c r="BA79" i="53"/>
  <c r="BB79" i="53"/>
  <c r="BC79" i="53"/>
  <c r="BD79" i="53"/>
  <c r="BE79" i="53"/>
  <c r="BF79" i="53"/>
  <c r="BH79" i="53"/>
  <c r="BI79" i="53"/>
  <c r="BJ79" i="53"/>
  <c r="BK79" i="53"/>
  <c r="BL79" i="53"/>
  <c r="BM79" i="53"/>
  <c r="BN79" i="53"/>
  <c r="BO79" i="53"/>
  <c r="BP79" i="53"/>
  <c r="BQ79" i="53"/>
  <c r="A80" i="53"/>
  <c r="B80" i="53"/>
  <c r="C80" i="53"/>
  <c r="D80" i="53"/>
  <c r="E80" i="53"/>
  <c r="F80" i="53"/>
  <c r="G80" i="53"/>
  <c r="H80" i="53"/>
  <c r="I80" i="53"/>
  <c r="J80" i="53"/>
  <c r="K80" i="53"/>
  <c r="L80" i="53"/>
  <c r="M80" i="53"/>
  <c r="N80" i="53"/>
  <c r="O80" i="53"/>
  <c r="P80" i="53"/>
  <c r="Q80" i="53"/>
  <c r="R80" i="53"/>
  <c r="S80" i="53"/>
  <c r="AA80" i="53"/>
  <c r="AB80" i="53"/>
  <c r="AC80" i="53"/>
  <c r="AD80" i="53"/>
  <c r="AE80" i="53"/>
  <c r="AF80" i="53"/>
  <c r="AG80" i="53"/>
  <c r="AH80" i="53"/>
  <c r="AI80" i="53"/>
  <c r="AJ80" i="53"/>
  <c r="AL80" i="53"/>
  <c r="AM80" i="53"/>
  <c r="AN80" i="53"/>
  <c r="AO80" i="53"/>
  <c r="AP80" i="53"/>
  <c r="AQ80" i="53"/>
  <c r="AR80" i="53"/>
  <c r="AS80" i="53"/>
  <c r="AT80" i="53"/>
  <c r="AU80" i="53"/>
  <c r="AW80" i="53"/>
  <c r="AX80" i="53"/>
  <c r="AY80" i="53"/>
  <c r="AZ80" i="53"/>
  <c r="BA80" i="53"/>
  <c r="BB80" i="53"/>
  <c r="BC80" i="53"/>
  <c r="BD80" i="53"/>
  <c r="BE80" i="53"/>
  <c r="BF80" i="53"/>
  <c r="BH80" i="53"/>
  <c r="BI80" i="53"/>
  <c r="BJ80" i="53"/>
  <c r="BK80" i="53"/>
  <c r="BL80" i="53"/>
  <c r="BM80" i="53"/>
  <c r="BN80" i="53"/>
  <c r="BO80" i="53"/>
  <c r="BP80" i="53"/>
  <c r="BQ80" i="53"/>
  <c r="A81" i="53"/>
  <c r="B81" i="53"/>
  <c r="C81" i="53"/>
  <c r="D81" i="53"/>
  <c r="E81" i="53"/>
  <c r="F81" i="53"/>
  <c r="G81" i="53"/>
  <c r="H81" i="53"/>
  <c r="I81" i="53"/>
  <c r="J81" i="53"/>
  <c r="K81" i="53"/>
  <c r="L81" i="53"/>
  <c r="M81" i="53"/>
  <c r="N81" i="53"/>
  <c r="O81" i="53"/>
  <c r="P81" i="53"/>
  <c r="Q81" i="53"/>
  <c r="R81" i="53"/>
  <c r="S81" i="53"/>
  <c r="AA81" i="53"/>
  <c r="AB81" i="53"/>
  <c r="AC81" i="53"/>
  <c r="AD81" i="53"/>
  <c r="AE81" i="53"/>
  <c r="AF81" i="53"/>
  <c r="AG81" i="53"/>
  <c r="AH81" i="53"/>
  <c r="AI81" i="53"/>
  <c r="AJ81" i="53"/>
  <c r="AL81" i="53"/>
  <c r="AM81" i="53"/>
  <c r="AN81" i="53"/>
  <c r="AO81" i="53"/>
  <c r="AP81" i="53"/>
  <c r="AQ81" i="53"/>
  <c r="AR81" i="53"/>
  <c r="AS81" i="53"/>
  <c r="AT81" i="53"/>
  <c r="AU81" i="53"/>
  <c r="AW81" i="53"/>
  <c r="AX81" i="53"/>
  <c r="AY81" i="53"/>
  <c r="AZ81" i="53"/>
  <c r="BA81" i="53"/>
  <c r="BB81" i="53"/>
  <c r="BC81" i="53"/>
  <c r="BD81" i="53"/>
  <c r="BE81" i="53"/>
  <c r="BF81" i="53"/>
  <c r="BH81" i="53"/>
  <c r="BI81" i="53"/>
  <c r="BJ81" i="53"/>
  <c r="BK81" i="53"/>
  <c r="BL81" i="53"/>
  <c r="BM81" i="53"/>
  <c r="BN81" i="53"/>
  <c r="BO81" i="53"/>
  <c r="BP81" i="53"/>
  <c r="BQ81" i="53"/>
  <c r="A82" i="53"/>
  <c r="B82" i="53"/>
  <c r="C82" i="53"/>
  <c r="D82" i="53"/>
  <c r="E82" i="53"/>
  <c r="F82" i="53"/>
  <c r="G82" i="53"/>
  <c r="H82" i="53"/>
  <c r="I82" i="53"/>
  <c r="J82" i="53"/>
  <c r="K82" i="53"/>
  <c r="L82" i="53"/>
  <c r="M82" i="53"/>
  <c r="N82" i="53"/>
  <c r="O82" i="53"/>
  <c r="P82" i="53"/>
  <c r="Q82" i="53"/>
  <c r="R82" i="53"/>
  <c r="S82" i="53"/>
  <c r="AA82" i="53"/>
  <c r="AB82" i="53"/>
  <c r="AC82" i="53"/>
  <c r="AD82" i="53"/>
  <c r="AE82" i="53"/>
  <c r="AF82" i="53"/>
  <c r="AG82" i="53"/>
  <c r="AH82" i="53"/>
  <c r="AI82" i="53"/>
  <c r="AJ82" i="53"/>
  <c r="AL82" i="53"/>
  <c r="AM82" i="53"/>
  <c r="AN82" i="53"/>
  <c r="AO82" i="53"/>
  <c r="AP82" i="53"/>
  <c r="AQ82" i="53"/>
  <c r="AR82" i="53"/>
  <c r="AS82" i="53"/>
  <c r="AT82" i="53"/>
  <c r="AU82" i="53"/>
  <c r="AW82" i="53"/>
  <c r="AX82" i="53"/>
  <c r="AY82" i="53"/>
  <c r="AZ82" i="53"/>
  <c r="BA82" i="53"/>
  <c r="BB82" i="53"/>
  <c r="BC82" i="53"/>
  <c r="BD82" i="53"/>
  <c r="BE82" i="53"/>
  <c r="BF82" i="53"/>
  <c r="BH82" i="53"/>
  <c r="BI82" i="53"/>
  <c r="BJ82" i="53"/>
  <c r="BK82" i="53"/>
  <c r="BL82" i="53"/>
  <c r="BM82" i="53"/>
  <c r="BN82" i="53"/>
  <c r="BO82" i="53"/>
  <c r="BP82" i="53"/>
  <c r="BQ82" i="53"/>
  <c r="A83" i="53"/>
  <c r="B83" i="53"/>
  <c r="C83" i="53"/>
  <c r="D83" i="53"/>
  <c r="E83" i="53"/>
  <c r="F83" i="53"/>
  <c r="G83" i="53"/>
  <c r="H83" i="53"/>
  <c r="I83" i="53"/>
  <c r="J83" i="53"/>
  <c r="K83" i="53"/>
  <c r="L83" i="53"/>
  <c r="M83" i="53"/>
  <c r="N83" i="53"/>
  <c r="O83" i="53"/>
  <c r="P83" i="53"/>
  <c r="Q83" i="53"/>
  <c r="R83" i="53"/>
  <c r="S83" i="53"/>
  <c r="AA83" i="53"/>
  <c r="AB83" i="53"/>
  <c r="AC83" i="53"/>
  <c r="AD83" i="53"/>
  <c r="AE83" i="53"/>
  <c r="AF83" i="53"/>
  <c r="AG83" i="53"/>
  <c r="AH83" i="53"/>
  <c r="AI83" i="53"/>
  <c r="AJ83" i="53"/>
  <c r="AL83" i="53"/>
  <c r="AM83" i="53"/>
  <c r="AN83" i="53"/>
  <c r="AO83" i="53"/>
  <c r="AP83" i="53"/>
  <c r="AQ83" i="53"/>
  <c r="AR83" i="53"/>
  <c r="AS83" i="53"/>
  <c r="AT83" i="53"/>
  <c r="AU83" i="53"/>
  <c r="AW83" i="53"/>
  <c r="AX83" i="53"/>
  <c r="AY83" i="53"/>
  <c r="AZ83" i="53"/>
  <c r="BA83" i="53"/>
  <c r="BB83" i="53"/>
  <c r="BC83" i="53"/>
  <c r="BD83" i="53"/>
  <c r="BE83" i="53"/>
  <c r="BF83" i="53"/>
  <c r="BH83" i="53"/>
  <c r="BI83" i="53"/>
  <c r="BJ83" i="53"/>
  <c r="BK83" i="53"/>
  <c r="BL83" i="53"/>
  <c r="BM83" i="53"/>
  <c r="BN83" i="53"/>
  <c r="BO83" i="53"/>
  <c r="BP83" i="53"/>
  <c r="BQ83" i="53"/>
  <c r="A84" i="53"/>
  <c r="B84" i="53"/>
  <c r="C84" i="53"/>
  <c r="D84" i="53"/>
  <c r="E84" i="53"/>
  <c r="F84" i="53"/>
  <c r="G84" i="53"/>
  <c r="H84" i="53"/>
  <c r="I84" i="53"/>
  <c r="J84" i="53"/>
  <c r="K84" i="53"/>
  <c r="L84" i="53"/>
  <c r="M84" i="53"/>
  <c r="N84" i="53"/>
  <c r="O84" i="53"/>
  <c r="P84" i="53"/>
  <c r="Q84" i="53"/>
  <c r="R84" i="53"/>
  <c r="S84" i="53"/>
  <c r="AA84" i="53"/>
  <c r="AB84" i="53"/>
  <c r="AC84" i="53"/>
  <c r="AD84" i="53"/>
  <c r="AE84" i="53"/>
  <c r="AF84" i="53"/>
  <c r="AG84" i="53"/>
  <c r="AH84" i="53"/>
  <c r="AI84" i="53"/>
  <c r="AJ84" i="53"/>
  <c r="AL84" i="53"/>
  <c r="AM84" i="53"/>
  <c r="AN84" i="53"/>
  <c r="AO84" i="53"/>
  <c r="AP84" i="53"/>
  <c r="AQ84" i="53"/>
  <c r="AR84" i="53"/>
  <c r="AS84" i="53"/>
  <c r="AT84" i="53"/>
  <c r="AU84" i="53"/>
  <c r="AW84" i="53"/>
  <c r="AX84" i="53"/>
  <c r="AY84" i="53"/>
  <c r="AZ84" i="53"/>
  <c r="BA84" i="53"/>
  <c r="BB84" i="53"/>
  <c r="BC84" i="53"/>
  <c r="BD84" i="53"/>
  <c r="BE84" i="53"/>
  <c r="BF84" i="53"/>
  <c r="BH84" i="53"/>
  <c r="BI84" i="53"/>
  <c r="BJ84" i="53"/>
  <c r="BK84" i="53"/>
  <c r="BL84" i="53"/>
  <c r="BM84" i="53"/>
  <c r="BN84" i="53"/>
  <c r="BO84" i="53"/>
  <c r="BP84" i="53"/>
  <c r="BQ84" i="53"/>
  <c r="A85" i="53"/>
  <c r="B85" i="53"/>
  <c r="C85" i="53"/>
  <c r="D85" i="53"/>
  <c r="E85" i="53"/>
  <c r="F85" i="53"/>
  <c r="G85" i="53"/>
  <c r="H85" i="53"/>
  <c r="I85" i="53"/>
  <c r="J85" i="53"/>
  <c r="K85" i="53"/>
  <c r="L85" i="53"/>
  <c r="M85" i="53"/>
  <c r="N85" i="53"/>
  <c r="O85" i="53"/>
  <c r="P85" i="53"/>
  <c r="Q85" i="53"/>
  <c r="R85" i="53"/>
  <c r="S85" i="53"/>
  <c r="AA85" i="53"/>
  <c r="AB85" i="53"/>
  <c r="AC85" i="53"/>
  <c r="AD85" i="53"/>
  <c r="AE85" i="53"/>
  <c r="AF85" i="53"/>
  <c r="AG85" i="53"/>
  <c r="AH85" i="53"/>
  <c r="AI85" i="53"/>
  <c r="AJ85" i="53"/>
  <c r="AL85" i="53"/>
  <c r="AM85" i="53"/>
  <c r="AN85" i="53"/>
  <c r="AO85" i="53"/>
  <c r="AP85" i="53"/>
  <c r="AQ85" i="53"/>
  <c r="AR85" i="53"/>
  <c r="AS85" i="53"/>
  <c r="AT85" i="53"/>
  <c r="AU85" i="53"/>
  <c r="AW85" i="53"/>
  <c r="AX85" i="53"/>
  <c r="AY85" i="53"/>
  <c r="AZ85" i="53"/>
  <c r="BA85" i="53"/>
  <c r="BB85" i="53"/>
  <c r="BC85" i="53"/>
  <c r="BD85" i="53"/>
  <c r="BE85" i="53"/>
  <c r="BF85" i="53"/>
  <c r="BH85" i="53"/>
  <c r="BI85" i="53"/>
  <c r="BJ85" i="53"/>
  <c r="BK85" i="53"/>
  <c r="BL85" i="53"/>
  <c r="BM85" i="53"/>
  <c r="BN85" i="53"/>
  <c r="BO85" i="53"/>
  <c r="BP85" i="53"/>
  <c r="BQ85" i="53"/>
  <c r="A86" i="53"/>
  <c r="B86" i="53"/>
  <c r="C86" i="53"/>
  <c r="D86" i="53"/>
  <c r="E86" i="53"/>
  <c r="F86" i="53"/>
  <c r="G86" i="53"/>
  <c r="H86" i="53"/>
  <c r="I86" i="53"/>
  <c r="J86" i="53"/>
  <c r="K86" i="53"/>
  <c r="L86" i="53"/>
  <c r="M86" i="53"/>
  <c r="N86" i="53"/>
  <c r="O86" i="53"/>
  <c r="P86" i="53"/>
  <c r="Q86" i="53"/>
  <c r="R86" i="53"/>
  <c r="S86" i="53"/>
  <c r="AA86" i="53"/>
  <c r="AB86" i="53"/>
  <c r="AC86" i="53"/>
  <c r="AD86" i="53"/>
  <c r="AE86" i="53"/>
  <c r="AF86" i="53"/>
  <c r="AG86" i="53"/>
  <c r="AH86" i="53"/>
  <c r="AI86" i="53"/>
  <c r="AJ86" i="53"/>
  <c r="AL86" i="53"/>
  <c r="AM86" i="53"/>
  <c r="AN86" i="53"/>
  <c r="AO86" i="53"/>
  <c r="AP86" i="53"/>
  <c r="AQ86" i="53"/>
  <c r="AR86" i="53"/>
  <c r="AS86" i="53"/>
  <c r="AT86" i="53"/>
  <c r="AU86" i="53"/>
  <c r="AW86" i="53"/>
  <c r="AX86" i="53"/>
  <c r="AY86" i="53"/>
  <c r="AZ86" i="53"/>
  <c r="BA86" i="53"/>
  <c r="BB86" i="53"/>
  <c r="BC86" i="53"/>
  <c r="BD86" i="53"/>
  <c r="BE86" i="53"/>
  <c r="BF86" i="53"/>
  <c r="BH86" i="53"/>
  <c r="BI86" i="53"/>
  <c r="BJ86" i="53"/>
  <c r="BK86" i="53"/>
  <c r="BL86" i="53"/>
  <c r="BM86" i="53"/>
  <c r="BN86" i="53"/>
  <c r="BO86" i="53"/>
  <c r="BP86" i="53"/>
  <c r="BQ86" i="53"/>
  <c r="A87" i="53"/>
  <c r="B87" i="53"/>
  <c r="C87" i="53"/>
  <c r="D87" i="53"/>
  <c r="E87" i="53"/>
  <c r="F87" i="53"/>
  <c r="G87" i="53"/>
  <c r="H87" i="53"/>
  <c r="I87" i="53"/>
  <c r="J87" i="53"/>
  <c r="K87" i="53"/>
  <c r="L87" i="53"/>
  <c r="M87" i="53"/>
  <c r="N87" i="53"/>
  <c r="O87" i="53"/>
  <c r="P87" i="53"/>
  <c r="Q87" i="53"/>
  <c r="R87" i="53"/>
  <c r="S87" i="53"/>
  <c r="AA87" i="53"/>
  <c r="AB87" i="53"/>
  <c r="AC87" i="53"/>
  <c r="AD87" i="53"/>
  <c r="AE87" i="53"/>
  <c r="AF87" i="53"/>
  <c r="AG87" i="53"/>
  <c r="AH87" i="53"/>
  <c r="AI87" i="53"/>
  <c r="AJ87" i="53"/>
  <c r="AL87" i="53"/>
  <c r="AM87" i="53"/>
  <c r="AN87" i="53"/>
  <c r="AO87" i="53"/>
  <c r="AP87" i="53"/>
  <c r="AQ87" i="53"/>
  <c r="AR87" i="53"/>
  <c r="AS87" i="53"/>
  <c r="AT87" i="53"/>
  <c r="AU87" i="53"/>
  <c r="AW87" i="53"/>
  <c r="AX87" i="53"/>
  <c r="AY87" i="53"/>
  <c r="AZ87" i="53"/>
  <c r="BA87" i="53"/>
  <c r="BB87" i="53"/>
  <c r="BC87" i="53"/>
  <c r="BD87" i="53"/>
  <c r="BE87" i="53"/>
  <c r="BF87" i="53"/>
  <c r="BH87" i="53"/>
  <c r="BI87" i="53"/>
  <c r="BJ87" i="53"/>
  <c r="BK87" i="53"/>
  <c r="BL87" i="53"/>
  <c r="BM87" i="53"/>
  <c r="BN87" i="53"/>
  <c r="BO87" i="53"/>
  <c r="BP87" i="53"/>
  <c r="BQ87" i="53"/>
  <c r="A88" i="53"/>
  <c r="B88" i="53"/>
  <c r="C88" i="53"/>
  <c r="D88" i="53"/>
  <c r="E88" i="53"/>
  <c r="F88" i="53"/>
  <c r="G88" i="53"/>
  <c r="H88" i="53"/>
  <c r="I88" i="53"/>
  <c r="J88" i="53"/>
  <c r="K88" i="53"/>
  <c r="L88" i="53"/>
  <c r="M88" i="53"/>
  <c r="N88" i="53"/>
  <c r="O88" i="53"/>
  <c r="P88" i="53"/>
  <c r="Q88" i="53"/>
  <c r="R88" i="53"/>
  <c r="S88" i="53"/>
  <c r="AA88" i="53"/>
  <c r="AB88" i="53"/>
  <c r="AC88" i="53"/>
  <c r="AD88" i="53"/>
  <c r="AE88" i="53"/>
  <c r="AF88" i="53"/>
  <c r="AG88" i="53"/>
  <c r="AH88" i="53"/>
  <c r="AI88" i="53"/>
  <c r="AJ88" i="53"/>
  <c r="AL88" i="53"/>
  <c r="AM88" i="53"/>
  <c r="AN88" i="53"/>
  <c r="AO88" i="53"/>
  <c r="AP88" i="53"/>
  <c r="AQ88" i="53"/>
  <c r="AR88" i="53"/>
  <c r="AS88" i="53"/>
  <c r="AT88" i="53"/>
  <c r="AU88" i="53"/>
  <c r="AW88" i="53"/>
  <c r="AX88" i="53"/>
  <c r="AY88" i="53"/>
  <c r="AZ88" i="53"/>
  <c r="BA88" i="53"/>
  <c r="BB88" i="53"/>
  <c r="BC88" i="53"/>
  <c r="BD88" i="53"/>
  <c r="BE88" i="53"/>
  <c r="BF88" i="53"/>
  <c r="BH88" i="53"/>
  <c r="BI88" i="53"/>
  <c r="BJ88" i="53"/>
  <c r="BK88" i="53"/>
  <c r="BL88" i="53"/>
  <c r="BM88" i="53"/>
  <c r="BN88" i="53"/>
  <c r="BO88" i="53"/>
  <c r="BP88" i="53"/>
  <c r="BQ88" i="53"/>
  <c r="A89" i="53"/>
  <c r="B89" i="53"/>
  <c r="C89" i="53"/>
  <c r="D89" i="53"/>
  <c r="E89" i="53"/>
  <c r="F89" i="53"/>
  <c r="G89" i="53"/>
  <c r="H89" i="53"/>
  <c r="I89" i="53"/>
  <c r="J89" i="53"/>
  <c r="K89" i="53"/>
  <c r="L89" i="53"/>
  <c r="M89" i="53"/>
  <c r="N89" i="53"/>
  <c r="O89" i="53"/>
  <c r="P89" i="53"/>
  <c r="Q89" i="53"/>
  <c r="R89" i="53"/>
  <c r="S89" i="53"/>
  <c r="AA89" i="53"/>
  <c r="AB89" i="53"/>
  <c r="AC89" i="53"/>
  <c r="AD89" i="53"/>
  <c r="AE89" i="53"/>
  <c r="AF89" i="53"/>
  <c r="AG89" i="53"/>
  <c r="AH89" i="53"/>
  <c r="AI89" i="53"/>
  <c r="AJ89" i="53"/>
  <c r="AL89" i="53"/>
  <c r="AM89" i="53"/>
  <c r="AN89" i="53"/>
  <c r="AO89" i="53"/>
  <c r="AP89" i="53"/>
  <c r="AQ89" i="53"/>
  <c r="AR89" i="53"/>
  <c r="AS89" i="53"/>
  <c r="AT89" i="53"/>
  <c r="AU89" i="53"/>
  <c r="AW89" i="53"/>
  <c r="AX89" i="53"/>
  <c r="AY89" i="53"/>
  <c r="AZ89" i="53"/>
  <c r="BA89" i="53"/>
  <c r="BB89" i="53"/>
  <c r="BC89" i="53"/>
  <c r="BD89" i="53"/>
  <c r="BE89" i="53"/>
  <c r="BF89" i="53"/>
  <c r="BH89" i="53"/>
  <c r="BI89" i="53"/>
  <c r="BJ89" i="53"/>
  <c r="BK89" i="53"/>
  <c r="BL89" i="53"/>
  <c r="BM89" i="53"/>
  <c r="BN89" i="53"/>
  <c r="BO89" i="53"/>
  <c r="BP89" i="53"/>
  <c r="BQ89" i="53"/>
  <c r="A90" i="53"/>
  <c r="B90" i="53"/>
  <c r="C90" i="53"/>
  <c r="D90" i="53"/>
  <c r="E90" i="53"/>
  <c r="F90" i="53"/>
  <c r="G90" i="53"/>
  <c r="H90" i="53"/>
  <c r="I90" i="53"/>
  <c r="J90" i="53"/>
  <c r="K90" i="53"/>
  <c r="L90" i="53"/>
  <c r="M90" i="53"/>
  <c r="N90" i="53"/>
  <c r="O90" i="53"/>
  <c r="P90" i="53"/>
  <c r="Q90" i="53"/>
  <c r="R90" i="53"/>
  <c r="S90" i="53"/>
  <c r="AA90" i="53"/>
  <c r="AB90" i="53"/>
  <c r="AC90" i="53"/>
  <c r="AD90" i="53"/>
  <c r="AE90" i="53"/>
  <c r="AF90" i="53"/>
  <c r="AG90" i="53"/>
  <c r="AH90" i="53"/>
  <c r="AI90" i="53"/>
  <c r="AJ90" i="53"/>
  <c r="AL90" i="53"/>
  <c r="AM90" i="53"/>
  <c r="AN90" i="53"/>
  <c r="AO90" i="53"/>
  <c r="AP90" i="53"/>
  <c r="AQ90" i="53"/>
  <c r="AR90" i="53"/>
  <c r="AS90" i="53"/>
  <c r="AT90" i="53"/>
  <c r="AU90" i="53"/>
  <c r="AW90" i="53"/>
  <c r="AX90" i="53"/>
  <c r="AY90" i="53"/>
  <c r="AZ90" i="53"/>
  <c r="BA90" i="53"/>
  <c r="BB90" i="53"/>
  <c r="BC90" i="53"/>
  <c r="BD90" i="53"/>
  <c r="BE90" i="53"/>
  <c r="BF90" i="53"/>
  <c r="BH90" i="53"/>
  <c r="BI90" i="53"/>
  <c r="BJ90" i="53"/>
  <c r="BK90" i="53"/>
  <c r="BL90" i="53"/>
  <c r="BM90" i="53"/>
  <c r="BN90" i="53"/>
  <c r="BO90" i="53"/>
  <c r="BP90" i="53"/>
  <c r="BQ90" i="53"/>
  <c r="A91" i="53"/>
  <c r="B91" i="53"/>
  <c r="C91" i="53"/>
  <c r="D91" i="53"/>
  <c r="E91" i="53"/>
  <c r="F91" i="53"/>
  <c r="G91" i="53"/>
  <c r="H91" i="53"/>
  <c r="I91" i="53"/>
  <c r="J91" i="53"/>
  <c r="K91" i="53"/>
  <c r="L91" i="53"/>
  <c r="M91" i="53"/>
  <c r="N91" i="53"/>
  <c r="O91" i="53"/>
  <c r="P91" i="53"/>
  <c r="Q91" i="53"/>
  <c r="R91" i="53"/>
  <c r="S91" i="53"/>
  <c r="AA91" i="53"/>
  <c r="AB91" i="53"/>
  <c r="AC91" i="53"/>
  <c r="AD91" i="53"/>
  <c r="AE91" i="53"/>
  <c r="AF91" i="53"/>
  <c r="AG91" i="53"/>
  <c r="AH91" i="53"/>
  <c r="AI91" i="53"/>
  <c r="AJ91" i="53"/>
  <c r="AL91" i="53"/>
  <c r="AM91" i="53"/>
  <c r="AN91" i="53"/>
  <c r="AO91" i="53"/>
  <c r="AP91" i="53"/>
  <c r="AQ91" i="53"/>
  <c r="AR91" i="53"/>
  <c r="AS91" i="53"/>
  <c r="AT91" i="53"/>
  <c r="AU91" i="53"/>
  <c r="AW91" i="53"/>
  <c r="AX91" i="53"/>
  <c r="AY91" i="53"/>
  <c r="AZ91" i="53"/>
  <c r="BA91" i="53"/>
  <c r="BB91" i="53"/>
  <c r="BC91" i="53"/>
  <c r="BD91" i="53"/>
  <c r="BE91" i="53"/>
  <c r="BF91" i="53"/>
  <c r="BH91" i="53"/>
  <c r="BI91" i="53"/>
  <c r="BJ91" i="53"/>
  <c r="BK91" i="53"/>
  <c r="BL91" i="53"/>
  <c r="BM91" i="53"/>
  <c r="BN91" i="53"/>
  <c r="BO91" i="53"/>
  <c r="BP91" i="53"/>
  <c r="BQ91" i="53"/>
  <c r="A92" i="53"/>
  <c r="B92" i="53"/>
  <c r="C92" i="53"/>
  <c r="D92" i="53"/>
  <c r="E92" i="53"/>
  <c r="F92" i="53"/>
  <c r="G92" i="53"/>
  <c r="H92" i="53"/>
  <c r="I92" i="53"/>
  <c r="J92" i="53"/>
  <c r="K92" i="53"/>
  <c r="L92" i="53"/>
  <c r="M92" i="53"/>
  <c r="N92" i="53"/>
  <c r="O92" i="53"/>
  <c r="P92" i="53"/>
  <c r="Q92" i="53"/>
  <c r="R92" i="53"/>
  <c r="S92" i="53"/>
  <c r="AA92" i="53"/>
  <c r="AB92" i="53"/>
  <c r="AC92" i="53"/>
  <c r="AD92" i="53"/>
  <c r="AE92" i="53"/>
  <c r="AF92" i="53"/>
  <c r="AG92" i="53"/>
  <c r="AH92" i="53"/>
  <c r="AI92" i="53"/>
  <c r="AJ92" i="53"/>
  <c r="AL92" i="53"/>
  <c r="AM92" i="53"/>
  <c r="AN92" i="53"/>
  <c r="AO92" i="53"/>
  <c r="AP92" i="53"/>
  <c r="AQ92" i="53"/>
  <c r="AR92" i="53"/>
  <c r="AS92" i="53"/>
  <c r="AT92" i="53"/>
  <c r="AU92" i="53"/>
  <c r="AW92" i="53"/>
  <c r="AX92" i="53"/>
  <c r="AY92" i="53"/>
  <c r="AZ92" i="53"/>
  <c r="BA92" i="53"/>
  <c r="BB92" i="53"/>
  <c r="BC92" i="53"/>
  <c r="BD92" i="53"/>
  <c r="BE92" i="53"/>
  <c r="BF92" i="53"/>
  <c r="BH92" i="53"/>
  <c r="BI92" i="53"/>
  <c r="BJ92" i="53"/>
  <c r="BK92" i="53"/>
  <c r="BL92" i="53"/>
  <c r="BM92" i="53"/>
  <c r="BN92" i="53"/>
  <c r="BO92" i="53"/>
  <c r="BP92" i="53"/>
  <c r="BQ92" i="53"/>
  <c r="A93" i="53"/>
  <c r="B93" i="53"/>
  <c r="C93" i="53"/>
  <c r="D93" i="53"/>
  <c r="E93" i="53"/>
  <c r="F93" i="53"/>
  <c r="G93" i="53"/>
  <c r="H93" i="53"/>
  <c r="I93" i="53"/>
  <c r="J93" i="53"/>
  <c r="K93" i="53"/>
  <c r="L93" i="53"/>
  <c r="M93" i="53"/>
  <c r="N93" i="53"/>
  <c r="O93" i="53"/>
  <c r="P93" i="53"/>
  <c r="Q93" i="53"/>
  <c r="R93" i="53"/>
  <c r="S93" i="53"/>
  <c r="AA93" i="53"/>
  <c r="AB93" i="53"/>
  <c r="AC93" i="53"/>
  <c r="AD93" i="53"/>
  <c r="AE93" i="53"/>
  <c r="AF93" i="53"/>
  <c r="AG93" i="53"/>
  <c r="AH93" i="53"/>
  <c r="AI93" i="53"/>
  <c r="AJ93" i="53"/>
  <c r="AL93" i="53"/>
  <c r="AM93" i="53"/>
  <c r="AN93" i="53"/>
  <c r="AO93" i="53"/>
  <c r="AP93" i="53"/>
  <c r="AQ93" i="53"/>
  <c r="AR93" i="53"/>
  <c r="AS93" i="53"/>
  <c r="AT93" i="53"/>
  <c r="AU93" i="53"/>
  <c r="AW93" i="53"/>
  <c r="AX93" i="53"/>
  <c r="AY93" i="53"/>
  <c r="AZ93" i="53"/>
  <c r="BA93" i="53"/>
  <c r="BB93" i="53"/>
  <c r="BC93" i="53"/>
  <c r="BD93" i="53"/>
  <c r="BE93" i="53"/>
  <c r="BF93" i="53"/>
  <c r="BH93" i="53"/>
  <c r="BI93" i="53"/>
  <c r="BJ93" i="53"/>
  <c r="BK93" i="53"/>
  <c r="BL93" i="53"/>
  <c r="BM93" i="53"/>
  <c r="BN93" i="53"/>
  <c r="BO93" i="53"/>
  <c r="BP93" i="53"/>
  <c r="BQ93" i="53"/>
  <c r="A94" i="53"/>
  <c r="B94" i="53"/>
  <c r="C94" i="53"/>
  <c r="D94" i="53"/>
  <c r="E94" i="53"/>
  <c r="F94" i="53"/>
  <c r="G94" i="53"/>
  <c r="H94" i="53"/>
  <c r="I94" i="53"/>
  <c r="J94" i="53"/>
  <c r="K94" i="53"/>
  <c r="L94" i="53"/>
  <c r="M94" i="53"/>
  <c r="N94" i="53"/>
  <c r="O94" i="53"/>
  <c r="P94" i="53"/>
  <c r="Q94" i="53"/>
  <c r="R94" i="53"/>
  <c r="S94" i="53"/>
  <c r="AA94" i="53"/>
  <c r="AB94" i="53"/>
  <c r="AC94" i="53"/>
  <c r="AD94" i="53"/>
  <c r="AE94" i="53"/>
  <c r="AF94" i="53"/>
  <c r="AG94" i="53"/>
  <c r="AH94" i="53"/>
  <c r="AI94" i="53"/>
  <c r="AJ94" i="53"/>
  <c r="AL94" i="53"/>
  <c r="AM94" i="53"/>
  <c r="AN94" i="53"/>
  <c r="AO94" i="53"/>
  <c r="AP94" i="53"/>
  <c r="AQ94" i="53"/>
  <c r="AR94" i="53"/>
  <c r="AS94" i="53"/>
  <c r="AT94" i="53"/>
  <c r="AU94" i="53"/>
  <c r="AW94" i="53"/>
  <c r="AX94" i="53"/>
  <c r="AY94" i="53"/>
  <c r="AZ94" i="53"/>
  <c r="BA94" i="53"/>
  <c r="BB94" i="53"/>
  <c r="BC94" i="53"/>
  <c r="BD94" i="53"/>
  <c r="BE94" i="53"/>
  <c r="BF94" i="53"/>
  <c r="BH94" i="53"/>
  <c r="BI94" i="53"/>
  <c r="BJ94" i="53"/>
  <c r="BK94" i="53"/>
  <c r="BL94" i="53"/>
  <c r="BM94" i="53"/>
  <c r="BN94" i="53"/>
  <c r="BO94" i="53"/>
  <c r="BP94" i="53"/>
  <c r="BQ94" i="53"/>
  <c r="A95" i="53"/>
  <c r="B95" i="53"/>
  <c r="C95" i="53"/>
  <c r="D95" i="53"/>
  <c r="E95" i="53"/>
  <c r="F95" i="53"/>
  <c r="G95" i="53"/>
  <c r="H95" i="53"/>
  <c r="I95" i="53"/>
  <c r="J95" i="53"/>
  <c r="K95" i="53"/>
  <c r="L95" i="53"/>
  <c r="M95" i="53"/>
  <c r="N95" i="53"/>
  <c r="O95" i="53"/>
  <c r="P95" i="53"/>
  <c r="Q95" i="53"/>
  <c r="R95" i="53"/>
  <c r="S95" i="53"/>
  <c r="AA95" i="53"/>
  <c r="AB95" i="53"/>
  <c r="AC95" i="53"/>
  <c r="AD95" i="53"/>
  <c r="AE95" i="53"/>
  <c r="AF95" i="53"/>
  <c r="AG95" i="53"/>
  <c r="AH95" i="53"/>
  <c r="AI95" i="53"/>
  <c r="AJ95" i="53"/>
  <c r="AL95" i="53"/>
  <c r="AM95" i="53"/>
  <c r="AN95" i="53"/>
  <c r="AO95" i="53"/>
  <c r="AP95" i="53"/>
  <c r="AQ95" i="53"/>
  <c r="AR95" i="53"/>
  <c r="AS95" i="53"/>
  <c r="AT95" i="53"/>
  <c r="AU95" i="53"/>
  <c r="AW95" i="53"/>
  <c r="AX95" i="53"/>
  <c r="AY95" i="53"/>
  <c r="AZ95" i="53"/>
  <c r="BA95" i="53"/>
  <c r="BB95" i="53"/>
  <c r="BC95" i="53"/>
  <c r="BD95" i="53"/>
  <c r="BE95" i="53"/>
  <c r="BF95" i="53"/>
  <c r="BH95" i="53"/>
  <c r="BI95" i="53"/>
  <c r="BJ95" i="53"/>
  <c r="BK95" i="53"/>
  <c r="BL95" i="53"/>
  <c r="BM95" i="53"/>
  <c r="BN95" i="53"/>
  <c r="BO95" i="53"/>
  <c r="BP95" i="53"/>
  <c r="BQ95" i="53"/>
  <c r="A96" i="53"/>
  <c r="B96" i="53"/>
  <c r="C96" i="53"/>
  <c r="D96" i="53"/>
  <c r="E96" i="53"/>
  <c r="F96" i="53"/>
  <c r="G96" i="53"/>
  <c r="H96" i="53"/>
  <c r="I96" i="53"/>
  <c r="J96" i="53"/>
  <c r="K96" i="53"/>
  <c r="L96" i="53"/>
  <c r="M96" i="53"/>
  <c r="N96" i="53"/>
  <c r="O96" i="53"/>
  <c r="P96" i="53"/>
  <c r="Q96" i="53"/>
  <c r="R96" i="53"/>
  <c r="S96" i="53"/>
  <c r="AA96" i="53"/>
  <c r="AB96" i="53"/>
  <c r="AC96" i="53"/>
  <c r="AD96" i="53"/>
  <c r="AE96" i="53"/>
  <c r="AF96" i="53"/>
  <c r="AG96" i="53"/>
  <c r="AH96" i="53"/>
  <c r="AI96" i="53"/>
  <c r="AJ96" i="53"/>
  <c r="AL96" i="53"/>
  <c r="AM96" i="53"/>
  <c r="AN96" i="53"/>
  <c r="AO96" i="53"/>
  <c r="AP96" i="53"/>
  <c r="AQ96" i="53"/>
  <c r="AR96" i="53"/>
  <c r="AS96" i="53"/>
  <c r="AT96" i="53"/>
  <c r="AU96" i="53"/>
  <c r="AW96" i="53"/>
  <c r="AX96" i="53"/>
  <c r="AY96" i="53"/>
  <c r="AZ96" i="53"/>
  <c r="BA96" i="53"/>
  <c r="BB96" i="53"/>
  <c r="BC96" i="53"/>
  <c r="BD96" i="53"/>
  <c r="BE96" i="53"/>
  <c r="BF96" i="53"/>
  <c r="BH96" i="53"/>
  <c r="BI96" i="53"/>
  <c r="BJ96" i="53"/>
  <c r="BK96" i="53"/>
  <c r="BL96" i="53"/>
  <c r="BM96" i="53"/>
  <c r="BN96" i="53"/>
  <c r="BO96" i="53"/>
  <c r="BP96" i="53"/>
  <c r="BQ96" i="53"/>
  <c r="A97" i="53"/>
  <c r="B97" i="53"/>
  <c r="C97" i="53"/>
  <c r="D97" i="53"/>
  <c r="E97" i="53"/>
  <c r="F97" i="53"/>
  <c r="G97" i="53"/>
  <c r="H97" i="53"/>
  <c r="I97" i="53"/>
  <c r="J97" i="53"/>
  <c r="K97" i="53"/>
  <c r="L97" i="53"/>
  <c r="M97" i="53"/>
  <c r="N97" i="53"/>
  <c r="O97" i="53"/>
  <c r="P97" i="53"/>
  <c r="Q97" i="53"/>
  <c r="R97" i="53"/>
  <c r="S97" i="53"/>
  <c r="AA97" i="53"/>
  <c r="AB97" i="53"/>
  <c r="AC97" i="53"/>
  <c r="AD97" i="53"/>
  <c r="AE97" i="53"/>
  <c r="AF97" i="53"/>
  <c r="AG97" i="53"/>
  <c r="AH97" i="53"/>
  <c r="AI97" i="53"/>
  <c r="AJ97" i="53"/>
  <c r="AL97" i="53"/>
  <c r="AM97" i="53"/>
  <c r="AN97" i="53"/>
  <c r="AO97" i="53"/>
  <c r="AP97" i="53"/>
  <c r="AQ97" i="53"/>
  <c r="AR97" i="53"/>
  <c r="AS97" i="53"/>
  <c r="AT97" i="53"/>
  <c r="AU97" i="53"/>
  <c r="AW97" i="53"/>
  <c r="AX97" i="53"/>
  <c r="AY97" i="53"/>
  <c r="AZ97" i="53"/>
  <c r="BA97" i="53"/>
  <c r="BB97" i="53"/>
  <c r="BC97" i="53"/>
  <c r="BD97" i="53"/>
  <c r="BE97" i="53"/>
  <c r="BF97" i="53"/>
  <c r="BH97" i="53"/>
  <c r="BI97" i="53"/>
  <c r="BJ97" i="53"/>
  <c r="BK97" i="53"/>
  <c r="BL97" i="53"/>
  <c r="BM97" i="53"/>
  <c r="BN97" i="53"/>
  <c r="BO97" i="53"/>
  <c r="BP97" i="53"/>
  <c r="BQ97" i="53"/>
  <c r="A98" i="53"/>
  <c r="B98" i="53"/>
  <c r="C98" i="53"/>
  <c r="D98" i="53"/>
  <c r="E98" i="53"/>
  <c r="F98" i="53"/>
  <c r="G98" i="53"/>
  <c r="H98" i="53"/>
  <c r="I98" i="53"/>
  <c r="J98" i="53"/>
  <c r="K98" i="53"/>
  <c r="L98" i="53"/>
  <c r="M98" i="53"/>
  <c r="N98" i="53"/>
  <c r="O98" i="53"/>
  <c r="P98" i="53"/>
  <c r="Q98" i="53"/>
  <c r="R98" i="53"/>
  <c r="S98" i="53"/>
  <c r="AA98" i="53"/>
  <c r="AB98" i="53"/>
  <c r="AC98" i="53"/>
  <c r="AD98" i="53"/>
  <c r="AE98" i="53"/>
  <c r="AF98" i="53"/>
  <c r="AG98" i="53"/>
  <c r="AH98" i="53"/>
  <c r="AI98" i="53"/>
  <c r="AJ98" i="53"/>
  <c r="AL98" i="53"/>
  <c r="AM98" i="53"/>
  <c r="AN98" i="53"/>
  <c r="AO98" i="53"/>
  <c r="AP98" i="53"/>
  <c r="AQ98" i="53"/>
  <c r="AR98" i="53"/>
  <c r="AS98" i="53"/>
  <c r="AT98" i="53"/>
  <c r="AU98" i="53"/>
  <c r="AW98" i="53"/>
  <c r="AX98" i="53"/>
  <c r="AY98" i="53"/>
  <c r="AZ98" i="53"/>
  <c r="BA98" i="53"/>
  <c r="BB98" i="53"/>
  <c r="BC98" i="53"/>
  <c r="BD98" i="53"/>
  <c r="BE98" i="53"/>
  <c r="BF98" i="53"/>
  <c r="BH98" i="53"/>
  <c r="BI98" i="53"/>
  <c r="BJ98" i="53"/>
  <c r="BK98" i="53"/>
  <c r="BL98" i="53"/>
  <c r="BM98" i="53"/>
  <c r="BN98" i="53"/>
  <c r="BO98" i="53"/>
  <c r="BP98" i="53"/>
  <c r="BQ98" i="53"/>
  <c r="A99" i="53"/>
  <c r="B99" i="53"/>
  <c r="C99" i="53"/>
  <c r="D99" i="53"/>
  <c r="E99" i="53"/>
  <c r="F99" i="53"/>
  <c r="G99" i="53"/>
  <c r="H99" i="53"/>
  <c r="I99" i="53"/>
  <c r="J99" i="53"/>
  <c r="K99" i="53"/>
  <c r="L99" i="53"/>
  <c r="M99" i="53"/>
  <c r="N99" i="53"/>
  <c r="O99" i="53"/>
  <c r="P99" i="53"/>
  <c r="Q99" i="53"/>
  <c r="R99" i="53"/>
  <c r="S99" i="53"/>
  <c r="AA99" i="53"/>
  <c r="AB99" i="53"/>
  <c r="AC99" i="53"/>
  <c r="AD99" i="53"/>
  <c r="AE99" i="53"/>
  <c r="AF99" i="53"/>
  <c r="AG99" i="53"/>
  <c r="AH99" i="53"/>
  <c r="AI99" i="53"/>
  <c r="AJ99" i="53"/>
  <c r="AL99" i="53"/>
  <c r="AM99" i="53"/>
  <c r="AN99" i="53"/>
  <c r="AO99" i="53"/>
  <c r="AP99" i="53"/>
  <c r="AQ99" i="53"/>
  <c r="AR99" i="53"/>
  <c r="AS99" i="53"/>
  <c r="AT99" i="53"/>
  <c r="AU99" i="53"/>
  <c r="AW99" i="53"/>
  <c r="AX99" i="53"/>
  <c r="AY99" i="53"/>
  <c r="AZ99" i="53"/>
  <c r="BA99" i="53"/>
  <c r="BB99" i="53"/>
  <c r="BC99" i="53"/>
  <c r="BD99" i="53"/>
  <c r="BE99" i="53"/>
  <c r="BF99" i="53"/>
  <c r="BH99" i="53"/>
  <c r="BI99" i="53"/>
  <c r="BJ99" i="53"/>
  <c r="BK99" i="53"/>
  <c r="BL99" i="53"/>
  <c r="BM99" i="53"/>
  <c r="BN99" i="53"/>
  <c r="BO99" i="53"/>
  <c r="BP99" i="53"/>
  <c r="BQ99" i="53"/>
  <c r="A100" i="53"/>
  <c r="B100" i="53"/>
  <c r="C100" i="53"/>
  <c r="D100" i="53"/>
  <c r="E100" i="53"/>
  <c r="F100" i="53"/>
  <c r="G100" i="53"/>
  <c r="H100" i="53"/>
  <c r="I100" i="53"/>
  <c r="J100" i="53"/>
  <c r="K100" i="53"/>
  <c r="L100" i="53"/>
  <c r="M100" i="53"/>
  <c r="N100" i="53"/>
  <c r="O100" i="53"/>
  <c r="P100" i="53"/>
  <c r="Q100" i="53"/>
  <c r="R100" i="53"/>
  <c r="S100" i="53"/>
  <c r="AA100" i="53"/>
  <c r="AB100" i="53"/>
  <c r="AC100" i="53"/>
  <c r="AD100" i="53"/>
  <c r="AE100" i="53"/>
  <c r="AF100" i="53"/>
  <c r="AG100" i="53"/>
  <c r="AH100" i="53"/>
  <c r="AI100" i="53"/>
  <c r="AJ100" i="53"/>
  <c r="AL100" i="53"/>
  <c r="AM100" i="53"/>
  <c r="AN100" i="53"/>
  <c r="AO100" i="53"/>
  <c r="AP100" i="53"/>
  <c r="AQ100" i="53"/>
  <c r="AR100" i="53"/>
  <c r="AS100" i="53"/>
  <c r="AT100" i="53"/>
  <c r="AU100" i="53"/>
  <c r="AW100" i="53"/>
  <c r="AX100" i="53"/>
  <c r="AY100" i="53"/>
  <c r="AZ100" i="53"/>
  <c r="BA100" i="53"/>
  <c r="BB100" i="53"/>
  <c r="BC100" i="53"/>
  <c r="BD100" i="53"/>
  <c r="BE100" i="53"/>
  <c r="BF100" i="53"/>
  <c r="BH100" i="53"/>
  <c r="BI100" i="53"/>
  <c r="BJ100" i="53"/>
  <c r="BK100" i="53"/>
  <c r="BL100" i="53"/>
  <c r="BM100" i="53"/>
  <c r="BN100" i="53"/>
  <c r="BO100" i="53"/>
  <c r="BP100" i="53"/>
  <c r="BQ100" i="53"/>
  <c r="A101" i="53"/>
  <c r="B101" i="53"/>
  <c r="C101" i="53"/>
  <c r="D101" i="53"/>
  <c r="E101" i="53"/>
  <c r="F101" i="53"/>
  <c r="G101" i="53"/>
  <c r="H101" i="53"/>
  <c r="I101" i="53"/>
  <c r="J101" i="53"/>
  <c r="K101" i="53"/>
  <c r="L101" i="53"/>
  <c r="M101" i="53"/>
  <c r="N101" i="53"/>
  <c r="O101" i="53"/>
  <c r="P101" i="53"/>
  <c r="Q101" i="53"/>
  <c r="R101" i="53"/>
  <c r="S101" i="53"/>
  <c r="AA101" i="53"/>
  <c r="AB101" i="53"/>
  <c r="AC101" i="53"/>
  <c r="AD101" i="53"/>
  <c r="AE101" i="53"/>
  <c r="AF101" i="53"/>
  <c r="AG101" i="53"/>
  <c r="AH101" i="53"/>
  <c r="AI101" i="53"/>
  <c r="AJ101" i="53"/>
  <c r="AL101" i="53"/>
  <c r="AM101" i="53"/>
  <c r="AN101" i="53"/>
  <c r="AO101" i="53"/>
  <c r="AP101" i="53"/>
  <c r="AQ101" i="53"/>
  <c r="AR101" i="53"/>
  <c r="AS101" i="53"/>
  <c r="AT101" i="53"/>
  <c r="AU101" i="53"/>
  <c r="AW101" i="53"/>
  <c r="AX101" i="53"/>
  <c r="AY101" i="53"/>
  <c r="AZ101" i="53"/>
  <c r="BA101" i="53"/>
  <c r="BB101" i="53"/>
  <c r="BC101" i="53"/>
  <c r="BD101" i="53"/>
  <c r="BE101" i="53"/>
  <c r="BF101" i="53"/>
  <c r="BH101" i="53"/>
  <c r="BI101" i="53"/>
  <c r="BJ101" i="53"/>
  <c r="BK101" i="53"/>
  <c r="BL101" i="53"/>
  <c r="BM101" i="53"/>
  <c r="BN101" i="53"/>
  <c r="BO101" i="53"/>
  <c r="BP101" i="53"/>
  <c r="BQ101" i="53"/>
  <c r="A102" i="53"/>
  <c r="B102" i="53"/>
  <c r="C102" i="53"/>
  <c r="D102" i="53"/>
  <c r="E102" i="53"/>
  <c r="F102" i="53"/>
  <c r="G102" i="53"/>
  <c r="H102" i="53"/>
  <c r="I102" i="53"/>
  <c r="J102" i="53"/>
  <c r="K102" i="53"/>
  <c r="L102" i="53"/>
  <c r="M102" i="53"/>
  <c r="N102" i="53"/>
  <c r="O102" i="53"/>
  <c r="P102" i="53"/>
  <c r="Q102" i="53"/>
  <c r="R102" i="53"/>
  <c r="S102" i="53"/>
  <c r="AA102" i="53"/>
  <c r="AB102" i="53"/>
  <c r="AC102" i="53"/>
  <c r="AD102" i="53"/>
  <c r="AE102" i="53"/>
  <c r="AF102" i="53"/>
  <c r="AG102" i="53"/>
  <c r="AH102" i="53"/>
  <c r="AI102" i="53"/>
  <c r="AJ102" i="53"/>
  <c r="AL102" i="53"/>
  <c r="AM102" i="53"/>
  <c r="AN102" i="53"/>
  <c r="AO102" i="53"/>
  <c r="AP102" i="53"/>
  <c r="AQ102" i="53"/>
  <c r="AR102" i="53"/>
  <c r="AS102" i="53"/>
  <c r="AT102" i="53"/>
  <c r="AU102" i="53"/>
  <c r="AW102" i="53"/>
  <c r="AX102" i="53"/>
  <c r="AY102" i="53"/>
  <c r="AZ102" i="53"/>
  <c r="BA102" i="53"/>
  <c r="BB102" i="53"/>
  <c r="BC102" i="53"/>
  <c r="BD102" i="53"/>
  <c r="BE102" i="53"/>
  <c r="BF102" i="53"/>
  <c r="BH102" i="53"/>
  <c r="BI102" i="53"/>
  <c r="BJ102" i="53"/>
  <c r="BK102" i="53"/>
  <c r="BL102" i="53"/>
  <c r="BM102" i="53"/>
  <c r="BN102" i="53"/>
  <c r="BO102" i="53"/>
  <c r="BP102" i="53"/>
  <c r="BQ102" i="53"/>
  <c r="A103" i="53"/>
  <c r="B103" i="53"/>
  <c r="C103" i="53"/>
  <c r="D103" i="53"/>
  <c r="E103" i="53"/>
  <c r="F103" i="53"/>
  <c r="G103" i="53"/>
  <c r="H103" i="53"/>
  <c r="I103" i="53"/>
  <c r="J103" i="53"/>
  <c r="K103" i="53"/>
  <c r="L103" i="53"/>
  <c r="M103" i="53"/>
  <c r="N103" i="53"/>
  <c r="O103" i="53"/>
  <c r="P103" i="53"/>
  <c r="Q103" i="53"/>
  <c r="R103" i="53"/>
  <c r="S103" i="53"/>
  <c r="AA103" i="53"/>
  <c r="AB103" i="53"/>
  <c r="AC103" i="53"/>
  <c r="AD103" i="53"/>
  <c r="AE103" i="53"/>
  <c r="AF103" i="53"/>
  <c r="AG103" i="53"/>
  <c r="AH103" i="53"/>
  <c r="AI103" i="53"/>
  <c r="AJ103" i="53"/>
  <c r="AL103" i="53"/>
  <c r="AM103" i="53"/>
  <c r="AN103" i="53"/>
  <c r="AO103" i="53"/>
  <c r="AP103" i="53"/>
  <c r="AQ103" i="53"/>
  <c r="AR103" i="53"/>
  <c r="AS103" i="53"/>
  <c r="AT103" i="53"/>
  <c r="AU103" i="53"/>
  <c r="AW103" i="53"/>
  <c r="AX103" i="53"/>
  <c r="AY103" i="53"/>
  <c r="AZ103" i="53"/>
  <c r="BA103" i="53"/>
  <c r="BB103" i="53"/>
  <c r="BC103" i="53"/>
  <c r="BD103" i="53"/>
  <c r="BE103" i="53"/>
  <c r="BF103" i="53"/>
  <c r="BH103" i="53"/>
  <c r="BI103" i="53"/>
  <c r="BJ103" i="53"/>
  <c r="BK103" i="53"/>
  <c r="BL103" i="53"/>
  <c r="BM103" i="53"/>
  <c r="BN103" i="53"/>
  <c r="BO103" i="53"/>
  <c r="BP103" i="53"/>
  <c r="BQ103" i="53"/>
  <c r="A104" i="53"/>
  <c r="B104" i="53"/>
  <c r="C104" i="53"/>
  <c r="D104" i="53"/>
  <c r="E104" i="53"/>
  <c r="F104" i="53"/>
  <c r="G104" i="53"/>
  <c r="H104" i="53"/>
  <c r="I104" i="53"/>
  <c r="J104" i="53"/>
  <c r="K104" i="53"/>
  <c r="L104" i="53"/>
  <c r="M104" i="53"/>
  <c r="N104" i="53"/>
  <c r="O104" i="53"/>
  <c r="P104" i="53"/>
  <c r="Q104" i="53"/>
  <c r="R104" i="53"/>
  <c r="S104" i="53"/>
  <c r="AA104" i="53"/>
  <c r="AB104" i="53"/>
  <c r="AC104" i="53"/>
  <c r="AD104" i="53"/>
  <c r="AE104" i="53"/>
  <c r="AF104" i="53"/>
  <c r="AG104" i="53"/>
  <c r="AH104" i="53"/>
  <c r="AI104" i="53"/>
  <c r="AJ104" i="53"/>
  <c r="AL104" i="53"/>
  <c r="AM104" i="53"/>
  <c r="AN104" i="53"/>
  <c r="AO104" i="53"/>
  <c r="AP104" i="53"/>
  <c r="AQ104" i="53"/>
  <c r="AR104" i="53"/>
  <c r="AS104" i="53"/>
  <c r="AT104" i="53"/>
  <c r="AU104" i="53"/>
  <c r="AW104" i="53"/>
  <c r="AX104" i="53"/>
  <c r="AY104" i="53"/>
  <c r="AZ104" i="53"/>
  <c r="BA104" i="53"/>
  <c r="BB104" i="53"/>
  <c r="BC104" i="53"/>
  <c r="BD104" i="53"/>
  <c r="BE104" i="53"/>
  <c r="BF104" i="53"/>
  <c r="BH104" i="53"/>
  <c r="BI104" i="53"/>
  <c r="BJ104" i="53"/>
  <c r="BK104" i="53"/>
  <c r="BL104" i="53"/>
  <c r="BM104" i="53"/>
  <c r="BN104" i="53"/>
  <c r="BO104" i="53"/>
  <c r="BP104" i="53"/>
  <c r="BQ104" i="53"/>
  <c r="A105" i="53"/>
  <c r="B105" i="53"/>
  <c r="C105" i="53"/>
  <c r="D105" i="53"/>
  <c r="E105" i="53"/>
  <c r="F105" i="53"/>
  <c r="G105" i="53"/>
  <c r="H105" i="53"/>
  <c r="I105" i="53"/>
  <c r="J105" i="53"/>
  <c r="K105" i="53"/>
  <c r="L105" i="53"/>
  <c r="M105" i="53"/>
  <c r="N105" i="53"/>
  <c r="O105" i="53"/>
  <c r="P105" i="53"/>
  <c r="Q105" i="53"/>
  <c r="R105" i="53"/>
  <c r="S105" i="53"/>
  <c r="AA105" i="53"/>
  <c r="AB105" i="53"/>
  <c r="AC105" i="53"/>
  <c r="AD105" i="53"/>
  <c r="AE105" i="53"/>
  <c r="AF105" i="53"/>
  <c r="AG105" i="53"/>
  <c r="AH105" i="53"/>
  <c r="AI105" i="53"/>
  <c r="AJ105" i="53"/>
  <c r="AL105" i="53"/>
  <c r="AM105" i="53"/>
  <c r="AN105" i="53"/>
  <c r="AO105" i="53"/>
  <c r="AP105" i="53"/>
  <c r="AQ105" i="53"/>
  <c r="AR105" i="53"/>
  <c r="AS105" i="53"/>
  <c r="AT105" i="53"/>
  <c r="AU105" i="53"/>
  <c r="AW105" i="53"/>
  <c r="AX105" i="53"/>
  <c r="AY105" i="53"/>
  <c r="AZ105" i="53"/>
  <c r="BA105" i="53"/>
  <c r="BB105" i="53"/>
  <c r="BC105" i="53"/>
  <c r="BD105" i="53"/>
  <c r="BE105" i="53"/>
  <c r="BF105" i="53"/>
  <c r="BH105" i="53"/>
  <c r="BI105" i="53"/>
  <c r="BJ105" i="53"/>
  <c r="BK105" i="53"/>
  <c r="BL105" i="53"/>
  <c r="BM105" i="53"/>
  <c r="BN105" i="53"/>
  <c r="BO105" i="53"/>
  <c r="BP105" i="53"/>
  <c r="BQ105" i="53"/>
  <c r="A106" i="53"/>
  <c r="B106" i="53"/>
  <c r="C106" i="53"/>
  <c r="D106" i="53"/>
  <c r="E106" i="53"/>
  <c r="F106" i="53"/>
  <c r="G106" i="53"/>
  <c r="H106" i="53"/>
  <c r="I106" i="53"/>
  <c r="J106" i="53"/>
  <c r="K106" i="53"/>
  <c r="L106" i="53"/>
  <c r="M106" i="53"/>
  <c r="N106" i="53"/>
  <c r="O106" i="53"/>
  <c r="P106" i="53"/>
  <c r="Q106" i="53"/>
  <c r="R106" i="53"/>
  <c r="S106" i="53"/>
  <c r="AA106" i="53"/>
  <c r="AB106" i="53"/>
  <c r="AC106" i="53"/>
  <c r="AD106" i="53"/>
  <c r="AE106" i="53"/>
  <c r="AF106" i="53"/>
  <c r="AG106" i="53"/>
  <c r="AH106" i="53"/>
  <c r="AI106" i="53"/>
  <c r="AJ106" i="53"/>
  <c r="AL106" i="53"/>
  <c r="AM106" i="53"/>
  <c r="AN106" i="53"/>
  <c r="AO106" i="53"/>
  <c r="AP106" i="53"/>
  <c r="AQ106" i="53"/>
  <c r="AR106" i="53"/>
  <c r="AS106" i="53"/>
  <c r="AT106" i="53"/>
  <c r="AU106" i="53"/>
  <c r="AW106" i="53"/>
  <c r="AX106" i="53"/>
  <c r="AY106" i="53"/>
  <c r="AZ106" i="53"/>
  <c r="BA106" i="53"/>
  <c r="BB106" i="53"/>
  <c r="BC106" i="53"/>
  <c r="BD106" i="53"/>
  <c r="BE106" i="53"/>
  <c r="BF106" i="53"/>
  <c r="BH106" i="53"/>
  <c r="BI106" i="53"/>
  <c r="BJ106" i="53"/>
  <c r="BK106" i="53"/>
  <c r="BL106" i="53"/>
  <c r="BM106" i="53"/>
  <c r="BN106" i="53"/>
  <c r="BO106" i="53"/>
  <c r="BP106" i="53"/>
  <c r="BQ106" i="53"/>
  <c r="A107" i="53"/>
  <c r="B107" i="53"/>
  <c r="C107" i="53"/>
  <c r="D107" i="53"/>
  <c r="E107" i="53"/>
  <c r="F107" i="53"/>
  <c r="G107" i="53"/>
  <c r="H107" i="53"/>
  <c r="I107" i="53"/>
  <c r="J107" i="53"/>
  <c r="K107" i="53"/>
  <c r="L107" i="53"/>
  <c r="M107" i="53"/>
  <c r="N107" i="53"/>
  <c r="O107" i="53"/>
  <c r="P107" i="53"/>
  <c r="Q107" i="53"/>
  <c r="R107" i="53"/>
  <c r="S107" i="53"/>
  <c r="AA107" i="53"/>
  <c r="AB107" i="53"/>
  <c r="AC107" i="53"/>
  <c r="AD107" i="53"/>
  <c r="AE107" i="53"/>
  <c r="AF107" i="53"/>
  <c r="AG107" i="53"/>
  <c r="AH107" i="53"/>
  <c r="AI107" i="53"/>
  <c r="AJ107" i="53"/>
  <c r="AL107" i="53"/>
  <c r="AM107" i="53"/>
  <c r="AN107" i="53"/>
  <c r="AO107" i="53"/>
  <c r="AP107" i="53"/>
  <c r="AQ107" i="53"/>
  <c r="AR107" i="53"/>
  <c r="AS107" i="53"/>
  <c r="AT107" i="53"/>
  <c r="AU107" i="53"/>
  <c r="AW107" i="53"/>
  <c r="AX107" i="53"/>
  <c r="AY107" i="53"/>
  <c r="AZ107" i="53"/>
  <c r="BA107" i="53"/>
  <c r="BB107" i="53"/>
  <c r="BC107" i="53"/>
  <c r="BD107" i="53"/>
  <c r="BE107" i="53"/>
  <c r="BF107" i="53"/>
  <c r="BH107" i="53"/>
  <c r="BI107" i="53"/>
  <c r="BJ107" i="53"/>
  <c r="BK107" i="53"/>
  <c r="BL107" i="53"/>
  <c r="BM107" i="53"/>
  <c r="BN107" i="53"/>
  <c r="BO107" i="53"/>
  <c r="BP107" i="53"/>
  <c r="BQ107" i="53"/>
  <c r="A108" i="53"/>
  <c r="B108" i="53"/>
  <c r="C108" i="53"/>
  <c r="D108" i="53"/>
  <c r="E108" i="53"/>
  <c r="F108" i="53"/>
  <c r="G108" i="53"/>
  <c r="H108" i="53"/>
  <c r="I108" i="53"/>
  <c r="J108" i="53"/>
  <c r="K108" i="53"/>
  <c r="L108" i="53"/>
  <c r="M108" i="53"/>
  <c r="N108" i="53"/>
  <c r="O108" i="53"/>
  <c r="P108" i="53"/>
  <c r="Q108" i="53"/>
  <c r="R108" i="53"/>
  <c r="S108" i="53"/>
  <c r="AA108" i="53"/>
  <c r="AB108" i="53"/>
  <c r="AC108" i="53"/>
  <c r="AD108" i="53"/>
  <c r="AE108" i="53"/>
  <c r="AF108" i="53"/>
  <c r="AG108" i="53"/>
  <c r="AH108" i="53"/>
  <c r="AI108" i="53"/>
  <c r="AJ108" i="53"/>
  <c r="AL108" i="53"/>
  <c r="AM108" i="53"/>
  <c r="AN108" i="53"/>
  <c r="AO108" i="53"/>
  <c r="AP108" i="53"/>
  <c r="AQ108" i="53"/>
  <c r="AR108" i="53"/>
  <c r="AS108" i="53"/>
  <c r="AT108" i="53"/>
  <c r="AU108" i="53"/>
  <c r="AW108" i="53"/>
  <c r="AX108" i="53"/>
  <c r="AY108" i="53"/>
  <c r="AZ108" i="53"/>
  <c r="BA108" i="53"/>
  <c r="BB108" i="53"/>
  <c r="BC108" i="53"/>
  <c r="BD108" i="53"/>
  <c r="BE108" i="53"/>
  <c r="BF108" i="53"/>
  <c r="BH108" i="53"/>
  <c r="BI108" i="53"/>
  <c r="BJ108" i="53"/>
  <c r="BK108" i="53"/>
  <c r="BL108" i="53"/>
  <c r="BM108" i="53"/>
  <c r="BN108" i="53"/>
  <c r="BO108" i="53"/>
  <c r="BP108" i="53"/>
  <c r="BQ108" i="53"/>
  <c r="A109" i="53"/>
  <c r="B109" i="53"/>
  <c r="C109" i="53"/>
  <c r="D109" i="53"/>
  <c r="E109" i="53"/>
  <c r="F109" i="53"/>
  <c r="G109" i="53"/>
  <c r="H109" i="53"/>
  <c r="I109" i="53"/>
  <c r="J109" i="53"/>
  <c r="K109" i="53"/>
  <c r="L109" i="53"/>
  <c r="M109" i="53"/>
  <c r="N109" i="53"/>
  <c r="O109" i="53"/>
  <c r="P109" i="53"/>
  <c r="Q109" i="53"/>
  <c r="R109" i="53"/>
  <c r="S109" i="53"/>
  <c r="AA109" i="53"/>
  <c r="AB109" i="53"/>
  <c r="AC109" i="53"/>
  <c r="AD109" i="53"/>
  <c r="AE109" i="53"/>
  <c r="AF109" i="53"/>
  <c r="AG109" i="53"/>
  <c r="AH109" i="53"/>
  <c r="AI109" i="53"/>
  <c r="AJ109" i="53"/>
  <c r="AL109" i="53"/>
  <c r="AM109" i="53"/>
  <c r="AN109" i="53"/>
  <c r="AO109" i="53"/>
  <c r="AP109" i="53"/>
  <c r="AQ109" i="53"/>
  <c r="AR109" i="53"/>
  <c r="AS109" i="53"/>
  <c r="AT109" i="53"/>
  <c r="AU109" i="53"/>
  <c r="AW109" i="53"/>
  <c r="AX109" i="53"/>
  <c r="AY109" i="53"/>
  <c r="AZ109" i="53"/>
  <c r="BA109" i="53"/>
  <c r="BB109" i="53"/>
  <c r="BC109" i="53"/>
  <c r="BD109" i="53"/>
  <c r="BE109" i="53"/>
  <c r="BF109" i="53"/>
  <c r="BH109" i="53"/>
  <c r="BI109" i="53"/>
  <c r="BJ109" i="53"/>
  <c r="BK109" i="53"/>
  <c r="BL109" i="53"/>
  <c r="BM109" i="53"/>
  <c r="BN109" i="53"/>
  <c r="BO109" i="53"/>
  <c r="BP109" i="53"/>
  <c r="BQ109" i="53"/>
  <c r="A110" i="53"/>
  <c r="B110" i="53"/>
  <c r="C110" i="53"/>
  <c r="D110" i="53"/>
  <c r="E110" i="53"/>
  <c r="F110" i="53"/>
  <c r="G110" i="53"/>
  <c r="H110" i="53"/>
  <c r="I110" i="53"/>
  <c r="J110" i="53"/>
  <c r="K110" i="53"/>
  <c r="L110" i="53"/>
  <c r="M110" i="53"/>
  <c r="N110" i="53"/>
  <c r="O110" i="53"/>
  <c r="P110" i="53"/>
  <c r="Q110" i="53"/>
  <c r="R110" i="53"/>
  <c r="S110" i="53"/>
  <c r="AA110" i="53"/>
  <c r="AB110" i="53"/>
  <c r="AC110" i="53"/>
  <c r="AD110" i="53"/>
  <c r="AE110" i="53"/>
  <c r="AF110" i="53"/>
  <c r="AG110" i="53"/>
  <c r="AH110" i="53"/>
  <c r="AI110" i="53"/>
  <c r="AJ110" i="53"/>
  <c r="AL110" i="53"/>
  <c r="AM110" i="53"/>
  <c r="AN110" i="53"/>
  <c r="AO110" i="53"/>
  <c r="AP110" i="53"/>
  <c r="AQ110" i="53"/>
  <c r="AR110" i="53"/>
  <c r="AS110" i="53"/>
  <c r="AT110" i="53"/>
  <c r="AU110" i="53"/>
  <c r="AW110" i="53"/>
  <c r="AX110" i="53"/>
  <c r="AY110" i="53"/>
  <c r="AZ110" i="53"/>
  <c r="BA110" i="53"/>
  <c r="BB110" i="53"/>
  <c r="BC110" i="53"/>
  <c r="BD110" i="53"/>
  <c r="BE110" i="53"/>
  <c r="BF110" i="53"/>
  <c r="BH110" i="53"/>
  <c r="BI110" i="53"/>
  <c r="BJ110" i="53"/>
  <c r="BK110" i="53"/>
  <c r="BL110" i="53"/>
  <c r="BM110" i="53"/>
  <c r="BN110" i="53"/>
  <c r="BO110" i="53"/>
  <c r="BP110" i="53"/>
  <c r="BQ110" i="53"/>
  <c r="A111" i="53"/>
  <c r="B111" i="53"/>
  <c r="C111" i="53"/>
  <c r="D111" i="53"/>
  <c r="E111" i="53"/>
  <c r="F111" i="53"/>
  <c r="G111" i="53"/>
  <c r="H111" i="53"/>
  <c r="I111" i="53"/>
  <c r="J111" i="53"/>
  <c r="K111" i="53"/>
  <c r="L111" i="53"/>
  <c r="M111" i="53"/>
  <c r="N111" i="53"/>
  <c r="O111" i="53"/>
  <c r="P111" i="53"/>
  <c r="Q111" i="53"/>
  <c r="R111" i="53"/>
  <c r="S111" i="53"/>
  <c r="AA111" i="53"/>
  <c r="AB111" i="53"/>
  <c r="AC111" i="53"/>
  <c r="AD111" i="53"/>
  <c r="AE111" i="53"/>
  <c r="AF111" i="53"/>
  <c r="AG111" i="53"/>
  <c r="AH111" i="53"/>
  <c r="AI111" i="53"/>
  <c r="AJ111" i="53"/>
  <c r="AL111" i="53"/>
  <c r="AM111" i="53"/>
  <c r="AN111" i="53"/>
  <c r="AO111" i="53"/>
  <c r="AP111" i="53"/>
  <c r="AQ111" i="53"/>
  <c r="AR111" i="53"/>
  <c r="AS111" i="53"/>
  <c r="AT111" i="53"/>
  <c r="AU111" i="53"/>
  <c r="AW111" i="53"/>
  <c r="AX111" i="53"/>
  <c r="AY111" i="53"/>
  <c r="AZ111" i="53"/>
  <c r="BA111" i="53"/>
  <c r="BB111" i="53"/>
  <c r="BC111" i="53"/>
  <c r="BD111" i="53"/>
  <c r="BE111" i="53"/>
  <c r="BF111" i="53"/>
  <c r="BH111" i="53"/>
  <c r="BI111" i="53"/>
  <c r="BJ111" i="53"/>
  <c r="BK111" i="53"/>
  <c r="BL111" i="53"/>
  <c r="BM111" i="53"/>
  <c r="BN111" i="53"/>
  <c r="BO111" i="53"/>
  <c r="BP111" i="53"/>
  <c r="BQ111" i="53"/>
  <c r="A112" i="53"/>
  <c r="B112" i="53"/>
  <c r="C112" i="53"/>
  <c r="D112" i="53"/>
  <c r="E112" i="53"/>
  <c r="F112" i="53"/>
  <c r="G112" i="53"/>
  <c r="H112" i="53"/>
  <c r="I112" i="53"/>
  <c r="J112" i="53"/>
  <c r="K112" i="53"/>
  <c r="L112" i="53"/>
  <c r="M112" i="53"/>
  <c r="N112" i="53"/>
  <c r="O112" i="53"/>
  <c r="P112" i="53"/>
  <c r="Q112" i="53"/>
  <c r="R112" i="53"/>
  <c r="S112" i="53"/>
  <c r="AA112" i="53"/>
  <c r="AB112" i="53"/>
  <c r="AC112" i="53"/>
  <c r="AD112" i="53"/>
  <c r="AE112" i="53"/>
  <c r="AF112" i="53"/>
  <c r="AG112" i="53"/>
  <c r="AH112" i="53"/>
  <c r="AI112" i="53"/>
  <c r="AJ112" i="53"/>
  <c r="AL112" i="53"/>
  <c r="AM112" i="53"/>
  <c r="AN112" i="53"/>
  <c r="AO112" i="53"/>
  <c r="AP112" i="53"/>
  <c r="AQ112" i="53"/>
  <c r="AR112" i="53"/>
  <c r="AS112" i="53"/>
  <c r="AT112" i="53"/>
  <c r="AU112" i="53"/>
  <c r="AW112" i="53"/>
  <c r="AX112" i="53"/>
  <c r="AY112" i="53"/>
  <c r="AZ112" i="53"/>
  <c r="BA112" i="53"/>
  <c r="BB112" i="53"/>
  <c r="BC112" i="53"/>
  <c r="BD112" i="53"/>
  <c r="BE112" i="53"/>
  <c r="BF112" i="53"/>
  <c r="BH112" i="53"/>
  <c r="BI112" i="53"/>
  <c r="BJ112" i="53"/>
  <c r="BK112" i="53"/>
  <c r="BL112" i="53"/>
  <c r="BM112" i="53"/>
  <c r="BN112" i="53"/>
  <c r="BO112" i="53"/>
  <c r="BP112" i="53"/>
  <c r="BQ112" i="53"/>
  <c r="A113" i="53"/>
  <c r="B113" i="53"/>
  <c r="C113" i="53"/>
  <c r="D113" i="53"/>
  <c r="E113" i="53"/>
  <c r="F113" i="53"/>
  <c r="G113" i="53"/>
  <c r="H113" i="53"/>
  <c r="I113" i="53"/>
  <c r="J113" i="53"/>
  <c r="K113" i="53"/>
  <c r="L113" i="53"/>
  <c r="M113" i="53"/>
  <c r="N113" i="53"/>
  <c r="O113" i="53"/>
  <c r="P113" i="53"/>
  <c r="Q113" i="53"/>
  <c r="R113" i="53"/>
  <c r="S113" i="53"/>
  <c r="AA113" i="53"/>
  <c r="AB113" i="53"/>
  <c r="AC113" i="53"/>
  <c r="AD113" i="53"/>
  <c r="AE113" i="53"/>
  <c r="AF113" i="53"/>
  <c r="AG113" i="53"/>
  <c r="AH113" i="53"/>
  <c r="AI113" i="53"/>
  <c r="AJ113" i="53"/>
  <c r="AL113" i="53"/>
  <c r="AM113" i="53"/>
  <c r="AN113" i="53"/>
  <c r="AO113" i="53"/>
  <c r="AP113" i="53"/>
  <c r="AQ113" i="53"/>
  <c r="AR113" i="53"/>
  <c r="AS113" i="53"/>
  <c r="AT113" i="53"/>
  <c r="AU113" i="53"/>
  <c r="AW113" i="53"/>
  <c r="AX113" i="53"/>
  <c r="AY113" i="53"/>
  <c r="AZ113" i="53"/>
  <c r="BA113" i="53"/>
  <c r="BB113" i="53"/>
  <c r="BC113" i="53"/>
  <c r="BD113" i="53"/>
  <c r="BE113" i="53"/>
  <c r="BF113" i="53"/>
  <c r="BH113" i="53"/>
  <c r="BI113" i="53"/>
  <c r="BJ113" i="53"/>
  <c r="BK113" i="53"/>
  <c r="BL113" i="53"/>
  <c r="BM113" i="53"/>
  <c r="BN113" i="53"/>
  <c r="BO113" i="53"/>
  <c r="BP113" i="53"/>
  <c r="BQ113" i="53"/>
  <c r="A114" i="53"/>
  <c r="B114" i="53"/>
  <c r="C114" i="53"/>
  <c r="D114" i="53"/>
  <c r="E114" i="53"/>
  <c r="F114" i="53"/>
  <c r="G114" i="53"/>
  <c r="H114" i="53"/>
  <c r="I114" i="53"/>
  <c r="J114" i="53"/>
  <c r="K114" i="53"/>
  <c r="L114" i="53"/>
  <c r="M114" i="53"/>
  <c r="N114" i="53"/>
  <c r="O114" i="53"/>
  <c r="P114" i="53"/>
  <c r="Q114" i="53"/>
  <c r="R114" i="53"/>
  <c r="S114" i="53"/>
  <c r="AA114" i="53"/>
  <c r="AB114" i="53"/>
  <c r="AC114" i="53"/>
  <c r="AD114" i="53"/>
  <c r="AE114" i="53"/>
  <c r="AF114" i="53"/>
  <c r="AG114" i="53"/>
  <c r="AH114" i="53"/>
  <c r="AI114" i="53"/>
  <c r="AJ114" i="53"/>
  <c r="AL114" i="53"/>
  <c r="AM114" i="53"/>
  <c r="AN114" i="53"/>
  <c r="AO114" i="53"/>
  <c r="AP114" i="53"/>
  <c r="AQ114" i="53"/>
  <c r="AR114" i="53"/>
  <c r="AS114" i="53"/>
  <c r="AT114" i="53"/>
  <c r="AU114" i="53"/>
  <c r="AW114" i="53"/>
  <c r="AX114" i="53"/>
  <c r="AY114" i="53"/>
  <c r="AZ114" i="53"/>
  <c r="BA114" i="53"/>
  <c r="BB114" i="53"/>
  <c r="BC114" i="53"/>
  <c r="BD114" i="53"/>
  <c r="BE114" i="53"/>
  <c r="BF114" i="53"/>
  <c r="BH114" i="53"/>
  <c r="BI114" i="53"/>
  <c r="BJ114" i="53"/>
  <c r="BK114" i="53"/>
  <c r="BL114" i="53"/>
  <c r="BM114" i="53"/>
  <c r="BN114" i="53"/>
  <c r="BO114" i="53"/>
  <c r="BP114" i="53"/>
  <c r="BQ114" i="53"/>
  <c r="A115" i="53"/>
  <c r="B115" i="53"/>
  <c r="C115" i="53"/>
  <c r="D115" i="53"/>
  <c r="E115" i="53"/>
  <c r="F115" i="53"/>
  <c r="G115" i="53"/>
  <c r="H115" i="53"/>
  <c r="I115" i="53"/>
  <c r="J115" i="53"/>
  <c r="K115" i="53"/>
  <c r="L115" i="53"/>
  <c r="M115" i="53"/>
  <c r="N115" i="53"/>
  <c r="O115" i="53"/>
  <c r="P115" i="53"/>
  <c r="Q115" i="53"/>
  <c r="R115" i="53"/>
  <c r="S115" i="53"/>
  <c r="AA115" i="53"/>
  <c r="AB115" i="53"/>
  <c r="AC115" i="53"/>
  <c r="AD115" i="53"/>
  <c r="AE115" i="53"/>
  <c r="AF115" i="53"/>
  <c r="AG115" i="53"/>
  <c r="AH115" i="53"/>
  <c r="AI115" i="53"/>
  <c r="AJ115" i="53"/>
  <c r="AL115" i="53"/>
  <c r="AM115" i="53"/>
  <c r="AN115" i="53"/>
  <c r="AO115" i="53"/>
  <c r="AP115" i="53"/>
  <c r="AQ115" i="53"/>
  <c r="AR115" i="53"/>
  <c r="AS115" i="53"/>
  <c r="AT115" i="53"/>
  <c r="AU115" i="53"/>
  <c r="AW115" i="53"/>
  <c r="AX115" i="53"/>
  <c r="AY115" i="53"/>
  <c r="AZ115" i="53"/>
  <c r="BA115" i="53"/>
  <c r="BB115" i="53"/>
  <c r="BC115" i="53"/>
  <c r="BD115" i="53"/>
  <c r="BE115" i="53"/>
  <c r="BF115" i="53"/>
  <c r="BH115" i="53"/>
  <c r="BI115" i="53"/>
  <c r="BJ115" i="53"/>
  <c r="BK115" i="53"/>
  <c r="BL115" i="53"/>
  <c r="BM115" i="53"/>
  <c r="BN115" i="53"/>
  <c r="BO115" i="53"/>
  <c r="BP115" i="53"/>
  <c r="BQ115" i="53"/>
  <c r="A116" i="53"/>
  <c r="B116" i="53"/>
  <c r="C116" i="53"/>
  <c r="D116" i="53"/>
  <c r="E116" i="53"/>
  <c r="F116" i="53"/>
  <c r="G116" i="53"/>
  <c r="H116" i="53"/>
  <c r="I116" i="53"/>
  <c r="J116" i="53"/>
  <c r="K116" i="53"/>
  <c r="L116" i="53"/>
  <c r="M116" i="53"/>
  <c r="N116" i="53"/>
  <c r="O116" i="53"/>
  <c r="P116" i="53"/>
  <c r="Q116" i="53"/>
  <c r="R116" i="53"/>
  <c r="S116" i="53"/>
  <c r="AA116" i="53"/>
  <c r="AB116" i="53"/>
  <c r="AC116" i="53"/>
  <c r="AD116" i="53"/>
  <c r="AE116" i="53"/>
  <c r="AF116" i="53"/>
  <c r="AG116" i="53"/>
  <c r="AH116" i="53"/>
  <c r="AI116" i="53"/>
  <c r="AJ116" i="53"/>
  <c r="AL116" i="53"/>
  <c r="AM116" i="53"/>
  <c r="AN116" i="53"/>
  <c r="AO116" i="53"/>
  <c r="AP116" i="53"/>
  <c r="AQ116" i="53"/>
  <c r="AR116" i="53"/>
  <c r="AS116" i="53"/>
  <c r="AT116" i="53"/>
  <c r="AU116" i="53"/>
  <c r="AW116" i="53"/>
  <c r="AX116" i="53"/>
  <c r="AY116" i="53"/>
  <c r="AZ116" i="53"/>
  <c r="BA116" i="53"/>
  <c r="BB116" i="53"/>
  <c r="BC116" i="53"/>
  <c r="BD116" i="53"/>
  <c r="BE116" i="53"/>
  <c r="BF116" i="53"/>
  <c r="BH116" i="53"/>
  <c r="BI116" i="53"/>
  <c r="BJ116" i="53"/>
  <c r="BK116" i="53"/>
  <c r="BL116" i="53"/>
  <c r="BM116" i="53"/>
  <c r="BN116" i="53"/>
  <c r="BO116" i="53"/>
  <c r="BP116" i="53"/>
  <c r="BQ116" i="53"/>
  <c r="A117" i="53"/>
  <c r="B117" i="53"/>
  <c r="C117" i="53"/>
  <c r="D117" i="53"/>
  <c r="E117" i="53"/>
  <c r="F117" i="53"/>
  <c r="G117" i="53"/>
  <c r="H117" i="53"/>
  <c r="I117" i="53"/>
  <c r="J117" i="53"/>
  <c r="K117" i="53"/>
  <c r="L117" i="53"/>
  <c r="M117" i="53"/>
  <c r="N117" i="53"/>
  <c r="O117" i="53"/>
  <c r="P117" i="53"/>
  <c r="Q117" i="53"/>
  <c r="R117" i="53"/>
  <c r="S117" i="53"/>
  <c r="AA117" i="53"/>
  <c r="AB117" i="53"/>
  <c r="AC117" i="53"/>
  <c r="AD117" i="53"/>
  <c r="AE117" i="53"/>
  <c r="AF117" i="53"/>
  <c r="AG117" i="53"/>
  <c r="AH117" i="53"/>
  <c r="AI117" i="53"/>
  <c r="AJ117" i="53"/>
  <c r="AL117" i="53"/>
  <c r="AM117" i="53"/>
  <c r="AN117" i="53"/>
  <c r="AO117" i="53"/>
  <c r="AP117" i="53"/>
  <c r="AQ117" i="53"/>
  <c r="AR117" i="53"/>
  <c r="AS117" i="53"/>
  <c r="AT117" i="53"/>
  <c r="AU117" i="53"/>
  <c r="AW117" i="53"/>
  <c r="AX117" i="53"/>
  <c r="AY117" i="53"/>
  <c r="AZ117" i="53"/>
  <c r="BA117" i="53"/>
  <c r="BB117" i="53"/>
  <c r="BC117" i="53"/>
  <c r="BD117" i="53"/>
  <c r="BE117" i="53"/>
  <c r="BF117" i="53"/>
  <c r="BH117" i="53"/>
  <c r="BI117" i="53"/>
  <c r="BJ117" i="53"/>
  <c r="BK117" i="53"/>
  <c r="BL117" i="53"/>
  <c r="BM117" i="53"/>
  <c r="BN117" i="53"/>
  <c r="BO117" i="53"/>
  <c r="BP117" i="53"/>
  <c r="BQ117" i="53"/>
  <c r="A118" i="53"/>
  <c r="B118" i="53"/>
  <c r="C118" i="53"/>
  <c r="D118" i="53"/>
  <c r="E118" i="53"/>
  <c r="F118" i="53"/>
  <c r="G118" i="53"/>
  <c r="H118" i="53"/>
  <c r="I118" i="53"/>
  <c r="J118" i="53"/>
  <c r="K118" i="53"/>
  <c r="L118" i="53"/>
  <c r="M118" i="53"/>
  <c r="N118" i="53"/>
  <c r="O118" i="53"/>
  <c r="P118" i="53"/>
  <c r="Q118" i="53"/>
  <c r="R118" i="53"/>
  <c r="S118" i="53"/>
  <c r="AA118" i="53"/>
  <c r="AB118" i="53"/>
  <c r="AC118" i="53"/>
  <c r="AD118" i="53"/>
  <c r="AE118" i="53"/>
  <c r="AF118" i="53"/>
  <c r="AG118" i="53"/>
  <c r="AH118" i="53"/>
  <c r="AI118" i="53"/>
  <c r="AJ118" i="53"/>
  <c r="AL118" i="53"/>
  <c r="AM118" i="53"/>
  <c r="AN118" i="53"/>
  <c r="AO118" i="53"/>
  <c r="AP118" i="53"/>
  <c r="AQ118" i="53"/>
  <c r="AR118" i="53"/>
  <c r="AS118" i="53"/>
  <c r="AT118" i="53"/>
  <c r="AU118" i="53"/>
  <c r="AW118" i="53"/>
  <c r="AX118" i="53"/>
  <c r="AY118" i="53"/>
  <c r="AZ118" i="53"/>
  <c r="BA118" i="53"/>
  <c r="BB118" i="53"/>
  <c r="BC118" i="53"/>
  <c r="BD118" i="53"/>
  <c r="BE118" i="53"/>
  <c r="BF118" i="53"/>
  <c r="BH118" i="53"/>
  <c r="BI118" i="53"/>
  <c r="BJ118" i="53"/>
  <c r="BK118" i="53"/>
  <c r="BL118" i="53"/>
  <c r="BM118" i="53"/>
  <c r="BN118" i="53"/>
  <c r="BO118" i="53"/>
  <c r="BP118" i="53"/>
  <c r="BQ118" i="53"/>
  <c r="A119" i="53"/>
  <c r="B119" i="53"/>
  <c r="C119" i="53"/>
  <c r="D119" i="53"/>
  <c r="E119" i="53"/>
  <c r="F119" i="53"/>
  <c r="G119" i="53"/>
  <c r="H119" i="53"/>
  <c r="I119" i="53"/>
  <c r="J119" i="53"/>
  <c r="K119" i="53"/>
  <c r="L119" i="53"/>
  <c r="M119" i="53"/>
  <c r="N119" i="53"/>
  <c r="O119" i="53"/>
  <c r="P119" i="53"/>
  <c r="Q119" i="53"/>
  <c r="R119" i="53"/>
  <c r="S119" i="53"/>
  <c r="AA119" i="53"/>
  <c r="AB119" i="53"/>
  <c r="AC119" i="53"/>
  <c r="AD119" i="53"/>
  <c r="AE119" i="53"/>
  <c r="AF119" i="53"/>
  <c r="AG119" i="53"/>
  <c r="AH119" i="53"/>
  <c r="AI119" i="53"/>
  <c r="AJ119" i="53"/>
  <c r="AL119" i="53"/>
  <c r="AM119" i="53"/>
  <c r="AN119" i="53"/>
  <c r="AO119" i="53"/>
  <c r="AP119" i="53"/>
  <c r="AQ119" i="53"/>
  <c r="AR119" i="53"/>
  <c r="AS119" i="53"/>
  <c r="AT119" i="53"/>
  <c r="AU119" i="53"/>
  <c r="AW119" i="53"/>
  <c r="AX119" i="53"/>
  <c r="AY119" i="53"/>
  <c r="AZ119" i="53"/>
  <c r="BA119" i="53"/>
  <c r="BB119" i="53"/>
  <c r="BC119" i="53"/>
  <c r="BD119" i="53"/>
  <c r="BE119" i="53"/>
  <c r="BF119" i="53"/>
  <c r="BH119" i="53"/>
  <c r="BI119" i="53"/>
  <c r="BJ119" i="53"/>
  <c r="BK119" i="53"/>
  <c r="BL119" i="53"/>
  <c r="BM119" i="53"/>
  <c r="BN119" i="53"/>
  <c r="BO119" i="53"/>
  <c r="BP119" i="53"/>
  <c r="BQ119" i="53"/>
  <c r="A120" i="53"/>
  <c r="B120" i="53"/>
  <c r="C120" i="53"/>
  <c r="D120" i="53"/>
  <c r="E120" i="53"/>
  <c r="F120" i="53"/>
  <c r="G120" i="53"/>
  <c r="H120" i="53"/>
  <c r="I120" i="53"/>
  <c r="J120" i="53"/>
  <c r="K120" i="53"/>
  <c r="L120" i="53"/>
  <c r="M120" i="53"/>
  <c r="N120" i="53"/>
  <c r="O120" i="53"/>
  <c r="P120" i="53"/>
  <c r="Q120" i="53"/>
  <c r="R120" i="53"/>
  <c r="S120" i="53"/>
  <c r="AA120" i="53"/>
  <c r="AB120" i="53"/>
  <c r="AC120" i="53"/>
  <c r="AD120" i="53"/>
  <c r="AE120" i="53"/>
  <c r="AF120" i="53"/>
  <c r="AG120" i="53"/>
  <c r="AH120" i="53"/>
  <c r="AI120" i="53"/>
  <c r="AJ120" i="53"/>
  <c r="AL120" i="53"/>
  <c r="AM120" i="53"/>
  <c r="AN120" i="53"/>
  <c r="AO120" i="53"/>
  <c r="AP120" i="53"/>
  <c r="AQ120" i="53"/>
  <c r="AR120" i="53"/>
  <c r="AS120" i="53"/>
  <c r="AT120" i="53"/>
  <c r="AU120" i="53"/>
  <c r="AW120" i="53"/>
  <c r="AX120" i="53"/>
  <c r="AY120" i="53"/>
  <c r="AZ120" i="53"/>
  <c r="BA120" i="53"/>
  <c r="BB120" i="53"/>
  <c r="BC120" i="53"/>
  <c r="BD120" i="53"/>
  <c r="BE120" i="53"/>
  <c r="BF120" i="53"/>
  <c r="BH120" i="53"/>
  <c r="BI120" i="53"/>
  <c r="BJ120" i="53"/>
  <c r="BK120" i="53"/>
  <c r="BL120" i="53"/>
  <c r="BM120" i="53"/>
  <c r="BN120" i="53"/>
  <c r="BO120" i="53"/>
  <c r="BP120" i="53"/>
  <c r="BQ120" i="53"/>
  <c r="A121" i="53"/>
  <c r="B121" i="53"/>
  <c r="C121" i="53"/>
  <c r="D121" i="53"/>
  <c r="E121" i="53"/>
  <c r="F121" i="53"/>
  <c r="G121" i="53"/>
  <c r="H121" i="53"/>
  <c r="I121" i="53"/>
  <c r="J121" i="53"/>
  <c r="K121" i="53"/>
  <c r="L121" i="53"/>
  <c r="M121" i="53"/>
  <c r="N121" i="53"/>
  <c r="O121" i="53"/>
  <c r="P121" i="53"/>
  <c r="Q121" i="53"/>
  <c r="R121" i="53"/>
  <c r="S121" i="53"/>
  <c r="AA121" i="53"/>
  <c r="AB121" i="53"/>
  <c r="AC121" i="53"/>
  <c r="AD121" i="53"/>
  <c r="AE121" i="53"/>
  <c r="AF121" i="53"/>
  <c r="AG121" i="53"/>
  <c r="AH121" i="53"/>
  <c r="AI121" i="53"/>
  <c r="AJ121" i="53"/>
  <c r="AL121" i="53"/>
  <c r="AM121" i="53"/>
  <c r="AN121" i="53"/>
  <c r="AO121" i="53"/>
  <c r="AP121" i="53"/>
  <c r="AQ121" i="53"/>
  <c r="AR121" i="53"/>
  <c r="AS121" i="53"/>
  <c r="AT121" i="53"/>
  <c r="AU121" i="53"/>
  <c r="AW121" i="53"/>
  <c r="AX121" i="53"/>
  <c r="AY121" i="53"/>
  <c r="AZ121" i="53"/>
  <c r="BA121" i="53"/>
  <c r="BB121" i="53"/>
  <c r="BC121" i="53"/>
  <c r="BD121" i="53"/>
  <c r="BE121" i="53"/>
  <c r="BF121" i="53"/>
  <c r="BH121" i="53"/>
  <c r="BI121" i="53"/>
  <c r="BJ121" i="53"/>
  <c r="BK121" i="53"/>
  <c r="BL121" i="53"/>
  <c r="BM121" i="53"/>
  <c r="BN121" i="53"/>
  <c r="BO121" i="53"/>
  <c r="BP121" i="53"/>
  <c r="BQ121" i="53"/>
  <c r="A122" i="53"/>
  <c r="B122" i="53"/>
  <c r="C122" i="53"/>
  <c r="D122" i="53"/>
  <c r="E122" i="53"/>
  <c r="F122" i="53"/>
  <c r="G122" i="53"/>
  <c r="H122" i="53"/>
  <c r="I122" i="53"/>
  <c r="J122" i="53"/>
  <c r="K122" i="53"/>
  <c r="L122" i="53"/>
  <c r="M122" i="53"/>
  <c r="N122" i="53"/>
  <c r="O122" i="53"/>
  <c r="P122" i="53"/>
  <c r="Q122" i="53"/>
  <c r="R122" i="53"/>
  <c r="S122" i="53"/>
  <c r="AA122" i="53"/>
  <c r="AB122" i="53"/>
  <c r="AC122" i="53"/>
  <c r="AD122" i="53"/>
  <c r="AE122" i="53"/>
  <c r="AF122" i="53"/>
  <c r="AG122" i="53"/>
  <c r="AH122" i="53"/>
  <c r="AI122" i="53"/>
  <c r="AJ122" i="53"/>
  <c r="AL122" i="53"/>
  <c r="AM122" i="53"/>
  <c r="AN122" i="53"/>
  <c r="AO122" i="53"/>
  <c r="AP122" i="53"/>
  <c r="AQ122" i="53"/>
  <c r="AR122" i="53"/>
  <c r="AS122" i="53"/>
  <c r="AT122" i="53"/>
  <c r="AU122" i="53"/>
  <c r="AW122" i="53"/>
  <c r="AX122" i="53"/>
  <c r="AY122" i="53"/>
  <c r="AZ122" i="53"/>
  <c r="BA122" i="53"/>
  <c r="BB122" i="53"/>
  <c r="BC122" i="53"/>
  <c r="BD122" i="53"/>
  <c r="BE122" i="53"/>
  <c r="BF122" i="53"/>
  <c r="BH122" i="53"/>
  <c r="BI122" i="53"/>
  <c r="BJ122" i="53"/>
  <c r="BK122" i="53"/>
  <c r="BL122" i="53"/>
  <c r="BM122" i="53"/>
  <c r="BN122" i="53"/>
  <c r="BO122" i="53"/>
  <c r="BP122" i="53"/>
  <c r="BQ122" i="53"/>
  <c r="A123" i="53"/>
  <c r="B123" i="53"/>
  <c r="C123" i="53"/>
  <c r="D123" i="53"/>
  <c r="E123" i="53"/>
  <c r="F123" i="53"/>
  <c r="G123" i="53"/>
  <c r="H123" i="53"/>
  <c r="I123" i="53"/>
  <c r="J123" i="53"/>
  <c r="K123" i="53"/>
  <c r="L123" i="53"/>
  <c r="M123" i="53"/>
  <c r="N123" i="53"/>
  <c r="O123" i="53"/>
  <c r="P123" i="53"/>
  <c r="Q123" i="53"/>
  <c r="R123" i="53"/>
  <c r="S123" i="53"/>
  <c r="AA123" i="53"/>
  <c r="AB123" i="53"/>
  <c r="AC123" i="53"/>
  <c r="AD123" i="53"/>
  <c r="AE123" i="53"/>
  <c r="AF123" i="53"/>
  <c r="AG123" i="53"/>
  <c r="AH123" i="53"/>
  <c r="AI123" i="53"/>
  <c r="AJ123" i="53"/>
  <c r="AL123" i="53"/>
  <c r="AM123" i="53"/>
  <c r="AN123" i="53"/>
  <c r="AO123" i="53"/>
  <c r="AP123" i="53"/>
  <c r="AQ123" i="53"/>
  <c r="AR123" i="53"/>
  <c r="AS123" i="53"/>
  <c r="AT123" i="53"/>
  <c r="AU123" i="53"/>
  <c r="AW123" i="53"/>
  <c r="AX123" i="53"/>
  <c r="AY123" i="53"/>
  <c r="AZ123" i="53"/>
  <c r="BA123" i="53"/>
  <c r="BB123" i="53"/>
  <c r="BC123" i="53"/>
  <c r="BD123" i="53"/>
  <c r="BE123" i="53"/>
  <c r="BF123" i="53"/>
  <c r="BH123" i="53"/>
  <c r="BI123" i="53"/>
  <c r="BJ123" i="53"/>
  <c r="BK123" i="53"/>
  <c r="BL123" i="53"/>
  <c r="BM123" i="53"/>
  <c r="BN123" i="53"/>
  <c r="BO123" i="53"/>
  <c r="BP123" i="53"/>
  <c r="BQ123" i="53"/>
  <c r="A124" i="53"/>
  <c r="B124" i="53"/>
  <c r="C124" i="53"/>
  <c r="D124" i="53"/>
  <c r="E124" i="53"/>
  <c r="F124" i="53"/>
  <c r="G124" i="53"/>
  <c r="H124" i="53"/>
  <c r="I124" i="53"/>
  <c r="J124" i="53"/>
  <c r="K124" i="53"/>
  <c r="L124" i="53"/>
  <c r="M124" i="53"/>
  <c r="N124" i="53"/>
  <c r="O124" i="53"/>
  <c r="P124" i="53"/>
  <c r="Q124" i="53"/>
  <c r="R124" i="53"/>
  <c r="S124" i="53"/>
  <c r="AA124" i="53"/>
  <c r="AB124" i="53"/>
  <c r="AC124" i="53"/>
  <c r="AD124" i="53"/>
  <c r="AE124" i="53"/>
  <c r="AF124" i="53"/>
  <c r="AG124" i="53"/>
  <c r="AH124" i="53"/>
  <c r="AI124" i="53"/>
  <c r="AJ124" i="53"/>
  <c r="AL124" i="53"/>
  <c r="AM124" i="53"/>
  <c r="AN124" i="53"/>
  <c r="AO124" i="53"/>
  <c r="AP124" i="53"/>
  <c r="AQ124" i="53"/>
  <c r="AR124" i="53"/>
  <c r="AS124" i="53"/>
  <c r="AT124" i="53"/>
  <c r="AU124" i="53"/>
  <c r="AW124" i="53"/>
  <c r="AX124" i="53"/>
  <c r="AY124" i="53"/>
  <c r="AZ124" i="53"/>
  <c r="BA124" i="53"/>
  <c r="BB124" i="53"/>
  <c r="BC124" i="53"/>
  <c r="BD124" i="53"/>
  <c r="BE124" i="53"/>
  <c r="BF124" i="53"/>
  <c r="BH124" i="53"/>
  <c r="BI124" i="53"/>
  <c r="BJ124" i="53"/>
  <c r="BK124" i="53"/>
  <c r="BL124" i="53"/>
  <c r="BM124" i="53"/>
  <c r="BN124" i="53"/>
  <c r="BO124" i="53"/>
  <c r="BP124" i="53"/>
  <c r="BQ124" i="53"/>
  <c r="A125" i="53"/>
  <c r="B125" i="53"/>
  <c r="C125" i="53"/>
  <c r="D125" i="53"/>
  <c r="E125" i="53"/>
  <c r="F125" i="53"/>
  <c r="G125" i="53"/>
  <c r="H125" i="53"/>
  <c r="I125" i="53"/>
  <c r="J125" i="53"/>
  <c r="K125" i="53"/>
  <c r="L125" i="53"/>
  <c r="M125" i="53"/>
  <c r="N125" i="53"/>
  <c r="O125" i="53"/>
  <c r="P125" i="53"/>
  <c r="Q125" i="53"/>
  <c r="R125" i="53"/>
  <c r="S125" i="53"/>
  <c r="AA125" i="53"/>
  <c r="AB125" i="53"/>
  <c r="AC125" i="53"/>
  <c r="AD125" i="53"/>
  <c r="AE125" i="53"/>
  <c r="AF125" i="53"/>
  <c r="AG125" i="53"/>
  <c r="AH125" i="53"/>
  <c r="AI125" i="53"/>
  <c r="AJ125" i="53"/>
  <c r="AL125" i="53"/>
  <c r="AM125" i="53"/>
  <c r="AN125" i="53"/>
  <c r="AO125" i="53"/>
  <c r="AP125" i="53"/>
  <c r="AQ125" i="53"/>
  <c r="AR125" i="53"/>
  <c r="AS125" i="53"/>
  <c r="AT125" i="53"/>
  <c r="AU125" i="53"/>
  <c r="AW125" i="53"/>
  <c r="AX125" i="53"/>
  <c r="AY125" i="53"/>
  <c r="AZ125" i="53"/>
  <c r="BA125" i="53"/>
  <c r="BB125" i="53"/>
  <c r="BC125" i="53"/>
  <c r="BD125" i="53"/>
  <c r="BE125" i="53"/>
  <c r="BF125" i="53"/>
  <c r="BH125" i="53"/>
  <c r="BI125" i="53"/>
  <c r="BJ125" i="53"/>
  <c r="BK125" i="53"/>
  <c r="BL125" i="53"/>
  <c r="BM125" i="53"/>
  <c r="BN125" i="53"/>
  <c r="BO125" i="53"/>
  <c r="BP125" i="53"/>
  <c r="BQ125" i="53"/>
  <c r="A126" i="53"/>
  <c r="B126" i="53"/>
  <c r="C126" i="53"/>
  <c r="D126" i="53"/>
  <c r="E126" i="53"/>
  <c r="F126" i="53"/>
  <c r="G126" i="53"/>
  <c r="H126" i="53"/>
  <c r="I126" i="53"/>
  <c r="J126" i="53"/>
  <c r="K126" i="53"/>
  <c r="L126" i="53"/>
  <c r="M126" i="53"/>
  <c r="N126" i="53"/>
  <c r="O126" i="53"/>
  <c r="P126" i="53"/>
  <c r="Q126" i="53"/>
  <c r="R126" i="53"/>
  <c r="S126" i="53"/>
  <c r="AA126" i="53"/>
  <c r="AB126" i="53"/>
  <c r="AC126" i="53"/>
  <c r="AD126" i="53"/>
  <c r="AE126" i="53"/>
  <c r="AF126" i="53"/>
  <c r="AG126" i="53"/>
  <c r="AH126" i="53"/>
  <c r="AI126" i="53"/>
  <c r="AJ126" i="53"/>
  <c r="AL126" i="53"/>
  <c r="AM126" i="53"/>
  <c r="AN126" i="53"/>
  <c r="AO126" i="53"/>
  <c r="AP126" i="53"/>
  <c r="AQ126" i="53"/>
  <c r="AR126" i="53"/>
  <c r="AS126" i="53"/>
  <c r="AT126" i="53"/>
  <c r="AU126" i="53"/>
  <c r="AW126" i="53"/>
  <c r="AX126" i="53"/>
  <c r="AY126" i="53"/>
  <c r="AZ126" i="53"/>
  <c r="BA126" i="53"/>
  <c r="BB126" i="53"/>
  <c r="BC126" i="53"/>
  <c r="BD126" i="53"/>
  <c r="BE126" i="53"/>
  <c r="BF126" i="53"/>
  <c r="BH126" i="53"/>
  <c r="BI126" i="53"/>
  <c r="BJ126" i="53"/>
  <c r="BK126" i="53"/>
  <c r="BL126" i="53"/>
  <c r="BM126" i="53"/>
  <c r="BN126" i="53"/>
  <c r="BO126" i="53"/>
  <c r="BP126" i="53"/>
  <c r="BQ126" i="53"/>
  <c r="A127" i="53"/>
  <c r="B127" i="53"/>
  <c r="C127" i="53"/>
  <c r="D127" i="53"/>
  <c r="E127" i="53"/>
  <c r="F127" i="53"/>
  <c r="G127" i="53"/>
  <c r="H127" i="53"/>
  <c r="I127" i="53"/>
  <c r="J127" i="53"/>
  <c r="K127" i="53"/>
  <c r="L127" i="53"/>
  <c r="M127" i="53"/>
  <c r="N127" i="53"/>
  <c r="O127" i="53"/>
  <c r="P127" i="53"/>
  <c r="Q127" i="53"/>
  <c r="R127" i="53"/>
  <c r="S127" i="53"/>
  <c r="AA127" i="53"/>
  <c r="AB127" i="53"/>
  <c r="AC127" i="53"/>
  <c r="AD127" i="53"/>
  <c r="AE127" i="53"/>
  <c r="AF127" i="53"/>
  <c r="AG127" i="53"/>
  <c r="AH127" i="53"/>
  <c r="AI127" i="53"/>
  <c r="AJ127" i="53"/>
  <c r="AL127" i="53"/>
  <c r="AM127" i="53"/>
  <c r="AN127" i="53"/>
  <c r="AO127" i="53"/>
  <c r="AP127" i="53"/>
  <c r="AQ127" i="53"/>
  <c r="AR127" i="53"/>
  <c r="AS127" i="53"/>
  <c r="AT127" i="53"/>
  <c r="AU127" i="53"/>
  <c r="AW127" i="53"/>
  <c r="AX127" i="53"/>
  <c r="AY127" i="53"/>
  <c r="AZ127" i="53"/>
  <c r="BA127" i="53"/>
  <c r="BB127" i="53"/>
  <c r="BC127" i="53"/>
  <c r="BD127" i="53"/>
  <c r="BE127" i="53"/>
  <c r="BF127" i="53"/>
  <c r="BH127" i="53"/>
  <c r="BI127" i="53"/>
  <c r="BJ127" i="53"/>
  <c r="BK127" i="53"/>
  <c r="BL127" i="53"/>
  <c r="BM127" i="53"/>
  <c r="BN127" i="53"/>
  <c r="BO127" i="53"/>
  <c r="BP127" i="53"/>
  <c r="BQ127" i="53"/>
  <c r="A128" i="53"/>
  <c r="B128" i="53"/>
  <c r="C128" i="53"/>
  <c r="D128" i="53"/>
  <c r="E128" i="53"/>
  <c r="F128" i="53"/>
  <c r="G128" i="53"/>
  <c r="H128" i="53"/>
  <c r="I128" i="53"/>
  <c r="J128" i="53"/>
  <c r="K128" i="53"/>
  <c r="L128" i="53"/>
  <c r="M128" i="53"/>
  <c r="N128" i="53"/>
  <c r="O128" i="53"/>
  <c r="P128" i="53"/>
  <c r="Q128" i="53"/>
  <c r="R128" i="53"/>
  <c r="S128" i="53"/>
  <c r="AA128" i="53"/>
  <c r="AB128" i="53"/>
  <c r="AC128" i="53"/>
  <c r="AD128" i="53"/>
  <c r="AE128" i="53"/>
  <c r="AF128" i="53"/>
  <c r="AG128" i="53"/>
  <c r="AH128" i="53"/>
  <c r="AI128" i="53"/>
  <c r="AJ128" i="53"/>
  <c r="AL128" i="53"/>
  <c r="AM128" i="53"/>
  <c r="AN128" i="53"/>
  <c r="AO128" i="53"/>
  <c r="AP128" i="53"/>
  <c r="AQ128" i="53"/>
  <c r="AR128" i="53"/>
  <c r="AS128" i="53"/>
  <c r="AT128" i="53"/>
  <c r="AU128" i="53"/>
  <c r="AW128" i="53"/>
  <c r="AX128" i="53"/>
  <c r="AY128" i="53"/>
  <c r="AZ128" i="53"/>
  <c r="BA128" i="53"/>
  <c r="BB128" i="53"/>
  <c r="BC128" i="53"/>
  <c r="BD128" i="53"/>
  <c r="BE128" i="53"/>
  <c r="BF128" i="53"/>
  <c r="BH128" i="53"/>
  <c r="BI128" i="53"/>
  <c r="BJ128" i="53"/>
  <c r="BK128" i="53"/>
  <c r="BL128" i="53"/>
  <c r="BM128" i="53"/>
  <c r="BN128" i="53"/>
  <c r="BO128" i="53"/>
  <c r="BP128" i="53"/>
  <c r="BQ128" i="53"/>
  <c r="A129" i="53"/>
  <c r="B129" i="53"/>
  <c r="C129" i="53"/>
  <c r="D129" i="53"/>
  <c r="E129" i="53"/>
  <c r="F129" i="53"/>
  <c r="G129" i="53"/>
  <c r="H129" i="53"/>
  <c r="I129" i="53"/>
  <c r="J129" i="53"/>
  <c r="K129" i="53"/>
  <c r="L129" i="53"/>
  <c r="M129" i="53"/>
  <c r="N129" i="53"/>
  <c r="O129" i="53"/>
  <c r="P129" i="53"/>
  <c r="Q129" i="53"/>
  <c r="R129" i="53"/>
  <c r="S129" i="53"/>
  <c r="AA129" i="53"/>
  <c r="AB129" i="53"/>
  <c r="AC129" i="53"/>
  <c r="AD129" i="53"/>
  <c r="AE129" i="53"/>
  <c r="AF129" i="53"/>
  <c r="AG129" i="53"/>
  <c r="AH129" i="53"/>
  <c r="AI129" i="53"/>
  <c r="AJ129" i="53"/>
  <c r="AL129" i="53"/>
  <c r="AM129" i="53"/>
  <c r="AN129" i="53"/>
  <c r="AO129" i="53"/>
  <c r="AP129" i="53"/>
  <c r="AQ129" i="53"/>
  <c r="AR129" i="53"/>
  <c r="AS129" i="53"/>
  <c r="AT129" i="53"/>
  <c r="AU129" i="53"/>
  <c r="AW129" i="53"/>
  <c r="AX129" i="53"/>
  <c r="AY129" i="53"/>
  <c r="AZ129" i="53"/>
  <c r="BA129" i="53"/>
  <c r="BB129" i="53"/>
  <c r="BC129" i="53"/>
  <c r="BD129" i="53"/>
  <c r="BE129" i="53"/>
  <c r="BF129" i="53"/>
  <c r="BH129" i="53"/>
  <c r="BI129" i="53"/>
  <c r="BJ129" i="53"/>
  <c r="BK129" i="53"/>
  <c r="BL129" i="53"/>
  <c r="BM129" i="53"/>
  <c r="BN129" i="53"/>
  <c r="BO129" i="53"/>
  <c r="BP129" i="53"/>
  <c r="BQ129" i="53"/>
  <c r="A130" i="53"/>
  <c r="B130" i="53"/>
  <c r="C130" i="53"/>
  <c r="D130" i="53"/>
  <c r="E130" i="53"/>
  <c r="F130" i="53"/>
  <c r="G130" i="53"/>
  <c r="H130" i="53"/>
  <c r="I130" i="53"/>
  <c r="J130" i="53"/>
  <c r="K130" i="53"/>
  <c r="L130" i="53"/>
  <c r="M130" i="53"/>
  <c r="N130" i="53"/>
  <c r="O130" i="53"/>
  <c r="P130" i="53"/>
  <c r="Q130" i="53"/>
  <c r="R130" i="53"/>
  <c r="S130" i="53"/>
  <c r="AA130" i="53"/>
  <c r="AB130" i="53"/>
  <c r="AC130" i="53"/>
  <c r="AD130" i="53"/>
  <c r="AE130" i="53"/>
  <c r="AF130" i="53"/>
  <c r="AG130" i="53"/>
  <c r="AH130" i="53"/>
  <c r="AI130" i="53"/>
  <c r="AJ130" i="53"/>
  <c r="AL130" i="53"/>
  <c r="AM130" i="53"/>
  <c r="AN130" i="53"/>
  <c r="AO130" i="53"/>
  <c r="AP130" i="53"/>
  <c r="AQ130" i="53"/>
  <c r="AR130" i="53"/>
  <c r="AS130" i="53"/>
  <c r="AT130" i="53"/>
  <c r="AU130" i="53"/>
  <c r="AW130" i="53"/>
  <c r="AX130" i="53"/>
  <c r="AY130" i="53"/>
  <c r="AZ130" i="53"/>
  <c r="BA130" i="53"/>
  <c r="BB130" i="53"/>
  <c r="BC130" i="53"/>
  <c r="BD130" i="53"/>
  <c r="BE130" i="53"/>
  <c r="BF130" i="53"/>
  <c r="BH130" i="53"/>
  <c r="BI130" i="53"/>
  <c r="BJ130" i="53"/>
  <c r="BK130" i="53"/>
  <c r="BL130" i="53"/>
  <c r="BM130" i="53"/>
  <c r="BN130" i="53"/>
  <c r="BO130" i="53"/>
  <c r="BP130" i="53"/>
  <c r="BQ130" i="53"/>
  <c r="A131" i="53"/>
  <c r="B131" i="53"/>
  <c r="C131" i="53"/>
  <c r="D131" i="53"/>
  <c r="E131" i="53"/>
  <c r="F131" i="53"/>
  <c r="G131" i="53"/>
  <c r="H131" i="53"/>
  <c r="I131" i="53"/>
  <c r="J131" i="53"/>
  <c r="K131" i="53"/>
  <c r="L131" i="53"/>
  <c r="M131" i="53"/>
  <c r="N131" i="53"/>
  <c r="O131" i="53"/>
  <c r="P131" i="53"/>
  <c r="Q131" i="53"/>
  <c r="R131" i="53"/>
  <c r="S131" i="53"/>
  <c r="AA131" i="53"/>
  <c r="AB131" i="53"/>
  <c r="AC131" i="53"/>
  <c r="AD131" i="53"/>
  <c r="AE131" i="53"/>
  <c r="AF131" i="53"/>
  <c r="AG131" i="53"/>
  <c r="AH131" i="53"/>
  <c r="AI131" i="53"/>
  <c r="AJ131" i="53"/>
  <c r="AL131" i="53"/>
  <c r="AM131" i="53"/>
  <c r="AN131" i="53"/>
  <c r="AO131" i="53"/>
  <c r="AP131" i="53"/>
  <c r="AQ131" i="53"/>
  <c r="AR131" i="53"/>
  <c r="AS131" i="53"/>
  <c r="AT131" i="53"/>
  <c r="AU131" i="53"/>
  <c r="AW131" i="53"/>
  <c r="AX131" i="53"/>
  <c r="AY131" i="53"/>
  <c r="AZ131" i="53"/>
  <c r="BA131" i="53"/>
  <c r="BB131" i="53"/>
  <c r="BC131" i="53"/>
  <c r="BD131" i="53"/>
  <c r="BE131" i="53"/>
  <c r="BF131" i="53"/>
  <c r="BH131" i="53"/>
  <c r="BI131" i="53"/>
  <c r="BJ131" i="53"/>
  <c r="BK131" i="53"/>
  <c r="BL131" i="53"/>
  <c r="BM131" i="53"/>
  <c r="BN131" i="53"/>
  <c r="BO131" i="53"/>
  <c r="BP131" i="53"/>
  <c r="BQ131" i="53"/>
  <c r="A132" i="53"/>
  <c r="B132" i="53"/>
  <c r="C132" i="53"/>
  <c r="D132" i="53"/>
  <c r="E132" i="53"/>
  <c r="F132" i="53"/>
  <c r="G132" i="53"/>
  <c r="H132" i="53"/>
  <c r="I132" i="53"/>
  <c r="J132" i="53"/>
  <c r="K132" i="53"/>
  <c r="L132" i="53"/>
  <c r="M132" i="53"/>
  <c r="N132" i="53"/>
  <c r="O132" i="53"/>
  <c r="P132" i="53"/>
  <c r="Q132" i="53"/>
  <c r="R132" i="53"/>
  <c r="S132" i="53"/>
  <c r="AA132" i="53"/>
  <c r="AB132" i="53"/>
  <c r="AC132" i="53"/>
  <c r="AD132" i="53"/>
  <c r="AE132" i="53"/>
  <c r="AF132" i="53"/>
  <c r="AG132" i="53"/>
  <c r="AH132" i="53"/>
  <c r="AI132" i="53"/>
  <c r="AJ132" i="53"/>
  <c r="AL132" i="53"/>
  <c r="AM132" i="53"/>
  <c r="AN132" i="53"/>
  <c r="AO132" i="53"/>
  <c r="AP132" i="53"/>
  <c r="AQ132" i="53"/>
  <c r="AR132" i="53"/>
  <c r="AS132" i="53"/>
  <c r="AT132" i="53"/>
  <c r="AU132" i="53"/>
  <c r="AW132" i="53"/>
  <c r="AX132" i="53"/>
  <c r="AY132" i="53"/>
  <c r="AZ132" i="53"/>
  <c r="BA132" i="53"/>
  <c r="BB132" i="53"/>
  <c r="BC132" i="53"/>
  <c r="BD132" i="53"/>
  <c r="BE132" i="53"/>
  <c r="BF132" i="53"/>
  <c r="BH132" i="53"/>
  <c r="BI132" i="53"/>
  <c r="BJ132" i="53"/>
  <c r="BK132" i="53"/>
  <c r="BL132" i="53"/>
  <c r="BM132" i="53"/>
  <c r="BN132" i="53"/>
  <c r="BO132" i="53"/>
  <c r="BP132" i="53"/>
  <c r="BQ132" i="53"/>
  <c r="A133" i="53"/>
  <c r="B133" i="53"/>
  <c r="C133" i="53"/>
  <c r="D133" i="53"/>
  <c r="E133" i="53"/>
  <c r="F133" i="53"/>
  <c r="G133" i="53"/>
  <c r="H133" i="53"/>
  <c r="I133" i="53"/>
  <c r="J133" i="53"/>
  <c r="K133" i="53"/>
  <c r="L133" i="53"/>
  <c r="M133" i="53"/>
  <c r="N133" i="53"/>
  <c r="O133" i="53"/>
  <c r="P133" i="53"/>
  <c r="Q133" i="53"/>
  <c r="R133" i="53"/>
  <c r="S133" i="53"/>
  <c r="AA133" i="53"/>
  <c r="AB133" i="53"/>
  <c r="AC133" i="53"/>
  <c r="AD133" i="53"/>
  <c r="AE133" i="53"/>
  <c r="AF133" i="53"/>
  <c r="AG133" i="53"/>
  <c r="AH133" i="53"/>
  <c r="AI133" i="53"/>
  <c r="AJ133" i="53"/>
  <c r="AL133" i="53"/>
  <c r="AM133" i="53"/>
  <c r="AN133" i="53"/>
  <c r="AO133" i="53"/>
  <c r="AP133" i="53"/>
  <c r="AQ133" i="53"/>
  <c r="AR133" i="53"/>
  <c r="AS133" i="53"/>
  <c r="AT133" i="53"/>
  <c r="AU133" i="53"/>
  <c r="AW133" i="53"/>
  <c r="AX133" i="53"/>
  <c r="AY133" i="53"/>
  <c r="AZ133" i="53"/>
  <c r="BA133" i="53"/>
  <c r="BB133" i="53"/>
  <c r="BC133" i="53"/>
  <c r="BD133" i="53"/>
  <c r="BE133" i="53"/>
  <c r="BF133" i="53"/>
  <c r="BH133" i="53"/>
  <c r="BI133" i="53"/>
  <c r="BJ133" i="53"/>
  <c r="BK133" i="53"/>
  <c r="BL133" i="53"/>
  <c r="BM133" i="53"/>
  <c r="BN133" i="53"/>
  <c r="BO133" i="53"/>
  <c r="BP133" i="53"/>
  <c r="BQ133" i="53"/>
  <c r="A134" i="53"/>
  <c r="B134" i="53"/>
  <c r="C134" i="53"/>
  <c r="D134" i="53"/>
  <c r="E134" i="53"/>
  <c r="F134" i="53"/>
  <c r="G134" i="53"/>
  <c r="H134" i="53"/>
  <c r="I134" i="53"/>
  <c r="J134" i="53"/>
  <c r="K134" i="53"/>
  <c r="L134" i="53"/>
  <c r="M134" i="53"/>
  <c r="N134" i="53"/>
  <c r="O134" i="53"/>
  <c r="P134" i="53"/>
  <c r="Q134" i="53"/>
  <c r="R134" i="53"/>
  <c r="S134" i="53"/>
  <c r="AA134" i="53"/>
  <c r="AB134" i="53"/>
  <c r="AC134" i="53"/>
  <c r="AD134" i="53"/>
  <c r="AE134" i="53"/>
  <c r="AF134" i="53"/>
  <c r="AG134" i="53"/>
  <c r="AH134" i="53"/>
  <c r="AI134" i="53"/>
  <c r="AJ134" i="53"/>
  <c r="AL134" i="53"/>
  <c r="AM134" i="53"/>
  <c r="AN134" i="53"/>
  <c r="AO134" i="53"/>
  <c r="AP134" i="53"/>
  <c r="AQ134" i="53"/>
  <c r="AR134" i="53"/>
  <c r="AS134" i="53"/>
  <c r="AT134" i="53"/>
  <c r="AU134" i="53"/>
  <c r="AW134" i="53"/>
  <c r="AX134" i="53"/>
  <c r="AY134" i="53"/>
  <c r="AZ134" i="53"/>
  <c r="BA134" i="53"/>
  <c r="BB134" i="53"/>
  <c r="BC134" i="53"/>
  <c r="BD134" i="53"/>
  <c r="BE134" i="53"/>
  <c r="BF134" i="53"/>
  <c r="BH134" i="53"/>
  <c r="BI134" i="53"/>
  <c r="BJ134" i="53"/>
  <c r="BK134" i="53"/>
  <c r="BL134" i="53"/>
  <c r="BM134" i="53"/>
  <c r="BN134" i="53"/>
  <c r="BO134" i="53"/>
  <c r="BP134" i="53"/>
  <c r="BQ134" i="53"/>
  <c r="A135" i="53"/>
  <c r="B135" i="53"/>
  <c r="C135" i="53"/>
  <c r="D135" i="53"/>
  <c r="E135" i="53"/>
  <c r="F135" i="53"/>
  <c r="G135" i="53"/>
  <c r="H135" i="53"/>
  <c r="I135" i="53"/>
  <c r="J135" i="53"/>
  <c r="K135" i="53"/>
  <c r="L135" i="53"/>
  <c r="M135" i="53"/>
  <c r="N135" i="53"/>
  <c r="O135" i="53"/>
  <c r="P135" i="53"/>
  <c r="Q135" i="53"/>
  <c r="R135" i="53"/>
  <c r="S135" i="53"/>
  <c r="AA135" i="53"/>
  <c r="AB135" i="53"/>
  <c r="AC135" i="53"/>
  <c r="AD135" i="53"/>
  <c r="AE135" i="53"/>
  <c r="AF135" i="53"/>
  <c r="AG135" i="53"/>
  <c r="AH135" i="53"/>
  <c r="AI135" i="53"/>
  <c r="AJ135" i="53"/>
  <c r="AL135" i="53"/>
  <c r="AM135" i="53"/>
  <c r="AN135" i="53"/>
  <c r="AO135" i="53"/>
  <c r="AP135" i="53"/>
  <c r="AQ135" i="53"/>
  <c r="AR135" i="53"/>
  <c r="AS135" i="53"/>
  <c r="AT135" i="53"/>
  <c r="AU135" i="53"/>
  <c r="AW135" i="53"/>
  <c r="AX135" i="53"/>
  <c r="AY135" i="53"/>
  <c r="AZ135" i="53"/>
  <c r="BA135" i="53"/>
  <c r="BB135" i="53"/>
  <c r="BC135" i="53"/>
  <c r="BD135" i="53"/>
  <c r="BE135" i="53"/>
  <c r="BF135" i="53"/>
  <c r="BH135" i="53"/>
  <c r="BI135" i="53"/>
  <c r="BJ135" i="53"/>
  <c r="BK135" i="53"/>
  <c r="BL135" i="53"/>
  <c r="BM135" i="53"/>
  <c r="BN135" i="53"/>
  <c r="BO135" i="53"/>
  <c r="BP135" i="53"/>
  <c r="BQ135" i="53"/>
  <c r="A136" i="53"/>
  <c r="B136" i="53"/>
  <c r="C136" i="53"/>
  <c r="D136" i="53"/>
  <c r="E136" i="53"/>
  <c r="F136" i="53"/>
  <c r="G136" i="53"/>
  <c r="H136" i="53"/>
  <c r="I136" i="53"/>
  <c r="J136" i="53"/>
  <c r="K136" i="53"/>
  <c r="L136" i="53"/>
  <c r="M136" i="53"/>
  <c r="N136" i="53"/>
  <c r="O136" i="53"/>
  <c r="P136" i="53"/>
  <c r="Q136" i="53"/>
  <c r="R136" i="53"/>
  <c r="S136" i="53"/>
  <c r="AA136" i="53"/>
  <c r="AB136" i="53"/>
  <c r="AC136" i="53"/>
  <c r="AD136" i="53"/>
  <c r="AE136" i="53"/>
  <c r="AF136" i="53"/>
  <c r="AG136" i="53"/>
  <c r="AH136" i="53"/>
  <c r="AI136" i="53"/>
  <c r="AJ136" i="53"/>
  <c r="AL136" i="53"/>
  <c r="AM136" i="53"/>
  <c r="AN136" i="53"/>
  <c r="AO136" i="53"/>
  <c r="AP136" i="53"/>
  <c r="AQ136" i="53"/>
  <c r="AR136" i="53"/>
  <c r="AS136" i="53"/>
  <c r="AT136" i="53"/>
  <c r="AU136" i="53"/>
  <c r="AW136" i="53"/>
  <c r="AX136" i="53"/>
  <c r="AY136" i="53"/>
  <c r="AZ136" i="53"/>
  <c r="BA136" i="53"/>
  <c r="BB136" i="53"/>
  <c r="BC136" i="53"/>
  <c r="BD136" i="53"/>
  <c r="BE136" i="53"/>
  <c r="BF136" i="53"/>
  <c r="BH136" i="53"/>
  <c r="BI136" i="53"/>
  <c r="BJ136" i="53"/>
  <c r="BK136" i="53"/>
  <c r="BL136" i="53"/>
  <c r="BM136" i="53"/>
  <c r="BN136" i="53"/>
  <c r="BO136" i="53"/>
  <c r="BP136" i="53"/>
  <c r="BQ136" i="53"/>
  <c r="A137" i="53"/>
  <c r="B137" i="53"/>
  <c r="C137" i="53"/>
  <c r="D137" i="53"/>
  <c r="E137" i="53"/>
  <c r="F137" i="53"/>
  <c r="G137" i="53"/>
  <c r="H137" i="53"/>
  <c r="I137" i="53"/>
  <c r="J137" i="53"/>
  <c r="K137" i="53"/>
  <c r="L137" i="53"/>
  <c r="M137" i="53"/>
  <c r="N137" i="53"/>
  <c r="O137" i="53"/>
  <c r="P137" i="53"/>
  <c r="Q137" i="53"/>
  <c r="R137" i="53"/>
  <c r="S137" i="53"/>
  <c r="AA137" i="53"/>
  <c r="AB137" i="53"/>
  <c r="AC137" i="53"/>
  <c r="AD137" i="53"/>
  <c r="AE137" i="53"/>
  <c r="AF137" i="53"/>
  <c r="AG137" i="53"/>
  <c r="AH137" i="53"/>
  <c r="AI137" i="53"/>
  <c r="AJ137" i="53"/>
  <c r="AL137" i="53"/>
  <c r="AM137" i="53"/>
  <c r="AN137" i="53"/>
  <c r="AO137" i="53"/>
  <c r="AP137" i="53"/>
  <c r="AQ137" i="53"/>
  <c r="AR137" i="53"/>
  <c r="AS137" i="53"/>
  <c r="AT137" i="53"/>
  <c r="AU137" i="53"/>
  <c r="AW137" i="53"/>
  <c r="AX137" i="53"/>
  <c r="AY137" i="53"/>
  <c r="AZ137" i="53"/>
  <c r="BA137" i="53"/>
  <c r="BB137" i="53"/>
  <c r="BC137" i="53"/>
  <c r="BD137" i="53"/>
  <c r="BE137" i="53"/>
  <c r="BF137" i="53"/>
  <c r="BH137" i="53"/>
  <c r="BI137" i="53"/>
  <c r="BJ137" i="53"/>
  <c r="BK137" i="53"/>
  <c r="BL137" i="53"/>
  <c r="BM137" i="53"/>
  <c r="BN137" i="53"/>
  <c r="BO137" i="53"/>
  <c r="BP137" i="53"/>
  <c r="BQ137" i="53"/>
  <c r="A138" i="53"/>
  <c r="B138" i="53"/>
  <c r="C138" i="53"/>
  <c r="D138" i="53"/>
  <c r="E138" i="53"/>
  <c r="F138" i="53"/>
  <c r="G138" i="53"/>
  <c r="H138" i="53"/>
  <c r="I138" i="53"/>
  <c r="J138" i="53"/>
  <c r="K138" i="53"/>
  <c r="L138" i="53"/>
  <c r="M138" i="53"/>
  <c r="N138" i="53"/>
  <c r="O138" i="53"/>
  <c r="P138" i="53"/>
  <c r="Q138" i="53"/>
  <c r="R138" i="53"/>
  <c r="S138" i="53"/>
  <c r="AA138" i="53"/>
  <c r="AB138" i="53"/>
  <c r="AC138" i="53"/>
  <c r="AD138" i="53"/>
  <c r="AE138" i="53"/>
  <c r="AF138" i="53"/>
  <c r="AG138" i="53"/>
  <c r="AH138" i="53"/>
  <c r="AI138" i="53"/>
  <c r="AJ138" i="53"/>
  <c r="AL138" i="53"/>
  <c r="AM138" i="53"/>
  <c r="AN138" i="53"/>
  <c r="AO138" i="53"/>
  <c r="AP138" i="53"/>
  <c r="AQ138" i="53"/>
  <c r="AR138" i="53"/>
  <c r="AS138" i="53"/>
  <c r="AT138" i="53"/>
  <c r="AU138" i="53"/>
  <c r="AW138" i="53"/>
  <c r="AX138" i="53"/>
  <c r="AY138" i="53"/>
  <c r="AZ138" i="53"/>
  <c r="BA138" i="53"/>
  <c r="BB138" i="53"/>
  <c r="BC138" i="53"/>
  <c r="BD138" i="53"/>
  <c r="BE138" i="53"/>
  <c r="BF138" i="53"/>
  <c r="BH138" i="53"/>
  <c r="BI138" i="53"/>
  <c r="BJ138" i="53"/>
  <c r="BK138" i="53"/>
  <c r="BL138" i="53"/>
  <c r="BM138" i="53"/>
  <c r="BN138" i="53"/>
  <c r="BO138" i="53"/>
  <c r="BP138" i="53"/>
  <c r="BQ138" i="53"/>
  <c r="A139" i="53"/>
  <c r="B139" i="53"/>
  <c r="C139" i="53"/>
  <c r="D139" i="53"/>
  <c r="E139" i="53"/>
  <c r="F139" i="53"/>
  <c r="G139" i="53"/>
  <c r="H139" i="53"/>
  <c r="I139" i="53"/>
  <c r="J139" i="53"/>
  <c r="K139" i="53"/>
  <c r="L139" i="53"/>
  <c r="M139" i="53"/>
  <c r="N139" i="53"/>
  <c r="O139" i="53"/>
  <c r="P139" i="53"/>
  <c r="Q139" i="53"/>
  <c r="R139" i="53"/>
  <c r="S139" i="53"/>
  <c r="AA139" i="53"/>
  <c r="AB139" i="53"/>
  <c r="AC139" i="53"/>
  <c r="AD139" i="53"/>
  <c r="AE139" i="53"/>
  <c r="AF139" i="53"/>
  <c r="AG139" i="53"/>
  <c r="AH139" i="53"/>
  <c r="AI139" i="53"/>
  <c r="AJ139" i="53"/>
  <c r="AL139" i="53"/>
  <c r="AM139" i="53"/>
  <c r="AN139" i="53"/>
  <c r="AO139" i="53"/>
  <c r="AP139" i="53"/>
  <c r="AQ139" i="53"/>
  <c r="AR139" i="53"/>
  <c r="AS139" i="53"/>
  <c r="AT139" i="53"/>
  <c r="AU139" i="53"/>
  <c r="AW139" i="53"/>
  <c r="AX139" i="53"/>
  <c r="AY139" i="53"/>
  <c r="AZ139" i="53"/>
  <c r="BA139" i="53"/>
  <c r="BB139" i="53"/>
  <c r="BC139" i="53"/>
  <c r="BD139" i="53"/>
  <c r="BE139" i="53"/>
  <c r="BF139" i="53"/>
  <c r="BH139" i="53"/>
  <c r="BI139" i="53"/>
  <c r="BJ139" i="53"/>
  <c r="BK139" i="53"/>
  <c r="BL139" i="53"/>
  <c r="BM139" i="53"/>
  <c r="BN139" i="53"/>
  <c r="BO139" i="53"/>
  <c r="BP139" i="53"/>
  <c r="BQ139" i="53"/>
  <c r="A140" i="53"/>
  <c r="B140" i="53"/>
  <c r="C140" i="53"/>
  <c r="D140" i="53"/>
  <c r="E140" i="53"/>
  <c r="F140" i="53"/>
  <c r="G140" i="53"/>
  <c r="H140" i="53"/>
  <c r="I140" i="53"/>
  <c r="J140" i="53"/>
  <c r="K140" i="53"/>
  <c r="L140" i="53"/>
  <c r="M140" i="53"/>
  <c r="N140" i="53"/>
  <c r="O140" i="53"/>
  <c r="P140" i="53"/>
  <c r="Q140" i="53"/>
  <c r="R140" i="53"/>
  <c r="S140" i="53"/>
  <c r="AA140" i="53"/>
  <c r="AB140" i="53"/>
  <c r="AC140" i="53"/>
  <c r="AD140" i="53"/>
  <c r="AE140" i="53"/>
  <c r="AF140" i="53"/>
  <c r="AG140" i="53"/>
  <c r="AH140" i="53"/>
  <c r="AI140" i="53"/>
  <c r="AJ140" i="53"/>
  <c r="AL140" i="53"/>
  <c r="AM140" i="53"/>
  <c r="AN140" i="53"/>
  <c r="AO140" i="53"/>
  <c r="AP140" i="53"/>
  <c r="AQ140" i="53"/>
  <c r="AR140" i="53"/>
  <c r="AS140" i="53"/>
  <c r="AT140" i="53"/>
  <c r="AU140" i="53"/>
  <c r="AW140" i="53"/>
  <c r="AX140" i="53"/>
  <c r="AY140" i="53"/>
  <c r="AZ140" i="53"/>
  <c r="BA140" i="53"/>
  <c r="BB140" i="53"/>
  <c r="BC140" i="53"/>
  <c r="BD140" i="53"/>
  <c r="BE140" i="53"/>
  <c r="BF140" i="53"/>
  <c r="BH140" i="53"/>
  <c r="BI140" i="53"/>
  <c r="BJ140" i="53"/>
  <c r="BK140" i="53"/>
  <c r="BL140" i="53"/>
  <c r="BM140" i="53"/>
  <c r="BN140" i="53"/>
  <c r="BO140" i="53"/>
  <c r="BP140" i="53"/>
  <c r="BQ140" i="53"/>
  <c r="A141" i="53"/>
  <c r="B141" i="53"/>
  <c r="C141" i="53"/>
  <c r="D141" i="53"/>
  <c r="E141" i="53"/>
  <c r="F141" i="53"/>
  <c r="G141" i="53"/>
  <c r="H141" i="53"/>
  <c r="I141" i="53"/>
  <c r="J141" i="53"/>
  <c r="K141" i="53"/>
  <c r="L141" i="53"/>
  <c r="M141" i="53"/>
  <c r="N141" i="53"/>
  <c r="O141" i="53"/>
  <c r="P141" i="53"/>
  <c r="Q141" i="53"/>
  <c r="R141" i="53"/>
  <c r="S141" i="53"/>
  <c r="AA141" i="53"/>
  <c r="AB141" i="53"/>
  <c r="AC141" i="53"/>
  <c r="AD141" i="53"/>
  <c r="AE141" i="53"/>
  <c r="AF141" i="53"/>
  <c r="AG141" i="53"/>
  <c r="AH141" i="53"/>
  <c r="AI141" i="53"/>
  <c r="AJ141" i="53"/>
  <c r="AL141" i="53"/>
  <c r="AM141" i="53"/>
  <c r="AN141" i="53"/>
  <c r="AO141" i="53"/>
  <c r="AP141" i="53"/>
  <c r="AQ141" i="53"/>
  <c r="AR141" i="53"/>
  <c r="AS141" i="53"/>
  <c r="AT141" i="53"/>
  <c r="AU141" i="53"/>
  <c r="AW141" i="53"/>
  <c r="AX141" i="53"/>
  <c r="AY141" i="53"/>
  <c r="AZ141" i="53"/>
  <c r="BA141" i="53"/>
  <c r="BB141" i="53"/>
  <c r="BC141" i="53"/>
  <c r="BD141" i="53"/>
  <c r="BE141" i="53"/>
  <c r="BF141" i="53"/>
  <c r="BH141" i="53"/>
  <c r="BI141" i="53"/>
  <c r="BJ141" i="53"/>
  <c r="BK141" i="53"/>
  <c r="BL141" i="53"/>
  <c r="BM141" i="53"/>
  <c r="BN141" i="53"/>
  <c r="BO141" i="53"/>
  <c r="BP141" i="53"/>
  <c r="BQ141" i="53"/>
  <c r="A142" i="53"/>
  <c r="B142" i="53"/>
  <c r="C142" i="53"/>
  <c r="D142" i="53"/>
  <c r="E142" i="53"/>
  <c r="F142" i="53"/>
  <c r="G142" i="53"/>
  <c r="H142" i="53"/>
  <c r="I142" i="53"/>
  <c r="J142" i="53"/>
  <c r="K142" i="53"/>
  <c r="L142" i="53"/>
  <c r="M142" i="53"/>
  <c r="N142" i="53"/>
  <c r="O142" i="53"/>
  <c r="P142" i="53"/>
  <c r="Q142" i="53"/>
  <c r="R142" i="53"/>
  <c r="S142" i="53"/>
  <c r="AA142" i="53"/>
  <c r="AB142" i="53"/>
  <c r="AC142" i="53"/>
  <c r="AD142" i="53"/>
  <c r="AE142" i="53"/>
  <c r="AF142" i="53"/>
  <c r="AG142" i="53"/>
  <c r="AH142" i="53"/>
  <c r="AI142" i="53"/>
  <c r="AJ142" i="53"/>
  <c r="AL142" i="53"/>
  <c r="AM142" i="53"/>
  <c r="AN142" i="53"/>
  <c r="AO142" i="53"/>
  <c r="AP142" i="53"/>
  <c r="AQ142" i="53"/>
  <c r="AR142" i="53"/>
  <c r="AS142" i="53"/>
  <c r="AT142" i="53"/>
  <c r="AU142" i="53"/>
  <c r="AW142" i="53"/>
  <c r="AX142" i="53"/>
  <c r="AY142" i="53"/>
  <c r="AZ142" i="53"/>
  <c r="BA142" i="53"/>
  <c r="BB142" i="53"/>
  <c r="BC142" i="53"/>
  <c r="BD142" i="53"/>
  <c r="BE142" i="53"/>
  <c r="BF142" i="53"/>
  <c r="BH142" i="53"/>
  <c r="BI142" i="53"/>
  <c r="BJ142" i="53"/>
  <c r="BK142" i="53"/>
  <c r="BL142" i="53"/>
  <c r="BM142" i="53"/>
  <c r="BN142" i="53"/>
  <c r="BO142" i="53"/>
  <c r="BP142" i="53"/>
  <c r="BQ142" i="53"/>
  <c r="A143" i="53"/>
  <c r="B143" i="53"/>
  <c r="C143" i="53"/>
  <c r="D143" i="53"/>
  <c r="E143" i="53"/>
  <c r="F143" i="53"/>
  <c r="G143" i="53"/>
  <c r="H143" i="53"/>
  <c r="I143" i="53"/>
  <c r="J143" i="53"/>
  <c r="K143" i="53"/>
  <c r="L143" i="53"/>
  <c r="M143" i="53"/>
  <c r="N143" i="53"/>
  <c r="O143" i="53"/>
  <c r="P143" i="53"/>
  <c r="Q143" i="53"/>
  <c r="R143" i="53"/>
  <c r="S143" i="53"/>
  <c r="AA143" i="53"/>
  <c r="AB143" i="53"/>
  <c r="AC143" i="53"/>
  <c r="AD143" i="53"/>
  <c r="AE143" i="53"/>
  <c r="AF143" i="53"/>
  <c r="AG143" i="53"/>
  <c r="AH143" i="53"/>
  <c r="AI143" i="53"/>
  <c r="AJ143" i="53"/>
  <c r="AL143" i="53"/>
  <c r="AM143" i="53"/>
  <c r="AN143" i="53"/>
  <c r="AO143" i="53"/>
  <c r="AP143" i="53"/>
  <c r="AQ143" i="53"/>
  <c r="AR143" i="53"/>
  <c r="AS143" i="53"/>
  <c r="AT143" i="53"/>
  <c r="AU143" i="53"/>
  <c r="AW143" i="53"/>
  <c r="AX143" i="53"/>
  <c r="AY143" i="53"/>
  <c r="AZ143" i="53"/>
  <c r="BA143" i="53"/>
  <c r="BB143" i="53"/>
  <c r="BC143" i="53"/>
  <c r="BD143" i="53"/>
  <c r="BE143" i="53"/>
  <c r="BF143" i="53"/>
  <c r="BH143" i="53"/>
  <c r="BI143" i="53"/>
  <c r="BJ143" i="53"/>
  <c r="BK143" i="53"/>
  <c r="BL143" i="53"/>
  <c r="BM143" i="53"/>
  <c r="BN143" i="53"/>
  <c r="BO143" i="53"/>
  <c r="BP143" i="53"/>
  <c r="BQ143" i="53"/>
  <c r="A144" i="53"/>
  <c r="B144" i="53"/>
  <c r="C144" i="53"/>
  <c r="D144" i="53"/>
  <c r="E144" i="53"/>
  <c r="F144" i="53"/>
  <c r="G144" i="53"/>
  <c r="H144" i="53"/>
  <c r="I144" i="53"/>
  <c r="J144" i="53"/>
  <c r="K144" i="53"/>
  <c r="L144" i="53"/>
  <c r="M144" i="53"/>
  <c r="N144" i="53"/>
  <c r="O144" i="53"/>
  <c r="P144" i="53"/>
  <c r="Q144" i="53"/>
  <c r="R144" i="53"/>
  <c r="S144" i="53"/>
  <c r="AA144" i="53"/>
  <c r="AB144" i="53"/>
  <c r="AC144" i="53"/>
  <c r="AD144" i="53"/>
  <c r="AE144" i="53"/>
  <c r="AF144" i="53"/>
  <c r="AG144" i="53"/>
  <c r="AH144" i="53"/>
  <c r="AI144" i="53"/>
  <c r="AJ144" i="53"/>
  <c r="AL144" i="53"/>
  <c r="AM144" i="53"/>
  <c r="AN144" i="53"/>
  <c r="AO144" i="53"/>
  <c r="AP144" i="53"/>
  <c r="AQ144" i="53"/>
  <c r="AR144" i="53"/>
  <c r="AS144" i="53"/>
  <c r="AT144" i="53"/>
  <c r="AU144" i="53"/>
  <c r="AW144" i="53"/>
  <c r="AX144" i="53"/>
  <c r="AY144" i="53"/>
  <c r="AZ144" i="53"/>
  <c r="BA144" i="53"/>
  <c r="BB144" i="53"/>
  <c r="BC144" i="53"/>
  <c r="BD144" i="53"/>
  <c r="BE144" i="53"/>
  <c r="BF144" i="53"/>
  <c r="BH144" i="53"/>
  <c r="BI144" i="53"/>
  <c r="BJ144" i="53"/>
  <c r="BK144" i="53"/>
  <c r="BL144" i="53"/>
  <c r="BM144" i="53"/>
  <c r="BN144" i="53"/>
  <c r="BO144" i="53"/>
  <c r="BP144" i="53"/>
  <c r="BQ144" i="53"/>
  <c r="A145" i="53"/>
  <c r="B145" i="53"/>
  <c r="C145" i="53"/>
  <c r="D145" i="53"/>
  <c r="E145" i="53"/>
  <c r="F145" i="53"/>
  <c r="G145" i="53"/>
  <c r="H145" i="53"/>
  <c r="I145" i="53"/>
  <c r="J145" i="53"/>
  <c r="K145" i="53"/>
  <c r="L145" i="53"/>
  <c r="M145" i="53"/>
  <c r="N145" i="53"/>
  <c r="O145" i="53"/>
  <c r="P145" i="53"/>
  <c r="Q145" i="53"/>
  <c r="R145" i="53"/>
  <c r="S145" i="53"/>
  <c r="AA145" i="53"/>
  <c r="AB145" i="53"/>
  <c r="AC145" i="53"/>
  <c r="AD145" i="53"/>
  <c r="AE145" i="53"/>
  <c r="AF145" i="53"/>
  <c r="AG145" i="53"/>
  <c r="AH145" i="53"/>
  <c r="AI145" i="53"/>
  <c r="AJ145" i="53"/>
  <c r="AL145" i="53"/>
  <c r="AM145" i="53"/>
  <c r="AN145" i="53"/>
  <c r="AO145" i="53"/>
  <c r="AP145" i="53"/>
  <c r="AQ145" i="53"/>
  <c r="AR145" i="53"/>
  <c r="AS145" i="53"/>
  <c r="AT145" i="53"/>
  <c r="AU145" i="53"/>
  <c r="AW145" i="53"/>
  <c r="AX145" i="53"/>
  <c r="AY145" i="53"/>
  <c r="AZ145" i="53"/>
  <c r="BA145" i="53"/>
  <c r="BB145" i="53"/>
  <c r="BC145" i="53"/>
  <c r="BD145" i="53"/>
  <c r="BE145" i="53"/>
  <c r="BF145" i="53"/>
  <c r="BH145" i="53"/>
  <c r="BI145" i="53"/>
  <c r="BJ145" i="53"/>
  <c r="BK145" i="53"/>
  <c r="BL145" i="53"/>
  <c r="BM145" i="53"/>
  <c r="BN145" i="53"/>
  <c r="BO145" i="53"/>
  <c r="BP145" i="53"/>
  <c r="BQ145" i="53"/>
  <c r="A146" i="53"/>
  <c r="B146" i="53"/>
  <c r="C146" i="53"/>
  <c r="D146" i="53"/>
  <c r="E146" i="53"/>
  <c r="F146" i="53"/>
  <c r="G146" i="53"/>
  <c r="H146" i="53"/>
  <c r="I146" i="53"/>
  <c r="J146" i="53"/>
  <c r="K146" i="53"/>
  <c r="L146" i="53"/>
  <c r="M146" i="53"/>
  <c r="N146" i="53"/>
  <c r="O146" i="53"/>
  <c r="P146" i="53"/>
  <c r="Q146" i="53"/>
  <c r="R146" i="53"/>
  <c r="S146" i="53"/>
  <c r="AA146" i="53"/>
  <c r="AB146" i="53"/>
  <c r="AC146" i="53"/>
  <c r="AD146" i="53"/>
  <c r="AE146" i="53"/>
  <c r="AF146" i="53"/>
  <c r="AG146" i="53"/>
  <c r="AH146" i="53"/>
  <c r="AI146" i="53"/>
  <c r="AJ146" i="53"/>
  <c r="AL146" i="53"/>
  <c r="AM146" i="53"/>
  <c r="AN146" i="53"/>
  <c r="AO146" i="53"/>
  <c r="AP146" i="53"/>
  <c r="AQ146" i="53"/>
  <c r="AR146" i="53"/>
  <c r="AS146" i="53"/>
  <c r="AT146" i="53"/>
  <c r="AU146" i="53"/>
  <c r="AW146" i="53"/>
  <c r="AX146" i="53"/>
  <c r="AY146" i="53"/>
  <c r="AZ146" i="53"/>
  <c r="BA146" i="53"/>
  <c r="BB146" i="53"/>
  <c r="BC146" i="53"/>
  <c r="BD146" i="53"/>
  <c r="BE146" i="53"/>
  <c r="BF146" i="53"/>
  <c r="BH146" i="53"/>
  <c r="BI146" i="53"/>
  <c r="BJ146" i="53"/>
  <c r="BK146" i="53"/>
  <c r="BL146" i="53"/>
  <c r="BM146" i="53"/>
  <c r="BN146" i="53"/>
  <c r="BO146" i="53"/>
  <c r="BP146" i="53"/>
  <c r="BQ146" i="53"/>
  <c r="A147" i="53"/>
  <c r="B147" i="53"/>
  <c r="C147" i="53"/>
  <c r="D147" i="53"/>
  <c r="E147" i="53"/>
  <c r="F147" i="53"/>
  <c r="G147" i="53"/>
  <c r="H147" i="53"/>
  <c r="I147" i="53"/>
  <c r="J147" i="53"/>
  <c r="K147" i="53"/>
  <c r="L147" i="53"/>
  <c r="M147" i="53"/>
  <c r="N147" i="53"/>
  <c r="O147" i="53"/>
  <c r="P147" i="53"/>
  <c r="Q147" i="53"/>
  <c r="R147" i="53"/>
  <c r="S147" i="53"/>
  <c r="AA147" i="53"/>
  <c r="AB147" i="53"/>
  <c r="AC147" i="53"/>
  <c r="AD147" i="53"/>
  <c r="AE147" i="53"/>
  <c r="AF147" i="53"/>
  <c r="AG147" i="53"/>
  <c r="AH147" i="53"/>
  <c r="AI147" i="53"/>
  <c r="AJ147" i="53"/>
  <c r="AL147" i="53"/>
  <c r="AM147" i="53"/>
  <c r="AN147" i="53"/>
  <c r="AO147" i="53"/>
  <c r="AP147" i="53"/>
  <c r="AQ147" i="53"/>
  <c r="AR147" i="53"/>
  <c r="AS147" i="53"/>
  <c r="AT147" i="53"/>
  <c r="AU147" i="53"/>
  <c r="AW147" i="53"/>
  <c r="AX147" i="53"/>
  <c r="AY147" i="53"/>
  <c r="AZ147" i="53"/>
  <c r="BA147" i="53"/>
  <c r="BB147" i="53"/>
  <c r="BC147" i="53"/>
  <c r="BD147" i="53"/>
  <c r="BE147" i="53"/>
  <c r="BF147" i="53"/>
  <c r="BH147" i="53"/>
  <c r="BI147" i="53"/>
  <c r="BJ147" i="53"/>
  <c r="BK147" i="53"/>
  <c r="BL147" i="53"/>
  <c r="BM147" i="53"/>
  <c r="BN147" i="53"/>
  <c r="BO147" i="53"/>
  <c r="BP147" i="53"/>
  <c r="BQ147" i="53"/>
  <c r="A148" i="53"/>
  <c r="B148" i="53"/>
  <c r="C148" i="53"/>
  <c r="D148" i="53"/>
  <c r="E148" i="53"/>
  <c r="F148" i="53"/>
  <c r="G148" i="53"/>
  <c r="H148" i="53"/>
  <c r="I148" i="53"/>
  <c r="J148" i="53"/>
  <c r="K148" i="53"/>
  <c r="L148" i="53"/>
  <c r="M148" i="53"/>
  <c r="N148" i="53"/>
  <c r="O148" i="53"/>
  <c r="P148" i="53"/>
  <c r="Q148" i="53"/>
  <c r="R148" i="53"/>
  <c r="S148" i="53"/>
  <c r="AA148" i="53"/>
  <c r="AB148" i="53"/>
  <c r="AC148" i="53"/>
  <c r="AD148" i="53"/>
  <c r="AE148" i="53"/>
  <c r="AF148" i="53"/>
  <c r="AG148" i="53"/>
  <c r="AH148" i="53"/>
  <c r="AI148" i="53"/>
  <c r="AJ148" i="53"/>
  <c r="AL148" i="53"/>
  <c r="AM148" i="53"/>
  <c r="AN148" i="53"/>
  <c r="AO148" i="53"/>
  <c r="AP148" i="53"/>
  <c r="AQ148" i="53"/>
  <c r="AR148" i="53"/>
  <c r="AS148" i="53"/>
  <c r="AT148" i="53"/>
  <c r="AU148" i="53"/>
  <c r="AW148" i="53"/>
  <c r="AX148" i="53"/>
  <c r="AY148" i="53"/>
  <c r="AZ148" i="53"/>
  <c r="BA148" i="53"/>
  <c r="BB148" i="53"/>
  <c r="BC148" i="53"/>
  <c r="BD148" i="53"/>
  <c r="BE148" i="53"/>
  <c r="BF148" i="53"/>
  <c r="BH148" i="53"/>
  <c r="BI148" i="53"/>
  <c r="BJ148" i="53"/>
  <c r="BK148" i="53"/>
  <c r="BL148" i="53"/>
  <c r="BM148" i="53"/>
  <c r="BN148" i="53"/>
  <c r="BO148" i="53"/>
  <c r="BP148" i="53"/>
  <c r="BQ148" i="53"/>
  <c r="A149" i="53"/>
  <c r="B149" i="53"/>
  <c r="C149" i="53"/>
  <c r="D149" i="53"/>
  <c r="E149" i="53"/>
  <c r="F149" i="53"/>
  <c r="G149" i="53"/>
  <c r="H149" i="53"/>
  <c r="I149" i="53"/>
  <c r="J149" i="53"/>
  <c r="K149" i="53"/>
  <c r="L149" i="53"/>
  <c r="M149" i="53"/>
  <c r="N149" i="53"/>
  <c r="O149" i="53"/>
  <c r="P149" i="53"/>
  <c r="Q149" i="53"/>
  <c r="R149" i="53"/>
  <c r="S149" i="53"/>
  <c r="AA149" i="53"/>
  <c r="AB149" i="53"/>
  <c r="AC149" i="53"/>
  <c r="AD149" i="53"/>
  <c r="AE149" i="53"/>
  <c r="AF149" i="53"/>
  <c r="AG149" i="53"/>
  <c r="AH149" i="53"/>
  <c r="AI149" i="53"/>
  <c r="AJ149" i="53"/>
  <c r="AL149" i="53"/>
  <c r="AM149" i="53"/>
  <c r="AN149" i="53"/>
  <c r="AO149" i="53"/>
  <c r="AP149" i="53"/>
  <c r="AQ149" i="53"/>
  <c r="AR149" i="53"/>
  <c r="AS149" i="53"/>
  <c r="AT149" i="53"/>
  <c r="AU149" i="53"/>
  <c r="AW149" i="53"/>
  <c r="AX149" i="53"/>
  <c r="AY149" i="53"/>
  <c r="AZ149" i="53"/>
  <c r="BA149" i="53"/>
  <c r="BB149" i="53"/>
  <c r="BC149" i="53"/>
  <c r="BD149" i="53"/>
  <c r="BE149" i="53"/>
  <c r="BF149" i="53"/>
  <c r="BH149" i="53"/>
  <c r="BI149" i="53"/>
  <c r="BJ149" i="53"/>
  <c r="BK149" i="53"/>
  <c r="BL149" i="53"/>
  <c r="BM149" i="53"/>
  <c r="BN149" i="53"/>
  <c r="BO149" i="53"/>
  <c r="BP149" i="53"/>
  <c r="BQ149" i="53"/>
  <c r="A150" i="53"/>
  <c r="B150" i="53"/>
  <c r="C150" i="53"/>
  <c r="D150" i="53"/>
  <c r="E150" i="53"/>
  <c r="F150" i="53"/>
  <c r="G150" i="53"/>
  <c r="H150" i="53"/>
  <c r="I150" i="53"/>
  <c r="J150" i="53"/>
  <c r="K150" i="53"/>
  <c r="L150" i="53"/>
  <c r="M150" i="53"/>
  <c r="N150" i="53"/>
  <c r="O150" i="53"/>
  <c r="P150" i="53"/>
  <c r="Q150" i="53"/>
  <c r="R150" i="53"/>
  <c r="S150" i="53"/>
  <c r="AA150" i="53"/>
  <c r="AB150" i="53"/>
  <c r="AC150" i="53"/>
  <c r="AD150" i="53"/>
  <c r="AE150" i="53"/>
  <c r="AF150" i="53"/>
  <c r="AG150" i="53"/>
  <c r="AH150" i="53"/>
  <c r="AI150" i="53"/>
  <c r="AJ150" i="53"/>
  <c r="AL150" i="53"/>
  <c r="AM150" i="53"/>
  <c r="AN150" i="53"/>
  <c r="AO150" i="53"/>
  <c r="AP150" i="53"/>
  <c r="AQ150" i="53"/>
  <c r="AR150" i="53"/>
  <c r="AS150" i="53"/>
  <c r="AT150" i="53"/>
  <c r="AU150" i="53"/>
  <c r="AW150" i="53"/>
  <c r="AX150" i="53"/>
  <c r="AY150" i="53"/>
  <c r="AZ150" i="53"/>
  <c r="BA150" i="53"/>
  <c r="BB150" i="53"/>
  <c r="BC150" i="53"/>
  <c r="BD150" i="53"/>
  <c r="BE150" i="53"/>
  <c r="BF150" i="53"/>
  <c r="BH150" i="53"/>
  <c r="BI150" i="53"/>
  <c r="BJ150" i="53"/>
  <c r="BK150" i="53"/>
  <c r="BL150" i="53"/>
  <c r="BM150" i="53"/>
  <c r="BN150" i="53"/>
  <c r="BO150" i="53"/>
  <c r="BP150" i="53"/>
  <c r="BQ150" i="53"/>
  <c r="A151" i="53"/>
  <c r="E1" i="61"/>
  <c r="B2" i="61"/>
  <c r="E2" i="61"/>
  <c r="E3" i="61"/>
  <c r="L3" i="61"/>
  <c r="M3" i="61"/>
  <c r="L4" i="61"/>
  <c r="M4" i="61"/>
  <c r="L5" i="61"/>
  <c r="M5" i="61"/>
  <c r="L6" i="61"/>
  <c r="M6" i="61"/>
  <c r="L8" i="61"/>
  <c r="M8" i="61"/>
  <c r="B9" i="61"/>
  <c r="D9" i="61"/>
  <c r="F9" i="61"/>
  <c r="H9" i="61"/>
  <c r="B10" i="61"/>
  <c r="D10" i="61"/>
  <c r="F10" i="61"/>
  <c r="H10" i="61"/>
  <c r="B11" i="61"/>
  <c r="D11" i="61"/>
  <c r="F11" i="61"/>
  <c r="H11" i="61"/>
  <c r="E18" i="61"/>
  <c r="F18" i="61"/>
  <c r="G18" i="61"/>
  <c r="H18" i="61"/>
  <c r="B21" i="61"/>
  <c r="D21" i="61"/>
  <c r="F21" i="61"/>
  <c r="H21" i="61"/>
  <c r="B22" i="61"/>
  <c r="D22" i="61"/>
  <c r="F22" i="61"/>
  <c r="H22" i="61"/>
  <c r="A23" i="61"/>
  <c r="B23" i="61"/>
  <c r="D23" i="61"/>
  <c r="F23" i="61"/>
  <c r="H23" i="61"/>
  <c r="AP24" i="61"/>
  <c r="AQ24" i="61"/>
  <c r="AU24" i="61"/>
  <c r="AV24" i="61"/>
  <c r="AW24" i="61"/>
  <c r="BA24" i="61"/>
  <c r="BB24" i="61"/>
  <c r="BF24" i="61"/>
  <c r="BG24" i="61"/>
  <c r="BH24" i="61"/>
  <c r="BL24" i="61"/>
  <c r="BM24" i="61"/>
  <c r="BQ24" i="61"/>
  <c r="BR24" i="61"/>
  <c r="BS24" i="61"/>
  <c r="BW24" i="61"/>
  <c r="BX24" i="61"/>
  <c r="CB24" i="61"/>
  <c r="CC24" i="61"/>
  <c r="CD24" i="61"/>
  <c r="B25" i="61"/>
  <c r="F25" i="61"/>
  <c r="AO25" i="61"/>
  <c r="AZ25" i="61"/>
  <c r="BK25" i="61"/>
  <c r="BV25" i="61"/>
  <c r="AO26" i="61"/>
  <c r="AP26" i="61"/>
  <c r="AQ26" i="61"/>
  <c r="AU26" i="61"/>
  <c r="AV26" i="61"/>
  <c r="AW26" i="61"/>
  <c r="AZ26" i="61"/>
  <c r="BA26" i="61"/>
  <c r="BB26" i="61"/>
  <c r="BF26" i="61"/>
  <c r="BG26" i="61"/>
  <c r="BH26" i="61"/>
  <c r="BK26" i="61"/>
  <c r="BL26" i="61"/>
  <c r="BM26" i="61"/>
  <c r="BQ26" i="61"/>
  <c r="BR26" i="61"/>
  <c r="BS26" i="61"/>
  <c r="BV26" i="61"/>
  <c r="BW26" i="61"/>
  <c r="BX26" i="61"/>
  <c r="CB26" i="61"/>
  <c r="CC26" i="61"/>
  <c r="CD26" i="61"/>
  <c r="AS27" i="61"/>
  <c r="BD27" i="61"/>
  <c r="BO27" i="61"/>
  <c r="BZ27" i="61"/>
  <c r="D28" i="61"/>
  <c r="K28" i="61"/>
  <c r="R28" i="61"/>
  <c r="Y28" i="61"/>
  <c r="AN28" i="61"/>
  <c r="AS28" i="61"/>
  <c r="AY28" i="61"/>
  <c r="BD28" i="61"/>
  <c r="BJ28" i="61"/>
  <c r="BO28" i="61"/>
  <c r="BU28" i="61"/>
  <c r="BZ28" i="61"/>
  <c r="AT29" i="61"/>
  <c r="AW29" i="61"/>
  <c r="BE29" i="61"/>
  <c r="BH29" i="61"/>
  <c r="BP29" i="61"/>
  <c r="BS29" i="61"/>
  <c r="CA29" i="61"/>
  <c r="CD29" i="61"/>
  <c r="B31" i="61"/>
  <c r="C31" i="61"/>
  <c r="D31" i="61"/>
  <c r="E31" i="61"/>
  <c r="F31" i="61"/>
  <c r="G31" i="61"/>
  <c r="H31" i="61"/>
  <c r="I31" i="61"/>
  <c r="K31" i="61"/>
  <c r="L31" i="61"/>
  <c r="M31" i="61"/>
  <c r="N31" i="61"/>
  <c r="O31" i="61"/>
  <c r="P31" i="61"/>
  <c r="R31" i="61"/>
  <c r="S31" i="61"/>
  <c r="T31" i="61"/>
  <c r="U31" i="61"/>
  <c r="V31" i="61"/>
  <c r="W31" i="61"/>
  <c r="Y31" i="61"/>
  <c r="Z31" i="61"/>
  <c r="AA31" i="61"/>
  <c r="AB31" i="61"/>
  <c r="AC31" i="61"/>
  <c r="AD31" i="61"/>
  <c r="AF31" i="61"/>
  <c r="AG31" i="61"/>
  <c r="AH31" i="61"/>
  <c r="AI31" i="61"/>
  <c r="AN31" i="61"/>
  <c r="AO31" i="61"/>
  <c r="AP31" i="61"/>
  <c r="AQ31" i="61"/>
  <c r="AR31" i="61"/>
  <c r="AS31" i="61"/>
  <c r="AT31" i="61"/>
  <c r="AU31" i="61"/>
  <c r="AV31" i="61"/>
  <c r="AW31" i="61"/>
  <c r="AY31" i="61"/>
  <c r="AZ31" i="61"/>
  <c r="BA31" i="61"/>
  <c r="BB31" i="61"/>
  <c r="BC31" i="61"/>
  <c r="BD31" i="61"/>
  <c r="BE31" i="61"/>
  <c r="BF31" i="61"/>
  <c r="BG31" i="61"/>
  <c r="BH31" i="61"/>
  <c r="BJ31" i="61"/>
  <c r="BK31" i="61"/>
  <c r="BL31" i="61"/>
  <c r="BM31" i="61"/>
  <c r="BN31" i="61"/>
  <c r="BO31" i="61"/>
  <c r="BP31" i="61"/>
  <c r="BQ31" i="61"/>
  <c r="BR31" i="61"/>
  <c r="BS31" i="61"/>
  <c r="BU31" i="61"/>
  <c r="BV31" i="61"/>
  <c r="BW31" i="61"/>
  <c r="BX31" i="61"/>
  <c r="BY31" i="61"/>
  <c r="BZ31" i="61"/>
  <c r="CA31" i="61"/>
  <c r="CB31" i="61"/>
  <c r="CC31" i="61"/>
  <c r="CD31" i="61"/>
  <c r="A32" i="61"/>
  <c r="B32" i="61"/>
  <c r="C32" i="61"/>
  <c r="D32" i="61"/>
  <c r="E32" i="61"/>
  <c r="F32" i="61"/>
  <c r="G32" i="61"/>
  <c r="H32" i="61"/>
  <c r="I32" i="61"/>
  <c r="K32" i="61"/>
  <c r="L32" i="61"/>
  <c r="M32" i="61"/>
  <c r="N32" i="61"/>
  <c r="O32" i="61"/>
  <c r="P32" i="61"/>
  <c r="R32" i="61"/>
  <c r="S32" i="61"/>
  <c r="T32" i="61"/>
  <c r="U32" i="61"/>
  <c r="V32" i="61"/>
  <c r="W32" i="61"/>
  <c r="Y32" i="61"/>
  <c r="Z32" i="61"/>
  <c r="AA32" i="61"/>
  <c r="AB32" i="61"/>
  <c r="AC32" i="61"/>
  <c r="AD32" i="61"/>
  <c r="AF32" i="61"/>
  <c r="AG32" i="61"/>
  <c r="AH32" i="61"/>
  <c r="AI32" i="61"/>
  <c r="AN32" i="61"/>
  <c r="AO32" i="61"/>
  <c r="AP32" i="61"/>
  <c r="AQ32" i="61"/>
  <c r="AR32" i="61"/>
  <c r="AS32" i="61"/>
  <c r="AT32" i="61"/>
  <c r="AU32" i="61"/>
  <c r="AV32" i="61"/>
  <c r="AW32" i="61"/>
  <c r="AY32" i="61"/>
  <c r="AZ32" i="61"/>
  <c r="BA32" i="61"/>
  <c r="BB32" i="61"/>
  <c r="BC32" i="61"/>
  <c r="BD32" i="61"/>
  <c r="BE32" i="61"/>
  <c r="BF32" i="61"/>
  <c r="BG32" i="61"/>
  <c r="BH32" i="61"/>
  <c r="BJ32" i="61"/>
  <c r="BK32" i="61"/>
  <c r="BL32" i="61"/>
  <c r="BM32" i="61"/>
  <c r="BN32" i="61"/>
  <c r="BO32" i="61"/>
  <c r="BP32" i="61"/>
  <c r="BQ32" i="61"/>
  <c r="BR32" i="61"/>
  <c r="BS32" i="61"/>
  <c r="BU32" i="61"/>
  <c r="BV32" i="61"/>
  <c r="BW32" i="61"/>
  <c r="BX32" i="61"/>
  <c r="BY32" i="61"/>
  <c r="BZ32" i="61"/>
  <c r="CA32" i="61"/>
  <c r="CB32" i="61"/>
  <c r="CC32" i="61"/>
  <c r="CD32" i="61"/>
  <c r="A33" i="61"/>
  <c r="B33" i="61"/>
  <c r="C33" i="61"/>
  <c r="D33" i="61"/>
  <c r="E33" i="61"/>
  <c r="F33" i="61"/>
  <c r="G33" i="61"/>
  <c r="H33" i="61"/>
  <c r="I33" i="61"/>
  <c r="K33" i="61"/>
  <c r="L33" i="61"/>
  <c r="M33" i="61"/>
  <c r="N33" i="61"/>
  <c r="O33" i="61"/>
  <c r="P33" i="61"/>
  <c r="R33" i="61"/>
  <c r="S33" i="61"/>
  <c r="T33" i="61"/>
  <c r="U33" i="61"/>
  <c r="V33" i="61"/>
  <c r="W33" i="61"/>
  <c r="Y33" i="61"/>
  <c r="Z33" i="61"/>
  <c r="AA33" i="61"/>
  <c r="AB33" i="61"/>
  <c r="AC33" i="61"/>
  <c r="AD33" i="61"/>
  <c r="AF33" i="61"/>
  <c r="AG33" i="61"/>
  <c r="AH33" i="61"/>
  <c r="AI33" i="61"/>
  <c r="AN33" i="61"/>
  <c r="AO33" i="61"/>
  <c r="AP33" i="61"/>
  <c r="AQ33" i="61"/>
  <c r="AR33" i="61"/>
  <c r="AS33" i="61"/>
  <c r="AT33" i="61"/>
  <c r="AU33" i="61"/>
  <c r="AV33" i="61"/>
  <c r="AW33" i="61"/>
  <c r="AY33" i="61"/>
  <c r="AZ33" i="61"/>
  <c r="BA33" i="61"/>
  <c r="BB33" i="61"/>
  <c r="BC33" i="61"/>
  <c r="BD33" i="61"/>
  <c r="BE33" i="61"/>
  <c r="BF33" i="61"/>
  <c r="BG33" i="61"/>
  <c r="BH33" i="61"/>
  <c r="BJ33" i="61"/>
  <c r="BK33" i="61"/>
  <c r="BL33" i="61"/>
  <c r="BM33" i="61"/>
  <c r="BN33" i="61"/>
  <c r="BO33" i="61"/>
  <c r="BP33" i="61"/>
  <c r="BQ33" i="61"/>
  <c r="BR33" i="61"/>
  <c r="BS33" i="61"/>
  <c r="BU33" i="61"/>
  <c r="BV33" i="61"/>
  <c r="BW33" i="61"/>
  <c r="BX33" i="61"/>
  <c r="BY33" i="61"/>
  <c r="BZ33" i="61"/>
  <c r="CA33" i="61"/>
  <c r="CB33" i="61"/>
  <c r="CC33" i="61"/>
  <c r="CD33" i="61"/>
  <c r="A34" i="61"/>
  <c r="B34" i="61"/>
  <c r="C34" i="61"/>
  <c r="D34" i="61"/>
  <c r="E34" i="61"/>
  <c r="F34" i="61"/>
  <c r="G34" i="61"/>
  <c r="H34" i="61"/>
  <c r="I34" i="61"/>
  <c r="K34" i="61"/>
  <c r="L34" i="61"/>
  <c r="M34" i="61"/>
  <c r="N34" i="61"/>
  <c r="O34" i="61"/>
  <c r="P34" i="61"/>
  <c r="R34" i="61"/>
  <c r="S34" i="61"/>
  <c r="T34" i="61"/>
  <c r="U34" i="61"/>
  <c r="V34" i="61"/>
  <c r="W34" i="61"/>
  <c r="Y34" i="61"/>
  <c r="Z34" i="61"/>
  <c r="AA34" i="61"/>
  <c r="AB34" i="61"/>
  <c r="AC34" i="61"/>
  <c r="AD34" i="61"/>
  <c r="AF34" i="61"/>
  <c r="AG34" i="61"/>
  <c r="AH34" i="61"/>
  <c r="AI34" i="61"/>
  <c r="AN34" i="61"/>
  <c r="AO34" i="61"/>
  <c r="AP34" i="61"/>
  <c r="AQ34" i="61"/>
  <c r="AR34" i="61"/>
  <c r="AS34" i="61"/>
  <c r="AT34" i="61"/>
  <c r="AU34" i="61"/>
  <c r="AV34" i="61"/>
  <c r="AW34" i="61"/>
  <c r="AY34" i="61"/>
  <c r="AZ34" i="61"/>
  <c r="BA34" i="61"/>
  <c r="BB34" i="61"/>
  <c r="BC34" i="61"/>
  <c r="BD34" i="61"/>
  <c r="BE34" i="61"/>
  <c r="BF34" i="61"/>
  <c r="BG34" i="61"/>
  <c r="BH34" i="61"/>
  <c r="BJ34" i="61"/>
  <c r="BK34" i="61"/>
  <c r="BL34" i="61"/>
  <c r="BM34" i="61"/>
  <c r="BN34" i="61"/>
  <c r="BO34" i="61"/>
  <c r="BP34" i="61"/>
  <c r="BQ34" i="61"/>
  <c r="BR34" i="61"/>
  <c r="BS34" i="61"/>
  <c r="BU34" i="61"/>
  <c r="BV34" i="61"/>
  <c r="BW34" i="61"/>
  <c r="BX34" i="61"/>
  <c r="BY34" i="61"/>
  <c r="BZ34" i="61"/>
  <c r="CA34" i="61"/>
  <c r="CB34" i="61"/>
  <c r="CC34" i="61"/>
  <c r="CD34" i="61"/>
  <c r="A35" i="61"/>
  <c r="B35" i="61"/>
  <c r="C35" i="61"/>
  <c r="D35" i="61"/>
  <c r="E35" i="61"/>
  <c r="F35" i="61"/>
  <c r="G35" i="61"/>
  <c r="H35" i="61"/>
  <c r="I35" i="61"/>
  <c r="K35" i="61"/>
  <c r="L35" i="61"/>
  <c r="M35" i="61"/>
  <c r="N35" i="61"/>
  <c r="O35" i="61"/>
  <c r="P35" i="61"/>
  <c r="R35" i="61"/>
  <c r="S35" i="61"/>
  <c r="T35" i="61"/>
  <c r="U35" i="61"/>
  <c r="V35" i="61"/>
  <c r="W35" i="61"/>
  <c r="Y35" i="61"/>
  <c r="Z35" i="61"/>
  <c r="AA35" i="61"/>
  <c r="AB35" i="61"/>
  <c r="AC35" i="61"/>
  <c r="AD35" i="61"/>
  <c r="AF35" i="61"/>
  <c r="AG35" i="61"/>
  <c r="AH35" i="61"/>
  <c r="AI35" i="61"/>
  <c r="AN35" i="61"/>
  <c r="AO35" i="61"/>
  <c r="AP35" i="61"/>
  <c r="AQ35" i="61"/>
  <c r="AR35" i="61"/>
  <c r="AS35" i="61"/>
  <c r="AT35" i="61"/>
  <c r="AU35" i="61"/>
  <c r="AV35" i="61"/>
  <c r="AW35" i="61"/>
  <c r="AY35" i="61"/>
  <c r="AZ35" i="61"/>
  <c r="BA35" i="61"/>
  <c r="BB35" i="61"/>
  <c r="BC35" i="61"/>
  <c r="BD35" i="61"/>
  <c r="BE35" i="61"/>
  <c r="BF35" i="61"/>
  <c r="BG35" i="61"/>
  <c r="BH35" i="61"/>
  <c r="BJ35" i="61"/>
  <c r="BK35" i="61"/>
  <c r="BL35" i="61"/>
  <c r="BM35" i="61"/>
  <c r="BN35" i="61"/>
  <c r="BO35" i="61"/>
  <c r="BP35" i="61"/>
  <c r="BQ35" i="61"/>
  <c r="BR35" i="61"/>
  <c r="BS35" i="61"/>
  <c r="BU35" i="61"/>
  <c r="BV35" i="61"/>
  <c r="BW35" i="61"/>
  <c r="BX35" i="61"/>
  <c r="BY35" i="61"/>
  <c r="BZ35" i="61"/>
  <c r="CA35" i="61"/>
  <c r="CB35" i="61"/>
  <c r="CC35" i="61"/>
  <c r="CD35" i="61"/>
  <c r="A36" i="61"/>
  <c r="B36" i="61"/>
  <c r="C36" i="61"/>
  <c r="D36" i="61"/>
  <c r="E36" i="61"/>
  <c r="F36" i="61"/>
  <c r="G36" i="61"/>
  <c r="H36" i="61"/>
  <c r="I36" i="61"/>
  <c r="J36" i="61"/>
  <c r="K36" i="61"/>
  <c r="L36" i="61"/>
  <c r="M36" i="61"/>
  <c r="N36" i="61"/>
  <c r="O36" i="61"/>
  <c r="P36" i="61"/>
  <c r="R36" i="61"/>
  <c r="S36" i="61"/>
  <c r="T36" i="61"/>
  <c r="U36" i="61"/>
  <c r="V36" i="61"/>
  <c r="W36" i="61"/>
  <c r="Y36" i="61"/>
  <c r="Z36" i="61"/>
  <c r="AA36" i="61"/>
  <c r="AB36" i="61"/>
  <c r="AC36" i="61"/>
  <c r="AD36" i="61"/>
  <c r="AF36" i="61"/>
  <c r="AG36" i="61"/>
  <c r="AH36" i="61"/>
  <c r="AI36" i="61"/>
  <c r="AN36" i="61"/>
  <c r="AO36" i="61"/>
  <c r="AP36" i="61"/>
  <c r="AQ36" i="61"/>
  <c r="AR36" i="61"/>
  <c r="AS36" i="61"/>
  <c r="AT36" i="61"/>
  <c r="AU36" i="61"/>
  <c r="AV36" i="61"/>
  <c r="AW36" i="61"/>
  <c r="AY36" i="61"/>
  <c r="AZ36" i="61"/>
  <c r="BA36" i="61"/>
  <c r="BB36" i="61"/>
  <c r="BC36" i="61"/>
  <c r="BD36" i="61"/>
  <c r="BE36" i="61"/>
  <c r="BF36" i="61"/>
  <c r="BG36" i="61"/>
  <c r="BH36" i="61"/>
  <c r="BJ36" i="61"/>
  <c r="BK36" i="61"/>
  <c r="BL36" i="61"/>
  <c r="BM36" i="61"/>
  <c r="BN36" i="61"/>
  <c r="BO36" i="61"/>
  <c r="BP36" i="61"/>
  <c r="BQ36" i="61"/>
  <c r="BR36" i="61"/>
  <c r="BS36" i="61"/>
  <c r="BU36" i="61"/>
  <c r="BV36" i="61"/>
  <c r="BW36" i="61"/>
  <c r="BX36" i="61"/>
  <c r="BY36" i="61"/>
  <c r="BZ36" i="61"/>
  <c r="CA36" i="61"/>
  <c r="CB36" i="61"/>
  <c r="CC36" i="61"/>
  <c r="CD36" i="61"/>
  <c r="A37" i="61"/>
  <c r="B37" i="61"/>
  <c r="C37" i="61"/>
  <c r="D37" i="61"/>
  <c r="E37" i="61"/>
  <c r="F37" i="61"/>
  <c r="G37" i="61"/>
  <c r="H37" i="61"/>
  <c r="I37" i="61"/>
  <c r="K37" i="61"/>
  <c r="L37" i="61"/>
  <c r="M37" i="61"/>
  <c r="N37" i="61"/>
  <c r="O37" i="61"/>
  <c r="P37" i="61"/>
  <c r="R37" i="61"/>
  <c r="S37" i="61"/>
  <c r="T37" i="61"/>
  <c r="U37" i="61"/>
  <c r="V37" i="61"/>
  <c r="W37" i="61"/>
  <c r="Y37" i="61"/>
  <c r="Z37" i="61"/>
  <c r="AA37" i="61"/>
  <c r="AB37" i="61"/>
  <c r="AC37" i="61"/>
  <c r="AD37" i="61"/>
  <c r="AF37" i="61"/>
  <c r="AG37" i="61"/>
  <c r="AH37" i="61"/>
  <c r="AI37" i="61"/>
  <c r="AN37" i="61"/>
  <c r="AO37" i="61"/>
  <c r="AP37" i="61"/>
  <c r="AQ37" i="61"/>
  <c r="AR37" i="61"/>
  <c r="AS37" i="61"/>
  <c r="AT37" i="61"/>
  <c r="AU37" i="61"/>
  <c r="AV37" i="61"/>
  <c r="AW37" i="61"/>
  <c r="AY37" i="61"/>
  <c r="AZ37" i="61"/>
  <c r="BA37" i="61"/>
  <c r="BB37" i="61"/>
  <c r="BC37" i="61"/>
  <c r="BD37" i="61"/>
  <c r="BE37" i="61"/>
  <c r="BF37" i="61"/>
  <c r="BG37" i="61"/>
  <c r="BH37" i="61"/>
  <c r="BJ37" i="61"/>
  <c r="BK37" i="61"/>
  <c r="BL37" i="61"/>
  <c r="BM37" i="61"/>
  <c r="BN37" i="61"/>
  <c r="BO37" i="61"/>
  <c r="BP37" i="61"/>
  <c r="BQ37" i="61"/>
  <c r="BR37" i="61"/>
  <c r="BS37" i="61"/>
  <c r="BU37" i="61"/>
  <c r="BV37" i="61"/>
  <c r="BW37" i="61"/>
  <c r="BX37" i="61"/>
  <c r="BY37" i="61"/>
  <c r="BZ37" i="61"/>
  <c r="CA37" i="61"/>
  <c r="CB37" i="61"/>
  <c r="CC37" i="61"/>
  <c r="CD37" i="61"/>
  <c r="A38" i="61"/>
  <c r="B38" i="61"/>
  <c r="C38" i="61"/>
  <c r="D38" i="61"/>
  <c r="E38" i="61"/>
  <c r="F38" i="61"/>
  <c r="G38" i="61"/>
  <c r="H38" i="61"/>
  <c r="I38" i="61"/>
  <c r="K38" i="61"/>
  <c r="L38" i="61"/>
  <c r="M38" i="61"/>
  <c r="N38" i="61"/>
  <c r="O38" i="61"/>
  <c r="P38" i="61"/>
  <c r="R38" i="61"/>
  <c r="S38" i="61"/>
  <c r="T38" i="61"/>
  <c r="U38" i="61"/>
  <c r="V38" i="61"/>
  <c r="W38" i="61"/>
  <c r="Y38" i="61"/>
  <c r="Z38" i="61"/>
  <c r="AA38" i="61"/>
  <c r="AB38" i="61"/>
  <c r="AC38" i="61"/>
  <c r="AD38" i="61"/>
  <c r="AF38" i="61"/>
  <c r="AG38" i="61"/>
  <c r="AH38" i="61"/>
  <c r="AI38" i="61"/>
  <c r="AN38" i="61"/>
  <c r="AO38" i="61"/>
  <c r="AP38" i="61"/>
  <c r="AQ38" i="61"/>
  <c r="AR38" i="61"/>
  <c r="AS38" i="61"/>
  <c r="AT38" i="61"/>
  <c r="AU38" i="61"/>
  <c r="AV38" i="61"/>
  <c r="AW38" i="61"/>
  <c r="AY38" i="61"/>
  <c r="AZ38" i="61"/>
  <c r="BA38" i="61"/>
  <c r="BB38" i="61"/>
  <c r="BC38" i="61"/>
  <c r="BD38" i="61"/>
  <c r="BE38" i="61"/>
  <c r="BF38" i="61"/>
  <c r="BG38" i="61"/>
  <c r="BH38" i="61"/>
  <c r="BJ38" i="61"/>
  <c r="BK38" i="61"/>
  <c r="BL38" i="61"/>
  <c r="BM38" i="61"/>
  <c r="BN38" i="61"/>
  <c r="BO38" i="61"/>
  <c r="BP38" i="61"/>
  <c r="BQ38" i="61"/>
  <c r="BR38" i="61"/>
  <c r="BS38" i="61"/>
  <c r="BU38" i="61"/>
  <c r="BV38" i="61"/>
  <c r="BW38" i="61"/>
  <c r="BX38" i="61"/>
  <c r="BY38" i="61"/>
  <c r="BZ38" i="61"/>
  <c r="CA38" i="61"/>
  <c r="CB38" i="61"/>
  <c r="CC38" i="61"/>
  <c r="CD38" i="61"/>
  <c r="A39" i="61"/>
  <c r="B39" i="61"/>
  <c r="C39" i="61"/>
  <c r="D39" i="61"/>
  <c r="E39" i="61"/>
  <c r="F39" i="61"/>
  <c r="G39" i="61"/>
  <c r="H39" i="61"/>
  <c r="I39" i="61"/>
  <c r="K39" i="61"/>
  <c r="L39" i="61"/>
  <c r="M39" i="61"/>
  <c r="N39" i="61"/>
  <c r="O39" i="61"/>
  <c r="P39" i="61"/>
  <c r="R39" i="61"/>
  <c r="S39" i="61"/>
  <c r="T39" i="61"/>
  <c r="U39" i="61"/>
  <c r="V39" i="61"/>
  <c r="W39" i="61"/>
  <c r="Y39" i="61"/>
  <c r="Z39" i="61"/>
  <c r="AA39" i="61"/>
  <c r="AB39" i="61"/>
  <c r="AC39" i="61"/>
  <c r="AD39" i="61"/>
  <c r="AF39" i="61"/>
  <c r="AG39" i="61"/>
  <c r="AH39" i="61"/>
  <c r="AI39" i="61"/>
  <c r="AN39" i="61"/>
  <c r="AO39" i="61"/>
  <c r="AP39" i="61"/>
  <c r="AQ39" i="61"/>
  <c r="AR39" i="61"/>
  <c r="AS39" i="61"/>
  <c r="AT39" i="61"/>
  <c r="AU39" i="61"/>
  <c r="AV39" i="61"/>
  <c r="AW39" i="61"/>
  <c r="AY39" i="61"/>
  <c r="AZ39" i="61"/>
  <c r="BA39" i="61"/>
  <c r="BB39" i="61"/>
  <c r="BC39" i="61"/>
  <c r="BD39" i="61"/>
  <c r="BE39" i="61"/>
  <c r="BF39" i="61"/>
  <c r="BG39" i="61"/>
  <c r="BH39" i="61"/>
  <c r="BJ39" i="61"/>
  <c r="BK39" i="61"/>
  <c r="BL39" i="61"/>
  <c r="BM39" i="61"/>
  <c r="BN39" i="61"/>
  <c r="BO39" i="61"/>
  <c r="BP39" i="61"/>
  <c r="BQ39" i="61"/>
  <c r="BR39" i="61"/>
  <c r="BS39" i="61"/>
  <c r="BU39" i="61"/>
  <c r="BV39" i="61"/>
  <c r="BW39" i="61"/>
  <c r="BX39" i="61"/>
  <c r="BY39" i="61"/>
  <c r="BZ39" i="61"/>
  <c r="CA39" i="61"/>
  <c r="CB39" i="61"/>
  <c r="CC39" i="61"/>
  <c r="CD39" i="61"/>
  <c r="A40" i="61"/>
  <c r="B40" i="61"/>
  <c r="C40" i="61"/>
  <c r="D40" i="61"/>
  <c r="E40" i="61"/>
  <c r="F40" i="61"/>
  <c r="G40" i="61"/>
  <c r="H40" i="61"/>
  <c r="I40" i="61"/>
  <c r="K40" i="61"/>
  <c r="L40" i="61"/>
  <c r="M40" i="61"/>
  <c r="N40" i="61"/>
  <c r="O40" i="61"/>
  <c r="P40" i="61"/>
  <c r="R40" i="61"/>
  <c r="S40" i="61"/>
  <c r="T40" i="61"/>
  <c r="U40" i="61"/>
  <c r="V40" i="61"/>
  <c r="W40" i="61"/>
  <c r="Y40" i="61"/>
  <c r="Z40" i="61"/>
  <c r="AA40" i="61"/>
  <c r="AB40" i="61"/>
  <c r="AC40" i="61"/>
  <c r="AD40" i="61"/>
  <c r="AF40" i="61"/>
  <c r="AG40" i="61"/>
  <c r="AH40" i="61"/>
  <c r="AI40" i="61"/>
  <c r="AN40" i="61"/>
  <c r="AO40" i="61"/>
  <c r="AP40" i="61"/>
  <c r="AQ40" i="61"/>
  <c r="AR40" i="61"/>
  <c r="AS40" i="61"/>
  <c r="AT40" i="61"/>
  <c r="AU40" i="61"/>
  <c r="AV40" i="61"/>
  <c r="AW40" i="61"/>
  <c r="AY40" i="61"/>
  <c r="AZ40" i="61"/>
  <c r="BA40" i="61"/>
  <c r="BB40" i="61"/>
  <c r="BC40" i="61"/>
  <c r="BD40" i="61"/>
  <c r="BE40" i="61"/>
  <c r="BF40" i="61"/>
  <c r="BG40" i="61"/>
  <c r="BH40" i="61"/>
  <c r="BJ40" i="61"/>
  <c r="BK40" i="61"/>
  <c r="BL40" i="61"/>
  <c r="BM40" i="61"/>
  <c r="BN40" i="61"/>
  <c r="BO40" i="61"/>
  <c r="BP40" i="61"/>
  <c r="BQ40" i="61"/>
  <c r="BR40" i="61"/>
  <c r="BS40" i="61"/>
  <c r="BU40" i="61"/>
  <c r="BV40" i="61"/>
  <c r="BW40" i="61"/>
  <c r="BX40" i="61"/>
  <c r="BY40" i="61"/>
  <c r="BZ40" i="61"/>
  <c r="CA40" i="61"/>
  <c r="CB40" i="61"/>
  <c r="CC40" i="61"/>
  <c r="CD40" i="61"/>
  <c r="A41" i="61"/>
  <c r="B41" i="61"/>
  <c r="C41" i="61"/>
  <c r="D41" i="61"/>
  <c r="E41" i="61"/>
  <c r="F41" i="61"/>
  <c r="G41" i="61"/>
  <c r="H41" i="61"/>
  <c r="I41" i="61"/>
  <c r="K41" i="61"/>
  <c r="L41" i="61"/>
  <c r="M41" i="61"/>
  <c r="N41" i="61"/>
  <c r="O41" i="61"/>
  <c r="P41" i="61"/>
  <c r="R41" i="61"/>
  <c r="S41" i="61"/>
  <c r="T41" i="61"/>
  <c r="U41" i="61"/>
  <c r="V41" i="61"/>
  <c r="W41" i="61"/>
  <c r="Y41" i="61"/>
  <c r="Z41" i="61"/>
  <c r="AA41" i="61"/>
  <c r="AB41" i="61"/>
  <c r="AC41" i="61"/>
  <c r="AD41" i="61"/>
  <c r="AF41" i="61"/>
  <c r="AG41" i="61"/>
  <c r="AH41" i="61"/>
  <c r="AI41" i="61"/>
  <c r="AN41" i="61"/>
  <c r="AO41" i="61"/>
  <c r="AP41" i="61"/>
  <c r="AQ41" i="61"/>
  <c r="AR41" i="61"/>
  <c r="AS41" i="61"/>
  <c r="AT41" i="61"/>
  <c r="AU41" i="61"/>
  <c r="AV41" i="61"/>
  <c r="AW41" i="61"/>
  <c r="AY41" i="61"/>
  <c r="AZ41" i="61"/>
  <c r="BA41" i="61"/>
  <c r="BB41" i="61"/>
  <c r="BC41" i="61"/>
  <c r="BD41" i="61"/>
  <c r="BE41" i="61"/>
  <c r="BF41" i="61"/>
  <c r="BG41" i="61"/>
  <c r="BH41" i="61"/>
  <c r="BJ41" i="61"/>
  <c r="BK41" i="61"/>
  <c r="BL41" i="61"/>
  <c r="BM41" i="61"/>
  <c r="BN41" i="61"/>
  <c r="BO41" i="61"/>
  <c r="BP41" i="61"/>
  <c r="BQ41" i="61"/>
  <c r="BR41" i="61"/>
  <c r="BS41" i="61"/>
  <c r="BU41" i="61"/>
  <c r="BV41" i="61"/>
  <c r="BW41" i="61"/>
  <c r="BX41" i="61"/>
  <c r="BY41" i="61"/>
  <c r="BZ41" i="61"/>
  <c r="CA41" i="61"/>
  <c r="CB41" i="61"/>
  <c r="CC41" i="61"/>
  <c r="CD41" i="61"/>
  <c r="A42" i="61"/>
  <c r="B42" i="61"/>
  <c r="C42" i="61"/>
  <c r="D42" i="61"/>
  <c r="E42" i="61"/>
  <c r="F42" i="61"/>
  <c r="G42" i="61"/>
  <c r="H42" i="61"/>
  <c r="I42" i="61"/>
  <c r="K42" i="61"/>
  <c r="L42" i="61"/>
  <c r="M42" i="61"/>
  <c r="N42" i="61"/>
  <c r="O42" i="61"/>
  <c r="P42" i="61"/>
  <c r="R42" i="61"/>
  <c r="S42" i="61"/>
  <c r="T42" i="61"/>
  <c r="U42" i="61"/>
  <c r="V42" i="61"/>
  <c r="W42" i="61"/>
  <c r="Y42" i="61"/>
  <c r="Z42" i="61"/>
  <c r="AA42" i="61"/>
  <c r="AB42" i="61"/>
  <c r="AC42" i="61"/>
  <c r="AD42" i="61"/>
  <c r="AF42" i="61"/>
  <c r="AG42" i="61"/>
  <c r="AH42" i="61"/>
  <c r="AI42" i="61"/>
  <c r="AN42" i="61"/>
  <c r="AO42" i="61"/>
  <c r="AP42" i="61"/>
  <c r="AQ42" i="61"/>
  <c r="AR42" i="61"/>
  <c r="AS42" i="61"/>
  <c r="AT42" i="61"/>
  <c r="AU42" i="61"/>
  <c r="AV42" i="61"/>
  <c r="AW42" i="61"/>
  <c r="AY42" i="61"/>
  <c r="AZ42" i="61"/>
  <c r="BA42" i="61"/>
  <c r="BB42" i="61"/>
  <c r="BC42" i="61"/>
  <c r="BD42" i="61"/>
  <c r="BE42" i="61"/>
  <c r="BF42" i="61"/>
  <c r="BG42" i="61"/>
  <c r="BH42" i="61"/>
  <c r="BJ42" i="61"/>
  <c r="BK42" i="61"/>
  <c r="BL42" i="61"/>
  <c r="BM42" i="61"/>
  <c r="BN42" i="61"/>
  <c r="BO42" i="61"/>
  <c r="BP42" i="61"/>
  <c r="BQ42" i="61"/>
  <c r="BR42" i="61"/>
  <c r="BS42" i="61"/>
  <c r="BU42" i="61"/>
  <c r="BV42" i="61"/>
  <c r="BW42" i="61"/>
  <c r="BX42" i="61"/>
  <c r="BY42" i="61"/>
  <c r="BZ42" i="61"/>
  <c r="CA42" i="61"/>
  <c r="CB42" i="61"/>
  <c r="CC42" i="61"/>
  <c r="CD42" i="61"/>
  <c r="A43" i="61"/>
  <c r="B43" i="61"/>
  <c r="C43" i="61"/>
  <c r="D43" i="61"/>
  <c r="E43" i="61"/>
  <c r="F43" i="61"/>
  <c r="G43" i="61"/>
  <c r="H43" i="61"/>
  <c r="I43" i="61"/>
  <c r="K43" i="61"/>
  <c r="L43" i="61"/>
  <c r="M43" i="61"/>
  <c r="N43" i="61"/>
  <c r="O43" i="61"/>
  <c r="P43" i="61"/>
  <c r="R43" i="61"/>
  <c r="S43" i="61"/>
  <c r="T43" i="61"/>
  <c r="U43" i="61"/>
  <c r="V43" i="61"/>
  <c r="W43" i="61"/>
  <c r="Y43" i="61"/>
  <c r="Z43" i="61"/>
  <c r="AA43" i="61"/>
  <c r="AB43" i="61"/>
  <c r="AC43" i="61"/>
  <c r="AD43" i="61"/>
  <c r="AF43" i="61"/>
  <c r="AG43" i="61"/>
  <c r="AH43" i="61"/>
  <c r="AI43" i="61"/>
  <c r="AN43" i="61"/>
  <c r="AO43" i="61"/>
  <c r="AP43" i="61"/>
  <c r="AQ43" i="61"/>
  <c r="AR43" i="61"/>
  <c r="AS43" i="61"/>
  <c r="AT43" i="61"/>
  <c r="AU43" i="61"/>
  <c r="AV43" i="61"/>
  <c r="AW43" i="61"/>
  <c r="AY43" i="61"/>
  <c r="AZ43" i="61"/>
  <c r="BA43" i="61"/>
  <c r="BB43" i="61"/>
  <c r="BC43" i="61"/>
  <c r="BD43" i="61"/>
  <c r="BE43" i="61"/>
  <c r="BF43" i="61"/>
  <c r="BG43" i="61"/>
  <c r="BH43" i="61"/>
  <c r="BJ43" i="61"/>
  <c r="BK43" i="61"/>
  <c r="BL43" i="61"/>
  <c r="BM43" i="61"/>
  <c r="BN43" i="61"/>
  <c r="BO43" i="61"/>
  <c r="BP43" i="61"/>
  <c r="BQ43" i="61"/>
  <c r="BR43" i="61"/>
  <c r="BS43" i="61"/>
  <c r="BU43" i="61"/>
  <c r="BV43" i="61"/>
  <c r="BW43" i="61"/>
  <c r="BX43" i="61"/>
  <c r="BY43" i="61"/>
  <c r="BZ43" i="61"/>
  <c r="CA43" i="61"/>
  <c r="CB43" i="61"/>
  <c r="CC43" i="61"/>
  <c r="CD43" i="61"/>
  <c r="A44" i="61"/>
  <c r="B44" i="61"/>
  <c r="C44" i="61"/>
  <c r="D44" i="61"/>
  <c r="E44" i="61"/>
  <c r="F44" i="61"/>
  <c r="G44" i="61"/>
  <c r="H44" i="61"/>
  <c r="I44" i="61"/>
  <c r="K44" i="61"/>
  <c r="L44" i="61"/>
  <c r="M44" i="61"/>
  <c r="N44" i="61"/>
  <c r="O44" i="61"/>
  <c r="P44" i="61"/>
  <c r="R44" i="61"/>
  <c r="S44" i="61"/>
  <c r="T44" i="61"/>
  <c r="U44" i="61"/>
  <c r="V44" i="61"/>
  <c r="W44" i="61"/>
  <c r="Y44" i="61"/>
  <c r="Z44" i="61"/>
  <c r="AA44" i="61"/>
  <c r="AB44" i="61"/>
  <c r="AC44" i="61"/>
  <c r="AD44" i="61"/>
  <c r="AF44" i="61"/>
  <c r="AG44" i="61"/>
  <c r="AH44" i="61"/>
  <c r="AI44" i="61"/>
  <c r="AN44" i="61"/>
  <c r="AO44" i="61"/>
  <c r="AP44" i="61"/>
  <c r="AQ44" i="61"/>
  <c r="AR44" i="61"/>
  <c r="AS44" i="61"/>
  <c r="AT44" i="61"/>
  <c r="AU44" i="61"/>
  <c r="AV44" i="61"/>
  <c r="AW44" i="61"/>
  <c r="AY44" i="61"/>
  <c r="AZ44" i="61"/>
  <c r="BA44" i="61"/>
  <c r="BB44" i="61"/>
  <c r="BC44" i="61"/>
  <c r="BD44" i="61"/>
  <c r="BE44" i="61"/>
  <c r="BF44" i="61"/>
  <c r="BG44" i="61"/>
  <c r="BH44" i="61"/>
  <c r="BJ44" i="61"/>
  <c r="BK44" i="61"/>
  <c r="BL44" i="61"/>
  <c r="BM44" i="61"/>
  <c r="BN44" i="61"/>
  <c r="BO44" i="61"/>
  <c r="BP44" i="61"/>
  <c r="BQ44" i="61"/>
  <c r="BR44" i="61"/>
  <c r="BS44" i="61"/>
  <c r="BU44" i="61"/>
  <c r="BV44" i="61"/>
  <c r="BW44" i="61"/>
  <c r="BX44" i="61"/>
  <c r="BY44" i="61"/>
  <c r="BZ44" i="61"/>
  <c r="CA44" i="61"/>
  <c r="CB44" i="61"/>
  <c r="CC44" i="61"/>
  <c r="CD44" i="61"/>
  <c r="A45" i="61"/>
  <c r="B45" i="61"/>
  <c r="C45" i="61"/>
  <c r="D45" i="61"/>
  <c r="E45" i="61"/>
  <c r="F45" i="61"/>
  <c r="G45" i="61"/>
  <c r="H45" i="61"/>
  <c r="I45" i="61"/>
  <c r="K45" i="61"/>
  <c r="L45" i="61"/>
  <c r="M45" i="61"/>
  <c r="N45" i="61"/>
  <c r="O45" i="61"/>
  <c r="P45" i="61"/>
  <c r="R45" i="61"/>
  <c r="S45" i="61"/>
  <c r="T45" i="61"/>
  <c r="U45" i="61"/>
  <c r="V45" i="61"/>
  <c r="W45" i="61"/>
  <c r="Y45" i="61"/>
  <c r="Z45" i="61"/>
  <c r="AA45" i="61"/>
  <c r="AB45" i="61"/>
  <c r="AC45" i="61"/>
  <c r="AD45" i="61"/>
  <c r="AF45" i="61"/>
  <c r="AG45" i="61"/>
  <c r="AH45" i="61"/>
  <c r="AI45" i="61"/>
  <c r="AN45" i="61"/>
  <c r="AO45" i="61"/>
  <c r="AP45" i="61"/>
  <c r="AQ45" i="61"/>
  <c r="AR45" i="61"/>
  <c r="AS45" i="61"/>
  <c r="AT45" i="61"/>
  <c r="AU45" i="61"/>
  <c r="AV45" i="61"/>
  <c r="AW45" i="61"/>
  <c r="AY45" i="61"/>
  <c r="AZ45" i="61"/>
  <c r="BA45" i="61"/>
  <c r="BB45" i="61"/>
  <c r="BC45" i="61"/>
  <c r="BD45" i="61"/>
  <c r="BE45" i="61"/>
  <c r="BF45" i="61"/>
  <c r="BG45" i="61"/>
  <c r="BH45" i="61"/>
  <c r="BJ45" i="61"/>
  <c r="BK45" i="61"/>
  <c r="BL45" i="61"/>
  <c r="BM45" i="61"/>
  <c r="BN45" i="61"/>
  <c r="BO45" i="61"/>
  <c r="BP45" i="61"/>
  <c r="BQ45" i="61"/>
  <c r="BR45" i="61"/>
  <c r="BS45" i="61"/>
  <c r="BU45" i="61"/>
  <c r="BV45" i="61"/>
  <c r="BW45" i="61"/>
  <c r="BX45" i="61"/>
  <c r="BY45" i="61"/>
  <c r="BZ45" i="61"/>
  <c r="CA45" i="61"/>
  <c r="CB45" i="61"/>
  <c r="CC45" i="61"/>
  <c r="CD45" i="61"/>
  <c r="A46" i="61"/>
  <c r="B46" i="61"/>
  <c r="C46" i="61"/>
  <c r="D46" i="61"/>
  <c r="E46" i="61"/>
  <c r="F46" i="61"/>
  <c r="G46" i="61"/>
  <c r="H46" i="61"/>
  <c r="I46" i="61"/>
  <c r="K46" i="61"/>
  <c r="L46" i="61"/>
  <c r="M46" i="61"/>
  <c r="N46" i="61"/>
  <c r="O46" i="61"/>
  <c r="P46" i="61"/>
  <c r="R46" i="61"/>
  <c r="S46" i="61"/>
  <c r="T46" i="61"/>
  <c r="U46" i="61"/>
  <c r="V46" i="61"/>
  <c r="W46" i="61"/>
  <c r="Y46" i="61"/>
  <c r="Z46" i="61"/>
  <c r="AA46" i="61"/>
  <c r="AB46" i="61"/>
  <c r="AC46" i="61"/>
  <c r="AD46" i="61"/>
  <c r="AF46" i="61"/>
  <c r="AG46" i="61"/>
  <c r="AH46" i="61"/>
  <c r="AI46" i="61"/>
  <c r="AN46" i="61"/>
  <c r="AO46" i="61"/>
  <c r="AP46" i="61"/>
  <c r="AQ46" i="61"/>
  <c r="AR46" i="61"/>
  <c r="AS46" i="61"/>
  <c r="AT46" i="61"/>
  <c r="AU46" i="61"/>
  <c r="AV46" i="61"/>
  <c r="AW46" i="61"/>
  <c r="AY46" i="61"/>
  <c r="AZ46" i="61"/>
  <c r="BA46" i="61"/>
  <c r="BB46" i="61"/>
  <c r="BC46" i="61"/>
  <c r="BD46" i="61"/>
  <c r="BE46" i="61"/>
  <c r="BF46" i="61"/>
  <c r="BG46" i="61"/>
  <c r="BH46" i="61"/>
  <c r="BJ46" i="61"/>
  <c r="BK46" i="61"/>
  <c r="BL46" i="61"/>
  <c r="BM46" i="61"/>
  <c r="BN46" i="61"/>
  <c r="BO46" i="61"/>
  <c r="BP46" i="61"/>
  <c r="BQ46" i="61"/>
  <c r="BR46" i="61"/>
  <c r="BS46" i="61"/>
  <c r="BU46" i="61"/>
  <c r="BV46" i="61"/>
  <c r="BW46" i="61"/>
  <c r="BX46" i="61"/>
  <c r="BY46" i="61"/>
  <c r="BZ46" i="61"/>
  <c r="CA46" i="61"/>
  <c r="CB46" i="61"/>
  <c r="CC46" i="61"/>
  <c r="CD46" i="61"/>
  <c r="A47" i="61"/>
  <c r="B47" i="61"/>
  <c r="C47" i="61"/>
  <c r="D47" i="61"/>
  <c r="E47" i="61"/>
  <c r="F47" i="61"/>
  <c r="G47" i="61"/>
  <c r="H47" i="61"/>
  <c r="I47" i="61"/>
  <c r="K47" i="61"/>
  <c r="L47" i="61"/>
  <c r="M47" i="61"/>
  <c r="N47" i="61"/>
  <c r="O47" i="61"/>
  <c r="P47" i="61"/>
  <c r="R47" i="61"/>
  <c r="S47" i="61"/>
  <c r="T47" i="61"/>
  <c r="U47" i="61"/>
  <c r="V47" i="61"/>
  <c r="W47" i="61"/>
  <c r="Y47" i="61"/>
  <c r="Z47" i="61"/>
  <c r="AA47" i="61"/>
  <c r="AB47" i="61"/>
  <c r="AC47" i="61"/>
  <c r="AD47" i="61"/>
  <c r="AF47" i="61"/>
  <c r="AG47" i="61"/>
  <c r="AH47" i="61"/>
  <c r="AI47" i="61"/>
  <c r="AN47" i="61"/>
  <c r="AO47" i="61"/>
  <c r="AP47" i="61"/>
  <c r="AQ47" i="61"/>
  <c r="AR47" i="61"/>
  <c r="AS47" i="61"/>
  <c r="AT47" i="61"/>
  <c r="AU47" i="61"/>
  <c r="AV47" i="61"/>
  <c r="AW47" i="61"/>
  <c r="AY47" i="61"/>
  <c r="AZ47" i="61"/>
  <c r="BA47" i="61"/>
  <c r="BB47" i="61"/>
  <c r="BC47" i="61"/>
  <c r="BD47" i="61"/>
  <c r="BE47" i="61"/>
  <c r="BF47" i="61"/>
  <c r="BG47" i="61"/>
  <c r="BH47" i="61"/>
  <c r="BJ47" i="61"/>
  <c r="BK47" i="61"/>
  <c r="BL47" i="61"/>
  <c r="BM47" i="61"/>
  <c r="BN47" i="61"/>
  <c r="BO47" i="61"/>
  <c r="BP47" i="61"/>
  <c r="BQ47" i="61"/>
  <c r="BR47" i="61"/>
  <c r="BS47" i="61"/>
  <c r="BU47" i="61"/>
  <c r="BV47" i="61"/>
  <c r="BW47" i="61"/>
  <c r="BX47" i="61"/>
  <c r="BY47" i="61"/>
  <c r="BZ47" i="61"/>
  <c r="CA47" i="61"/>
  <c r="CB47" i="61"/>
  <c r="CC47" i="61"/>
  <c r="CD47" i="61"/>
  <c r="A48" i="61"/>
  <c r="B48" i="61"/>
  <c r="C48" i="61"/>
  <c r="D48" i="61"/>
  <c r="E48" i="61"/>
  <c r="F48" i="61"/>
  <c r="G48" i="61"/>
  <c r="H48" i="61"/>
  <c r="I48" i="61"/>
  <c r="K48" i="61"/>
  <c r="L48" i="61"/>
  <c r="M48" i="61"/>
  <c r="N48" i="61"/>
  <c r="O48" i="61"/>
  <c r="P48" i="61"/>
  <c r="R48" i="61"/>
  <c r="S48" i="61"/>
  <c r="T48" i="61"/>
  <c r="U48" i="61"/>
  <c r="V48" i="61"/>
  <c r="W48" i="61"/>
  <c r="Y48" i="61"/>
  <c r="Z48" i="61"/>
  <c r="AA48" i="61"/>
  <c r="AB48" i="61"/>
  <c r="AC48" i="61"/>
  <c r="AD48" i="61"/>
  <c r="AF48" i="61"/>
  <c r="AG48" i="61"/>
  <c r="AH48" i="61"/>
  <c r="AI48" i="61"/>
  <c r="AN48" i="61"/>
  <c r="AO48" i="61"/>
  <c r="AP48" i="61"/>
  <c r="AQ48" i="61"/>
  <c r="AR48" i="61"/>
  <c r="AS48" i="61"/>
  <c r="AT48" i="61"/>
  <c r="AU48" i="61"/>
  <c r="AV48" i="61"/>
  <c r="AW48" i="61"/>
  <c r="AY48" i="61"/>
  <c r="AZ48" i="61"/>
  <c r="BA48" i="61"/>
  <c r="BB48" i="61"/>
  <c r="BC48" i="61"/>
  <c r="BD48" i="61"/>
  <c r="BE48" i="61"/>
  <c r="BF48" i="61"/>
  <c r="BG48" i="61"/>
  <c r="BH48" i="61"/>
  <c r="BJ48" i="61"/>
  <c r="BK48" i="61"/>
  <c r="BL48" i="61"/>
  <c r="BM48" i="61"/>
  <c r="BN48" i="61"/>
  <c r="BO48" i="61"/>
  <c r="BP48" i="61"/>
  <c r="BQ48" i="61"/>
  <c r="BR48" i="61"/>
  <c r="BS48" i="61"/>
  <c r="BU48" i="61"/>
  <c r="BV48" i="61"/>
  <c r="BW48" i="61"/>
  <c r="BX48" i="61"/>
  <c r="BY48" i="61"/>
  <c r="BZ48" i="61"/>
  <c r="CA48" i="61"/>
  <c r="CB48" i="61"/>
  <c r="CC48" i="61"/>
  <c r="CD48" i="61"/>
  <c r="A49" i="61"/>
  <c r="B49" i="61"/>
  <c r="C49" i="61"/>
  <c r="D49" i="61"/>
  <c r="E49" i="61"/>
  <c r="F49" i="61"/>
  <c r="G49" i="61"/>
  <c r="H49" i="61"/>
  <c r="I49" i="61"/>
  <c r="K49" i="61"/>
  <c r="L49" i="61"/>
  <c r="M49" i="61"/>
  <c r="N49" i="61"/>
  <c r="O49" i="61"/>
  <c r="P49" i="61"/>
  <c r="R49" i="61"/>
  <c r="S49" i="61"/>
  <c r="T49" i="61"/>
  <c r="U49" i="61"/>
  <c r="V49" i="61"/>
  <c r="W49" i="61"/>
  <c r="Y49" i="61"/>
  <c r="Z49" i="61"/>
  <c r="AA49" i="61"/>
  <c r="AB49" i="61"/>
  <c r="AC49" i="61"/>
  <c r="AD49" i="61"/>
  <c r="AF49" i="61"/>
  <c r="AG49" i="61"/>
  <c r="AH49" i="61"/>
  <c r="AI49" i="61"/>
  <c r="AN49" i="61"/>
  <c r="AO49" i="61"/>
  <c r="AP49" i="61"/>
  <c r="AQ49" i="61"/>
  <c r="AR49" i="61"/>
  <c r="AS49" i="61"/>
  <c r="AT49" i="61"/>
  <c r="AU49" i="61"/>
  <c r="AV49" i="61"/>
  <c r="AW49" i="61"/>
  <c r="AY49" i="61"/>
  <c r="AZ49" i="61"/>
  <c r="BA49" i="61"/>
  <c r="BB49" i="61"/>
  <c r="BC49" i="61"/>
  <c r="BD49" i="61"/>
  <c r="BE49" i="61"/>
  <c r="BF49" i="61"/>
  <c r="BG49" i="61"/>
  <c r="BH49" i="61"/>
  <c r="BJ49" i="61"/>
  <c r="BK49" i="61"/>
  <c r="BL49" i="61"/>
  <c r="BM49" i="61"/>
  <c r="BN49" i="61"/>
  <c r="BO49" i="61"/>
  <c r="BP49" i="61"/>
  <c r="BQ49" i="61"/>
  <c r="BR49" i="61"/>
  <c r="BS49" i="61"/>
  <c r="BU49" i="61"/>
  <c r="BV49" i="61"/>
  <c r="BW49" i="61"/>
  <c r="BX49" i="61"/>
  <c r="BY49" i="61"/>
  <c r="BZ49" i="61"/>
  <c r="CA49" i="61"/>
  <c r="CB49" i="61"/>
  <c r="CC49" i="61"/>
  <c r="CD49" i="61"/>
  <c r="A50" i="61"/>
  <c r="B50" i="61"/>
  <c r="C50" i="61"/>
  <c r="D50" i="61"/>
  <c r="E50" i="61"/>
  <c r="F50" i="61"/>
  <c r="G50" i="61"/>
  <c r="H50" i="61"/>
  <c r="I50" i="61"/>
  <c r="K50" i="61"/>
  <c r="L50" i="61"/>
  <c r="M50" i="61"/>
  <c r="N50" i="61"/>
  <c r="O50" i="61"/>
  <c r="P50" i="61"/>
  <c r="R50" i="61"/>
  <c r="S50" i="61"/>
  <c r="T50" i="61"/>
  <c r="U50" i="61"/>
  <c r="V50" i="61"/>
  <c r="W50" i="61"/>
  <c r="Y50" i="61"/>
  <c r="Z50" i="61"/>
  <c r="AA50" i="61"/>
  <c r="AB50" i="61"/>
  <c r="AC50" i="61"/>
  <c r="AD50" i="61"/>
  <c r="AF50" i="61"/>
  <c r="AG50" i="61"/>
  <c r="AH50" i="61"/>
  <c r="AI50" i="61"/>
  <c r="AN50" i="61"/>
  <c r="AO50" i="61"/>
  <c r="AP50" i="61"/>
  <c r="AQ50" i="61"/>
  <c r="AR50" i="61"/>
  <c r="AS50" i="61"/>
  <c r="AT50" i="61"/>
  <c r="AU50" i="61"/>
  <c r="AV50" i="61"/>
  <c r="AW50" i="61"/>
  <c r="AY50" i="61"/>
  <c r="AZ50" i="61"/>
  <c r="BA50" i="61"/>
  <c r="BB50" i="61"/>
  <c r="BC50" i="61"/>
  <c r="BD50" i="61"/>
  <c r="BE50" i="61"/>
  <c r="BF50" i="61"/>
  <c r="BG50" i="61"/>
  <c r="BH50" i="61"/>
  <c r="BJ50" i="61"/>
  <c r="BK50" i="61"/>
  <c r="BL50" i="61"/>
  <c r="BM50" i="61"/>
  <c r="BN50" i="61"/>
  <c r="BO50" i="61"/>
  <c r="BP50" i="61"/>
  <c r="BQ50" i="61"/>
  <c r="BR50" i="61"/>
  <c r="BS50" i="61"/>
  <c r="BU50" i="61"/>
  <c r="BV50" i="61"/>
  <c r="BW50" i="61"/>
  <c r="BX50" i="61"/>
  <c r="BY50" i="61"/>
  <c r="BZ50" i="61"/>
  <c r="CA50" i="61"/>
  <c r="CB50" i="61"/>
  <c r="CC50" i="61"/>
  <c r="CD50" i="61"/>
  <c r="A51" i="61"/>
  <c r="B51" i="61"/>
  <c r="C51" i="61"/>
  <c r="D51" i="61"/>
  <c r="E51" i="61"/>
  <c r="F51" i="61"/>
  <c r="G51" i="61"/>
  <c r="H51" i="61"/>
  <c r="I51" i="61"/>
  <c r="K51" i="61"/>
  <c r="L51" i="61"/>
  <c r="M51" i="61"/>
  <c r="N51" i="61"/>
  <c r="O51" i="61"/>
  <c r="P51" i="61"/>
  <c r="R51" i="61"/>
  <c r="S51" i="61"/>
  <c r="T51" i="61"/>
  <c r="U51" i="61"/>
  <c r="V51" i="61"/>
  <c r="W51" i="61"/>
  <c r="Y51" i="61"/>
  <c r="Z51" i="61"/>
  <c r="AA51" i="61"/>
  <c r="AB51" i="61"/>
  <c r="AC51" i="61"/>
  <c r="AD51" i="61"/>
  <c r="AF51" i="61"/>
  <c r="AG51" i="61"/>
  <c r="AH51" i="61"/>
  <c r="AI51" i="61"/>
  <c r="AN51" i="61"/>
  <c r="AO51" i="61"/>
  <c r="AP51" i="61"/>
  <c r="AQ51" i="61"/>
  <c r="AR51" i="61"/>
  <c r="AS51" i="61"/>
  <c r="AT51" i="61"/>
  <c r="AU51" i="61"/>
  <c r="AV51" i="61"/>
  <c r="AW51" i="61"/>
  <c r="AY51" i="61"/>
  <c r="AZ51" i="61"/>
  <c r="BA51" i="61"/>
  <c r="BB51" i="61"/>
  <c r="BC51" i="61"/>
  <c r="BD51" i="61"/>
  <c r="BE51" i="61"/>
  <c r="BF51" i="61"/>
  <c r="BG51" i="61"/>
  <c r="BH51" i="61"/>
  <c r="BJ51" i="61"/>
  <c r="BK51" i="61"/>
  <c r="BL51" i="61"/>
  <c r="BM51" i="61"/>
  <c r="BN51" i="61"/>
  <c r="BO51" i="61"/>
  <c r="BP51" i="61"/>
  <c r="BQ51" i="61"/>
  <c r="BR51" i="61"/>
  <c r="BS51" i="61"/>
  <c r="BU51" i="61"/>
  <c r="BV51" i="61"/>
  <c r="BW51" i="61"/>
  <c r="BX51" i="61"/>
  <c r="BY51" i="61"/>
  <c r="BZ51" i="61"/>
  <c r="CA51" i="61"/>
  <c r="CB51" i="61"/>
  <c r="CC51" i="61"/>
  <c r="CD51" i="61"/>
  <c r="A52" i="61"/>
  <c r="B52" i="61"/>
  <c r="C52" i="61"/>
  <c r="D52" i="61"/>
  <c r="E52" i="61"/>
  <c r="F52" i="61"/>
  <c r="G52" i="61"/>
  <c r="H52" i="61"/>
  <c r="I52" i="61"/>
  <c r="K52" i="61"/>
  <c r="L52" i="61"/>
  <c r="M52" i="61"/>
  <c r="N52" i="61"/>
  <c r="O52" i="61"/>
  <c r="P52" i="61"/>
  <c r="R52" i="61"/>
  <c r="S52" i="61"/>
  <c r="T52" i="61"/>
  <c r="U52" i="61"/>
  <c r="V52" i="61"/>
  <c r="W52" i="61"/>
  <c r="Y52" i="61"/>
  <c r="Z52" i="61"/>
  <c r="AA52" i="61"/>
  <c r="AB52" i="61"/>
  <c r="AC52" i="61"/>
  <c r="AD52" i="61"/>
  <c r="AF52" i="61"/>
  <c r="AG52" i="61"/>
  <c r="AH52" i="61"/>
  <c r="AI52" i="61"/>
  <c r="AN52" i="61"/>
  <c r="AO52" i="61"/>
  <c r="AP52" i="61"/>
  <c r="AQ52" i="61"/>
  <c r="AR52" i="61"/>
  <c r="AS52" i="61"/>
  <c r="AT52" i="61"/>
  <c r="AU52" i="61"/>
  <c r="AV52" i="61"/>
  <c r="AW52" i="61"/>
  <c r="AY52" i="61"/>
  <c r="AZ52" i="61"/>
  <c r="BA52" i="61"/>
  <c r="BB52" i="61"/>
  <c r="BC52" i="61"/>
  <c r="BD52" i="61"/>
  <c r="BE52" i="61"/>
  <c r="BF52" i="61"/>
  <c r="BG52" i="61"/>
  <c r="BH52" i="61"/>
  <c r="BJ52" i="61"/>
  <c r="BK52" i="61"/>
  <c r="BL52" i="61"/>
  <c r="BM52" i="61"/>
  <c r="BN52" i="61"/>
  <c r="BO52" i="61"/>
  <c r="BP52" i="61"/>
  <c r="BQ52" i="61"/>
  <c r="BR52" i="61"/>
  <c r="BS52" i="61"/>
  <c r="BU52" i="61"/>
  <c r="BV52" i="61"/>
  <c r="BW52" i="61"/>
  <c r="BX52" i="61"/>
  <c r="BY52" i="61"/>
  <c r="BZ52" i="61"/>
  <c r="CA52" i="61"/>
  <c r="CB52" i="61"/>
  <c r="CC52" i="61"/>
  <c r="CD52" i="61"/>
  <c r="A53" i="61"/>
  <c r="B53" i="61"/>
  <c r="C53" i="61"/>
  <c r="D53" i="61"/>
  <c r="E53" i="61"/>
  <c r="F53" i="61"/>
  <c r="G53" i="61"/>
  <c r="H53" i="61"/>
  <c r="I53" i="61"/>
  <c r="K53" i="61"/>
  <c r="L53" i="61"/>
  <c r="M53" i="61"/>
  <c r="N53" i="61"/>
  <c r="O53" i="61"/>
  <c r="P53" i="61"/>
  <c r="R53" i="61"/>
  <c r="S53" i="61"/>
  <c r="T53" i="61"/>
  <c r="U53" i="61"/>
  <c r="V53" i="61"/>
  <c r="W53" i="61"/>
  <c r="Y53" i="61"/>
  <c r="Z53" i="61"/>
  <c r="AA53" i="61"/>
  <c r="AB53" i="61"/>
  <c r="AC53" i="61"/>
  <c r="AD53" i="61"/>
  <c r="AF53" i="61"/>
  <c r="AG53" i="61"/>
  <c r="AH53" i="61"/>
  <c r="AI53" i="61"/>
  <c r="AN53" i="61"/>
  <c r="AO53" i="61"/>
  <c r="AP53" i="61"/>
  <c r="AQ53" i="61"/>
  <c r="AR53" i="61"/>
  <c r="AS53" i="61"/>
  <c r="AT53" i="61"/>
  <c r="AU53" i="61"/>
  <c r="AV53" i="61"/>
  <c r="AW53" i="61"/>
  <c r="AY53" i="61"/>
  <c r="AZ53" i="61"/>
  <c r="BA53" i="61"/>
  <c r="BB53" i="61"/>
  <c r="BC53" i="61"/>
  <c r="BD53" i="61"/>
  <c r="BE53" i="61"/>
  <c r="BF53" i="61"/>
  <c r="BG53" i="61"/>
  <c r="BH53" i="61"/>
  <c r="BJ53" i="61"/>
  <c r="BK53" i="61"/>
  <c r="BL53" i="61"/>
  <c r="BM53" i="61"/>
  <c r="BN53" i="61"/>
  <c r="BO53" i="61"/>
  <c r="BP53" i="61"/>
  <c r="BQ53" i="61"/>
  <c r="BR53" i="61"/>
  <c r="BS53" i="61"/>
  <c r="BU53" i="61"/>
  <c r="BV53" i="61"/>
  <c r="BW53" i="61"/>
  <c r="BX53" i="61"/>
  <c r="BY53" i="61"/>
  <c r="BZ53" i="61"/>
  <c r="CA53" i="61"/>
  <c r="CB53" i="61"/>
  <c r="CC53" i="61"/>
  <c r="CD53" i="61"/>
  <c r="A54" i="61"/>
  <c r="B54" i="61"/>
  <c r="C54" i="61"/>
  <c r="D54" i="61"/>
  <c r="E54" i="61"/>
  <c r="F54" i="61"/>
  <c r="G54" i="61"/>
  <c r="H54" i="61"/>
  <c r="I54" i="61"/>
  <c r="K54" i="61"/>
  <c r="L54" i="61"/>
  <c r="M54" i="61"/>
  <c r="N54" i="61"/>
  <c r="O54" i="61"/>
  <c r="P54" i="61"/>
  <c r="R54" i="61"/>
  <c r="S54" i="61"/>
  <c r="T54" i="61"/>
  <c r="U54" i="61"/>
  <c r="V54" i="61"/>
  <c r="W54" i="61"/>
  <c r="Y54" i="61"/>
  <c r="Z54" i="61"/>
  <c r="AA54" i="61"/>
  <c r="AB54" i="61"/>
  <c r="AC54" i="61"/>
  <c r="AD54" i="61"/>
  <c r="AF54" i="61"/>
  <c r="AG54" i="61"/>
  <c r="AH54" i="61"/>
  <c r="AI54" i="61"/>
  <c r="AN54" i="61"/>
  <c r="AO54" i="61"/>
  <c r="AP54" i="61"/>
  <c r="AQ54" i="61"/>
  <c r="AR54" i="61"/>
  <c r="AS54" i="61"/>
  <c r="AT54" i="61"/>
  <c r="AU54" i="61"/>
  <c r="AV54" i="61"/>
  <c r="AW54" i="61"/>
  <c r="AY54" i="61"/>
  <c r="AZ54" i="61"/>
  <c r="BA54" i="61"/>
  <c r="BB54" i="61"/>
  <c r="BC54" i="61"/>
  <c r="BD54" i="61"/>
  <c r="BE54" i="61"/>
  <c r="BF54" i="61"/>
  <c r="BG54" i="61"/>
  <c r="BH54" i="61"/>
  <c r="BJ54" i="61"/>
  <c r="BK54" i="61"/>
  <c r="BL54" i="61"/>
  <c r="BM54" i="61"/>
  <c r="BN54" i="61"/>
  <c r="BO54" i="61"/>
  <c r="BP54" i="61"/>
  <c r="BQ54" i="61"/>
  <c r="BR54" i="61"/>
  <c r="BS54" i="61"/>
  <c r="BU54" i="61"/>
  <c r="BV54" i="61"/>
  <c r="BW54" i="61"/>
  <c r="BX54" i="61"/>
  <c r="BY54" i="61"/>
  <c r="BZ54" i="61"/>
  <c r="CA54" i="61"/>
  <c r="CB54" i="61"/>
  <c r="CC54" i="61"/>
  <c r="CD54" i="61"/>
  <c r="A55" i="61"/>
  <c r="B55" i="61"/>
  <c r="C55" i="61"/>
  <c r="D55" i="61"/>
  <c r="E55" i="61"/>
  <c r="F55" i="61"/>
  <c r="G55" i="61"/>
  <c r="H55" i="61"/>
  <c r="I55" i="61"/>
  <c r="K55" i="61"/>
  <c r="L55" i="61"/>
  <c r="M55" i="61"/>
  <c r="N55" i="61"/>
  <c r="O55" i="61"/>
  <c r="P55" i="61"/>
  <c r="R55" i="61"/>
  <c r="S55" i="61"/>
  <c r="T55" i="61"/>
  <c r="U55" i="61"/>
  <c r="V55" i="61"/>
  <c r="W55" i="61"/>
  <c r="Y55" i="61"/>
  <c r="Z55" i="61"/>
  <c r="AA55" i="61"/>
  <c r="AB55" i="61"/>
  <c r="AC55" i="61"/>
  <c r="AD55" i="61"/>
  <c r="AF55" i="61"/>
  <c r="AG55" i="61"/>
  <c r="AH55" i="61"/>
  <c r="AI55" i="61"/>
  <c r="AN55" i="61"/>
  <c r="AO55" i="61"/>
  <c r="AP55" i="61"/>
  <c r="AQ55" i="61"/>
  <c r="AR55" i="61"/>
  <c r="AS55" i="61"/>
  <c r="AT55" i="61"/>
  <c r="AU55" i="61"/>
  <c r="AV55" i="61"/>
  <c r="AW55" i="61"/>
  <c r="AY55" i="61"/>
  <c r="AZ55" i="61"/>
  <c r="BA55" i="61"/>
  <c r="BB55" i="61"/>
  <c r="BC55" i="61"/>
  <c r="BD55" i="61"/>
  <c r="BE55" i="61"/>
  <c r="BF55" i="61"/>
  <c r="BG55" i="61"/>
  <c r="BH55" i="61"/>
  <c r="BJ55" i="61"/>
  <c r="BK55" i="61"/>
  <c r="BL55" i="61"/>
  <c r="BM55" i="61"/>
  <c r="BN55" i="61"/>
  <c r="BO55" i="61"/>
  <c r="BP55" i="61"/>
  <c r="BQ55" i="61"/>
  <c r="BR55" i="61"/>
  <c r="BS55" i="61"/>
  <c r="BU55" i="61"/>
  <c r="BV55" i="61"/>
  <c r="BW55" i="61"/>
  <c r="BX55" i="61"/>
  <c r="BY55" i="61"/>
  <c r="BZ55" i="61"/>
  <c r="CA55" i="61"/>
  <c r="CB55" i="61"/>
  <c r="CC55" i="61"/>
  <c r="CD55" i="61"/>
  <c r="A56" i="61"/>
  <c r="B56" i="61"/>
  <c r="C56" i="61"/>
  <c r="D56" i="61"/>
  <c r="E56" i="61"/>
  <c r="F56" i="61"/>
  <c r="G56" i="61"/>
  <c r="H56" i="61"/>
  <c r="I56" i="61"/>
  <c r="K56" i="61"/>
  <c r="L56" i="61"/>
  <c r="M56" i="61"/>
  <c r="N56" i="61"/>
  <c r="O56" i="61"/>
  <c r="P56" i="61"/>
  <c r="R56" i="61"/>
  <c r="S56" i="61"/>
  <c r="T56" i="61"/>
  <c r="U56" i="61"/>
  <c r="V56" i="61"/>
  <c r="W56" i="61"/>
  <c r="Y56" i="61"/>
  <c r="Z56" i="61"/>
  <c r="AA56" i="61"/>
  <c r="AB56" i="61"/>
  <c r="AC56" i="61"/>
  <c r="AD56" i="61"/>
  <c r="AF56" i="61"/>
  <c r="AG56" i="61"/>
  <c r="AH56" i="61"/>
  <c r="AI56" i="61"/>
  <c r="AN56" i="61"/>
  <c r="AO56" i="61"/>
  <c r="AP56" i="61"/>
  <c r="AQ56" i="61"/>
  <c r="AR56" i="61"/>
  <c r="AS56" i="61"/>
  <c r="AT56" i="61"/>
  <c r="AU56" i="61"/>
  <c r="AV56" i="61"/>
  <c r="AW56" i="61"/>
  <c r="AY56" i="61"/>
  <c r="AZ56" i="61"/>
  <c r="BA56" i="61"/>
  <c r="BB56" i="61"/>
  <c r="BC56" i="61"/>
  <c r="BD56" i="61"/>
  <c r="BE56" i="61"/>
  <c r="BF56" i="61"/>
  <c r="BG56" i="61"/>
  <c r="BH56" i="61"/>
  <c r="BJ56" i="61"/>
  <c r="BK56" i="61"/>
  <c r="BL56" i="61"/>
  <c r="BM56" i="61"/>
  <c r="BN56" i="61"/>
  <c r="BO56" i="61"/>
  <c r="BP56" i="61"/>
  <c r="BQ56" i="61"/>
  <c r="BR56" i="61"/>
  <c r="BS56" i="61"/>
  <c r="BU56" i="61"/>
  <c r="BV56" i="61"/>
  <c r="BW56" i="61"/>
  <c r="BX56" i="61"/>
  <c r="BY56" i="61"/>
  <c r="BZ56" i="61"/>
  <c r="CA56" i="61"/>
  <c r="CB56" i="61"/>
  <c r="CC56" i="61"/>
  <c r="CD56" i="61"/>
  <c r="A57" i="61"/>
  <c r="B57" i="61"/>
  <c r="C57" i="61"/>
  <c r="D57" i="61"/>
  <c r="E57" i="61"/>
  <c r="F57" i="61"/>
  <c r="G57" i="61"/>
  <c r="H57" i="61"/>
  <c r="I57" i="61"/>
  <c r="K57" i="61"/>
  <c r="L57" i="61"/>
  <c r="M57" i="61"/>
  <c r="N57" i="61"/>
  <c r="O57" i="61"/>
  <c r="P57" i="61"/>
  <c r="R57" i="61"/>
  <c r="S57" i="61"/>
  <c r="T57" i="61"/>
  <c r="U57" i="61"/>
  <c r="V57" i="61"/>
  <c r="W57" i="61"/>
  <c r="Y57" i="61"/>
  <c r="Z57" i="61"/>
  <c r="AA57" i="61"/>
  <c r="AB57" i="61"/>
  <c r="AC57" i="61"/>
  <c r="AD57" i="61"/>
  <c r="AF57" i="61"/>
  <c r="AG57" i="61"/>
  <c r="AH57" i="61"/>
  <c r="AI57" i="61"/>
  <c r="AN57" i="61"/>
  <c r="AO57" i="61"/>
  <c r="AP57" i="61"/>
  <c r="AQ57" i="61"/>
  <c r="AR57" i="61"/>
  <c r="AS57" i="61"/>
  <c r="AT57" i="61"/>
  <c r="AU57" i="61"/>
  <c r="AV57" i="61"/>
  <c r="AW57" i="61"/>
  <c r="AY57" i="61"/>
  <c r="AZ57" i="61"/>
  <c r="BA57" i="61"/>
  <c r="BB57" i="61"/>
  <c r="BC57" i="61"/>
  <c r="BD57" i="61"/>
  <c r="BE57" i="61"/>
  <c r="BF57" i="61"/>
  <c r="BG57" i="61"/>
  <c r="BH57" i="61"/>
  <c r="BJ57" i="61"/>
  <c r="BK57" i="61"/>
  <c r="BL57" i="61"/>
  <c r="BM57" i="61"/>
  <c r="BN57" i="61"/>
  <c r="BO57" i="61"/>
  <c r="BP57" i="61"/>
  <c r="BQ57" i="61"/>
  <c r="BR57" i="61"/>
  <c r="BS57" i="61"/>
  <c r="BU57" i="61"/>
  <c r="BV57" i="61"/>
  <c r="BW57" i="61"/>
  <c r="BX57" i="61"/>
  <c r="BY57" i="61"/>
  <c r="BZ57" i="61"/>
  <c r="CA57" i="61"/>
  <c r="CB57" i="61"/>
  <c r="CC57" i="61"/>
  <c r="CD57" i="61"/>
  <c r="A58" i="61"/>
  <c r="B58" i="61"/>
  <c r="C58" i="61"/>
  <c r="D58" i="61"/>
  <c r="E58" i="61"/>
  <c r="F58" i="61"/>
  <c r="G58" i="61"/>
  <c r="H58" i="61"/>
  <c r="I58" i="61"/>
  <c r="K58" i="61"/>
  <c r="L58" i="61"/>
  <c r="M58" i="61"/>
  <c r="N58" i="61"/>
  <c r="O58" i="61"/>
  <c r="P58" i="61"/>
  <c r="R58" i="61"/>
  <c r="S58" i="61"/>
  <c r="T58" i="61"/>
  <c r="U58" i="61"/>
  <c r="V58" i="61"/>
  <c r="W58" i="61"/>
  <c r="Y58" i="61"/>
  <c r="Z58" i="61"/>
  <c r="AA58" i="61"/>
  <c r="AB58" i="61"/>
  <c r="AC58" i="61"/>
  <c r="AD58" i="61"/>
  <c r="AF58" i="61"/>
  <c r="AG58" i="61"/>
  <c r="AH58" i="61"/>
  <c r="AI58" i="61"/>
  <c r="AN58" i="61"/>
  <c r="AO58" i="61"/>
  <c r="AP58" i="61"/>
  <c r="AQ58" i="61"/>
  <c r="AR58" i="61"/>
  <c r="AS58" i="61"/>
  <c r="AT58" i="61"/>
  <c r="AU58" i="61"/>
  <c r="AV58" i="61"/>
  <c r="AW58" i="61"/>
  <c r="AY58" i="61"/>
  <c r="AZ58" i="61"/>
  <c r="BA58" i="61"/>
  <c r="BB58" i="61"/>
  <c r="BC58" i="61"/>
  <c r="BD58" i="61"/>
  <c r="BE58" i="61"/>
  <c r="BF58" i="61"/>
  <c r="BG58" i="61"/>
  <c r="BH58" i="61"/>
  <c r="BJ58" i="61"/>
  <c r="BK58" i="61"/>
  <c r="BL58" i="61"/>
  <c r="BM58" i="61"/>
  <c r="BN58" i="61"/>
  <c r="BO58" i="61"/>
  <c r="BP58" i="61"/>
  <c r="BQ58" i="61"/>
  <c r="BR58" i="61"/>
  <c r="BS58" i="61"/>
  <c r="BU58" i="61"/>
  <c r="BV58" i="61"/>
  <c r="BW58" i="61"/>
  <c r="BX58" i="61"/>
  <c r="BY58" i="61"/>
  <c r="BZ58" i="61"/>
  <c r="CA58" i="61"/>
  <c r="CB58" i="61"/>
  <c r="CC58" i="61"/>
  <c r="CD58" i="61"/>
  <c r="A59" i="61"/>
  <c r="B59" i="61"/>
  <c r="C59" i="61"/>
  <c r="D59" i="61"/>
  <c r="E59" i="61"/>
  <c r="F59" i="61"/>
  <c r="G59" i="61"/>
  <c r="H59" i="61"/>
  <c r="I59" i="61"/>
  <c r="K59" i="61"/>
  <c r="L59" i="61"/>
  <c r="M59" i="61"/>
  <c r="N59" i="61"/>
  <c r="O59" i="61"/>
  <c r="P59" i="61"/>
  <c r="R59" i="61"/>
  <c r="S59" i="61"/>
  <c r="T59" i="61"/>
  <c r="U59" i="61"/>
  <c r="V59" i="61"/>
  <c r="W59" i="61"/>
  <c r="Y59" i="61"/>
  <c r="Z59" i="61"/>
  <c r="AA59" i="61"/>
  <c r="AB59" i="61"/>
  <c r="AC59" i="61"/>
  <c r="AD59" i="61"/>
  <c r="AF59" i="61"/>
  <c r="AG59" i="61"/>
  <c r="AH59" i="61"/>
  <c r="AI59" i="61"/>
  <c r="AN59" i="61"/>
  <c r="AO59" i="61"/>
  <c r="AP59" i="61"/>
  <c r="AQ59" i="61"/>
  <c r="AR59" i="61"/>
  <c r="AS59" i="61"/>
  <c r="AT59" i="61"/>
  <c r="AU59" i="61"/>
  <c r="AV59" i="61"/>
  <c r="AW59" i="61"/>
  <c r="AY59" i="61"/>
  <c r="AZ59" i="61"/>
  <c r="BA59" i="61"/>
  <c r="BB59" i="61"/>
  <c r="BC59" i="61"/>
  <c r="BD59" i="61"/>
  <c r="BE59" i="61"/>
  <c r="BF59" i="61"/>
  <c r="BG59" i="61"/>
  <c r="BH59" i="61"/>
  <c r="BJ59" i="61"/>
  <c r="BK59" i="61"/>
  <c r="BL59" i="61"/>
  <c r="BM59" i="61"/>
  <c r="BN59" i="61"/>
  <c r="BO59" i="61"/>
  <c r="BP59" i="61"/>
  <c r="BQ59" i="61"/>
  <c r="BR59" i="61"/>
  <c r="BS59" i="61"/>
  <c r="BU59" i="61"/>
  <c r="BV59" i="61"/>
  <c r="BW59" i="61"/>
  <c r="BX59" i="61"/>
  <c r="BY59" i="61"/>
  <c r="BZ59" i="61"/>
  <c r="CA59" i="61"/>
  <c r="CB59" i="61"/>
  <c r="CC59" i="61"/>
  <c r="CD59" i="61"/>
  <c r="A60" i="61"/>
  <c r="B60" i="61"/>
  <c r="C60" i="61"/>
  <c r="D60" i="61"/>
  <c r="E60" i="61"/>
  <c r="F60" i="61"/>
  <c r="G60" i="61"/>
  <c r="H60" i="61"/>
  <c r="I60" i="61"/>
  <c r="K60" i="61"/>
  <c r="L60" i="61"/>
  <c r="M60" i="61"/>
  <c r="N60" i="61"/>
  <c r="O60" i="61"/>
  <c r="P60" i="61"/>
  <c r="R60" i="61"/>
  <c r="S60" i="61"/>
  <c r="T60" i="61"/>
  <c r="U60" i="61"/>
  <c r="V60" i="61"/>
  <c r="W60" i="61"/>
  <c r="Y60" i="61"/>
  <c r="Z60" i="61"/>
  <c r="AA60" i="61"/>
  <c r="AB60" i="61"/>
  <c r="AC60" i="61"/>
  <c r="AD60" i="61"/>
  <c r="AF60" i="61"/>
  <c r="AG60" i="61"/>
  <c r="AH60" i="61"/>
  <c r="AI60" i="61"/>
  <c r="AN60" i="61"/>
  <c r="AO60" i="61"/>
  <c r="AP60" i="61"/>
  <c r="AQ60" i="61"/>
  <c r="AR60" i="61"/>
  <c r="AS60" i="61"/>
  <c r="AT60" i="61"/>
  <c r="AU60" i="61"/>
  <c r="AV60" i="61"/>
  <c r="AW60" i="61"/>
  <c r="AY60" i="61"/>
  <c r="AZ60" i="61"/>
  <c r="BA60" i="61"/>
  <c r="BB60" i="61"/>
  <c r="BC60" i="61"/>
  <c r="BD60" i="61"/>
  <c r="BE60" i="61"/>
  <c r="BF60" i="61"/>
  <c r="BG60" i="61"/>
  <c r="BH60" i="61"/>
  <c r="BJ60" i="61"/>
  <c r="BK60" i="61"/>
  <c r="BL60" i="61"/>
  <c r="BM60" i="61"/>
  <c r="BN60" i="61"/>
  <c r="BO60" i="61"/>
  <c r="BP60" i="61"/>
  <c r="BQ60" i="61"/>
  <c r="BR60" i="61"/>
  <c r="BS60" i="61"/>
  <c r="BU60" i="61"/>
  <c r="BV60" i="61"/>
  <c r="BW60" i="61"/>
  <c r="BX60" i="61"/>
  <c r="BY60" i="61"/>
  <c r="BZ60" i="61"/>
  <c r="CA60" i="61"/>
  <c r="CB60" i="61"/>
  <c r="CC60" i="61"/>
  <c r="CD60" i="61"/>
  <c r="A61" i="61"/>
  <c r="B61" i="61"/>
  <c r="C61" i="61"/>
  <c r="D61" i="61"/>
  <c r="E61" i="61"/>
  <c r="F61" i="61"/>
  <c r="G61" i="61"/>
  <c r="H61" i="61"/>
  <c r="I61" i="61"/>
  <c r="K61" i="61"/>
  <c r="L61" i="61"/>
  <c r="M61" i="61"/>
  <c r="N61" i="61"/>
  <c r="O61" i="61"/>
  <c r="P61" i="61"/>
  <c r="R61" i="61"/>
  <c r="S61" i="61"/>
  <c r="T61" i="61"/>
  <c r="U61" i="61"/>
  <c r="V61" i="61"/>
  <c r="W61" i="61"/>
  <c r="Y61" i="61"/>
  <c r="Z61" i="61"/>
  <c r="AA61" i="61"/>
  <c r="AB61" i="61"/>
  <c r="AC61" i="61"/>
  <c r="AD61" i="61"/>
  <c r="AF61" i="61"/>
  <c r="AG61" i="61"/>
  <c r="AH61" i="61"/>
  <c r="AI61" i="61"/>
  <c r="AN61" i="61"/>
  <c r="AO61" i="61"/>
  <c r="AP61" i="61"/>
  <c r="AQ61" i="61"/>
  <c r="AR61" i="61"/>
  <c r="AS61" i="61"/>
  <c r="AT61" i="61"/>
  <c r="AU61" i="61"/>
  <c r="AV61" i="61"/>
  <c r="AW61" i="61"/>
  <c r="AY61" i="61"/>
  <c r="AZ61" i="61"/>
  <c r="BA61" i="61"/>
  <c r="BB61" i="61"/>
  <c r="BC61" i="61"/>
  <c r="BD61" i="61"/>
  <c r="BE61" i="61"/>
  <c r="BF61" i="61"/>
  <c r="BG61" i="61"/>
  <c r="BH61" i="61"/>
  <c r="BJ61" i="61"/>
  <c r="BK61" i="61"/>
  <c r="BL61" i="61"/>
  <c r="BM61" i="61"/>
  <c r="BN61" i="61"/>
  <c r="BO61" i="61"/>
  <c r="BP61" i="61"/>
  <c r="BQ61" i="61"/>
  <c r="BR61" i="61"/>
  <c r="BS61" i="61"/>
  <c r="BU61" i="61"/>
  <c r="BV61" i="61"/>
  <c r="BW61" i="61"/>
  <c r="BX61" i="61"/>
  <c r="BY61" i="61"/>
  <c r="BZ61" i="61"/>
  <c r="CA61" i="61"/>
  <c r="CB61" i="61"/>
  <c r="CC61" i="61"/>
  <c r="CD61" i="61"/>
  <c r="A62" i="61"/>
  <c r="B62" i="61"/>
  <c r="C62" i="61"/>
  <c r="D62" i="61"/>
  <c r="E62" i="61"/>
  <c r="F62" i="61"/>
  <c r="G62" i="61"/>
  <c r="H62" i="61"/>
  <c r="I62" i="61"/>
  <c r="K62" i="61"/>
  <c r="L62" i="61"/>
  <c r="M62" i="61"/>
  <c r="N62" i="61"/>
  <c r="O62" i="61"/>
  <c r="P62" i="61"/>
  <c r="R62" i="61"/>
  <c r="S62" i="61"/>
  <c r="T62" i="61"/>
  <c r="U62" i="61"/>
  <c r="V62" i="61"/>
  <c r="W62" i="61"/>
  <c r="Y62" i="61"/>
  <c r="Z62" i="61"/>
  <c r="AA62" i="61"/>
  <c r="AB62" i="61"/>
  <c r="AC62" i="61"/>
  <c r="AD62" i="61"/>
  <c r="AF62" i="61"/>
  <c r="AG62" i="61"/>
  <c r="AH62" i="61"/>
  <c r="AI62" i="61"/>
  <c r="AN62" i="61"/>
  <c r="AO62" i="61"/>
  <c r="AP62" i="61"/>
  <c r="AQ62" i="61"/>
  <c r="AR62" i="61"/>
  <c r="AS62" i="61"/>
  <c r="AT62" i="61"/>
  <c r="AU62" i="61"/>
  <c r="AV62" i="61"/>
  <c r="AW62" i="61"/>
  <c r="AY62" i="61"/>
  <c r="AZ62" i="61"/>
  <c r="BA62" i="61"/>
  <c r="BB62" i="61"/>
  <c r="BC62" i="61"/>
  <c r="BD62" i="61"/>
  <c r="BE62" i="61"/>
  <c r="BF62" i="61"/>
  <c r="BG62" i="61"/>
  <c r="BH62" i="61"/>
  <c r="BJ62" i="61"/>
  <c r="BK62" i="61"/>
  <c r="BL62" i="61"/>
  <c r="BM62" i="61"/>
  <c r="BN62" i="61"/>
  <c r="BO62" i="61"/>
  <c r="BP62" i="61"/>
  <c r="BQ62" i="61"/>
  <c r="BR62" i="61"/>
  <c r="BS62" i="61"/>
  <c r="BU62" i="61"/>
  <c r="BV62" i="61"/>
  <c r="BW62" i="61"/>
  <c r="BX62" i="61"/>
  <c r="BY62" i="61"/>
  <c r="BZ62" i="61"/>
  <c r="CA62" i="61"/>
  <c r="CB62" i="61"/>
  <c r="CC62" i="61"/>
  <c r="CD62" i="61"/>
  <c r="A63" i="61"/>
  <c r="B63" i="61"/>
  <c r="C63" i="61"/>
  <c r="D63" i="61"/>
  <c r="E63" i="61"/>
  <c r="F63" i="61"/>
  <c r="G63" i="61"/>
  <c r="H63" i="61"/>
  <c r="I63" i="61"/>
  <c r="K63" i="61"/>
  <c r="L63" i="61"/>
  <c r="M63" i="61"/>
  <c r="N63" i="61"/>
  <c r="O63" i="61"/>
  <c r="P63" i="61"/>
  <c r="R63" i="61"/>
  <c r="S63" i="61"/>
  <c r="T63" i="61"/>
  <c r="U63" i="61"/>
  <c r="V63" i="61"/>
  <c r="W63" i="61"/>
  <c r="Y63" i="61"/>
  <c r="Z63" i="61"/>
  <c r="AA63" i="61"/>
  <c r="AB63" i="61"/>
  <c r="AC63" i="61"/>
  <c r="AD63" i="61"/>
  <c r="AF63" i="61"/>
  <c r="AG63" i="61"/>
  <c r="AH63" i="61"/>
  <c r="AI63" i="61"/>
  <c r="AN63" i="61"/>
  <c r="AO63" i="61"/>
  <c r="AP63" i="61"/>
  <c r="AQ63" i="61"/>
  <c r="AR63" i="61"/>
  <c r="AS63" i="61"/>
  <c r="AT63" i="61"/>
  <c r="AU63" i="61"/>
  <c r="AV63" i="61"/>
  <c r="AW63" i="61"/>
  <c r="AY63" i="61"/>
  <c r="AZ63" i="61"/>
  <c r="BA63" i="61"/>
  <c r="BB63" i="61"/>
  <c r="BC63" i="61"/>
  <c r="BD63" i="61"/>
  <c r="BE63" i="61"/>
  <c r="BF63" i="61"/>
  <c r="BG63" i="61"/>
  <c r="BH63" i="61"/>
  <c r="BJ63" i="61"/>
  <c r="BK63" i="61"/>
  <c r="BL63" i="61"/>
  <c r="BM63" i="61"/>
  <c r="BN63" i="61"/>
  <c r="BO63" i="61"/>
  <c r="BP63" i="61"/>
  <c r="BQ63" i="61"/>
  <c r="BR63" i="61"/>
  <c r="BS63" i="61"/>
  <c r="BU63" i="61"/>
  <c r="BV63" i="61"/>
  <c r="BW63" i="61"/>
  <c r="BX63" i="61"/>
  <c r="BY63" i="61"/>
  <c r="BZ63" i="61"/>
  <c r="CA63" i="61"/>
  <c r="CB63" i="61"/>
  <c r="CC63" i="61"/>
  <c r="CD63" i="61"/>
  <c r="A64" i="61"/>
  <c r="B64" i="61"/>
  <c r="C64" i="61"/>
  <c r="D64" i="61"/>
  <c r="E64" i="61"/>
  <c r="F64" i="61"/>
  <c r="G64" i="61"/>
  <c r="H64" i="61"/>
  <c r="I64" i="61"/>
  <c r="K64" i="61"/>
  <c r="L64" i="61"/>
  <c r="M64" i="61"/>
  <c r="N64" i="61"/>
  <c r="O64" i="61"/>
  <c r="P64" i="61"/>
  <c r="R64" i="61"/>
  <c r="S64" i="61"/>
  <c r="T64" i="61"/>
  <c r="U64" i="61"/>
  <c r="V64" i="61"/>
  <c r="W64" i="61"/>
  <c r="Y64" i="61"/>
  <c r="Z64" i="61"/>
  <c r="AA64" i="61"/>
  <c r="AB64" i="61"/>
  <c r="AC64" i="61"/>
  <c r="AD64" i="61"/>
  <c r="AF64" i="61"/>
  <c r="AG64" i="61"/>
  <c r="AH64" i="61"/>
  <c r="AI64" i="61"/>
  <c r="AN64" i="61"/>
  <c r="AO64" i="61"/>
  <c r="AP64" i="61"/>
  <c r="AQ64" i="61"/>
  <c r="AR64" i="61"/>
  <c r="AS64" i="61"/>
  <c r="AT64" i="61"/>
  <c r="AU64" i="61"/>
  <c r="AV64" i="61"/>
  <c r="AW64" i="61"/>
  <c r="AY64" i="61"/>
  <c r="AZ64" i="61"/>
  <c r="BA64" i="61"/>
  <c r="BB64" i="61"/>
  <c r="BC64" i="61"/>
  <c r="BD64" i="61"/>
  <c r="BE64" i="61"/>
  <c r="BF64" i="61"/>
  <c r="BG64" i="61"/>
  <c r="BH64" i="61"/>
  <c r="BJ64" i="61"/>
  <c r="BK64" i="61"/>
  <c r="BL64" i="61"/>
  <c r="BM64" i="61"/>
  <c r="BN64" i="61"/>
  <c r="BO64" i="61"/>
  <c r="BP64" i="61"/>
  <c r="BQ64" i="61"/>
  <c r="BR64" i="61"/>
  <c r="BS64" i="61"/>
  <c r="BU64" i="61"/>
  <c r="BV64" i="61"/>
  <c r="BW64" i="61"/>
  <c r="BX64" i="61"/>
  <c r="BY64" i="61"/>
  <c r="BZ64" i="61"/>
  <c r="CA64" i="61"/>
  <c r="CB64" i="61"/>
  <c r="CC64" i="61"/>
  <c r="CD64" i="61"/>
  <c r="A65" i="61"/>
  <c r="B65" i="61"/>
  <c r="C65" i="61"/>
  <c r="D65" i="61"/>
  <c r="E65" i="61"/>
  <c r="F65" i="61"/>
  <c r="G65" i="61"/>
  <c r="H65" i="61"/>
  <c r="I65" i="61"/>
  <c r="K65" i="61"/>
  <c r="L65" i="61"/>
  <c r="M65" i="61"/>
  <c r="N65" i="61"/>
  <c r="O65" i="61"/>
  <c r="P65" i="61"/>
  <c r="R65" i="61"/>
  <c r="S65" i="61"/>
  <c r="T65" i="61"/>
  <c r="U65" i="61"/>
  <c r="V65" i="61"/>
  <c r="W65" i="61"/>
  <c r="Y65" i="61"/>
  <c r="Z65" i="61"/>
  <c r="AA65" i="61"/>
  <c r="AB65" i="61"/>
  <c r="AC65" i="61"/>
  <c r="AD65" i="61"/>
  <c r="AF65" i="61"/>
  <c r="AG65" i="61"/>
  <c r="AH65" i="61"/>
  <c r="AI65" i="61"/>
  <c r="AN65" i="61"/>
  <c r="AO65" i="61"/>
  <c r="AP65" i="61"/>
  <c r="AQ65" i="61"/>
  <c r="AR65" i="61"/>
  <c r="AS65" i="61"/>
  <c r="AT65" i="61"/>
  <c r="AU65" i="61"/>
  <c r="AV65" i="61"/>
  <c r="AW65" i="61"/>
  <c r="AY65" i="61"/>
  <c r="AZ65" i="61"/>
  <c r="BA65" i="61"/>
  <c r="BB65" i="61"/>
  <c r="BC65" i="61"/>
  <c r="BD65" i="61"/>
  <c r="BE65" i="61"/>
  <c r="BF65" i="61"/>
  <c r="BG65" i="61"/>
  <c r="BH65" i="61"/>
  <c r="BJ65" i="61"/>
  <c r="BK65" i="61"/>
  <c r="BL65" i="61"/>
  <c r="BM65" i="61"/>
  <c r="BN65" i="61"/>
  <c r="BO65" i="61"/>
  <c r="BP65" i="61"/>
  <c r="BQ65" i="61"/>
  <c r="BR65" i="61"/>
  <c r="BS65" i="61"/>
  <c r="BU65" i="61"/>
  <c r="BV65" i="61"/>
  <c r="BW65" i="61"/>
  <c r="BX65" i="61"/>
  <c r="BY65" i="61"/>
  <c r="BZ65" i="61"/>
  <c r="CA65" i="61"/>
  <c r="CB65" i="61"/>
  <c r="CC65" i="61"/>
  <c r="CD65" i="61"/>
  <c r="A66" i="61"/>
  <c r="B66" i="61"/>
  <c r="C66" i="61"/>
  <c r="D66" i="61"/>
  <c r="E66" i="61"/>
  <c r="F66" i="61"/>
  <c r="G66" i="61"/>
  <c r="H66" i="61"/>
  <c r="I66" i="61"/>
  <c r="K66" i="61"/>
  <c r="L66" i="61"/>
  <c r="M66" i="61"/>
  <c r="N66" i="61"/>
  <c r="O66" i="61"/>
  <c r="P66" i="61"/>
  <c r="R66" i="61"/>
  <c r="S66" i="61"/>
  <c r="T66" i="61"/>
  <c r="U66" i="61"/>
  <c r="V66" i="61"/>
  <c r="W66" i="61"/>
  <c r="Y66" i="61"/>
  <c r="Z66" i="61"/>
  <c r="AA66" i="61"/>
  <c r="AB66" i="61"/>
  <c r="AC66" i="61"/>
  <c r="AD66" i="61"/>
  <c r="AF66" i="61"/>
  <c r="AG66" i="61"/>
  <c r="AH66" i="61"/>
  <c r="AI66" i="61"/>
  <c r="AN66" i="61"/>
  <c r="AO66" i="61"/>
  <c r="AP66" i="61"/>
  <c r="AQ66" i="61"/>
  <c r="AR66" i="61"/>
  <c r="AS66" i="61"/>
  <c r="AT66" i="61"/>
  <c r="AU66" i="61"/>
  <c r="AV66" i="61"/>
  <c r="AW66" i="61"/>
  <c r="AY66" i="61"/>
  <c r="AZ66" i="61"/>
  <c r="BA66" i="61"/>
  <c r="BB66" i="61"/>
  <c r="BC66" i="61"/>
  <c r="BD66" i="61"/>
  <c r="BE66" i="61"/>
  <c r="BF66" i="61"/>
  <c r="BG66" i="61"/>
  <c r="BH66" i="61"/>
  <c r="BJ66" i="61"/>
  <c r="BK66" i="61"/>
  <c r="BL66" i="61"/>
  <c r="BM66" i="61"/>
  <c r="BN66" i="61"/>
  <c r="BO66" i="61"/>
  <c r="BP66" i="61"/>
  <c r="BQ66" i="61"/>
  <c r="BR66" i="61"/>
  <c r="BS66" i="61"/>
  <c r="BU66" i="61"/>
  <c r="BV66" i="61"/>
  <c r="BW66" i="61"/>
  <c r="BX66" i="61"/>
  <c r="BY66" i="61"/>
  <c r="BZ66" i="61"/>
  <c r="CA66" i="61"/>
  <c r="CB66" i="61"/>
  <c r="CC66" i="61"/>
  <c r="CD66" i="61"/>
  <c r="A67" i="61"/>
  <c r="B67" i="61"/>
  <c r="C67" i="61"/>
  <c r="D67" i="61"/>
  <c r="E67" i="61"/>
  <c r="F67" i="61"/>
  <c r="G67" i="61"/>
  <c r="H67" i="61"/>
  <c r="I67" i="61"/>
  <c r="K67" i="61"/>
  <c r="L67" i="61"/>
  <c r="M67" i="61"/>
  <c r="N67" i="61"/>
  <c r="O67" i="61"/>
  <c r="P67" i="61"/>
  <c r="R67" i="61"/>
  <c r="S67" i="61"/>
  <c r="T67" i="61"/>
  <c r="U67" i="61"/>
  <c r="V67" i="61"/>
  <c r="W67" i="61"/>
  <c r="Y67" i="61"/>
  <c r="Z67" i="61"/>
  <c r="AA67" i="61"/>
  <c r="AB67" i="61"/>
  <c r="AC67" i="61"/>
  <c r="AD67" i="61"/>
  <c r="AF67" i="61"/>
  <c r="AG67" i="61"/>
  <c r="AH67" i="61"/>
  <c r="AI67" i="61"/>
  <c r="AN67" i="61"/>
  <c r="AO67" i="61"/>
  <c r="AP67" i="61"/>
  <c r="AQ67" i="61"/>
  <c r="AR67" i="61"/>
  <c r="AS67" i="61"/>
  <c r="AT67" i="61"/>
  <c r="AU67" i="61"/>
  <c r="AV67" i="61"/>
  <c r="AW67" i="61"/>
  <c r="AY67" i="61"/>
  <c r="AZ67" i="61"/>
  <c r="BA67" i="61"/>
  <c r="BB67" i="61"/>
  <c r="BC67" i="61"/>
  <c r="BD67" i="61"/>
  <c r="BE67" i="61"/>
  <c r="BF67" i="61"/>
  <c r="BG67" i="61"/>
  <c r="BH67" i="61"/>
  <c r="BJ67" i="61"/>
  <c r="BK67" i="61"/>
  <c r="BL67" i="61"/>
  <c r="BM67" i="61"/>
  <c r="BN67" i="61"/>
  <c r="BO67" i="61"/>
  <c r="BP67" i="61"/>
  <c r="BQ67" i="61"/>
  <c r="BR67" i="61"/>
  <c r="BS67" i="61"/>
  <c r="BU67" i="61"/>
  <c r="BV67" i="61"/>
  <c r="BW67" i="61"/>
  <c r="BX67" i="61"/>
  <c r="BY67" i="61"/>
  <c r="BZ67" i="61"/>
  <c r="CA67" i="61"/>
  <c r="CB67" i="61"/>
  <c r="CC67" i="61"/>
  <c r="CD67" i="61"/>
  <c r="A68" i="61"/>
  <c r="B68" i="61"/>
  <c r="C68" i="61"/>
  <c r="D68" i="61"/>
  <c r="E68" i="61"/>
  <c r="F68" i="61"/>
  <c r="G68" i="61"/>
  <c r="H68" i="61"/>
  <c r="I68" i="61"/>
  <c r="K68" i="61"/>
  <c r="L68" i="61"/>
  <c r="M68" i="61"/>
  <c r="N68" i="61"/>
  <c r="O68" i="61"/>
  <c r="P68" i="61"/>
  <c r="R68" i="61"/>
  <c r="S68" i="61"/>
  <c r="T68" i="61"/>
  <c r="U68" i="61"/>
  <c r="V68" i="61"/>
  <c r="W68" i="61"/>
  <c r="Y68" i="61"/>
  <c r="Z68" i="61"/>
  <c r="AA68" i="61"/>
  <c r="AB68" i="61"/>
  <c r="AC68" i="61"/>
  <c r="AD68" i="61"/>
  <c r="AF68" i="61"/>
  <c r="AG68" i="61"/>
  <c r="AH68" i="61"/>
  <c r="AI68" i="61"/>
  <c r="AN68" i="61"/>
  <c r="AO68" i="61"/>
  <c r="AP68" i="61"/>
  <c r="AQ68" i="61"/>
  <c r="AR68" i="61"/>
  <c r="AS68" i="61"/>
  <c r="AT68" i="61"/>
  <c r="AU68" i="61"/>
  <c r="AV68" i="61"/>
  <c r="AW68" i="61"/>
  <c r="AY68" i="61"/>
  <c r="AZ68" i="61"/>
  <c r="BA68" i="61"/>
  <c r="BB68" i="61"/>
  <c r="BC68" i="61"/>
  <c r="BD68" i="61"/>
  <c r="BE68" i="61"/>
  <c r="BF68" i="61"/>
  <c r="BG68" i="61"/>
  <c r="BH68" i="61"/>
  <c r="BJ68" i="61"/>
  <c r="BK68" i="61"/>
  <c r="BL68" i="61"/>
  <c r="BM68" i="61"/>
  <c r="BN68" i="61"/>
  <c r="BO68" i="61"/>
  <c r="BP68" i="61"/>
  <c r="BQ68" i="61"/>
  <c r="BR68" i="61"/>
  <c r="BS68" i="61"/>
  <c r="BU68" i="61"/>
  <c r="BV68" i="61"/>
  <c r="BW68" i="61"/>
  <c r="BX68" i="61"/>
  <c r="BY68" i="61"/>
  <c r="BZ68" i="61"/>
  <c r="CA68" i="61"/>
  <c r="CB68" i="61"/>
  <c r="CC68" i="61"/>
  <c r="CD68" i="61"/>
  <c r="A69" i="61"/>
  <c r="B69" i="61"/>
  <c r="C69" i="61"/>
  <c r="D69" i="61"/>
  <c r="E69" i="61"/>
  <c r="F69" i="61"/>
  <c r="G69" i="61"/>
  <c r="H69" i="61"/>
  <c r="I69" i="61"/>
  <c r="K69" i="61"/>
  <c r="L69" i="61"/>
  <c r="M69" i="61"/>
  <c r="N69" i="61"/>
  <c r="O69" i="61"/>
  <c r="P69" i="61"/>
  <c r="R69" i="61"/>
  <c r="S69" i="61"/>
  <c r="T69" i="61"/>
  <c r="U69" i="61"/>
  <c r="V69" i="61"/>
  <c r="W69" i="61"/>
  <c r="Y69" i="61"/>
  <c r="Z69" i="61"/>
  <c r="AA69" i="61"/>
  <c r="AB69" i="61"/>
  <c r="AC69" i="61"/>
  <c r="AD69" i="61"/>
  <c r="AF69" i="61"/>
  <c r="AG69" i="61"/>
  <c r="AH69" i="61"/>
  <c r="AI69" i="61"/>
  <c r="AN69" i="61"/>
  <c r="AO69" i="61"/>
  <c r="AP69" i="61"/>
  <c r="AQ69" i="61"/>
  <c r="AR69" i="61"/>
  <c r="AS69" i="61"/>
  <c r="AT69" i="61"/>
  <c r="AU69" i="61"/>
  <c r="AV69" i="61"/>
  <c r="AW69" i="61"/>
  <c r="AY69" i="61"/>
  <c r="AZ69" i="61"/>
  <c r="BA69" i="61"/>
  <c r="BB69" i="61"/>
  <c r="BC69" i="61"/>
  <c r="BD69" i="61"/>
  <c r="BE69" i="61"/>
  <c r="BF69" i="61"/>
  <c r="BG69" i="61"/>
  <c r="BH69" i="61"/>
  <c r="BJ69" i="61"/>
  <c r="BK69" i="61"/>
  <c r="BL69" i="61"/>
  <c r="BM69" i="61"/>
  <c r="BN69" i="61"/>
  <c r="BO69" i="61"/>
  <c r="BP69" i="61"/>
  <c r="BQ69" i="61"/>
  <c r="BR69" i="61"/>
  <c r="BS69" i="61"/>
  <c r="BU69" i="61"/>
  <c r="BV69" i="61"/>
  <c r="BW69" i="61"/>
  <c r="BX69" i="61"/>
  <c r="BY69" i="61"/>
  <c r="BZ69" i="61"/>
  <c r="CA69" i="61"/>
  <c r="CB69" i="61"/>
  <c r="CC69" i="61"/>
  <c r="CD69" i="61"/>
  <c r="A70" i="61"/>
  <c r="B70" i="61"/>
  <c r="C70" i="61"/>
  <c r="D70" i="61"/>
  <c r="E70" i="61"/>
  <c r="F70" i="61"/>
  <c r="G70" i="61"/>
  <c r="H70" i="61"/>
  <c r="I70" i="61"/>
  <c r="K70" i="61"/>
  <c r="L70" i="61"/>
  <c r="M70" i="61"/>
  <c r="N70" i="61"/>
  <c r="O70" i="61"/>
  <c r="P70" i="61"/>
  <c r="R70" i="61"/>
  <c r="S70" i="61"/>
  <c r="T70" i="61"/>
  <c r="U70" i="61"/>
  <c r="V70" i="61"/>
  <c r="W70" i="61"/>
  <c r="Y70" i="61"/>
  <c r="Z70" i="61"/>
  <c r="AA70" i="61"/>
  <c r="AB70" i="61"/>
  <c r="AC70" i="61"/>
  <c r="AD70" i="61"/>
  <c r="AF70" i="61"/>
  <c r="AG70" i="61"/>
  <c r="AH70" i="61"/>
  <c r="AI70" i="61"/>
  <c r="AN70" i="61"/>
  <c r="AO70" i="61"/>
  <c r="AP70" i="61"/>
  <c r="AQ70" i="61"/>
  <c r="AR70" i="61"/>
  <c r="AS70" i="61"/>
  <c r="AT70" i="61"/>
  <c r="AU70" i="61"/>
  <c r="AV70" i="61"/>
  <c r="AW70" i="61"/>
  <c r="AY70" i="61"/>
  <c r="AZ70" i="61"/>
  <c r="BA70" i="61"/>
  <c r="BB70" i="61"/>
  <c r="BC70" i="61"/>
  <c r="BD70" i="61"/>
  <c r="BE70" i="61"/>
  <c r="BF70" i="61"/>
  <c r="BG70" i="61"/>
  <c r="BH70" i="61"/>
  <c r="BJ70" i="61"/>
  <c r="BK70" i="61"/>
  <c r="BL70" i="61"/>
  <c r="BM70" i="61"/>
  <c r="BN70" i="61"/>
  <c r="BO70" i="61"/>
  <c r="BP70" i="61"/>
  <c r="BQ70" i="61"/>
  <c r="BR70" i="61"/>
  <c r="BS70" i="61"/>
  <c r="BU70" i="61"/>
  <c r="BV70" i="61"/>
  <c r="BW70" i="61"/>
  <c r="BX70" i="61"/>
  <c r="BY70" i="61"/>
  <c r="BZ70" i="61"/>
  <c r="CA70" i="61"/>
  <c r="CB70" i="61"/>
  <c r="CC70" i="61"/>
  <c r="CD70" i="61"/>
  <c r="A71" i="61"/>
  <c r="B71" i="61"/>
  <c r="C71" i="61"/>
  <c r="D71" i="61"/>
  <c r="E71" i="61"/>
  <c r="F71" i="61"/>
  <c r="G71" i="61"/>
  <c r="H71" i="61"/>
  <c r="I71" i="61"/>
  <c r="K71" i="61"/>
  <c r="L71" i="61"/>
  <c r="M71" i="61"/>
  <c r="N71" i="61"/>
  <c r="O71" i="61"/>
  <c r="P71" i="61"/>
  <c r="R71" i="61"/>
  <c r="S71" i="61"/>
  <c r="T71" i="61"/>
  <c r="U71" i="61"/>
  <c r="V71" i="61"/>
  <c r="W71" i="61"/>
  <c r="Y71" i="61"/>
  <c r="Z71" i="61"/>
  <c r="AA71" i="61"/>
  <c r="AB71" i="61"/>
  <c r="AC71" i="61"/>
  <c r="AD71" i="61"/>
  <c r="AF71" i="61"/>
  <c r="AG71" i="61"/>
  <c r="AH71" i="61"/>
  <c r="AI71" i="61"/>
  <c r="AN71" i="61"/>
  <c r="AO71" i="61"/>
  <c r="AP71" i="61"/>
  <c r="AQ71" i="61"/>
  <c r="AR71" i="61"/>
  <c r="AS71" i="61"/>
  <c r="AT71" i="61"/>
  <c r="AU71" i="61"/>
  <c r="AV71" i="61"/>
  <c r="AW71" i="61"/>
  <c r="AY71" i="61"/>
  <c r="AZ71" i="61"/>
  <c r="BA71" i="61"/>
  <c r="BB71" i="61"/>
  <c r="BC71" i="61"/>
  <c r="BD71" i="61"/>
  <c r="BE71" i="61"/>
  <c r="BF71" i="61"/>
  <c r="BG71" i="61"/>
  <c r="BH71" i="61"/>
  <c r="BJ71" i="61"/>
  <c r="BK71" i="61"/>
  <c r="BL71" i="61"/>
  <c r="BM71" i="61"/>
  <c r="BN71" i="61"/>
  <c r="BO71" i="61"/>
  <c r="BP71" i="61"/>
  <c r="BQ71" i="61"/>
  <c r="BR71" i="61"/>
  <c r="BS71" i="61"/>
  <c r="BU71" i="61"/>
  <c r="BV71" i="61"/>
  <c r="BW71" i="61"/>
  <c r="BX71" i="61"/>
  <c r="BY71" i="61"/>
  <c r="BZ71" i="61"/>
  <c r="CA71" i="61"/>
  <c r="CB71" i="61"/>
  <c r="CC71" i="61"/>
  <c r="CD71" i="61"/>
  <c r="A72" i="61"/>
  <c r="B72" i="61"/>
  <c r="C72" i="61"/>
  <c r="D72" i="61"/>
  <c r="E72" i="61"/>
  <c r="F72" i="61"/>
  <c r="G72" i="61"/>
  <c r="H72" i="61"/>
  <c r="I72" i="61"/>
  <c r="K72" i="61"/>
  <c r="L72" i="61"/>
  <c r="M72" i="61"/>
  <c r="N72" i="61"/>
  <c r="O72" i="61"/>
  <c r="P72" i="61"/>
  <c r="R72" i="61"/>
  <c r="S72" i="61"/>
  <c r="T72" i="61"/>
  <c r="U72" i="61"/>
  <c r="V72" i="61"/>
  <c r="W72" i="61"/>
  <c r="Y72" i="61"/>
  <c r="Z72" i="61"/>
  <c r="AA72" i="61"/>
  <c r="AB72" i="61"/>
  <c r="AC72" i="61"/>
  <c r="AD72" i="61"/>
  <c r="AF72" i="61"/>
  <c r="AG72" i="61"/>
  <c r="AH72" i="61"/>
  <c r="AI72" i="61"/>
  <c r="AN72" i="61"/>
  <c r="AO72" i="61"/>
  <c r="AP72" i="61"/>
  <c r="AQ72" i="61"/>
  <c r="AR72" i="61"/>
  <c r="AS72" i="61"/>
  <c r="AT72" i="61"/>
  <c r="AU72" i="61"/>
  <c r="AV72" i="61"/>
  <c r="AW72" i="61"/>
  <c r="AY72" i="61"/>
  <c r="AZ72" i="61"/>
  <c r="BA72" i="61"/>
  <c r="BB72" i="61"/>
  <c r="BC72" i="61"/>
  <c r="BD72" i="61"/>
  <c r="BE72" i="61"/>
  <c r="BF72" i="61"/>
  <c r="BG72" i="61"/>
  <c r="BH72" i="61"/>
  <c r="BJ72" i="61"/>
  <c r="BK72" i="61"/>
  <c r="BL72" i="61"/>
  <c r="BM72" i="61"/>
  <c r="BN72" i="61"/>
  <c r="BO72" i="61"/>
  <c r="BP72" i="61"/>
  <c r="BQ72" i="61"/>
  <c r="BR72" i="61"/>
  <c r="BS72" i="61"/>
  <c r="BU72" i="61"/>
  <c r="BV72" i="61"/>
  <c r="BW72" i="61"/>
  <c r="BX72" i="61"/>
  <c r="BY72" i="61"/>
  <c r="BZ72" i="61"/>
  <c r="CA72" i="61"/>
  <c r="CB72" i="61"/>
  <c r="CC72" i="61"/>
  <c r="CD72" i="61"/>
  <c r="A73" i="61"/>
  <c r="B73" i="61"/>
  <c r="C73" i="61"/>
  <c r="D73" i="61"/>
  <c r="E73" i="61"/>
  <c r="F73" i="61"/>
  <c r="G73" i="61"/>
  <c r="H73" i="61"/>
  <c r="I73" i="61"/>
  <c r="K73" i="61"/>
  <c r="L73" i="61"/>
  <c r="M73" i="61"/>
  <c r="N73" i="61"/>
  <c r="O73" i="61"/>
  <c r="P73" i="61"/>
  <c r="R73" i="61"/>
  <c r="S73" i="61"/>
  <c r="T73" i="61"/>
  <c r="U73" i="61"/>
  <c r="V73" i="61"/>
  <c r="W73" i="61"/>
  <c r="Y73" i="61"/>
  <c r="Z73" i="61"/>
  <c r="AA73" i="61"/>
  <c r="AB73" i="61"/>
  <c r="AC73" i="61"/>
  <c r="AD73" i="61"/>
  <c r="AF73" i="61"/>
  <c r="AG73" i="61"/>
  <c r="AH73" i="61"/>
  <c r="AI73" i="61"/>
  <c r="AN73" i="61"/>
  <c r="AO73" i="61"/>
  <c r="AP73" i="61"/>
  <c r="AQ73" i="61"/>
  <c r="AR73" i="61"/>
  <c r="AS73" i="61"/>
  <c r="AT73" i="61"/>
  <c r="AU73" i="61"/>
  <c r="AV73" i="61"/>
  <c r="AW73" i="61"/>
  <c r="AY73" i="61"/>
  <c r="AZ73" i="61"/>
  <c r="BA73" i="61"/>
  <c r="BB73" i="61"/>
  <c r="BC73" i="61"/>
  <c r="BD73" i="61"/>
  <c r="BE73" i="61"/>
  <c r="BF73" i="61"/>
  <c r="BG73" i="61"/>
  <c r="BH73" i="61"/>
  <c r="BJ73" i="61"/>
  <c r="BK73" i="61"/>
  <c r="BL73" i="61"/>
  <c r="BM73" i="61"/>
  <c r="BN73" i="61"/>
  <c r="BO73" i="61"/>
  <c r="BP73" i="61"/>
  <c r="BQ73" i="61"/>
  <c r="BR73" i="61"/>
  <c r="BS73" i="61"/>
  <c r="BU73" i="61"/>
  <c r="BV73" i="61"/>
  <c r="BW73" i="61"/>
  <c r="BX73" i="61"/>
  <c r="BY73" i="61"/>
  <c r="BZ73" i="61"/>
  <c r="CA73" i="61"/>
  <c r="CB73" i="61"/>
  <c r="CC73" i="61"/>
  <c r="CD73" i="61"/>
  <c r="A74" i="61"/>
  <c r="B74" i="61"/>
  <c r="C74" i="61"/>
  <c r="D74" i="61"/>
  <c r="E74" i="61"/>
  <c r="F74" i="61"/>
  <c r="G74" i="61"/>
  <c r="H74" i="61"/>
  <c r="I74" i="61"/>
  <c r="K74" i="61"/>
  <c r="L74" i="61"/>
  <c r="M74" i="61"/>
  <c r="N74" i="61"/>
  <c r="O74" i="61"/>
  <c r="P74" i="61"/>
  <c r="R74" i="61"/>
  <c r="S74" i="61"/>
  <c r="T74" i="61"/>
  <c r="U74" i="61"/>
  <c r="V74" i="61"/>
  <c r="W74" i="61"/>
  <c r="Y74" i="61"/>
  <c r="Z74" i="61"/>
  <c r="AA74" i="61"/>
  <c r="AB74" i="61"/>
  <c r="AC74" i="61"/>
  <c r="AD74" i="61"/>
  <c r="AF74" i="61"/>
  <c r="AG74" i="61"/>
  <c r="AH74" i="61"/>
  <c r="AI74" i="61"/>
  <c r="AN74" i="61"/>
  <c r="AO74" i="61"/>
  <c r="AP74" i="61"/>
  <c r="AQ74" i="61"/>
  <c r="AR74" i="61"/>
  <c r="AS74" i="61"/>
  <c r="AT74" i="61"/>
  <c r="AU74" i="61"/>
  <c r="AV74" i="61"/>
  <c r="AW74" i="61"/>
  <c r="AY74" i="61"/>
  <c r="AZ74" i="61"/>
  <c r="BA74" i="61"/>
  <c r="BB74" i="61"/>
  <c r="BC74" i="61"/>
  <c r="BD74" i="61"/>
  <c r="BE74" i="61"/>
  <c r="BF74" i="61"/>
  <c r="BG74" i="61"/>
  <c r="BH74" i="61"/>
  <c r="BJ74" i="61"/>
  <c r="BK74" i="61"/>
  <c r="BL74" i="61"/>
  <c r="BM74" i="61"/>
  <c r="BN74" i="61"/>
  <c r="BO74" i="61"/>
  <c r="BP74" i="61"/>
  <c r="BQ74" i="61"/>
  <c r="BR74" i="61"/>
  <c r="BS74" i="61"/>
  <c r="BU74" i="61"/>
  <c r="BV74" i="61"/>
  <c r="BW74" i="61"/>
  <c r="BX74" i="61"/>
  <c r="BY74" i="61"/>
  <c r="BZ74" i="61"/>
  <c r="CA74" i="61"/>
  <c r="CB74" i="61"/>
  <c r="CC74" i="61"/>
  <c r="CD74" i="61"/>
  <c r="A75" i="61"/>
  <c r="B75" i="61"/>
  <c r="C75" i="61"/>
  <c r="D75" i="61"/>
  <c r="E75" i="61"/>
  <c r="F75" i="61"/>
  <c r="G75" i="61"/>
  <c r="H75" i="61"/>
  <c r="I75" i="61"/>
  <c r="K75" i="61"/>
  <c r="L75" i="61"/>
  <c r="M75" i="61"/>
  <c r="N75" i="61"/>
  <c r="O75" i="61"/>
  <c r="P75" i="61"/>
  <c r="R75" i="61"/>
  <c r="S75" i="61"/>
  <c r="T75" i="61"/>
  <c r="U75" i="61"/>
  <c r="V75" i="61"/>
  <c r="W75" i="61"/>
  <c r="Y75" i="61"/>
  <c r="Z75" i="61"/>
  <c r="AA75" i="61"/>
  <c r="AB75" i="61"/>
  <c r="AC75" i="61"/>
  <c r="AD75" i="61"/>
  <c r="AF75" i="61"/>
  <c r="AG75" i="61"/>
  <c r="AH75" i="61"/>
  <c r="AI75" i="61"/>
  <c r="AN75" i="61"/>
  <c r="AO75" i="61"/>
  <c r="AP75" i="61"/>
  <c r="AQ75" i="61"/>
  <c r="AR75" i="61"/>
  <c r="AS75" i="61"/>
  <c r="AT75" i="61"/>
  <c r="AU75" i="61"/>
  <c r="AV75" i="61"/>
  <c r="AW75" i="61"/>
  <c r="AY75" i="61"/>
  <c r="AZ75" i="61"/>
  <c r="BA75" i="61"/>
  <c r="BB75" i="61"/>
  <c r="BC75" i="61"/>
  <c r="BD75" i="61"/>
  <c r="BE75" i="61"/>
  <c r="BF75" i="61"/>
  <c r="BG75" i="61"/>
  <c r="BH75" i="61"/>
  <c r="BJ75" i="61"/>
  <c r="BK75" i="61"/>
  <c r="BL75" i="61"/>
  <c r="BM75" i="61"/>
  <c r="BN75" i="61"/>
  <c r="BO75" i="61"/>
  <c r="BP75" i="61"/>
  <c r="BQ75" i="61"/>
  <c r="BR75" i="61"/>
  <c r="BS75" i="61"/>
  <c r="BU75" i="61"/>
  <c r="BV75" i="61"/>
  <c r="BW75" i="61"/>
  <c r="BX75" i="61"/>
  <c r="BY75" i="61"/>
  <c r="BZ75" i="61"/>
  <c r="CA75" i="61"/>
  <c r="CB75" i="61"/>
  <c r="CC75" i="61"/>
  <c r="CD75" i="61"/>
  <c r="A76" i="61"/>
  <c r="B76" i="61"/>
  <c r="C76" i="61"/>
  <c r="D76" i="61"/>
  <c r="E76" i="61"/>
  <c r="F76" i="61"/>
  <c r="G76" i="61"/>
  <c r="H76" i="61"/>
  <c r="I76" i="61"/>
  <c r="K76" i="61"/>
  <c r="L76" i="61"/>
  <c r="M76" i="61"/>
  <c r="N76" i="61"/>
  <c r="O76" i="61"/>
  <c r="P76" i="61"/>
  <c r="R76" i="61"/>
  <c r="S76" i="61"/>
  <c r="T76" i="61"/>
  <c r="U76" i="61"/>
  <c r="V76" i="61"/>
  <c r="W76" i="61"/>
  <c r="Y76" i="61"/>
  <c r="Z76" i="61"/>
  <c r="AA76" i="61"/>
  <c r="AB76" i="61"/>
  <c r="AC76" i="61"/>
  <c r="AD76" i="61"/>
  <c r="AF76" i="61"/>
  <c r="AG76" i="61"/>
  <c r="AH76" i="61"/>
  <c r="AI76" i="61"/>
  <c r="AN76" i="61"/>
  <c r="AO76" i="61"/>
  <c r="AP76" i="61"/>
  <c r="AQ76" i="61"/>
  <c r="AR76" i="61"/>
  <c r="AS76" i="61"/>
  <c r="AT76" i="61"/>
  <c r="AU76" i="61"/>
  <c r="AV76" i="61"/>
  <c r="AW76" i="61"/>
  <c r="AY76" i="61"/>
  <c r="AZ76" i="61"/>
  <c r="BA76" i="61"/>
  <c r="BB76" i="61"/>
  <c r="BC76" i="61"/>
  <c r="BD76" i="61"/>
  <c r="BE76" i="61"/>
  <c r="BF76" i="61"/>
  <c r="BG76" i="61"/>
  <c r="BH76" i="61"/>
  <c r="BJ76" i="61"/>
  <c r="BK76" i="61"/>
  <c r="BL76" i="61"/>
  <c r="BM76" i="61"/>
  <c r="BN76" i="61"/>
  <c r="BO76" i="61"/>
  <c r="BP76" i="61"/>
  <c r="BQ76" i="61"/>
  <c r="BR76" i="61"/>
  <c r="BS76" i="61"/>
  <c r="BU76" i="61"/>
  <c r="BV76" i="61"/>
  <c r="BW76" i="61"/>
  <c r="BX76" i="61"/>
  <c r="BY76" i="61"/>
  <c r="BZ76" i="61"/>
  <c r="CA76" i="61"/>
  <c r="CB76" i="61"/>
  <c r="CC76" i="61"/>
  <c r="CD76" i="61"/>
  <c r="A77" i="61"/>
  <c r="B77" i="61"/>
  <c r="C77" i="61"/>
  <c r="D77" i="61"/>
  <c r="E77" i="61"/>
  <c r="F77" i="61"/>
  <c r="G77" i="61"/>
  <c r="H77" i="61"/>
  <c r="I77" i="61"/>
  <c r="K77" i="61"/>
  <c r="L77" i="61"/>
  <c r="M77" i="61"/>
  <c r="N77" i="61"/>
  <c r="O77" i="61"/>
  <c r="P77" i="61"/>
  <c r="R77" i="61"/>
  <c r="S77" i="61"/>
  <c r="T77" i="61"/>
  <c r="U77" i="61"/>
  <c r="V77" i="61"/>
  <c r="W77" i="61"/>
  <c r="Y77" i="61"/>
  <c r="Z77" i="61"/>
  <c r="AA77" i="61"/>
  <c r="AB77" i="61"/>
  <c r="AC77" i="61"/>
  <c r="AD77" i="61"/>
  <c r="AF77" i="61"/>
  <c r="AG77" i="61"/>
  <c r="AH77" i="61"/>
  <c r="AI77" i="61"/>
  <c r="AN77" i="61"/>
  <c r="AO77" i="61"/>
  <c r="AP77" i="61"/>
  <c r="AQ77" i="61"/>
  <c r="AR77" i="61"/>
  <c r="AS77" i="61"/>
  <c r="AT77" i="61"/>
  <c r="AU77" i="61"/>
  <c r="AV77" i="61"/>
  <c r="AW77" i="61"/>
  <c r="AY77" i="61"/>
  <c r="AZ77" i="61"/>
  <c r="BA77" i="61"/>
  <c r="BB77" i="61"/>
  <c r="BC77" i="61"/>
  <c r="BD77" i="61"/>
  <c r="BE77" i="61"/>
  <c r="BF77" i="61"/>
  <c r="BG77" i="61"/>
  <c r="BH77" i="61"/>
  <c r="BJ77" i="61"/>
  <c r="BK77" i="61"/>
  <c r="BL77" i="61"/>
  <c r="BM77" i="61"/>
  <c r="BN77" i="61"/>
  <c r="BO77" i="61"/>
  <c r="BP77" i="61"/>
  <c r="BQ77" i="61"/>
  <c r="BR77" i="61"/>
  <c r="BS77" i="61"/>
  <c r="BU77" i="61"/>
  <c r="BV77" i="61"/>
  <c r="BW77" i="61"/>
  <c r="BX77" i="61"/>
  <c r="BY77" i="61"/>
  <c r="BZ77" i="61"/>
  <c r="CA77" i="61"/>
  <c r="CB77" i="61"/>
  <c r="CC77" i="61"/>
  <c r="CD77" i="61"/>
  <c r="A78" i="61"/>
  <c r="B78" i="61"/>
  <c r="C78" i="61"/>
  <c r="D78" i="61"/>
  <c r="E78" i="61"/>
  <c r="F78" i="61"/>
  <c r="G78" i="61"/>
  <c r="H78" i="61"/>
  <c r="I78" i="61"/>
  <c r="K78" i="61"/>
  <c r="L78" i="61"/>
  <c r="M78" i="61"/>
  <c r="N78" i="61"/>
  <c r="O78" i="61"/>
  <c r="P78" i="61"/>
  <c r="R78" i="61"/>
  <c r="S78" i="61"/>
  <c r="T78" i="61"/>
  <c r="U78" i="61"/>
  <c r="V78" i="61"/>
  <c r="W78" i="61"/>
  <c r="Y78" i="61"/>
  <c r="Z78" i="61"/>
  <c r="AA78" i="61"/>
  <c r="AB78" i="61"/>
  <c r="AC78" i="61"/>
  <c r="AD78" i="61"/>
  <c r="AF78" i="61"/>
  <c r="AG78" i="61"/>
  <c r="AH78" i="61"/>
  <c r="AI78" i="61"/>
  <c r="AN78" i="61"/>
  <c r="AO78" i="61"/>
  <c r="AP78" i="61"/>
  <c r="AQ78" i="61"/>
  <c r="AR78" i="61"/>
  <c r="AS78" i="61"/>
  <c r="AT78" i="61"/>
  <c r="AU78" i="61"/>
  <c r="AV78" i="61"/>
  <c r="AW78" i="61"/>
  <c r="AY78" i="61"/>
  <c r="AZ78" i="61"/>
  <c r="BA78" i="61"/>
  <c r="BB78" i="61"/>
  <c r="BC78" i="61"/>
  <c r="BD78" i="61"/>
  <c r="BE78" i="61"/>
  <c r="BF78" i="61"/>
  <c r="BG78" i="61"/>
  <c r="BH78" i="61"/>
  <c r="BJ78" i="61"/>
  <c r="BK78" i="61"/>
  <c r="BL78" i="61"/>
  <c r="BM78" i="61"/>
  <c r="BN78" i="61"/>
  <c r="BO78" i="61"/>
  <c r="BP78" i="61"/>
  <c r="BQ78" i="61"/>
  <c r="BR78" i="61"/>
  <c r="BS78" i="61"/>
  <c r="BU78" i="61"/>
  <c r="BV78" i="61"/>
  <c r="BW78" i="61"/>
  <c r="BX78" i="61"/>
  <c r="BY78" i="61"/>
  <c r="BZ78" i="61"/>
  <c r="CA78" i="61"/>
  <c r="CB78" i="61"/>
  <c r="CC78" i="61"/>
  <c r="CD78" i="61"/>
  <c r="A79" i="61"/>
  <c r="B79" i="61"/>
  <c r="C79" i="61"/>
  <c r="D79" i="61"/>
  <c r="E79" i="61"/>
  <c r="F79" i="61"/>
  <c r="G79" i="61"/>
  <c r="H79" i="61"/>
  <c r="I79" i="61"/>
  <c r="K79" i="61"/>
  <c r="L79" i="61"/>
  <c r="M79" i="61"/>
  <c r="N79" i="61"/>
  <c r="O79" i="61"/>
  <c r="P79" i="61"/>
  <c r="R79" i="61"/>
  <c r="S79" i="61"/>
  <c r="T79" i="61"/>
  <c r="U79" i="61"/>
  <c r="V79" i="61"/>
  <c r="W79" i="61"/>
  <c r="Y79" i="61"/>
  <c r="Z79" i="61"/>
  <c r="AA79" i="61"/>
  <c r="AB79" i="61"/>
  <c r="AC79" i="61"/>
  <c r="AD79" i="61"/>
  <c r="AF79" i="61"/>
  <c r="AG79" i="61"/>
  <c r="AH79" i="61"/>
  <c r="AI79" i="61"/>
  <c r="AN79" i="61"/>
  <c r="AO79" i="61"/>
  <c r="AP79" i="61"/>
  <c r="AQ79" i="61"/>
  <c r="AR79" i="61"/>
  <c r="AS79" i="61"/>
  <c r="AT79" i="61"/>
  <c r="AU79" i="61"/>
  <c r="AV79" i="61"/>
  <c r="AW79" i="61"/>
  <c r="AY79" i="61"/>
  <c r="AZ79" i="61"/>
  <c r="BA79" i="61"/>
  <c r="BB79" i="61"/>
  <c r="BC79" i="61"/>
  <c r="BD79" i="61"/>
  <c r="BE79" i="61"/>
  <c r="BF79" i="61"/>
  <c r="BG79" i="61"/>
  <c r="BH79" i="61"/>
  <c r="BJ79" i="61"/>
  <c r="BK79" i="61"/>
  <c r="BL79" i="61"/>
  <c r="BM79" i="61"/>
  <c r="BN79" i="61"/>
  <c r="BO79" i="61"/>
  <c r="BP79" i="61"/>
  <c r="BQ79" i="61"/>
  <c r="BR79" i="61"/>
  <c r="BS79" i="61"/>
  <c r="BU79" i="61"/>
  <c r="BV79" i="61"/>
  <c r="BW79" i="61"/>
  <c r="BX79" i="61"/>
  <c r="BY79" i="61"/>
  <c r="BZ79" i="61"/>
  <c r="CA79" i="61"/>
  <c r="CB79" i="61"/>
  <c r="CC79" i="61"/>
  <c r="CD79" i="61"/>
  <c r="A80" i="61"/>
  <c r="B80" i="61"/>
  <c r="C80" i="61"/>
  <c r="D80" i="61"/>
  <c r="E80" i="61"/>
  <c r="F80" i="61"/>
  <c r="G80" i="61"/>
  <c r="H80" i="61"/>
  <c r="I80" i="61"/>
  <c r="K80" i="61"/>
  <c r="L80" i="61"/>
  <c r="M80" i="61"/>
  <c r="N80" i="61"/>
  <c r="O80" i="61"/>
  <c r="P80" i="61"/>
  <c r="R80" i="61"/>
  <c r="S80" i="61"/>
  <c r="T80" i="61"/>
  <c r="U80" i="61"/>
  <c r="V80" i="61"/>
  <c r="W80" i="61"/>
  <c r="Y80" i="61"/>
  <c r="Z80" i="61"/>
  <c r="AA80" i="61"/>
  <c r="AB80" i="61"/>
  <c r="AC80" i="61"/>
  <c r="AD80" i="61"/>
  <c r="AF80" i="61"/>
  <c r="AG80" i="61"/>
  <c r="AH80" i="61"/>
  <c r="AI80" i="61"/>
  <c r="AN80" i="61"/>
  <c r="AO80" i="61"/>
  <c r="AP80" i="61"/>
  <c r="AQ80" i="61"/>
  <c r="AR80" i="61"/>
  <c r="AS80" i="61"/>
  <c r="AT80" i="61"/>
  <c r="AU80" i="61"/>
  <c r="AV80" i="61"/>
  <c r="AW80" i="61"/>
  <c r="AY80" i="61"/>
  <c r="AZ80" i="61"/>
  <c r="BA80" i="61"/>
  <c r="BB80" i="61"/>
  <c r="BC80" i="61"/>
  <c r="BD80" i="61"/>
  <c r="BE80" i="61"/>
  <c r="BF80" i="61"/>
  <c r="BG80" i="61"/>
  <c r="BH80" i="61"/>
  <c r="BJ80" i="61"/>
  <c r="BK80" i="61"/>
  <c r="BL80" i="61"/>
  <c r="BM80" i="61"/>
  <c r="BN80" i="61"/>
  <c r="BO80" i="61"/>
  <c r="BP80" i="61"/>
  <c r="BQ80" i="61"/>
  <c r="BR80" i="61"/>
  <c r="BS80" i="61"/>
  <c r="BU80" i="61"/>
  <c r="BV80" i="61"/>
  <c r="BW80" i="61"/>
  <c r="BX80" i="61"/>
  <c r="BY80" i="61"/>
  <c r="BZ80" i="61"/>
  <c r="CA80" i="61"/>
  <c r="CB80" i="61"/>
  <c r="CC80" i="61"/>
  <c r="CD80" i="61"/>
  <c r="A81" i="61"/>
  <c r="B81" i="61"/>
  <c r="C81" i="61"/>
  <c r="D81" i="61"/>
  <c r="E81" i="61"/>
  <c r="F81" i="61"/>
  <c r="G81" i="61"/>
  <c r="H81" i="61"/>
  <c r="I81" i="61"/>
  <c r="K81" i="61"/>
  <c r="L81" i="61"/>
  <c r="M81" i="61"/>
  <c r="N81" i="61"/>
  <c r="O81" i="61"/>
  <c r="P81" i="61"/>
  <c r="R81" i="61"/>
  <c r="S81" i="61"/>
  <c r="T81" i="61"/>
  <c r="U81" i="61"/>
  <c r="V81" i="61"/>
  <c r="W81" i="61"/>
  <c r="Y81" i="61"/>
  <c r="Z81" i="61"/>
  <c r="AA81" i="61"/>
  <c r="AB81" i="61"/>
  <c r="AC81" i="61"/>
  <c r="AD81" i="61"/>
  <c r="AF81" i="61"/>
  <c r="AG81" i="61"/>
  <c r="AH81" i="61"/>
  <c r="AI81" i="61"/>
  <c r="AN81" i="61"/>
  <c r="AO81" i="61"/>
  <c r="AP81" i="61"/>
  <c r="AQ81" i="61"/>
  <c r="AR81" i="61"/>
  <c r="AS81" i="61"/>
  <c r="AT81" i="61"/>
  <c r="AU81" i="61"/>
  <c r="AV81" i="61"/>
  <c r="AW81" i="61"/>
  <c r="AY81" i="61"/>
  <c r="AZ81" i="61"/>
  <c r="BA81" i="61"/>
  <c r="BB81" i="61"/>
  <c r="BC81" i="61"/>
  <c r="BD81" i="61"/>
  <c r="BE81" i="61"/>
  <c r="BF81" i="61"/>
  <c r="BG81" i="61"/>
  <c r="BH81" i="61"/>
  <c r="BJ81" i="61"/>
  <c r="BK81" i="61"/>
  <c r="BL81" i="61"/>
  <c r="BM81" i="61"/>
  <c r="BN81" i="61"/>
  <c r="BO81" i="61"/>
  <c r="BP81" i="61"/>
  <c r="BQ81" i="61"/>
  <c r="BR81" i="61"/>
  <c r="BS81" i="61"/>
  <c r="BU81" i="61"/>
  <c r="BV81" i="61"/>
  <c r="BW81" i="61"/>
  <c r="BX81" i="61"/>
  <c r="BY81" i="61"/>
  <c r="BZ81" i="61"/>
  <c r="CA81" i="61"/>
  <c r="CB81" i="61"/>
  <c r="CC81" i="61"/>
  <c r="CD81" i="61"/>
  <c r="A82" i="61"/>
  <c r="B82" i="61"/>
  <c r="C82" i="61"/>
  <c r="D82" i="61"/>
  <c r="E82" i="61"/>
  <c r="F82" i="61"/>
  <c r="G82" i="61"/>
  <c r="H82" i="61"/>
  <c r="I82" i="61"/>
  <c r="K82" i="61"/>
  <c r="L82" i="61"/>
  <c r="M82" i="61"/>
  <c r="N82" i="61"/>
  <c r="O82" i="61"/>
  <c r="P82" i="61"/>
  <c r="R82" i="61"/>
  <c r="S82" i="61"/>
  <c r="T82" i="61"/>
  <c r="U82" i="61"/>
  <c r="V82" i="61"/>
  <c r="W82" i="61"/>
  <c r="Y82" i="61"/>
  <c r="Z82" i="61"/>
  <c r="AA82" i="61"/>
  <c r="AB82" i="61"/>
  <c r="AC82" i="61"/>
  <c r="AD82" i="61"/>
  <c r="AF82" i="61"/>
  <c r="AG82" i="61"/>
  <c r="AH82" i="61"/>
  <c r="AI82" i="61"/>
  <c r="AN82" i="61"/>
  <c r="AO82" i="61"/>
  <c r="AP82" i="61"/>
  <c r="AQ82" i="61"/>
  <c r="AR82" i="61"/>
  <c r="AS82" i="61"/>
  <c r="AT82" i="61"/>
  <c r="AU82" i="61"/>
  <c r="AV82" i="61"/>
  <c r="AW82" i="61"/>
  <c r="AY82" i="61"/>
  <c r="AZ82" i="61"/>
  <c r="BA82" i="61"/>
  <c r="BB82" i="61"/>
  <c r="BC82" i="61"/>
  <c r="BD82" i="61"/>
  <c r="BE82" i="61"/>
  <c r="BF82" i="61"/>
  <c r="BG82" i="61"/>
  <c r="BH82" i="61"/>
  <c r="BJ82" i="61"/>
  <c r="BK82" i="61"/>
  <c r="BL82" i="61"/>
  <c r="BM82" i="61"/>
  <c r="BN82" i="61"/>
  <c r="BO82" i="61"/>
  <c r="BP82" i="61"/>
  <c r="BQ82" i="61"/>
  <c r="BR82" i="61"/>
  <c r="BS82" i="61"/>
  <c r="BU82" i="61"/>
  <c r="BV82" i="61"/>
  <c r="BW82" i="61"/>
  <c r="BX82" i="61"/>
  <c r="BY82" i="61"/>
  <c r="BZ82" i="61"/>
  <c r="CA82" i="61"/>
  <c r="CB82" i="61"/>
  <c r="CC82" i="61"/>
  <c r="CD82" i="61"/>
  <c r="A83" i="61"/>
  <c r="B83" i="61"/>
  <c r="C83" i="61"/>
  <c r="D83" i="61"/>
  <c r="E83" i="61"/>
  <c r="F83" i="61"/>
  <c r="G83" i="61"/>
  <c r="H83" i="61"/>
  <c r="I83" i="61"/>
  <c r="K83" i="61"/>
  <c r="L83" i="61"/>
  <c r="M83" i="61"/>
  <c r="N83" i="61"/>
  <c r="O83" i="61"/>
  <c r="P83" i="61"/>
  <c r="R83" i="61"/>
  <c r="S83" i="61"/>
  <c r="T83" i="61"/>
  <c r="U83" i="61"/>
  <c r="V83" i="61"/>
  <c r="W83" i="61"/>
  <c r="Y83" i="61"/>
  <c r="Z83" i="61"/>
  <c r="AA83" i="61"/>
  <c r="AB83" i="61"/>
  <c r="AC83" i="61"/>
  <c r="AD83" i="61"/>
  <c r="AF83" i="61"/>
  <c r="AG83" i="61"/>
  <c r="AH83" i="61"/>
  <c r="AI83" i="61"/>
  <c r="AN83" i="61"/>
  <c r="AO83" i="61"/>
  <c r="AP83" i="61"/>
  <c r="AQ83" i="61"/>
  <c r="AR83" i="61"/>
  <c r="AS83" i="61"/>
  <c r="AT83" i="61"/>
  <c r="AU83" i="61"/>
  <c r="AV83" i="61"/>
  <c r="AW83" i="61"/>
  <c r="AY83" i="61"/>
  <c r="AZ83" i="61"/>
  <c r="BA83" i="61"/>
  <c r="BB83" i="61"/>
  <c r="BC83" i="61"/>
  <c r="BD83" i="61"/>
  <c r="BE83" i="61"/>
  <c r="BF83" i="61"/>
  <c r="BG83" i="61"/>
  <c r="BH83" i="61"/>
  <c r="BJ83" i="61"/>
  <c r="BK83" i="61"/>
  <c r="BL83" i="61"/>
  <c r="BM83" i="61"/>
  <c r="BN83" i="61"/>
  <c r="BO83" i="61"/>
  <c r="BP83" i="61"/>
  <c r="BQ83" i="61"/>
  <c r="BR83" i="61"/>
  <c r="BS83" i="61"/>
  <c r="BU83" i="61"/>
  <c r="BV83" i="61"/>
  <c r="BW83" i="61"/>
  <c r="BX83" i="61"/>
  <c r="BY83" i="61"/>
  <c r="BZ83" i="61"/>
  <c r="CA83" i="61"/>
  <c r="CB83" i="61"/>
  <c r="CC83" i="61"/>
  <c r="CD83" i="61"/>
  <c r="A84" i="61"/>
  <c r="B84" i="61"/>
  <c r="C84" i="61"/>
  <c r="D84" i="61"/>
  <c r="E84" i="61"/>
  <c r="F84" i="61"/>
  <c r="G84" i="61"/>
  <c r="H84" i="61"/>
  <c r="I84" i="61"/>
  <c r="K84" i="61"/>
  <c r="L84" i="61"/>
  <c r="M84" i="61"/>
  <c r="N84" i="61"/>
  <c r="O84" i="61"/>
  <c r="P84" i="61"/>
  <c r="R84" i="61"/>
  <c r="S84" i="61"/>
  <c r="T84" i="61"/>
  <c r="U84" i="61"/>
  <c r="V84" i="61"/>
  <c r="W84" i="61"/>
  <c r="Y84" i="61"/>
  <c r="Z84" i="61"/>
  <c r="AA84" i="61"/>
  <c r="AB84" i="61"/>
  <c r="AC84" i="61"/>
  <c r="AD84" i="61"/>
  <c r="AF84" i="61"/>
  <c r="AG84" i="61"/>
  <c r="AH84" i="61"/>
  <c r="AI84" i="61"/>
  <c r="AN84" i="61"/>
  <c r="AO84" i="61"/>
  <c r="AP84" i="61"/>
  <c r="AQ84" i="61"/>
  <c r="AR84" i="61"/>
  <c r="AS84" i="61"/>
  <c r="AT84" i="61"/>
  <c r="AU84" i="61"/>
  <c r="AV84" i="61"/>
  <c r="AW84" i="61"/>
  <c r="AY84" i="61"/>
  <c r="AZ84" i="61"/>
  <c r="BA84" i="61"/>
  <c r="BB84" i="61"/>
  <c r="BC84" i="61"/>
  <c r="BD84" i="61"/>
  <c r="BE84" i="61"/>
  <c r="BF84" i="61"/>
  <c r="BG84" i="61"/>
  <c r="BH84" i="61"/>
  <c r="BJ84" i="61"/>
  <c r="BK84" i="61"/>
  <c r="BL84" i="61"/>
  <c r="BM84" i="61"/>
  <c r="BN84" i="61"/>
  <c r="BO84" i="61"/>
  <c r="BP84" i="61"/>
  <c r="BQ84" i="61"/>
  <c r="BR84" i="61"/>
  <c r="BS84" i="61"/>
  <c r="BU84" i="61"/>
  <c r="BV84" i="61"/>
  <c r="BW84" i="61"/>
  <c r="BX84" i="61"/>
  <c r="BY84" i="61"/>
  <c r="BZ84" i="61"/>
  <c r="CA84" i="61"/>
  <c r="CB84" i="61"/>
  <c r="CC84" i="61"/>
  <c r="CD84" i="61"/>
  <c r="A85" i="61"/>
  <c r="B85" i="61"/>
  <c r="C85" i="61"/>
  <c r="D85" i="61"/>
  <c r="E85" i="61"/>
  <c r="F85" i="61"/>
  <c r="G85" i="61"/>
  <c r="H85" i="61"/>
  <c r="I85" i="61"/>
  <c r="K85" i="61"/>
  <c r="L85" i="61"/>
  <c r="M85" i="61"/>
  <c r="N85" i="61"/>
  <c r="O85" i="61"/>
  <c r="P85" i="61"/>
  <c r="R85" i="61"/>
  <c r="S85" i="61"/>
  <c r="T85" i="61"/>
  <c r="U85" i="61"/>
  <c r="V85" i="61"/>
  <c r="W85" i="61"/>
  <c r="Y85" i="61"/>
  <c r="Z85" i="61"/>
  <c r="AA85" i="61"/>
  <c r="AB85" i="61"/>
  <c r="AC85" i="61"/>
  <c r="AD85" i="61"/>
  <c r="AF85" i="61"/>
  <c r="AG85" i="61"/>
  <c r="AH85" i="61"/>
  <c r="AI85" i="61"/>
  <c r="AN85" i="61"/>
  <c r="AO85" i="61"/>
  <c r="AP85" i="61"/>
  <c r="AQ85" i="61"/>
  <c r="AR85" i="61"/>
  <c r="AS85" i="61"/>
  <c r="AT85" i="61"/>
  <c r="AU85" i="61"/>
  <c r="AV85" i="61"/>
  <c r="AW85" i="61"/>
  <c r="AY85" i="61"/>
  <c r="AZ85" i="61"/>
  <c r="BA85" i="61"/>
  <c r="BB85" i="61"/>
  <c r="BC85" i="61"/>
  <c r="BD85" i="61"/>
  <c r="BE85" i="61"/>
  <c r="BF85" i="61"/>
  <c r="BG85" i="61"/>
  <c r="BH85" i="61"/>
  <c r="BJ85" i="61"/>
  <c r="BK85" i="61"/>
  <c r="BL85" i="61"/>
  <c r="BM85" i="61"/>
  <c r="BN85" i="61"/>
  <c r="BO85" i="61"/>
  <c r="BP85" i="61"/>
  <c r="BQ85" i="61"/>
  <c r="BR85" i="61"/>
  <c r="BS85" i="61"/>
  <c r="BU85" i="61"/>
  <c r="BV85" i="61"/>
  <c r="BW85" i="61"/>
  <c r="BX85" i="61"/>
  <c r="BY85" i="61"/>
  <c r="BZ85" i="61"/>
  <c r="CA85" i="61"/>
  <c r="CB85" i="61"/>
  <c r="CC85" i="61"/>
  <c r="CD85" i="61"/>
  <c r="A86" i="61"/>
  <c r="B86" i="61"/>
  <c r="C86" i="61"/>
  <c r="D86" i="61"/>
  <c r="E86" i="61"/>
  <c r="F86" i="61"/>
  <c r="G86" i="61"/>
  <c r="H86" i="61"/>
  <c r="I86" i="61"/>
  <c r="K86" i="61"/>
  <c r="L86" i="61"/>
  <c r="M86" i="61"/>
  <c r="N86" i="61"/>
  <c r="O86" i="61"/>
  <c r="P86" i="61"/>
  <c r="R86" i="61"/>
  <c r="S86" i="61"/>
  <c r="T86" i="61"/>
  <c r="U86" i="61"/>
  <c r="V86" i="61"/>
  <c r="W86" i="61"/>
  <c r="Y86" i="61"/>
  <c r="Z86" i="61"/>
  <c r="AA86" i="61"/>
  <c r="AB86" i="61"/>
  <c r="AC86" i="61"/>
  <c r="AD86" i="61"/>
  <c r="AF86" i="61"/>
  <c r="AG86" i="61"/>
  <c r="AH86" i="61"/>
  <c r="AI86" i="61"/>
  <c r="AN86" i="61"/>
  <c r="AO86" i="61"/>
  <c r="AP86" i="61"/>
  <c r="AQ86" i="61"/>
  <c r="AR86" i="61"/>
  <c r="AS86" i="61"/>
  <c r="AT86" i="61"/>
  <c r="AU86" i="61"/>
  <c r="AV86" i="61"/>
  <c r="AW86" i="61"/>
  <c r="AY86" i="61"/>
  <c r="AZ86" i="61"/>
  <c r="BA86" i="61"/>
  <c r="BB86" i="61"/>
  <c r="BC86" i="61"/>
  <c r="BD86" i="61"/>
  <c r="BE86" i="61"/>
  <c r="BF86" i="61"/>
  <c r="BG86" i="61"/>
  <c r="BH86" i="61"/>
  <c r="BJ86" i="61"/>
  <c r="BK86" i="61"/>
  <c r="BL86" i="61"/>
  <c r="BM86" i="61"/>
  <c r="BN86" i="61"/>
  <c r="BO86" i="61"/>
  <c r="BP86" i="61"/>
  <c r="BQ86" i="61"/>
  <c r="BR86" i="61"/>
  <c r="BS86" i="61"/>
  <c r="BU86" i="61"/>
  <c r="BV86" i="61"/>
  <c r="BW86" i="61"/>
  <c r="BX86" i="61"/>
  <c r="BY86" i="61"/>
  <c r="BZ86" i="61"/>
  <c r="CA86" i="61"/>
  <c r="CB86" i="61"/>
  <c r="CC86" i="61"/>
  <c r="CD86" i="61"/>
  <c r="A87" i="61"/>
  <c r="B87" i="61"/>
  <c r="C87" i="61"/>
  <c r="D87" i="61"/>
  <c r="E87" i="61"/>
  <c r="F87" i="61"/>
  <c r="G87" i="61"/>
  <c r="H87" i="61"/>
  <c r="I87" i="61"/>
  <c r="K87" i="61"/>
  <c r="L87" i="61"/>
  <c r="M87" i="61"/>
  <c r="N87" i="61"/>
  <c r="O87" i="61"/>
  <c r="P87" i="61"/>
  <c r="R87" i="61"/>
  <c r="S87" i="61"/>
  <c r="T87" i="61"/>
  <c r="U87" i="61"/>
  <c r="V87" i="61"/>
  <c r="W87" i="61"/>
  <c r="Y87" i="61"/>
  <c r="Z87" i="61"/>
  <c r="AA87" i="61"/>
  <c r="AB87" i="61"/>
  <c r="AC87" i="61"/>
  <c r="AD87" i="61"/>
  <c r="AF87" i="61"/>
  <c r="AG87" i="61"/>
  <c r="AH87" i="61"/>
  <c r="AI87" i="61"/>
  <c r="AN87" i="61"/>
  <c r="AO87" i="61"/>
  <c r="AP87" i="61"/>
  <c r="AQ87" i="61"/>
  <c r="AR87" i="61"/>
  <c r="AS87" i="61"/>
  <c r="AT87" i="61"/>
  <c r="AU87" i="61"/>
  <c r="AV87" i="61"/>
  <c r="AW87" i="61"/>
  <c r="AY87" i="61"/>
  <c r="AZ87" i="61"/>
  <c r="BA87" i="61"/>
  <c r="BB87" i="61"/>
  <c r="BC87" i="61"/>
  <c r="BD87" i="61"/>
  <c r="BE87" i="61"/>
  <c r="BF87" i="61"/>
  <c r="BG87" i="61"/>
  <c r="BH87" i="61"/>
  <c r="BJ87" i="61"/>
  <c r="BK87" i="61"/>
  <c r="BL87" i="61"/>
  <c r="BM87" i="61"/>
  <c r="BN87" i="61"/>
  <c r="BO87" i="61"/>
  <c r="BP87" i="61"/>
  <c r="BQ87" i="61"/>
  <c r="BR87" i="61"/>
  <c r="BS87" i="61"/>
  <c r="BU87" i="61"/>
  <c r="BV87" i="61"/>
  <c r="BW87" i="61"/>
  <c r="BX87" i="61"/>
  <c r="BY87" i="61"/>
  <c r="BZ87" i="61"/>
  <c r="CA87" i="61"/>
  <c r="CB87" i="61"/>
  <c r="CC87" i="61"/>
  <c r="CD87" i="61"/>
  <c r="A88" i="61"/>
  <c r="B88" i="61"/>
  <c r="C88" i="61"/>
  <c r="D88" i="61"/>
  <c r="E88" i="61"/>
  <c r="F88" i="61"/>
  <c r="G88" i="61"/>
  <c r="H88" i="61"/>
  <c r="I88" i="61"/>
  <c r="K88" i="61"/>
  <c r="L88" i="61"/>
  <c r="M88" i="61"/>
  <c r="N88" i="61"/>
  <c r="O88" i="61"/>
  <c r="P88" i="61"/>
  <c r="R88" i="61"/>
  <c r="S88" i="61"/>
  <c r="T88" i="61"/>
  <c r="U88" i="61"/>
  <c r="V88" i="61"/>
  <c r="W88" i="61"/>
  <c r="Y88" i="61"/>
  <c r="Z88" i="61"/>
  <c r="AA88" i="61"/>
  <c r="AB88" i="61"/>
  <c r="AC88" i="61"/>
  <c r="AD88" i="61"/>
  <c r="AF88" i="61"/>
  <c r="AG88" i="61"/>
  <c r="AH88" i="61"/>
  <c r="AI88" i="61"/>
  <c r="AN88" i="61"/>
  <c r="AO88" i="61"/>
  <c r="AP88" i="61"/>
  <c r="AQ88" i="61"/>
  <c r="AR88" i="61"/>
  <c r="AS88" i="61"/>
  <c r="AT88" i="61"/>
  <c r="AU88" i="61"/>
  <c r="AV88" i="61"/>
  <c r="AW88" i="61"/>
  <c r="AY88" i="61"/>
  <c r="AZ88" i="61"/>
  <c r="BA88" i="61"/>
  <c r="BB88" i="61"/>
  <c r="BC88" i="61"/>
  <c r="BD88" i="61"/>
  <c r="BE88" i="61"/>
  <c r="BF88" i="61"/>
  <c r="BG88" i="61"/>
  <c r="BH88" i="61"/>
  <c r="BJ88" i="61"/>
  <c r="BK88" i="61"/>
  <c r="BL88" i="61"/>
  <c r="BM88" i="61"/>
  <c r="BN88" i="61"/>
  <c r="BO88" i="61"/>
  <c r="BP88" i="61"/>
  <c r="BQ88" i="61"/>
  <c r="BR88" i="61"/>
  <c r="BS88" i="61"/>
  <c r="BU88" i="61"/>
  <c r="BV88" i="61"/>
  <c r="BW88" i="61"/>
  <c r="BX88" i="61"/>
  <c r="BY88" i="61"/>
  <c r="BZ88" i="61"/>
  <c r="CA88" i="61"/>
  <c r="CB88" i="61"/>
  <c r="CC88" i="61"/>
  <c r="CD88" i="61"/>
  <c r="A89" i="61"/>
  <c r="B89" i="61"/>
  <c r="C89" i="61"/>
  <c r="D89" i="61"/>
  <c r="E89" i="61"/>
  <c r="F89" i="61"/>
  <c r="G89" i="61"/>
  <c r="H89" i="61"/>
  <c r="I89" i="61"/>
  <c r="K89" i="61"/>
  <c r="L89" i="61"/>
  <c r="M89" i="61"/>
  <c r="N89" i="61"/>
  <c r="O89" i="61"/>
  <c r="P89" i="61"/>
  <c r="R89" i="61"/>
  <c r="S89" i="61"/>
  <c r="T89" i="61"/>
  <c r="U89" i="61"/>
  <c r="V89" i="61"/>
  <c r="W89" i="61"/>
  <c r="Y89" i="61"/>
  <c r="Z89" i="61"/>
  <c r="AA89" i="61"/>
  <c r="AB89" i="61"/>
  <c r="AC89" i="61"/>
  <c r="AD89" i="61"/>
  <c r="AF89" i="61"/>
  <c r="AG89" i="61"/>
  <c r="AH89" i="61"/>
  <c r="AI89" i="61"/>
  <c r="AN89" i="61"/>
  <c r="AO89" i="61"/>
  <c r="AP89" i="61"/>
  <c r="AQ89" i="61"/>
  <c r="AR89" i="61"/>
  <c r="AS89" i="61"/>
  <c r="AT89" i="61"/>
  <c r="AU89" i="61"/>
  <c r="AV89" i="61"/>
  <c r="AW89" i="61"/>
  <c r="AY89" i="61"/>
  <c r="AZ89" i="61"/>
  <c r="BA89" i="61"/>
  <c r="BB89" i="61"/>
  <c r="BC89" i="61"/>
  <c r="BD89" i="61"/>
  <c r="BE89" i="61"/>
  <c r="BF89" i="61"/>
  <c r="BG89" i="61"/>
  <c r="BH89" i="61"/>
  <c r="BJ89" i="61"/>
  <c r="BK89" i="61"/>
  <c r="BL89" i="61"/>
  <c r="BM89" i="61"/>
  <c r="BN89" i="61"/>
  <c r="BO89" i="61"/>
  <c r="BP89" i="61"/>
  <c r="BQ89" i="61"/>
  <c r="BR89" i="61"/>
  <c r="BS89" i="61"/>
  <c r="BU89" i="61"/>
  <c r="BV89" i="61"/>
  <c r="BW89" i="61"/>
  <c r="BX89" i="61"/>
  <c r="BY89" i="61"/>
  <c r="BZ89" i="61"/>
  <c r="CA89" i="61"/>
  <c r="CB89" i="61"/>
  <c r="CC89" i="61"/>
  <c r="CD89" i="61"/>
  <c r="A90" i="61"/>
  <c r="B90" i="61"/>
  <c r="C90" i="61"/>
  <c r="D90" i="61"/>
  <c r="E90" i="61"/>
  <c r="F90" i="61"/>
  <c r="G90" i="61"/>
  <c r="H90" i="61"/>
  <c r="I90" i="61"/>
  <c r="K90" i="61"/>
  <c r="L90" i="61"/>
  <c r="M90" i="61"/>
  <c r="N90" i="61"/>
  <c r="O90" i="61"/>
  <c r="P90" i="61"/>
  <c r="R90" i="61"/>
  <c r="S90" i="61"/>
  <c r="T90" i="61"/>
  <c r="U90" i="61"/>
  <c r="V90" i="61"/>
  <c r="W90" i="61"/>
  <c r="Y90" i="61"/>
  <c r="Z90" i="61"/>
  <c r="AA90" i="61"/>
  <c r="AB90" i="61"/>
  <c r="AC90" i="61"/>
  <c r="AD90" i="61"/>
  <c r="AF90" i="61"/>
  <c r="AG90" i="61"/>
  <c r="AH90" i="61"/>
  <c r="AI90" i="61"/>
  <c r="AN90" i="61"/>
  <c r="AO90" i="61"/>
  <c r="AP90" i="61"/>
  <c r="AQ90" i="61"/>
  <c r="AR90" i="61"/>
  <c r="AS90" i="61"/>
  <c r="AT90" i="61"/>
  <c r="AU90" i="61"/>
  <c r="AV90" i="61"/>
  <c r="AW90" i="61"/>
  <c r="AY90" i="61"/>
  <c r="AZ90" i="61"/>
  <c r="BA90" i="61"/>
  <c r="BB90" i="61"/>
  <c r="BC90" i="61"/>
  <c r="BD90" i="61"/>
  <c r="BE90" i="61"/>
  <c r="BF90" i="61"/>
  <c r="BG90" i="61"/>
  <c r="BH90" i="61"/>
  <c r="BJ90" i="61"/>
  <c r="BK90" i="61"/>
  <c r="BL90" i="61"/>
  <c r="BM90" i="61"/>
  <c r="BN90" i="61"/>
  <c r="BO90" i="61"/>
  <c r="BP90" i="61"/>
  <c r="BQ90" i="61"/>
  <c r="BR90" i="61"/>
  <c r="BS90" i="61"/>
  <c r="BU90" i="61"/>
  <c r="BV90" i="61"/>
  <c r="BW90" i="61"/>
  <c r="BX90" i="61"/>
  <c r="BY90" i="61"/>
  <c r="BZ90" i="61"/>
  <c r="CA90" i="61"/>
  <c r="CB90" i="61"/>
  <c r="CC90" i="61"/>
  <c r="CD90" i="61"/>
  <c r="A91" i="61"/>
  <c r="B91" i="61"/>
  <c r="C91" i="61"/>
  <c r="D91" i="61"/>
  <c r="E91" i="61"/>
  <c r="F91" i="61"/>
  <c r="G91" i="61"/>
  <c r="H91" i="61"/>
  <c r="I91" i="61"/>
  <c r="K91" i="61"/>
  <c r="L91" i="61"/>
  <c r="M91" i="61"/>
  <c r="N91" i="61"/>
  <c r="O91" i="61"/>
  <c r="P91" i="61"/>
  <c r="R91" i="61"/>
  <c r="S91" i="61"/>
  <c r="T91" i="61"/>
  <c r="U91" i="61"/>
  <c r="V91" i="61"/>
  <c r="W91" i="61"/>
  <c r="Y91" i="61"/>
  <c r="Z91" i="61"/>
  <c r="AA91" i="61"/>
  <c r="AB91" i="61"/>
  <c r="AC91" i="61"/>
  <c r="AD91" i="61"/>
  <c r="AF91" i="61"/>
  <c r="AG91" i="61"/>
  <c r="AH91" i="61"/>
  <c r="AI91" i="61"/>
  <c r="AN91" i="61"/>
  <c r="AO91" i="61"/>
  <c r="AP91" i="61"/>
  <c r="AQ91" i="61"/>
  <c r="AR91" i="61"/>
  <c r="AS91" i="61"/>
  <c r="AT91" i="61"/>
  <c r="AU91" i="61"/>
  <c r="AV91" i="61"/>
  <c r="AW91" i="61"/>
  <c r="AY91" i="61"/>
  <c r="AZ91" i="61"/>
  <c r="BA91" i="61"/>
  <c r="BB91" i="61"/>
  <c r="BC91" i="61"/>
  <c r="BD91" i="61"/>
  <c r="BE91" i="61"/>
  <c r="BF91" i="61"/>
  <c r="BG91" i="61"/>
  <c r="BH91" i="61"/>
  <c r="BJ91" i="61"/>
  <c r="BK91" i="61"/>
  <c r="BL91" i="61"/>
  <c r="BM91" i="61"/>
  <c r="BN91" i="61"/>
  <c r="BO91" i="61"/>
  <c r="BP91" i="61"/>
  <c r="BQ91" i="61"/>
  <c r="BR91" i="61"/>
  <c r="BS91" i="61"/>
  <c r="BU91" i="61"/>
  <c r="BV91" i="61"/>
  <c r="BW91" i="61"/>
  <c r="BX91" i="61"/>
  <c r="BY91" i="61"/>
  <c r="BZ91" i="61"/>
  <c r="CA91" i="61"/>
  <c r="CB91" i="61"/>
  <c r="CC91" i="61"/>
  <c r="CD91" i="61"/>
  <c r="A92" i="61"/>
  <c r="B92" i="61"/>
  <c r="C92" i="61"/>
  <c r="D92" i="61"/>
  <c r="E92" i="61"/>
  <c r="F92" i="61"/>
  <c r="G92" i="61"/>
  <c r="H92" i="61"/>
  <c r="I92" i="61"/>
  <c r="K92" i="61"/>
  <c r="L92" i="61"/>
  <c r="M92" i="61"/>
  <c r="N92" i="61"/>
  <c r="O92" i="61"/>
  <c r="P92" i="61"/>
  <c r="R92" i="61"/>
  <c r="S92" i="61"/>
  <c r="T92" i="61"/>
  <c r="U92" i="61"/>
  <c r="V92" i="61"/>
  <c r="W92" i="61"/>
  <c r="Y92" i="61"/>
  <c r="Z92" i="61"/>
  <c r="AA92" i="61"/>
  <c r="AB92" i="61"/>
  <c r="AC92" i="61"/>
  <c r="AD92" i="61"/>
  <c r="AF92" i="61"/>
  <c r="AG92" i="61"/>
  <c r="AH92" i="61"/>
  <c r="AI92" i="61"/>
  <c r="AN92" i="61"/>
  <c r="AO92" i="61"/>
  <c r="AP92" i="61"/>
  <c r="AQ92" i="61"/>
  <c r="AR92" i="61"/>
  <c r="AS92" i="61"/>
  <c r="AT92" i="61"/>
  <c r="AU92" i="61"/>
  <c r="AV92" i="61"/>
  <c r="AW92" i="61"/>
  <c r="AY92" i="61"/>
  <c r="AZ92" i="61"/>
  <c r="BA92" i="61"/>
  <c r="BB92" i="61"/>
  <c r="BC92" i="61"/>
  <c r="BD92" i="61"/>
  <c r="BE92" i="61"/>
  <c r="BF92" i="61"/>
  <c r="BG92" i="61"/>
  <c r="BH92" i="61"/>
  <c r="BJ92" i="61"/>
  <c r="BK92" i="61"/>
  <c r="BL92" i="61"/>
  <c r="BM92" i="61"/>
  <c r="BN92" i="61"/>
  <c r="BO92" i="61"/>
  <c r="BP92" i="61"/>
  <c r="BQ92" i="61"/>
  <c r="BR92" i="61"/>
  <c r="BS92" i="61"/>
  <c r="BU92" i="61"/>
  <c r="BV92" i="61"/>
  <c r="BW92" i="61"/>
  <c r="BX92" i="61"/>
  <c r="BY92" i="61"/>
  <c r="BZ92" i="61"/>
  <c r="CA92" i="61"/>
  <c r="CB92" i="61"/>
  <c r="CC92" i="61"/>
  <c r="CD92" i="61"/>
  <c r="A93" i="61"/>
  <c r="B93" i="61"/>
  <c r="C93" i="61"/>
  <c r="D93" i="61"/>
  <c r="E93" i="61"/>
  <c r="F93" i="61"/>
  <c r="G93" i="61"/>
  <c r="H93" i="61"/>
  <c r="I93" i="61"/>
  <c r="K93" i="61"/>
  <c r="L93" i="61"/>
  <c r="M93" i="61"/>
  <c r="N93" i="61"/>
  <c r="O93" i="61"/>
  <c r="P93" i="61"/>
  <c r="R93" i="61"/>
  <c r="S93" i="61"/>
  <c r="T93" i="61"/>
  <c r="U93" i="61"/>
  <c r="V93" i="61"/>
  <c r="W93" i="61"/>
  <c r="Y93" i="61"/>
  <c r="Z93" i="61"/>
  <c r="AA93" i="61"/>
  <c r="AB93" i="61"/>
  <c r="AC93" i="61"/>
  <c r="AD93" i="61"/>
  <c r="AF93" i="61"/>
  <c r="AG93" i="61"/>
  <c r="AH93" i="61"/>
  <c r="AI93" i="61"/>
  <c r="AN93" i="61"/>
  <c r="AO93" i="61"/>
  <c r="AP93" i="61"/>
  <c r="AQ93" i="61"/>
  <c r="AR93" i="61"/>
  <c r="AS93" i="61"/>
  <c r="AT93" i="61"/>
  <c r="AU93" i="61"/>
  <c r="AV93" i="61"/>
  <c r="AW93" i="61"/>
  <c r="AY93" i="61"/>
  <c r="AZ93" i="61"/>
  <c r="BA93" i="61"/>
  <c r="BB93" i="61"/>
  <c r="BC93" i="61"/>
  <c r="BD93" i="61"/>
  <c r="BE93" i="61"/>
  <c r="BF93" i="61"/>
  <c r="BG93" i="61"/>
  <c r="BH93" i="61"/>
  <c r="BJ93" i="61"/>
  <c r="BK93" i="61"/>
  <c r="BL93" i="61"/>
  <c r="BM93" i="61"/>
  <c r="BN93" i="61"/>
  <c r="BO93" i="61"/>
  <c r="BP93" i="61"/>
  <c r="BQ93" i="61"/>
  <c r="BR93" i="61"/>
  <c r="BS93" i="61"/>
  <c r="BU93" i="61"/>
  <c r="BV93" i="61"/>
  <c r="BW93" i="61"/>
  <c r="BX93" i="61"/>
  <c r="BY93" i="61"/>
  <c r="BZ93" i="61"/>
  <c r="CA93" i="61"/>
  <c r="CB93" i="61"/>
  <c r="CC93" i="61"/>
  <c r="CD93" i="61"/>
  <c r="A94" i="61"/>
  <c r="B94" i="61"/>
  <c r="C94" i="61"/>
  <c r="D94" i="61"/>
  <c r="E94" i="61"/>
  <c r="F94" i="61"/>
  <c r="G94" i="61"/>
  <c r="H94" i="61"/>
  <c r="I94" i="61"/>
  <c r="K94" i="61"/>
  <c r="L94" i="61"/>
  <c r="M94" i="61"/>
  <c r="N94" i="61"/>
  <c r="O94" i="61"/>
  <c r="P94" i="61"/>
  <c r="R94" i="61"/>
  <c r="S94" i="61"/>
  <c r="T94" i="61"/>
  <c r="U94" i="61"/>
  <c r="V94" i="61"/>
  <c r="W94" i="61"/>
  <c r="Y94" i="61"/>
  <c r="Z94" i="61"/>
  <c r="AA94" i="61"/>
  <c r="AB94" i="61"/>
  <c r="AC94" i="61"/>
  <c r="AD94" i="61"/>
  <c r="AF94" i="61"/>
  <c r="AG94" i="61"/>
  <c r="AH94" i="61"/>
  <c r="AI94" i="61"/>
  <c r="AN94" i="61"/>
  <c r="AO94" i="61"/>
  <c r="AP94" i="61"/>
  <c r="AQ94" i="61"/>
  <c r="AR94" i="61"/>
  <c r="AS94" i="61"/>
  <c r="AT94" i="61"/>
  <c r="AU94" i="61"/>
  <c r="AV94" i="61"/>
  <c r="AW94" i="61"/>
  <c r="AY94" i="61"/>
  <c r="AZ94" i="61"/>
  <c r="BA94" i="61"/>
  <c r="BB94" i="61"/>
  <c r="BC94" i="61"/>
  <c r="BD94" i="61"/>
  <c r="BE94" i="61"/>
  <c r="BF94" i="61"/>
  <c r="BG94" i="61"/>
  <c r="BH94" i="61"/>
  <c r="BJ94" i="61"/>
  <c r="BK94" i="61"/>
  <c r="BL94" i="61"/>
  <c r="BM94" i="61"/>
  <c r="BN94" i="61"/>
  <c r="BO94" i="61"/>
  <c r="BP94" i="61"/>
  <c r="BQ94" i="61"/>
  <c r="BR94" i="61"/>
  <c r="BS94" i="61"/>
  <c r="BU94" i="61"/>
  <c r="BV94" i="61"/>
  <c r="BW94" i="61"/>
  <c r="BX94" i="61"/>
  <c r="BY94" i="61"/>
  <c r="BZ94" i="61"/>
  <c r="CA94" i="61"/>
  <c r="CB94" i="61"/>
  <c r="CC94" i="61"/>
  <c r="CD94" i="61"/>
  <c r="A95" i="61"/>
  <c r="B95" i="61"/>
  <c r="C95" i="61"/>
  <c r="D95" i="61"/>
  <c r="E95" i="61"/>
  <c r="F95" i="61"/>
  <c r="G95" i="61"/>
  <c r="H95" i="61"/>
  <c r="I95" i="61"/>
  <c r="K95" i="61"/>
  <c r="L95" i="61"/>
  <c r="M95" i="61"/>
  <c r="N95" i="61"/>
  <c r="O95" i="61"/>
  <c r="P95" i="61"/>
  <c r="R95" i="61"/>
  <c r="S95" i="61"/>
  <c r="T95" i="61"/>
  <c r="U95" i="61"/>
  <c r="V95" i="61"/>
  <c r="W95" i="61"/>
  <c r="Y95" i="61"/>
  <c r="Z95" i="61"/>
  <c r="AA95" i="61"/>
  <c r="AB95" i="61"/>
  <c r="AC95" i="61"/>
  <c r="AD95" i="61"/>
  <c r="AF95" i="61"/>
  <c r="AG95" i="61"/>
  <c r="AH95" i="61"/>
  <c r="AI95" i="61"/>
  <c r="AN95" i="61"/>
  <c r="AO95" i="61"/>
  <c r="AP95" i="61"/>
  <c r="AQ95" i="61"/>
  <c r="AR95" i="61"/>
  <c r="AS95" i="61"/>
  <c r="AT95" i="61"/>
  <c r="AU95" i="61"/>
  <c r="AV95" i="61"/>
  <c r="AW95" i="61"/>
  <c r="AY95" i="61"/>
  <c r="AZ95" i="61"/>
  <c r="BA95" i="61"/>
  <c r="BB95" i="61"/>
  <c r="BC95" i="61"/>
  <c r="BD95" i="61"/>
  <c r="BE95" i="61"/>
  <c r="BF95" i="61"/>
  <c r="BG95" i="61"/>
  <c r="BH95" i="61"/>
  <c r="BJ95" i="61"/>
  <c r="BK95" i="61"/>
  <c r="BL95" i="61"/>
  <c r="BM95" i="61"/>
  <c r="BN95" i="61"/>
  <c r="BO95" i="61"/>
  <c r="BP95" i="61"/>
  <c r="BQ95" i="61"/>
  <c r="BR95" i="61"/>
  <c r="BS95" i="61"/>
  <c r="BU95" i="61"/>
  <c r="BV95" i="61"/>
  <c r="BW95" i="61"/>
  <c r="BX95" i="61"/>
  <c r="BY95" i="61"/>
  <c r="BZ95" i="61"/>
  <c r="CA95" i="61"/>
  <c r="CB95" i="61"/>
  <c r="CC95" i="61"/>
  <c r="CD95" i="61"/>
  <c r="A96" i="61"/>
  <c r="B96" i="61"/>
  <c r="C96" i="61"/>
  <c r="D96" i="61"/>
  <c r="E96" i="61"/>
  <c r="F96" i="61"/>
  <c r="G96" i="61"/>
  <c r="H96" i="61"/>
  <c r="I96" i="61"/>
  <c r="K96" i="61"/>
  <c r="L96" i="61"/>
  <c r="M96" i="61"/>
  <c r="N96" i="61"/>
  <c r="O96" i="61"/>
  <c r="P96" i="61"/>
  <c r="R96" i="61"/>
  <c r="S96" i="61"/>
  <c r="T96" i="61"/>
  <c r="U96" i="61"/>
  <c r="V96" i="61"/>
  <c r="W96" i="61"/>
  <c r="Y96" i="61"/>
  <c r="Z96" i="61"/>
  <c r="AA96" i="61"/>
  <c r="AB96" i="61"/>
  <c r="AC96" i="61"/>
  <c r="AD96" i="61"/>
  <c r="AF96" i="61"/>
  <c r="AG96" i="61"/>
  <c r="AH96" i="61"/>
  <c r="AI96" i="61"/>
  <c r="AN96" i="61"/>
  <c r="AO96" i="61"/>
  <c r="AP96" i="61"/>
  <c r="AQ96" i="61"/>
  <c r="AR96" i="61"/>
  <c r="AS96" i="61"/>
  <c r="AT96" i="61"/>
  <c r="AU96" i="61"/>
  <c r="AV96" i="61"/>
  <c r="AW96" i="61"/>
  <c r="AY96" i="61"/>
  <c r="AZ96" i="61"/>
  <c r="BA96" i="61"/>
  <c r="BB96" i="61"/>
  <c r="BC96" i="61"/>
  <c r="BD96" i="61"/>
  <c r="BE96" i="61"/>
  <c r="BF96" i="61"/>
  <c r="BG96" i="61"/>
  <c r="BH96" i="61"/>
  <c r="BJ96" i="61"/>
  <c r="BK96" i="61"/>
  <c r="BL96" i="61"/>
  <c r="BM96" i="61"/>
  <c r="BN96" i="61"/>
  <c r="BO96" i="61"/>
  <c r="BP96" i="61"/>
  <c r="BQ96" i="61"/>
  <c r="BR96" i="61"/>
  <c r="BS96" i="61"/>
  <c r="BU96" i="61"/>
  <c r="BV96" i="61"/>
  <c r="BW96" i="61"/>
  <c r="BX96" i="61"/>
  <c r="BY96" i="61"/>
  <c r="BZ96" i="61"/>
  <c r="CA96" i="61"/>
  <c r="CB96" i="61"/>
  <c r="CC96" i="61"/>
  <c r="CD96" i="61"/>
  <c r="A97" i="61"/>
  <c r="B97" i="61"/>
  <c r="C97" i="61"/>
  <c r="D97" i="61"/>
  <c r="E97" i="61"/>
  <c r="F97" i="61"/>
  <c r="G97" i="61"/>
  <c r="H97" i="61"/>
  <c r="I97" i="61"/>
  <c r="K97" i="61"/>
  <c r="L97" i="61"/>
  <c r="M97" i="61"/>
  <c r="N97" i="61"/>
  <c r="O97" i="61"/>
  <c r="P97" i="61"/>
  <c r="R97" i="61"/>
  <c r="S97" i="61"/>
  <c r="T97" i="61"/>
  <c r="U97" i="61"/>
  <c r="V97" i="61"/>
  <c r="W97" i="61"/>
  <c r="Y97" i="61"/>
  <c r="Z97" i="61"/>
  <c r="AA97" i="61"/>
  <c r="AB97" i="61"/>
  <c r="AC97" i="61"/>
  <c r="AD97" i="61"/>
  <c r="AF97" i="61"/>
  <c r="AG97" i="61"/>
  <c r="AH97" i="61"/>
  <c r="AI97" i="61"/>
  <c r="AN97" i="61"/>
  <c r="AO97" i="61"/>
  <c r="AP97" i="61"/>
  <c r="AQ97" i="61"/>
  <c r="AR97" i="61"/>
  <c r="AS97" i="61"/>
  <c r="AT97" i="61"/>
  <c r="AU97" i="61"/>
  <c r="AV97" i="61"/>
  <c r="AW97" i="61"/>
  <c r="AY97" i="61"/>
  <c r="AZ97" i="61"/>
  <c r="BA97" i="61"/>
  <c r="BB97" i="61"/>
  <c r="BC97" i="61"/>
  <c r="BD97" i="61"/>
  <c r="BE97" i="61"/>
  <c r="BF97" i="61"/>
  <c r="BG97" i="61"/>
  <c r="BH97" i="61"/>
  <c r="BJ97" i="61"/>
  <c r="BK97" i="61"/>
  <c r="BL97" i="61"/>
  <c r="BM97" i="61"/>
  <c r="BN97" i="61"/>
  <c r="BO97" i="61"/>
  <c r="BP97" i="61"/>
  <c r="BQ97" i="61"/>
  <c r="BR97" i="61"/>
  <c r="BS97" i="61"/>
  <c r="BU97" i="61"/>
  <c r="BV97" i="61"/>
  <c r="BW97" i="61"/>
  <c r="BX97" i="61"/>
  <c r="BY97" i="61"/>
  <c r="BZ97" i="61"/>
  <c r="CA97" i="61"/>
  <c r="CB97" i="61"/>
  <c r="CC97" i="61"/>
  <c r="CD97" i="61"/>
  <c r="A98" i="61"/>
  <c r="B98" i="61"/>
  <c r="C98" i="61"/>
  <c r="D98" i="61"/>
  <c r="E98" i="61"/>
  <c r="F98" i="61"/>
  <c r="G98" i="61"/>
  <c r="H98" i="61"/>
  <c r="I98" i="61"/>
  <c r="K98" i="61"/>
  <c r="L98" i="61"/>
  <c r="M98" i="61"/>
  <c r="N98" i="61"/>
  <c r="O98" i="61"/>
  <c r="P98" i="61"/>
  <c r="R98" i="61"/>
  <c r="S98" i="61"/>
  <c r="T98" i="61"/>
  <c r="U98" i="61"/>
  <c r="V98" i="61"/>
  <c r="W98" i="61"/>
  <c r="Y98" i="61"/>
  <c r="Z98" i="61"/>
  <c r="AA98" i="61"/>
  <c r="AB98" i="61"/>
  <c r="AC98" i="61"/>
  <c r="AD98" i="61"/>
  <c r="AF98" i="61"/>
  <c r="AG98" i="61"/>
  <c r="AH98" i="61"/>
  <c r="AI98" i="61"/>
  <c r="AN98" i="61"/>
  <c r="AO98" i="61"/>
  <c r="AP98" i="61"/>
  <c r="AQ98" i="61"/>
  <c r="AR98" i="61"/>
  <c r="AS98" i="61"/>
  <c r="AT98" i="61"/>
  <c r="AU98" i="61"/>
  <c r="AV98" i="61"/>
  <c r="AW98" i="61"/>
  <c r="AY98" i="61"/>
  <c r="AZ98" i="61"/>
  <c r="BA98" i="61"/>
  <c r="BB98" i="61"/>
  <c r="BC98" i="61"/>
  <c r="BD98" i="61"/>
  <c r="BE98" i="61"/>
  <c r="BF98" i="61"/>
  <c r="BG98" i="61"/>
  <c r="BH98" i="61"/>
  <c r="BJ98" i="61"/>
  <c r="BK98" i="61"/>
  <c r="BL98" i="61"/>
  <c r="BM98" i="61"/>
  <c r="BN98" i="61"/>
  <c r="BO98" i="61"/>
  <c r="BP98" i="61"/>
  <c r="BQ98" i="61"/>
  <c r="BR98" i="61"/>
  <c r="BS98" i="61"/>
  <c r="BU98" i="61"/>
  <c r="BV98" i="61"/>
  <c r="BW98" i="61"/>
  <c r="BX98" i="61"/>
  <c r="BY98" i="61"/>
  <c r="BZ98" i="61"/>
  <c r="CA98" i="61"/>
  <c r="CB98" i="61"/>
  <c r="CC98" i="61"/>
  <c r="CD98" i="61"/>
  <c r="A99" i="61"/>
  <c r="B99" i="61"/>
  <c r="C99" i="61"/>
  <c r="D99" i="61"/>
  <c r="E99" i="61"/>
  <c r="F99" i="61"/>
  <c r="G99" i="61"/>
  <c r="H99" i="61"/>
  <c r="I99" i="61"/>
  <c r="K99" i="61"/>
  <c r="L99" i="61"/>
  <c r="M99" i="61"/>
  <c r="N99" i="61"/>
  <c r="O99" i="61"/>
  <c r="P99" i="61"/>
  <c r="R99" i="61"/>
  <c r="S99" i="61"/>
  <c r="T99" i="61"/>
  <c r="U99" i="61"/>
  <c r="V99" i="61"/>
  <c r="W99" i="61"/>
  <c r="Y99" i="61"/>
  <c r="Z99" i="61"/>
  <c r="AA99" i="61"/>
  <c r="AB99" i="61"/>
  <c r="AC99" i="61"/>
  <c r="AD99" i="61"/>
  <c r="AF99" i="61"/>
  <c r="AG99" i="61"/>
  <c r="AH99" i="61"/>
  <c r="AI99" i="61"/>
  <c r="AN99" i="61"/>
  <c r="AO99" i="61"/>
  <c r="AP99" i="61"/>
  <c r="AQ99" i="61"/>
  <c r="AR99" i="61"/>
  <c r="AS99" i="61"/>
  <c r="AT99" i="61"/>
  <c r="AU99" i="61"/>
  <c r="AV99" i="61"/>
  <c r="AW99" i="61"/>
  <c r="AY99" i="61"/>
  <c r="AZ99" i="61"/>
  <c r="BA99" i="61"/>
  <c r="BB99" i="61"/>
  <c r="BC99" i="61"/>
  <c r="BD99" i="61"/>
  <c r="BE99" i="61"/>
  <c r="BF99" i="61"/>
  <c r="BG99" i="61"/>
  <c r="BH99" i="61"/>
  <c r="BJ99" i="61"/>
  <c r="BK99" i="61"/>
  <c r="BL99" i="61"/>
  <c r="BM99" i="61"/>
  <c r="BN99" i="61"/>
  <c r="BO99" i="61"/>
  <c r="BP99" i="61"/>
  <c r="BQ99" i="61"/>
  <c r="BR99" i="61"/>
  <c r="BS99" i="61"/>
  <c r="BU99" i="61"/>
  <c r="BV99" i="61"/>
  <c r="BW99" i="61"/>
  <c r="BX99" i="61"/>
  <c r="BY99" i="61"/>
  <c r="BZ99" i="61"/>
  <c r="CA99" i="61"/>
  <c r="CB99" i="61"/>
  <c r="CC99" i="61"/>
  <c r="CD99" i="61"/>
  <c r="A100" i="61"/>
  <c r="B100" i="61"/>
  <c r="C100" i="61"/>
  <c r="D100" i="61"/>
  <c r="E100" i="61"/>
  <c r="F100" i="61"/>
  <c r="G100" i="61"/>
  <c r="H100" i="61"/>
  <c r="I100" i="61"/>
  <c r="K100" i="61"/>
  <c r="L100" i="61"/>
  <c r="M100" i="61"/>
  <c r="N100" i="61"/>
  <c r="O100" i="61"/>
  <c r="P100" i="61"/>
  <c r="R100" i="61"/>
  <c r="S100" i="61"/>
  <c r="T100" i="61"/>
  <c r="U100" i="61"/>
  <c r="V100" i="61"/>
  <c r="W100" i="61"/>
  <c r="Y100" i="61"/>
  <c r="Z100" i="61"/>
  <c r="AA100" i="61"/>
  <c r="AB100" i="61"/>
  <c r="AC100" i="61"/>
  <c r="AD100" i="61"/>
  <c r="AF100" i="61"/>
  <c r="AG100" i="61"/>
  <c r="AH100" i="61"/>
  <c r="AI100" i="61"/>
  <c r="AN100" i="61"/>
  <c r="AO100" i="61"/>
  <c r="AP100" i="61"/>
  <c r="AQ100" i="61"/>
  <c r="AR100" i="61"/>
  <c r="AS100" i="61"/>
  <c r="AT100" i="61"/>
  <c r="AU100" i="61"/>
  <c r="AV100" i="61"/>
  <c r="AW100" i="61"/>
  <c r="AY100" i="61"/>
  <c r="AZ100" i="61"/>
  <c r="BA100" i="61"/>
  <c r="BB100" i="61"/>
  <c r="BC100" i="61"/>
  <c r="BD100" i="61"/>
  <c r="BE100" i="61"/>
  <c r="BF100" i="61"/>
  <c r="BG100" i="61"/>
  <c r="BH100" i="61"/>
  <c r="BJ100" i="61"/>
  <c r="BK100" i="61"/>
  <c r="BL100" i="61"/>
  <c r="BM100" i="61"/>
  <c r="BN100" i="61"/>
  <c r="BO100" i="61"/>
  <c r="BP100" i="61"/>
  <c r="BQ100" i="61"/>
  <c r="BR100" i="61"/>
  <c r="BS100" i="61"/>
  <c r="BU100" i="61"/>
  <c r="BV100" i="61"/>
  <c r="BW100" i="61"/>
  <c r="BX100" i="61"/>
  <c r="BY100" i="61"/>
  <c r="BZ100" i="61"/>
  <c r="CA100" i="61"/>
  <c r="CB100" i="61"/>
  <c r="CC100" i="61"/>
  <c r="CD100" i="61"/>
  <c r="A101" i="61"/>
  <c r="B101" i="61"/>
  <c r="C101" i="61"/>
  <c r="D101" i="61"/>
  <c r="E101" i="61"/>
  <c r="F101" i="61"/>
  <c r="G101" i="61"/>
  <c r="H101" i="61"/>
  <c r="I101" i="61"/>
  <c r="K101" i="61"/>
  <c r="L101" i="61"/>
  <c r="M101" i="61"/>
  <c r="N101" i="61"/>
  <c r="O101" i="61"/>
  <c r="P101" i="61"/>
  <c r="R101" i="61"/>
  <c r="S101" i="61"/>
  <c r="T101" i="61"/>
  <c r="U101" i="61"/>
  <c r="V101" i="61"/>
  <c r="W101" i="61"/>
  <c r="Y101" i="61"/>
  <c r="Z101" i="61"/>
  <c r="AA101" i="61"/>
  <c r="AB101" i="61"/>
  <c r="AC101" i="61"/>
  <c r="AD101" i="61"/>
  <c r="AF101" i="61"/>
  <c r="AG101" i="61"/>
  <c r="AH101" i="61"/>
  <c r="AI101" i="61"/>
  <c r="AN101" i="61"/>
  <c r="AO101" i="61"/>
  <c r="AP101" i="61"/>
  <c r="AQ101" i="61"/>
  <c r="AR101" i="61"/>
  <c r="AS101" i="61"/>
  <c r="AT101" i="61"/>
  <c r="AU101" i="61"/>
  <c r="AV101" i="61"/>
  <c r="AW101" i="61"/>
  <c r="AY101" i="61"/>
  <c r="AZ101" i="61"/>
  <c r="BA101" i="61"/>
  <c r="BB101" i="61"/>
  <c r="BC101" i="61"/>
  <c r="BD101" i="61"/>
  <c r="BE101" i="61"/>
  <c r="BF101" i="61"/>
  <c r="BG101" i="61"/>
  <c r="BH101" i="61"/>
  <c r="BJ101" i="61"/>
  <c r="BK101" i="61"/>
  <c r="BL101" i="61"/>
  <c r="BM101" i="61"/>
  <c r="BN101" i="61"/>
  <c r="BO101" i="61"/>
  <c r="BP101" i="61"/>
  <c r="BQ101" i="61"/>
  <c r="BR101" i="61"/>
  <c r="BS101" i="61"/>
  <c r="BU101" i="61"/>
  <c r="BV101" i="61"/>
  <c r="BW101" i="61"/>
  <c r="BX101" i="61"/>
  <c r="BY101" i="61"/>
  <c r="BZ101" i="61"/>
  <c r="CA101" i="61"/>
  <c r="CB101" i="61"/>
  <c r="CC101" i="61"/>
  <c r="CD101" i="61"/>
  <c r="A102" i="61"/>
  <c r="B102" i="61"/>
  <c r="C102" i="61"/>
  <c r="D102" i="61"/>
  <c r="E102" i="61"/>
  <c r="F102" i="61"/>
  <c r="G102" i="61"/>
  <c r="H102" i="61"/>
  <c r="I102" i="61"/>
  <c r="K102" i="61"/>
  <c r="L102" i="61"/>
  <c r="M102" i="61"/>
  <c r="N102" i="61"/>
  <c r="O102" i="61"/>
  <c r="P102" i="61"/>
  <c r="R102" i="61"/>
  <c r="S102" i="61"/>
  <c r="T102" i="61"/>
  <c r="U102" i="61"/>
  <c r="V102" i="61"/>
  <c r="W102" i="61"/>
  <c r="Y102" i="61"/>
  <c r="Z102" i="61"/>
  <c r="AA102" i="61"/>
  <c r="AB102" i="61"/>
  <c r="AC102" i="61"/>
  <c r="AD102" i="61"/>
  <c r="AF102" i="61"/>
  <c r="AG102" i="61"/>
  <c r="AH102" i="61"/>
  <c r="AI102" i="61"/>
  <c r="AN102" i="61"/>
  <c r="AO102" i="61"/>
  <c r="AP102" i="61"/>
  <c r="AQ102" i="61"/>
  <c r="AR102" i="61"/>
  <c r="AS102" i="61"/>
  <c r="AT102" i="61"/>
  <c r="AU102" i="61"/>
  <c r="AV102" i="61"/>
  <c r="AW102" i="61"/>
  <c r="AY102" i="61"/>
  <c r="AZ102" i="61"/>
  <c r="BA102" i="61"/>
  <c r="BB102" i="61"/>
  <c r="BC102" i="61"/>
  <c r="BD102" i="61"/>
  <c r="BE102" i="61"/>
  <c r="BF102" i="61"/>
  <c r="BG102" i="61"/>
  <c r="BH102" i="61"/>
  <c r="BJ102" i="61"/>
  <c r="BK102" i="61"/>
  <c r="BL102" i="61"/>
  <c r="BM102" i="61"/>
  <c r="BN102" i="61"/>
  <c r="BO102" i="61"/>
  <c r="BP102" i="61"/>
  <c r="BQ102" i="61"/>
  <c r="BR102" i="61"/>
  <c r="BS102" i="61"/>
  <c r="BU102" i="61"/>
  <c r="BV102" i="61"/>
  <c r="BW102" i="61"/>
  <c r="BX102" i="61"/>
  <c r="BY102" i="61"/>
  <c r="BZ102" i="61"/>
  <c r="CA102" i="61"/>
  <c r="CB102" i="61"/>
  <c r="CC102" i="61"/>
  <c r="CD102" i="61"/>
  <c r="A103" i="61"/>
  <c r="B103" i="61"/>
  <c r="C103" i="61"/>
  <c r="D103" i="61"/>
  <c r="E103" i="61"/>
  <c r="F103" i="61"/>
  <c r="G103" i="61"/>
  <c r="H103" i="61"/>
  <c r="I103" i="61"/>
  <c r="K103" i="61"/>
  <c r="L103" i="61"/>
  <c r="M103" i="61"/>
  <c r="N103" i="61"/>
  <c r="O103" i="61"/>
  <c r="P103" i="61"/>
  <c r="R103" i="61"/>
  <c r="S103" i="61"/>
  <c r="T103" i="61"/>
  <c r="U103" i="61"/>
  <c r="V103" i="61"/>
  <c r="W103" i="61"/>
  <c r="Y103" i="61"/>
  <c r="Z103" i="61"/>
  <c r="AA103" i="61"/>
  <c r="AB103" i="61"/>
  <c r="AC103" i="61"/>
  <c r="AD103" i="61"/>
  <c r="AF103" i="61"/>
  <c r="AG103" i="61"/>
  <c r="AH103" i="61"/>
  <c r="AI103" i="61"/>
  <c r="AN103" i="61"/>
  <c r="AO103" i="61"/>
  <c r="AP103" i="61"/>
  <c r="AQ103" i="61"/>
  <c r="AR103" i="61"/>
  <c r="AS103" i="61"/>
  <c r="AT103" i="61"/>
  <c r="AU103" i="61"/>
  <c r="AV103" i="61"/>
  <c r="AW103" i="61"/>
  <c r="AY103" i="61"/>
  <c r="AZ103" i="61"/>
  <c r="BA103" i="61"/>
  <c r="BB103" i="61"/>
  <c r="BC103" i="61"/>
  <c r="BD103" i="61"/>
  <c r="BE103" i="61"/>
  <c r="BF103" i="61"/>
  <c r="BG103" i="61"/>
  <c r="BH103" i="61"/>
  <c r="BJ103" i="61"/>
  <c r="BK103" i="61"/>
  <c r="BL103" i="61"/>
  <c r="BM103" i="61"/>
  <c r="BN103" i="61"/>
  <c r="BO103" i="61"/>
  <c r="BP103" i="61"/>
  <c r="BQ103" i="61"/>
  <c r="BR103" i="61"/>
  <c r="BS103" i="61"/>
  <c r="BU103" i="61"/>
  <c r="BV103" i="61"/>
  <c r="BW103" i="61"/>
  <c r="BX103" i="61"/>
  <c r="BY103" i="61"/>
  <c r="BZ103" i="61"/>
  <c r="CA103" i="61"/>
  <c r="CB103" i="61"/>
  <c r="CC103" i="61"/>
  <c r="CD103" i="61"/>
  <c r="A104" i="61"/>
  <c r="B104" i="61"/>
  <c r="C104" i="61"/>
  <c r="D104" i="61"/>
  <c r="E104" i="61"/>
  <c r="F104" i="61"/>
  <c r="G104" i="61"/>
  <c r="H104" i="61"/>
  <c r="I104" i="61"/>
  <c r="K104" i="61"/>
  <c r="L104" i="61"/>
  <c r="M104" i="61"/>
  <c r="N104" i="61"/>
  <c r="O104" i="61"/>
  <c r="P104" i="61"/>
  <c r="R104" i="61"/>
  <c r="S104" i="61"/>
  <c r="T104" i="61"/>
  <c r="U104" i="61"/>
  <c r="V104" i="61"/>
  <c r="W104" i="61"/>
  <c r="Y104" i="61"/>
  <c r="Z104" i="61"/>
  <c r="AA104" i="61"/>
  <c r="AB104" i="61"/>
  <c r="AC104" i="61"/>
  <c r="AD104" i="61"/>
  <c r="AF104" i="61"/>
  <c r="AG104" i="61"/>
  <c r="AH104" i="61"/>
  <c r="AI104" i="61"/>
  <c r="AN104" i="61"/>
  <c r="AO104" i="61"/>
  <c r="AP104" i="61"/>
  <c r="AQ104" i="61"/>
  <c r="AR104" i="61"/>
  <c r="AS104" i="61"/>
  <c r="AT104" i="61"/>
  <c r="AU104" i="61"/>
  <c r="AV104" i="61"/>
  <c r="AW104" i="61"/>
  <c r="AY104" i="61"/>
  <c r="AZ104" i="61"/>
  <c r="BA104" i="61"/>
  <c r="BB104" i="61"/>
  <c r="BC104" i="61"/>
  <c r="BD104" i="61"/>
  <c r="BE104" i="61"/>
  <c r="BF104" i="61"/>
  <c r="BG104" i="61"/>
  <c r="BH104" i="61"/>
  <c r="BJ104" i="61"/>
  <c r="BK104" i="61"/>
  <c r="BL104" i="61"/>
  <c r="BM104" i="61"/>
  <c r="BN104" i="61"/>
  <c r="BO104" i="61"/>
  <c r="BP104" i="61"/>
  <c r="BQ104" i="61"/>
  <c r="BR104" i="61"/>
  <c r="BS104" i="61"/>
  <c r="BU104" i="61"/>
  <c r="BV104" i="61"/>
  <c r="BW104" i="61"/>
  <c r="BX104" i="61"/>
  <c r="BY104" i="61"/>
  <c r="BZ104" i="61"/>
  <c r="CA104" i="61"/>
  <c r="CB104" i="61"/>
  <c r="CC104" i="61"/>
  <c r="CD104" i="61"/>
  <c r="A105" i="61"/>
  <c r="B105" i="61"/>
  <c r="C105" i="61"/>
  <c r="D105" i="61"/>
  <c r="E105" i="61"/>
  <c r="F105" i="61"/>
  <c r="G105" i="61"/>
  <c r="H105" i="61"/>
  <c r="I105" i="61"/>
  <c r="K105" i="61"/>
  <c r="L105" i="61"/>
  <c r="M105" i="61"/>
  <c r="N105" i="61"/>
  <c r="O105" i="61"/>
  <c r="P105" i="61"/>
  <c r="R105" i="61"/>
  <c r="S105" i="61"/>
  <c r="T105" i="61"/>
  <c r="U105" i="61"/>
  <c r="V105" i="61"/>
  <c r="W105" i="61"/>
  <c r="Y105" i="61"/>
  <c r="Z105" i="61"/>
  <c r="AA105" i="61"/>
  <c r="AB105" i="61"/>
  <c r="AC105" i="61"/>
  <c r="AD105" i="61"/>
  <c r="AF105" i="61"/>
  <c r="AG105" i="61"/>
  <c r="AH105" i="61"/>
  <c r="AI105" i="61"/>
  <c r="AN105" i="61"/>
  <c r="AO105" i="61"/>
  <c r="AP105" i="61"/>
  <c r="AQ105" i="61"/>
  <c r="AR105" i="61"/>
  <c r="AS105" i="61"/>
  <c r="AT105" i="61"/>
  <c r="AU105" i="61"/>
  <c r="AV105" i="61"/>
  <c r="AW105" i="61"/>
  <c r="AY105" i="61"/>
  <c r="AZ105" i="61"/>
  <c r="BA105" i="61"/>
  <c r="BB105" i="61"/>
  <c r="BC105" i="61"/>
  <c r="BD105" i="61"/>
  <c r="BE105" i="61"/>
  <c r="BF105" i="61"/>
  <c r="BG105" i="61"/>
  <c r="BH105" i="61"/>
  <c r="BJ105" i="61"/>
  <c r="BK105" i="61"/>
  <c r="BL105" i="61"/>
  <c r="BM105" i="61"/>
  <c r="BN105" i="61"/>
  <c r="BO105" i="61"/>
  <c r="BP105" i="61"/>
  <c r="BQ105" i="61"/>
  <c r="BR105" i="61"/>
  <c r="BS105" i="61"/>
  <c r="BU105" i="61"/>
  <c r="BV105" i="61"/>
  <c r="BW105" i="61"/>
  <c r="BX105" i="61"/>
  <c r="BY105" i="61"/>
  <c r="BZ105" i="61"/>
  <c r="CA105" i="61"/>
  <c r="CB105" i="61"/>
  <c r="CC105" i="61"/>
  <c r="CD105" i="61"/>
  <c r="A106" i="61"/>
  <c r="B106" i="61"/>
  <c r="C106" i="61"/>
  <c r="D106" i="61"/>
  <c r="E106" i="61"/>
  <c r="F106" i="61"/>
  <c r="G106" i="61"/>
  <c r="H106" i="61"/>
  <c r="I106" i="61"/>
  <c r="K106" i="61"/>
  <c r="L106" i="61"/>
  <c r="M106" i="61"/>
  <c r="N106" i="61"/>
  <c r="O106" i="61"/>
  <c r="P106" i="61"/>
  <c r="R106" i="61"/>
  <c r="S106" i="61"/>
  <c r="T106" i="61"/>
  <c r="U106" i="61"/>
  <c r="V106" i="61"/>
  <c r="W106" i="61"/>
  <c r="Y106" i="61"/>
  <c r="Z106" i="61"/>
  <c r="AA106" i="61"/>
  <c r="AB106" i="61"/>
  <c r="AC106" i="61"/>
  <c r="AD106" i="61"/>
  <c r="AF106" i="61"/>
  <c r="AG106" i="61"/>
  <c r="AH106" i="61"/>
  <c r="AI106" i="61"/>
  <c r="AN106" i="61"/>
  <c r="AO106" i="61"/>
  <c r="AP106" i="61"/>
  <c r="AQ106" i="61"/>
  <c r="AR106" i="61"/>
  <c r="AS106" i="61"/>
  <c r="AT106" i="61"/>
  <c r="AU106" i="61"/>
  <c r="AV106" i="61"/>
  <c r="AW106" i="61"/>
  <c r="AY106" i="61"/>
  <c r="AZ106" i="61"/>
  <c r="BA106" i="61"/>
  <c r="BB106" i="61"/>
  <c r="BC106" i="61"/>
  <c r="BD106" i="61"/>
  <c r="BE106" i="61"/>
  <c r="BF106" i="61"/>
  <c r="BG106" i="61"/>
  <c r="BH106" i="61"/>
  <c r="BJ106" i="61"/>
  <c r="BK106" i="61"/>
  <c r="BL106" i="61"/>
  <c r="BM106" i="61"/>
  <c r="BN106" i="61"/>
  <c r="BO106" i="61"/>
  <c r="BP106" i="61"/>
  <c r="BQ106" i="61"/>
  <c r="BR106" i="61"/>
  <c r="BS106" i="61"/>
  <c r="BU106" i="61"/>
  <c r="BV106" i="61"/>
  <c r="BW106" i="61"/>
  <c r="BX106" i="61"/>
  <c r="BY106" i="61"/>
  <c r="BZ106" i="61"/>
  <c r="CA106" i="61"/>
  <c r="CB106" i="61"/>
  <c r="CC106" i="61"/>
  <c r="CD106" i="61"/>
  <c r="A107" i="61"/>
  <c r="B107" i="61"/>
  <c r="C107" i="61"/>
  <c r="D107" i="61"/>
  <c r="E107" i="61"/>
  <c r="F107" i="61"/>
  <c r="G107" i="61"/>
  <c r="H107" i="61"/>
  <c r="I107" i="61"/>
  <c r="K107" i="61"/>
  <c r="L107" i="61"/>
  <c r="M107" i="61"/>
  <c r="N107" i="61"/>
  <c r="O107" i="61"/>
  <c r="P107" i="61"/>
  <c r="R107" i="61"/>
  <c r="S107" i="61"/>
  <c r="T107" i="61"/>
  <c r="U107" i="61"/>
  <c r="V107" i="61"/>
  <c r="W107" i="61"/>
  <c r="Y107" i="61"/>
  <c r="Z107" i="61"/>
  <c r="AA107" i="61"/>
  <c r="AB107" i="61"/>
  <c r="AC107" i="61"/>
  <c r="AD107" i="61"/>
  <c r="AF107" i="61"/>
  <c r="AG107" i="61"/>
  <c r="AH107" i="61"/>
  <c r="AI107" i="61"/>
  <c r="AN107" i="61"/>
  <c r="AO107" i="61"/>
  <c r="AP107" i="61"/>
  <c r="AQ107" i="61"/>
  <c r="AR107" i="61"/>
  <c r="AS107" i="61"/>
  <c r="AT107" i="61"/>
  <c r="AU107" i="61"/>
  <c r="AV107" i="61"/>
  <c r="AW107" i="61"/>
  <c r="AY107" i="61"/>
  <c r="AZ107" i="61"/>
  <c r="BA107" i="61"/>
  <c r="BB107" i="61"/>
  <c r="BC107" i="61"/>
  <c r="BD107" i="61"/>
  <c r="BE107" i="61"/>
  <c r="BF107" i="61"/>
  <c r="BG107" i="61"/>
  <c r="BH107" i="61"/>
  <c r="BJ107" i="61"/>
  <c r="BK107" i="61"/>
  <c r="BL107" i="61"/>
  <c r="BM107" i="61"/>
  <c r="BN107" i="61"/>
  <c r="BO107" i="61"/>
  <c r="BP107" i="61"/>
  <c r="BQ107" i="61"/>
  <c r="BR107" i="61"/>
  <c r="BS107" i="61"/>
  <c r="BU107" i="61"/>
  <c r="BV107" i="61"/>
  <c r="BW107" i="61"/>
  <c r="BX107" i="61"/>
  <c r="BY107" i="61"/>
  <c r="BZ107" i="61"/>
  <c r="CA107" i="61"/>
  <c r="CB107" i="61"/>
  <c r="CC107" i="61"/>
  <c r="CD107" i="61"/>
  <c r="A108" i="61"/>
  <c r="B108" i="61"/>
  <c r="C108" i="61"/>
  <c r="D108" i="61"/>
  <c r="E108" i="61"/>
  <c r="F108" i="61"/>
  <c r="G108" i="61"/>
  <c r="H108" i="61"/>
  <c r="I108" i="61"/>
  <c r="K108" i="61"/>
  <c r="L108" i="61"/>
  <c r="M108" i="61"/>
  <c r="N108" i="61"/>
  <c r="O108" i="61"/>
  <c r="P108" i="61"/>
  <c r="R108" i="61"/>
  <c r="S108" i="61"/>
  <c r="T108" i="61"/>
  <c r="U108" i="61"/>
  <c r="V108" i="61"/>
  <c r="W108" i="61"/>
  <c r="Y108" i="61"/>
  <c r="Z108" i="61"/>
  <c r="AA108" i="61"/>
  <c r="AB108" i="61"/>
  <c r="AC108" i="61"/>
  <c r="AD108" i="61"/>
  <c r="AF108" i="61"/>
  <c r="AG108" i="61"/>
  <c r="AH108" i="61"/>
  <c r="AI108" i="61"/>
  <c r="AN108" i="61"/>
  <c r="AO108" i="61"/>
  <c r="AP108" i="61"/>
  <c r="AQ108" i="61"/>
  <c r="AR108" i="61"/>
  <c r="AS108" i="61"/>
  <c r="AT108" i="61"/>
  <c r="AU108" i="61"/>
  <c r="AV108" i="61"/>
  <c r="AW108" i="61"/>
  <c r="AY108" i="61"/>
  <c r="AZ108" i="61"/>
  <c r="BA108" i="61"/>
  <c r="BB108" i="61"/>
  <c r="BC108" i="61"/>
  <c r="BD108" i="61"/>
  <c r="BE108" i="61"/>
  <c r="BF108" i="61"/>
  <c r="BG108" i="61"/>
  <c r="BH108" i="61"/>
  <c r="BJ108" i="61"/>
  <c r="BK108" i="61"/>
  <c r="BL108" i="61"/>
  <c r="BM108" i="61"/>
  <c r="BN108" i="61"/>
  <c r="BO108" i="61"/>
  <c r="BP108" i="61"/>
  <c r="BQ108" i="61"/>
  <c r="BR108" i="61"/>
  <c r="BS108" i="61"/>
  <c r="BU108" i="61"/>
  <c r="BV108" i="61"/>
  <c r="BW108" i="61"/>
  <c r="BX108" i="61"/>
  <c r="BY108" i="61"/>
  <c r="BZ108" i="61"/>
  <c r="CA108" i="61"/>
  <c r="CB108" i="61"/>
  <c r="CC108" i="61"/>
  <c r="CD108" i="61"/>
  <c r="A109" i="61"/>
  <c r="E1" i="56"/>
  <c r="B2" i="56"/>
  <c r="E2" i="56"/>
  <c r="L3" i="56"/>
  <c r="M3" i="56"/>
  <c r="B4" i="56"/>
  <c r="D4" i="56"/>
  <c r="F4" i="56"/>
  <c r="H4" i="56"/>
  <c r="L4" i="56"/>
  <c r="M4" i="56"/>
  <c r="L5" i="56"/>
  <c r="M5" i="56"/>
  <c r="B6" i="56"/>
  <c r="D6" i="56"/>
  <c r="F6" i="56"/>
  <c r="H6" i="56"/>
  <c r="L6" i="56"/>
  <c r="M6" i="56"/>
  <c r="B7" i="56"/>
  <c r="D7" i="56"/>
  <c r="F7" i="56"/>
  <c r="H7" i="56"/>
  <c r="L8" i="56"/>
  <c r="M8" i="56"/>
  <c r="B9" i="56"/>
  <c r="D9" i="56"/>
  <c r="F9" i="56"/>
  <c r="H9" i="56"/>
  <c r="B10" i="56"/>
  <c r="D10" i="56"/>
  <c r="F10" i="56"/>
  <c r="H10" i="56"/>
  <c r="B11" i="56"/>
  <c r="D11" i="56"/>
  <c r="F11" i="56"/>
  <c r="H11" i="56"/>
  <c r="B13" i="56"/>
  <c r="D13" i="56"/>
  <c r="F13" i="56"/>
  <c r="H13" i="56"/>
  <c r="B15" i="56"/>
  <c r="D15" i="56"/>
  <c r="F15" i="56"/>
  <c r="H15" i="56"/>
  <c r="B16" i="56"/>
  <c r="D16" i="56"/>
  <c r="F16" i="56"/>
  <c r="H16" i="56"/>
  <c r="B18" i="56"/>
  <c r="D18" i="56"/>
  <c r="F18" i="56"/>
  <c r="H18" i="56"/>
  <c r="B19" i="56"/>
  <c r="D19" i="56"/>
  <c r="F19" i="56"/>
  <c r="H19" i="56"/>
  <c r="AF20" i="56"/>
  <c r="B21" i="56"/>
  <c r="D21" i="56"/>
  <c r="F21" i="56"/>
  <c r="H21" i="56"/>
  <c r="AI21" i="56"/>
  <c r="B22" i="56"/>
  <c r="D22" i="56"/>
  <c r="F22" i="56"/>
  <c r="H22" i="56"/>
  <c r="A23" i="56"/>
  <c r="B23" i="56"/>
  <c r="D23" i="56"/>
  <c r="F23" i="56"/>
  <c r="H23" i="56"/>
  <c r="AH23" i="56"/>
  <c r="AP24" i="56"/>
  <c r="AQ24" i="56"/>
  <c r="AU24" i="56"/>
  <c r="AV24" i="56"/>
  <c r="AW24" i="56"/>
  <c r="BA24" i="56"/>
  <c r="BB24" i="56"/>
  <c r="BF24" i="56"/>
  <c r="BG24" i="56"/>
  <c r="BH24" i="56"/>
  <c r="BL24" i="56"/>
  <c r="BM24" i="56"/>
  <c r="BQ24" i="56"/>
  <c r="BR24" i="56"/>
  <c r="BS24" i="56"/>
  <c r="BW24" i="56"/>
  <c r="BX24" i="56"/>
  <c r="CB24" i="56"/>
  <c r="CC24" i="56"/>
  <c r="CD24" i="56"/>
  <c r="B25" i="56"/>
  <c r="F25" i="56"/>
  <c r="AO25" i="56"/>
  <c r="AZ25" i="56"/>
  <c r="BK25" i="56"/>
  <c r="BV25" i="56"/>
  <c r="AO26" i="56"/>
  <c r="AP26" i="56"/>
  <c r="AQ26" i="56"/>
  <c r="AU26" i="56"/>
  <c r="AV26" i="56"/>
  <c r="AW26" i="56"/>
  <c r="AZ26" i="56"/>
  <c r="BA26" i="56"/>
  <c r="BB26" i="56"/>
  <c r="BF26" i="56"/>
  <c r="BG26" i="56"/>
  <c r="BH26" i="56"/>
  <c r="BK26" i="56"/>
  <c r="BL26" i="56"/>
  <c r="BM26" i="56"/>
  <c r="BQ26" i="56"/>
  <c r="BR26" i="56"/>
  <c r="BS26" i="56"/>
  <c r="BV26" i="56"/>
  <c r="BW26" i="56"/>
  <c r="BX26" i="56"/>
  <c r="CB26" i="56"/>
  <c r="CC26" i="56"/>
  <c r="CD26" i="56"/>
  <c r="AS27" i="56"/>
  <c r="BD27" i="56"/>
  <c r="BO27" i="56"/>
  <c r="BZ27" i="56"/>
  <c r="D28" i="56"/>
  <c r="K28" i="56"/>
  <c r="R28" i="56"/>
  <c r="Y28" i="56"/>
  <c r="AN28" i="56"/>
  <c r="AS28" i="56"/>
  <c r="AY28" i="56"/>
  <c r="BD28" i="56"/>
  <c r="BJ28" i="56"/>
  <c r="BO28" i="56"/>
  <c r="BU28" i="56"/>
  <c r="BZ28" i="56"/>
  <c r="AT29" i="56"/>
  <c r="AW29" i="56"/>
  <c r="BE29" i="56"/>
  <c r="BH29" i="56"/>
  <c r="BP29" i="56"/>
  <c r="BS29" i="56"/>
  <c r="CA29" i="56"/>
  <c r="CD29" i="56"/>
  <c r="B31" i="56"/>
  <c r="C31" i="56"/>
  <c r="D31" i="56"/>
  <c r="E31" i="56"/>
  <c r="F31" i="56"/>
  <c r="G31" i="56"/>
  <c r="H31" i="56"/>
  <c r="I31" i="56"/>
  <c r="K31" i="56"/>
  <c r="L31" i="56"/>
  <c r="M31" i="56"/>
  <c r="N31" i="56"/>
  <c r="O31" i="56"/>
  <c r="P31" i="56"/>
  <c r="R31" i="56"/>
  <c r="S31" i="56"/>
  <c r="T31" i="56"/>
  <c r="U31" i="56"/>
  <c r="V31" i="56"/>
  <c r="W31" i="56"/>
  <c r="Y31" i="56"/>
  <c r="Z31" i="56"/>
  <c r="AA31" i="56"/>
  <c r="AB31" i="56"/>
  <c r="AC31" i="56"/>
  <c r="AD31" i="56"/>
  <c r="AF31" i="56"/>
  <c r="AG31" i="56"/>
  <c r="AH31" i="56"/>
  <c r="AI31" i="56"/>
  <c r="AN31" i="56"/>
  <c r="AO31" i="56"/>
  <c r="AP31" i="56"/>
  <c r="AQ31" i="56"/>
  <c r="AR31" i="56"/>
  <c r="AS31" i="56"/>
  <c r="AT31" i="56"/>
  <c r="AU31" i="56"/>
  <c r="AV31" i="56"/>
  <c r="AW31" i="56"/>
  <c r="AY31" i="56"/>
  <c r="AZ31" i="56"/>
  <c r="BA31" i="56"/>
  <c r="BB31" i="56"/>
  <c r="BC31" i="56"/>
  <c r="BD31" i="56"/>
  <c r="BE31" i="56"/>
  <c r="BF31" i="56"/>
  <c r="BG31" i="56"/>
  <c r="BH31" i="56"/>
  <c r="BJ31" i="56"/>
  <c r="BK31" i="56"/>
  <c r="BL31" i="56"/>
  <c r="BM31" i="56"/>
  <c r="BN31" i="56"/>
  <c r="BO31" i="56"/>
  <c r="BP31" i="56"/>
  <c r="BQ31" i="56"/>
  <c r="BR31" i="56"/>
  <c r="BS31" i="56"/>
  <c r="BU31" i="56"/>
  <c r="BV31" i="56"/>
  <c r="BW31" i="56"/>
  <c r="BX31" i="56"/>
  <c r="BY31" i="56"/>
  <c r="BZ31" i="56"/>
  <c r="CA31" i="56"/>
  <c r="CB31" i="56"/>
  <c r="CC31" i="56"/>
  <c r="CD31" i="56"/>
  <c r="A32" i="56"/>
  <c r="B32" i="56"/>
  <c r="C32" i="56"/>
  <c r="D32" i="56"/>
  <c r="E32" i="56"/>
  <c r="F32" i="56"/>
  <c r="G32" i="56"/>
  <c r="H32" i="56"/>
  <c r="I32" i="56"/>
  <c r="K32" i="56"/>
  <c r="L32" i="56"/>
  <c r="M32" i="56"/>
  <c r="N32" i="56"/>
  <c r="O32" i="56"/>
  <c r="P32" i="56"/>
  <c r="R32" i="56"/>
  <c r="S32" i="56"/>
  <c r="T32" i="56"/>
  <c r="U32" i="56"/>
  <c r="V32" i="56"/>
  <c r="W32" i="56"/>
  <c r="Y32" i="56"/>
  <c r="Z32" i="56"/>
  <c r="AA32" i="56"/>
  <c r="AB32" i="56"/>
  <c r="AC32" i="56"/>
  <c r="AD32" i="56"/>
  <c r="AF32" i="56"/>
  <c r="AG32" i="56"/>
  <c r="AH32" i="56"/>
  <c r="AI32" i="56"/>
  <c r="AN32" i="56"/>
  <c r="AO32" i="56"/>
  <c r="AP32" i="56"/>
  <c r="AQ32" i="56"/>
  <c r="AR32" i="56"/>
  <c r="AS32" i="56"/>
  <c r="AT32" i="56"/>
  <c r="AU32" i="56"/>
  <c r="AV32" i="56"/>
  <c r="AW32" i="56"/>
  <c r="AY32" i="56"/>
  <c r="AZ32" i="56"/>
  <c r="BA32" i="56"/>
  <c r="BB32" i="56"/>
  <c r="BC32" i="56"/>
  <c r="BD32" i="56"/>
  <c r="BE32" i="56"/>
  <c r="BF32" i="56"/>
  <c r="BG32" i="56"/>
  <c r="BH32" i="56"/>
  <c r="BJ32" i="56"/>
  <c r="BK32" i="56"/>
  <c r="BL32" i="56"/>
  <c r="BM32" i="56"/>
  <c r="BN32" i="56"/>
  <c r="BO32" i="56"/>
  <c r="BP32" i="56"/>
  <c r="BQ32" i="56"/>
  <c r="BR32" i="56"/>
  <c r="BS32" i="56"/>
  <c r="BU32" i="56"/>
  <c r="BV32" i="56"/>
  <c r="BW32" i="56"/>
  <c r="BX32" i="56"/>
  <c r="BY32" i="56"/>
  <c r="BZ32" i="56"/>
  <c r="CA32" i="56"/>
  <c r="CB32" i="56"/>
  <c r="CC32" i="56"/>
  <c r="CD32" i="56"/>
  <c r="A33" i="56"/>
  <c r="B33" i="56"/>
  <c r="C33" i="56"/>
  <c r="D33" i="56"/>
  <c r="E33" i="56"/>
  <c r="F33" i="56"/>
  <c r="G33" i="56"/>
  <c r="H33" i="56"/>
  <c r="I33" i="56"/>
  <c r="K33" i="56"/>
  <c r="L33" i="56"/>
  <c r="M33" i="56"/>
  <c r="N33" i="56"/>
  <c r="O33" i="56"/>
  <c r="P33" i="56"/>
  <c r="R33" i="56"/>
  <c r="S33" i="56"/>
  <c r="T33" i="56"/>
  <c r="U33" i="56"/>
  <c r="V33" i="56"/>
  <c r="W33" i="56"/>
  <c r="Y33" i="56"/>
  <c r="Z33" i="56"/>
  <c r="AA33" i="56"/>
  <c r="AB33" i="56"/>
  <c r="AC33" i="56"/>
  <c r="AD33" i="56"/>
  <c r="AF33" i="56"/>
  <c r="AG33" i="56"/>
  <c r="AH33" i="56"/>
  <c r="AI33" i="56"/>
  <c r="AN33" i="56"/>
  <c r="AO33" i="56"/>
  <c r="AP33" i="56"/>
  <c r="AQ33" i="56"/>
  <c r="AR33" i="56"/>
  <c r="AS33" i="56"/>
  <c r="AT33" i="56"/>
  <c r="AU33" i="56"/>
  <c r="AV33" i="56"/>
  <c r="AW33" i="56"/>
  <c r="AY33" i="56"/>
  <c r="AZ33" i="56"/>
  <c r="BA33" i="56"/>
  <c r="BB33" i="56"/>
  <c r="BC33" i="56"/>
  <c r="BD33" i="56"/>
  <c r="BE33" i="56"/>
  <c r="BF33" i="56"/>
  <c r="BG33" i="56"/>
  <c r="BH33" i="56"/>
  <c r="BJ33" i="56"/>
  <c r="BK33" i="56"/>
  <c r="BL33" i="56"/>
  <c r="BM33" i="56"/>
  <c r="BN33" i="56"/>
  <c r="BO33" i="56"/>
  <c r="BP33" i="56"/>
  <c r="BQ33" i="56"/>
  <c r="BR33" i="56"/>
  <c r="BS33" i="56"/>
  <c r="BU33" i="56"/>
  <c r="BV33" i="56"/>
  <c r="BW33" i="56"/>
  <c r="BX33" i="56"/>
  <c r="BY33" i="56"/>
  <c r="BZ33" i="56"/>
  <c r="CA33" i="56"/>
  <c r="CB33" i="56"/>
  <c r="CC33" i="56"/>
  <c r="CD33" i="56"/>
  <c r="A34" i="56"/>
  <c r="B34" i="56"/>
  <c r="C34" i="56"/>
  <c r="D34" i="56"/>
  <c r="E34" i="56"/>
  <c r="F34" i="56"/>
  <c r="G34" i="56"/>
  <c r="H34" i="56"/>
  <c r="I34" i="56"/>
  <c r="K34" i="56"/>
  <c r="L34" i="56"/>
  <c r="M34" i="56"/>
  <c r="N34" i="56"/>
  <c r="O34" i="56"/>
  <c r="P34" i="56"/>
  <c r="R34" i="56"/>
  <c r="S34" i="56"/>
  <c r="T34" i="56"/>
  <c r="U34" i="56"/>
  <c r="V34" i="56"/>
  <c r="W34" i="56"/>
  <c r="Y34" i="56"/>
  <c r="Z34" i="56"/>
  <c r="AA34" i="56"/>
  <c r="AB34" i="56"/>
  <c r="AC34" i="56"/>
  <c r="AD34" i="56"/>
  <c r="AF34" i="56"/>
  <c r="AG34" i="56"/>
  <c r="AH34" i="56"/>
  <c r="AI34" i="56"/>
  <c r="AN34" i="56"/>
  <c r="AO34" i="56"/>
  <c r="AP34" i="56"/>
  <c r="AQ34" i="56"/>
  <c r="AR34" i="56"/>
  <c r="AS34" i="56"/>
  <c r="AT34" i="56"/>
  <c r="AU34" i="56"/>
  <c r="AV34" i="56"/>
  <c r="AW34" i="56"/>
  <c r="AY34" i="56"/>
  <c r="AZ34" i="56"/>
  <c r="BA34" i="56"/>
  <c r="BB34" i="56"/>
  <c r="BC34" i="56"/>
  <c r="BD34" i="56"/>
  <c r="BE34" i="56"/>
  <c r="BF34" i="56"/>
  <c r="BG34" i="56"/>
  <c r="BH34" i="56"/>
  <c r="BJ34" i="56"/>
  <c r="BK34" i="56"/>
  <c r="BL34" i="56"/>
  <c r="BM34" i="56"/>
  <c r="BN34" i="56"/>
  <c r="BO34" i="56"/>
  <c r="BP34" i="56"/>
  <c r="BQ34" i="56"/>
  <c r="BR34" i="56"/>
  <c r="BS34" i="56"/>
  <c r="BU34" i="56"/>
  <c r="BV34" i="56"/>
  <c r="BW34" i="56"/>
  <c r="BX34" i="56"/>
  <c r="BY34" i="56"/>
  <c r="BZ34" i="56"/>
  <c r="CA34" i="56"/>
  <c r="CB34" i="56"/>
  <c r="CC34" i="56"/>
  <c r="CD34" i="56"/>
  <c r="A35" i="56"/>
  <c r="B35" i="56"/>
  <c r="C35" i="56"/>
  <c r="D35" i="56"/>
  <c r="E35" i="56"/>
  <c r="F35" i="56"/>
  <c r="G35" i="56"/>
  <c r="H35" i="56"/>
  <c r="I35" i="56"/>
  <c r="K35" i="56"/>
  <c r="L35" i="56"/>
  <c r="M35" i="56"/>
  <c r="N35" i="56"/>
  <c r="O35" i="56"/>
  <c r="P35" i="56"/>
  <c r="R35" i="56"/>
  <c r="S35" i="56"/>
  <c r="T35" i="56"/>
  <c r="U35" i="56"/>
  <c r="V35" i="56"/>
  <c r="W35" i="56"/>
  <c r="Y35" i="56"/>
  <c r="Z35" i="56"/>
  <c r="AA35" i="56"/>
  <c r="AB35" i="56"/>
  <c r="AC35" i="56"/>
  <c r="AD35" i="56"/>
  <c r="AF35" i="56"/>
  <c r="AG35" i="56"/>
  <c r="AH35" i="56"/>
  <c r="AI35" i="56"/>
  <c r="AN35" i="56"/>
  <c r="AO35" i="56"/>
  <c r="AP35" i="56"/>
  <c r="AQ35" i="56"/>
  <c r="AR35" i="56"/>
  <c r="AS35" i="56"/>
  <c r="AT35" i="56"/>
  <c r="AU35" i="56"/>
  <c r="AV35" i="56"/>
  <c r="AW35" i="56"/>
  <c r="AY35" i="56"/>
  <c r="AZ35" i="56"/>
  <c r="BA35" i="56"/>
  <c r="BB35" i="56"/>
  <c r="BC35" i="56"/>
  <c r="BD35" i="56"/>
  <c r="BE35" i="56"/>
  <c r="BF35" i="56"/>
  <c r="BG35" i="56"/>
  <c r="BH35" i="56"/>
  <c r="BJ35" i="56"/>
  <c r="BK35" i="56"/>
  <c r="BL35" i="56"/>
  <c r="BM35" i="56"/>
  <c r="BN35" i="56"/>
  <c r="BO35" i="56"/>
  <c r="BP35" i="56"/>
  <c r="BQ35" i="56"/>
  <c r="BR35" i="56"/>
  <c r="BS35" i="56"/>
  <c r="BU35" i="56"/>
  <c r="BV35" i="56"/>
  <c r="BW35" i="56"/>
  <c r="BX35" i="56"/>
  <c r="BY35" i="56"/>
  <c r="BZ35" i="56"/>
  <c r="CA35" i="56"/>
  <c r="CB35" i="56"/>
  <c r="CC35" i="56"/>
  <c r="CD35" i="56"/>
  <c r="A36" i="56"/>
  <c r="B36" i="56"/>
  <c r="C36" i="56"/>
  <c r="D36" i="56"/>
  <c r="E36" i="56"/>
  <c r="F36" i="56"/>
  <c r="G36" i="56"/>
  <c r="H36" i="56"/>
  <c r="I36" i="56"/>
  <c r="J36" i="56"/>
  <c r="K36" i="56"/>
  <c r="L36" i="56"/>
  <c r="M36" i="56"/>
  <c r="N36" i="56"/>
  <c r="O36" i="56"/>
  <c r="P36" i="56"/>
  <c r="R36" i="56"/>
  <c r="S36" i="56"/>
  <c r="T36" i="56"/>
  <c r="U36" i="56"/>
  <c r="V36" i="56"/>
  <c r="W36" i="56"/>
  <c r="Y36" i="56"/>
  <c r="Z36" i="56"/>
  <c r="AA36" i="56"/>
  <c r="AB36" i="56"/>
  <c r="AC36" i="56"/>
  <c r="AD36" i="56"/>
  <c r="AF36" i="56"/>
  <c r="AG36" i="56"/>
  <c r="AH36" i="56"/>
  <c r="AI36" i="56"/>
  <c r="AN36" i="56"/>
  <c r="AO36" i="56"/>
  <c r="AP36" i="56"/>
  <c r="AQ36" i="56"/>
  <c r="AR36" i="56"/>
  <c r="AS36" i="56"/>
  <c r="AT36" i="56"/>
  <c r="AU36" i="56"/>
  <c r="AV36" i="56"/>
  <c r="AW36" i="56"/>
  <c r="AY36" i="56"/>
  <c r="AZ36" i="56"/>
  <c r="BA36" i="56"/>
  <c r="BB36" i="56"/>
  <c r="BC36" i="56"/>
  <c r="BD36" i="56"/>
  <c r="BE36" i="56"/>
  <c r="BF36" i="56"/>
  <c r="BG36" i="56"/>
  <c r="BH36" i="56"/>
  <c r="BJ36" i="56"/>
  <c r="BK36" i="56"/>
  <c r="BL36" i="56"/>
  <c r="BM36" i="56"/>
  <c r="BN36" i="56"/>
  <c r="BO36" i="56"/>
  <c r="BP36" i="56"/>
  <c r="BQ36" i="56"/>
  <c r="BR36" i="56"/>
  <c r="BS36" i="56"/>
  <c r="BU36" i="56"/>
  <c r="BV36" i="56"/>
  <c r="BW36" i="56"/>
  <c r="BX36" i="56"/>
  <c r="BY36" i="56"/>
  <c r="BZ36" i="56"/>
  <c r="CA36" i="56"/>
  <c r="CB36" i="56"/>
  <c r="CC36" i="56"/>
  <c r="CD36" i="56"/>
  <c r="A37" i="56"/>
  <c r="B37" i="56"/>
  <c r="C37" i="56"/>
  <c r="D37" i="56"/>
  <c r="E37" i="56"/>
  <c r="F37" i="56"/>
  <c r="G37" i="56"/>
  <c r="H37" i="56"/>
  <c r="I37" i="56"/>
  <c r="K37" i="56"/>
  <c r="L37" i="56"/>
  <c r="M37" i="56"/>
  <c r="N37" i="56"/>
  <c r="O37" i="56"/>
  <c r="P37" i="56"/>
  <c r="R37" i="56"/>
  <c r="S37" i="56"/>
  <c r="T37" i="56"/>
  <c r="U37" i="56"/>
  <c r="V37" i="56"/>
  <c r="W37" i="56"/>
  <c r="Y37" i="56"/>
  <c r="Z37" i="56"/>
  <c r="AA37" i="56"/>
  <c r="AB37" i="56"/>
  <c r="AC37" i="56"/>
  <c r="AD37" i="56"/>
  <c r="AF37" i="56"/>
  <c r="AG37" i="56"/>
  <c r="AH37" i="56"/>
  <c r="AI37" i="56"/>
  <c r="AN37" i="56"/>
  <c r="AO37" i="56"/>
  <c r="AP37" i="56"/>
  <c r="AQ37" i="56"/>
  <c r="AR37" i="56"/>
  <c r="AS37" i="56"/>
  <c r="AT37" i="56"/>
  <c r="AU37" i="56"/>
  <c r="AV37" i="56"/>
  <c r="AW37" i="56"/>
  <c r="AY37" i="56"/>
  <c r="AZ37" i="56"/>
  <c r="BA37" i="56"/>
  <c r="BB37" i="56"/>
  <c r="BC37" i="56"/>
  <c r="BD37" i="56"/>
  <c r="BE37" i="56"/>
  <c r="BF37" i="56"/>
  <c r="BG37" i="56"/>
  <c r="BH37" i="56"/>
  <c r="BJ37" i="56"/>
  <c r="BK37" i="56"/>
  <c r="BL37" i="56"/>
  <c r="BM37" i="56"/>
  <c r="BN37" i="56"/>
  <c r="BO37" i="56"/>
  <c r="BP37" i="56"/>
  <c r="BQ37" i="56"/>
  <c r="BR37" i="56"/>
  <c r="BS37" i="56"/>
  <c r="BU37" i="56"/>
  <c r="BV37" i="56"/>
  <c r="BW37" i="56"/>
  <c r="BX37" i="56"/>
  <c r="BY37" i="56"/>
  <c r="BZ37" i="56"/>
  <c r="CA37" i="56"/>
  <c r="CB37" i="56"/>
  <c r="CC37" i="56"/>
  <c r="CD37" i="56"/>
  <c r="A38" i="56"/>
  <c r="B38" i="56"/>
  <c r="C38" i="56"/>
  <c r="D38" i="56"/>
  <c r="E38" i="56"/>
  <c r="F38" i="56"/>
  <c r="G38" i="56"/>
  <c r="H38" i="56"/>
  <c r="I38" i="56"/>
  <c r="K38" i="56"/>
  <c r="L38" i="56"/>
  <c r="M38" i="56"/>
  <c r="N38" i="56"/>
  <c r="O38" i="56"/>
  <c r="P38" i="56"/>
  <c r="R38" i="56"/>
  <c r="S38" i="56"/>
  <c r="T38" i="56"/>
  <c r="U38" i="56"/>
  <c r="V38" i="56"/>
  <c r="W38" i="56"/>
  <c r="Y38" i="56"/>
  <c r="Z38" i="56"/>
  <c r="AA38" i="56"/>
  <c r="AB38" i="56"/>
  <c r="AC38" i="56"/>
  <c r="AD38" i="56"/>
  <c r="AF38" i="56"/>
  <c r="AG38" i="56"/>
  <c r="AH38" i="56"/>
  <c r="AI38" i="56"/>
  <c r="AN38" i="56"/>
  <c r="AO38" i="56"/>
  <c r="AP38" i="56"/>
  <c r="AQ38" i="56"/>
  <c r="AR38" i="56"/>
  <c r="AS38" i="56"/>
  <c r="AT38" i="56"/>
  <c r="AU38" i="56"/>
  <c r="AV38" i="56"/>
  <c r="AW38" i="56"/>
  <c r="AY38" i="56"/>
  <c r="AZ38" i="56"/>
  <c r="BA38" i="56"/>
  <c r="BB38" i="56"/>
  <c r="BC38" i="56"/>
  <c r="BD38" i="56"/>
  <c r="BE38" i="56"/>
  <c r="BF38" i="56"/>
  <c r="BG38" i="56"/>
  <c r="BH38" i="56"/>
  <c r="BJ38" i="56"/>
  <c r="BK38" i="56"/>
  <c r="BL38" i="56"/>
  <c r="BM38" i="56"/>
  <c r="BN38" i="56"/>
  <c r="BO38" i="56"/>
  <c r="BP38" i="56"/>
  <c r="BQ38" i="56"/>
  <c r="BR38" i="56"/>
  <c r="BS38" i="56"/>
  <c r="BU38" i="56"/>
  <c r="BV38" i="56"/>
  <c r="BW38" i="56"/>
  <c r="BX38" i="56"/>
  <c r="BY38" i="56"/>
  <c r="BZ38" i="56"/>
  <c r="CA38" i="56"/>
  <c r="CB38" i="56"/>
  <c r="CC38" i="56"/>
  <c r="CD38" i="56"/>
  <c r="A39" i="56"/>
  <c r="B39" i="56"/>
  <c r="C39" i="56"/>
  <c r="D39" i="56"/>
  <c r="E39" i="56"/>
  <c r="F39" i="56"/>
  <c r="G39" i="56"/>
  <c r="H39" i="56"/>
  <c r="I39" i="56"/>
  <c r="K39" i="56"/>
  <c r="L39" i="56"/>
  <c r="M39" i="56"/>
  <c r="N39" i="56"/>
  <c r="O39" i="56"/>
  <c r="P39" i="56"/>
  <c r="R39" i="56"/>
  <c r="S39" i="56"/>
  <c r="T39" i="56"/>
  <c r="U39" i="56"/>
  <c r="V39" i="56"/>
  <c r="W39" i="56"/>
  <c r="Y39" i="56"/>
  <c r="Z39" i="56"/>
  <c r="AA39" i="56"/>
  <c r="AB39" i="56"/>
  <c r="AC39" i="56"/>
  <c r="AD39" i="56"/>
  <c r="AF39" i="56"/>
  <c r="AG39" i="56"/>
  <c r="AH39" i="56"/>
  <c r="AI39" i="56"/>
  <c r="AN39" i="56"/>
  <c r="AO39" i="56"/>
  <c r="AP39" i="56"/>
  <c r="AQ39" i="56"/>
  <c r="AR39" i="56"/>
  <c r="AS39" i="56"/>
  <c r="AT39" i="56"/>
  <c r="AU39" i="56"/>
  <c r="AV39" i="56"/>
  <c r="AW39" i="56"/>
  <c r="AY39" i="56"/>
  <c r="AZ39" i="56"/>
  <c r="BA39" i="56"/>
  <c r="BB39" i="56"/>
  <c r="BC39" i="56"/>
  <c r="BD39" i="56"/>
  <c r="BE39" i="56"/>
  <c r="BF39" i="56"/>
  <c r="BG39" i="56"/>
  <c r="BH39" i="56"/>
  <c r="BJ39" i="56"/>
  <c r="BK39" i="56"/>
  <c r="BL39" i="56"/>
  <c r="BM39" i="56"/>
  <c r="BN39" i="56"/>
  <c r="BO39" i="56"/>
  <c r="BP39" i="56"/>
  <c r="BQ39" i="56"/>
  <c r="BR39" i="56"/>
  <c r="BS39" i="56"/>
  <c r="BU39" i="56"/>
  <c r="BV39" i="56"/>
  <c r="BW39" i="56"/>
  <c r="BX39" i="56"/>
  <c r="BY39" i="56"/>
  <c r="BZ39" i="56"/>
  <c r="CA39" i="56"/>
  <c r="CB39" i="56"/>
  <c r="CC39" i="56"/>
  <c r="CD39" i="56"/>
  <c r="A40" i="56"/>
  <c r="B40" i="56"/>
  <c r="C40" i="56"/>
  <c r="D40" i="56"/>
  <c r="E40" i="56"/>
  <c r="F40" i="56"/>
  <c r="G40" i="56"/>
  <c r="H40" i="56"/>
  <c r="I40" i="56"/>
  <c r="K40" i="56"/>
  <c r="L40" i="56"/>
  <c r="M40" i="56"/>
  <c r="N40" i="56"/>
  <c r="O40" i="56"/>
  <c r="P40" i="56"/>
  <c r="R40" i="56"/>
  <c r="S40" i="56"/>
  <c r="T40" i="56"/>
  <c r="U40" i="56"/>
  <c r="V40" i="56"/>
  <c r="W40" i="56"/>
  <c r="Y40" i="56"/>
  <c r="Z40" i="56"/>
  <c r="AA40" i="56"/>
  <c r="AB40" i="56"/>
  <c r="AC40" i="56"/>
  <c r="AD40" i="56"/>
  <c r="AF40" i="56"/>
  <c r="AG40" i="56"/>
  <c r="AH40" i="56"/>
  <c r="AI40" i="56"/>
  <c r="AN40" i="56"/>
  <c r="AO40" i="56"/>
  <c r="AP40" i="56"/>
  <c r="AQ40" i="56"/>
  <c r="AR40" i="56"/>
  <c r="AS40" i="56"/>
  <c r="AT40" i="56"/>
  <c r="AU40" i="56"/>
  <c r="AV40" i="56"/>
  <c r="AW40" i="56"/>
  <c r="AY40" i="56"/>
  <c r="AZ40" i="56"/>
  <c r="BA40" i="56"/>
  <c r="BB40" i="56"/>
  <c r="BC40" i="56"/>
  <c r="BD40" i="56"/>
  <c r="BE40" i="56"/>
  <c r="BF40" i="56"/>
  <c r="BG40" i="56"/>
  <c r="BH40" i="56"/>
  <c r="BJ40" i="56"/>
  <c r="BK40" i="56"/>
  <c r="BL40" i="56"/>
  <c r="BM40" i="56"/>
  <c r="BN40" i="56"/>
  <c r="BO40" i="56"/>
  <c r="BP40" i="56"/>
  <c r="BQ40" i="56"/>
  <c r="BR40" i="56"/>
  <c r="BS40" i="56"/>
  <c r="BU40" i="56"/>
  <c r="BV40" i="56"/>
  <c r="BW40" i="56"/>
  <c r="BX40" i="56"/>
  <c r="BY40" i="56"/>
  <c r="BZ40" i="56"/>
  <c r="CA40" i="56"/>
  <c r="CB40" i="56"/>
  <c r="CC40" i="56"/>
  <c r="CD40" i="56"/>
  <c r="A41" i="56"/>
  <c r="B41" i="56"/>
  <c r="C41" i="56"/>
  <c r="D41" i="56"/>
  <c r="E41" i="56"/>
  <c r="F41" i="56"/>
  <c r="G41" i="56"/>
  <c r="H41" i="56"/>
  <c r="I41" i="56"/>
  <c r="K41" i="56"/>
  <c r="L41" i="56"/>
  <c r="M41" i="56"/>
  <c r="N41" i="56"/>
  <c r="O41" i="56"/>
  <c r="P41" i="56"/>
  <c r="R41" i="56"/>
  <c r="S41" i="56"/>
  <c r="T41" i="56"/>
  <c r="U41" i="56"/>
  <c r="V41" i="56"/>
  <c r="W41" i="56"/>
  <c r="Y41" i="56"/>
  <c r="Z41" i="56"/>
  <c r="AA41" i="56"/>
  <c r="AB41" i="56"/>
  <c r="AC41" i="56"/>
  <c r="AD41" i="56"/>
  <c r="AF41" i="56"/>
  <c r="AG41" i="56"/>
  <c r="AH41" i="56"/>
  <c r="AI41" i="56"/>
  <c r="AN41" i="56"/>
  <c r="AO41" i="56"/>
  <c r="AP41" i="56"/>
  <c r="AQ41" i="56"/>
  <c r="AR41" i="56"/>
  <c r="AS41" i="56"/>
  <c r="AT41" i="56"/>
  <c r="AU41" i="56"/>
  <c r="AV41" i="56"/>
  <c r="AW41" i="56"/>
  <c r="AY41" i="56"/>
  <c r="AZ41" i="56"/>
  <c r="BA41" i="56"/>
  <c r="BB41" i="56"/>
  <c r="BC41" i="56"/>
  <c r="BD41" i="56"/>
  <c r="BE41" i="56"/>
  <c r="BF41" i="56"/>
  <c r="BG41" i="56"/>
  <c r="BH41" i="56"/>
  <c r="BJ41" i="56"/>
  <c r="BK41" i="56"/>
  <c r="BL41" i="56"/>
  <c r="BM41" i="56"/>
  <c r="BN41" i="56"/>
  <c r="BO41" i="56"/>
  <c r="BP41" i="56"/>
  <c r="BQ41" i="56"/>
  <c r="BR41" i="56"/>
  <c r="BS41" i="56"/>
  <c r="BU41" i="56"/>
  <c r="BV41" i="56"/>
  <c r="BW41" i="56"/>
  <c r="BX41" i="56"/>
  <c r="BY41" i="56"/>
  <c r="BZ41" i="56"/>
  <c r="CA41" i="56"/>
  <c r="CB41" i="56"/>
  <c r="CC41" i="56"/>
  <c r="CD41" i="56"/>
  <c r="A42" i="56"/>
  <c r="B42" i="56"/>
  <c r="C42" i="56"/>
  <c r="D42" i="56"/>
  <c r="E42" i="56"/>
  <c r="F42" i="56"/>
  <c r="G42" i="56"/>
  <c r="H42" i="56"/>
  <c r="I42" i="56"/>
  <c r="K42" i="56"/>
  <c r="L42" i="56"/>
  <c r="M42" i="56"/>
  <c r="N42" i="56"/>
  <c r="O42" i="56"/>
  <c r="P42" i="56"/>
  <c r="R42" i="56"/>
  <c r="S42" i="56"/>
  <c r="T42" i="56"/>
  <c r="U42" i="56"/>
  <c r="V42" i="56"/>
  <c r="W42" i="56"/>
  <c r="Y42" i="56"/>
  <c r="Z42" i="56"/>
  <c r="AA42" i="56"/>
  <c r="AB42" i="56"/>
  <c r="AC42" i="56"/>
  <c r="AD42" i="56"/>
  <c r="AF42" i="56"/>
  <c r="AG42" i="56"/>
  <c r="AH42" i="56"/>
  <c r="AI42" i="56"/>
  <c r="AN42" i="56"/>
  <c r="AO42" i="56"/>
  <c r="AP42" i="56"/>
  <c r="AQ42" i="56"/>
  <c r="AR42" i="56"/>
  <c r="AS42" i="56"/>
  <c r="AT42" i="56"/>
  <c r="AU42" i="56"/>
  <c r="AV42" i="56"/>
  <c r="AW42" i="56"/>
  <c r="AY42" i="56"/>
  <c r="AZ42" i="56"/>
  <c r="BA42" i="56"/>
  <c r="BB42" i="56"/>
  <c r="BC42" i="56"/>
  <c r="BD42" i="56"/>
  <c r="BE42" i="56"/>
  <c r="BF42" i="56"/>
  <c r="BG42" i="56"/>
  <c r="BH42" i="56"/>
  <c r="BJ42" i="56"/>
  <c r="BK42" i="56"/>
  <c r="BL42" i="56"/>
  <c r="BM42" i="56"/>
  <c r="BN42" i="56"/>
  <c r="BO42" i="56"/>
  <c r="BP42" i="56"/>
  <c r="BQ42" i="56"/>
  <c r="BR42" i="56"/>
  <c r="BS42" i="56"/>
  <c r="BU42" i="56"/>
  <c r="BV42" i="56"/>
  <c r="BW42" i="56"/>
  <c r="BX42" i="56"/>
  <c r="BY42" i="56"/>
  <c r="BZ42" i="56"/>
  <c r="CA42" i="56"/>
  <c r="CB42" i="56"/>
  <c r="CC42" i="56"/>
  <c r="CD42" i="56"/>
  <c r="A43" i="56"/>
  <c r="B43" i="56"/>
  <c r="C43" i="56"/>
  <c r="D43" i="56"/>
  <c r="E43" i="56"/>
  <c r="F43" i="56"/>
  <c r="G43" i="56"/>
  <c r="H43" i="56"/>
  <c r="I43" i="56"/>
  <c r="K43" i="56"/>
  <c r="L43" i="56"/>
  <c r="M43" i="56"/>
  <c r="N43" i="56"/>
  <c r="O43" i="56"/>
  <c r="P43" i="56"/>
  <c r="R43" i="56"/>
  <c r="S43" i="56"/>
  <c r="T43" i="56"/>
  <c r="U43" i="56"/>
  <c r="V43" i="56"/>
  <c r="W43" i="56"/>
  <c r="Y43" i="56"/>
  <c r="Z43" i="56"/>
  <c r="AA43" i="56"/>
  <c r="AB43" i="56"/>
  <c r="AC43" i="56"/>
  <c r="AD43" i="56"/>
  <c r="AF43" i="56"/>
  <c r="AG43" i="56"/>
  <c r="AH43" i="56"/>
  <c r="AI43" i="56"/>
  <c r="AN43" i="56"/>
  <c r="AO43" i="56"/>
  <c r="AP43" i="56"/>
  <c r="AQ43" i="56"/>
  <c r="AR43" i="56"/>
  <c r="AS43" i="56"/>
  <c r="AT43" i="56"/>
  <c r="AU43" i="56"/>
  <c r="AV43" i="56"/>
  <c r="AW43" i="56"/>
  <c r="AY43" i="56"/>
  <c r="AZ43" i="56"/>
  <c r="BA43" i="56"/>
  <c r="BB43" i="56"/>
  <c r="BC43" i="56"/>
  <c r="BD43" i="56"/>
  <c r="BE43" i="56"/>
  <c r="BF43" i="56"/>
  <c r="BG43" i="56"/>
  <c r="BH43" i="56"/>
  <c r="BJ43" i="56"/>
  <c r="BK43" i="56"/>
  <c r="BL43" i="56"/>
  <c r="BM43" i="56"/>
  <c r="BN43" i="56"/>
  <c r="BO43" i="56"/>
  <c r="BP43" i="56"/>
  <c r="BQ43" i="56"/>
  <c r="BR43" i="56"/>
  <c r="BS43" i="56"/>
  <c r="BU43" i="56"/>
  <c r="BV43" i="56"/>
  <c r="BW43" i="56"/>
  <c r="BX43" i="56"/>
  <c r="BY43" i="56"/>
  <c r="BZ43" i="56"/>
  <c r="CA43" i="56"/>
  <c r="CB43" i="56"/>
  <c r="CC43" i="56"/>
  <c r="CD43" i="56"/>
  <c r="A44" i="56"/>
  <c r="B44" i="56"/>
  <c r="C44" i="56"/>
  <c r="D44" i="56"/>
  <c r="E44" i="56"/>
  <c r="F44" i="56"/>
  <c r="G44" i="56"/>
  <c r="H44" i="56"/>
  <c r="I44" i="56"/>
  <c r="K44" i="56"/>
  <c r="L44" i="56"/>
  <c r="M44" i="56"/>
  <c r="N44" i="56"/>
  <c r="O44" i="56"/>
  <c r="P44" i="56"/>
  <c r="R44" i="56"/>
  <c r="S44" i="56"/>
  <c r="T44" i="56"/>
  <c r="U44" i="56"/>
  <c r="V44" i="56"/>
  <c r="W44" i="56"/>
  <c r="Y44" i="56"/>
  <c r="Z44" i="56"/>
  <c r="AA44" i="56"/>
  <c r="AB44" i="56"/>
  <c r="AC44" i="56"/>
  <c r="AD44" i="56"/>
  <c r="AF44" i="56"/>
  <c r="AG44" i="56"/>
  <c r="AH44" i="56"/>
  <c r="AI44" i="56"/>
  <c r="AN44" i="56"/>
  <c r="AO44" i="56"/>
  <c r="AP44" i="56"/>
  <c r="AQ44" i="56"/>
  <c r="AR44" i="56"/>
  <c r="AS44" i="56"/>
  <c r="AT44" i="56"/>
  <c r="AU44" i="56"/>
  <c r="AV44" i="56"/>
  <c r="AW44" i="56"/>
  <c r="AY44" i="56"/>
  <c r="AZ44" i="56"/>
  <c r="BA44" i="56"/>
  <c r="BB44" i="56"/>
  <c r="BC44" i="56"/>
  <c r="BD44" i="56"/>
  <c r="BE44" i="56"/>
  <c r="BF44" i="56"/>
  <c r="BG44" i="56"/>
  <c r="BH44" i="56"/>
  <c r="BJ44" i="56"/>
  <c r="BK44" i="56"/>
  <c r="BL44" i="56"/>
  <c r="BM44" i="56"/>
  <c r="BN44" i="56"/>
  <c r="BO44" i="56"/>
  <c r="BP44" i="56"/>
  <c r="BQ44" i="56"/>
  <c r="BR44" i="56"/>
  <c r="BS44" i="56"/>
  <c r="BU44" i="56"/>
  <c r="BV44" i="56"/>
  <c r="BW44" i="56"/>
  <c r="BX44" i="56"/>
  <c r="BY44" i="56"/>
  <c r="BZ44" i="56"/>
  <c r="CA44" i="56"/>
  <c r="CB44" i="56"/>
  <c r="CC44" i="56"/>
  <c r="CD44" i="56"/>
  <c r="A45" i="56"/>
  <c r="B45" i="56"/>
  <c r="C45" i="56"/>
  <c r="D45" i="56"/>
  <c r="E45" i="56"/>
  <c r="F45" i="56"/>
  <c r="G45" i="56"/>
  <c r="H45" i="56"/>
  <c r="I45" i="56"/>
  <c r="K45" i="56"/>
  <c r="L45" i="56"/>
  <c r="M45" i="56"/>
  <c r="N45" i="56"/>
  <c r="O45" i="56"/>
  <c r="P45" i="56"/>
  <c r="R45" i="56"/>
  <c r="S45" i="56"/>
  <c r="T45" i="56"/>
  <c r="U45" i="56"/>
  <c r="V45" i="56"/>
  <c r="W45" i="56"/>
  <c r="Y45" i="56"/>
  <c r="Z45" i="56"/>
  <c r="AA45" i="56"/>
  <c r="AB45" i="56"/>
  <c r="AC45" i="56"/>
  <c r="AD45" i="56"/>
  <c r="AF45" i="56"/>
  <c r="AG45" i="56"/>
  <c r="AH45" i="56"/>
  <c r="AI45" i="56"/>
  <c r="AN45" i="56"/>
  <c r="AO45" i="56"/>
  <c r="AP45" i="56"/>
  <c r="AQ45" i="56"/>
  <c r="AR45" i="56"/>
  <c r="AS45" i="56"/>
  <c r="AT45" i="56"/>
  <c r="AU45" i="56"/>
  <c r="AV45" i="56"/>
  <c r="AW45" i="56"/>
  <c r="AY45" i="56"/>
  <c r="AZ45" i="56"/>
  <c r="BA45" i="56"/>
  <c r="BB45" i="56"/>
  <c r="BC45" i="56"/>
  <c r="BD45" i="56"/>
  <c r="BE45" i="56"/>
  <c r="BF45" i="56"/>
  <c r="BG45" i="56"/>
  <c r="BH45" i="56"/>
  <c r="BJ45" i="56"/>
  <c r="BK45" i="56"/>
  <c r="BL45" i="56"/>
  <c r="BM45" i="56"/>
  <c r="BN45" i="56"/>
  <c r="BO45" i="56"/>
  <c r="BP45" i="56"/>
  <c r="BQ45" i="56"/>
  <c r="BR45" i="56"/>
  <c r="BS45" i="56"/>
  <c r="BU45" i="56"/>
  <c r="BV45" i="56"/>
  <c r="BW45" i="56"/>
  <c r="BX45" i="56"/>
  <c r="BY45" i="56"/>
  <c r="BZ45" i="56"/>
  <c r="CA45" i="56"/>
  <c r="CB45" i="56"/>
  <c r="CC45" i="56"/>
  <c r="CD45" i="56"/>
  <c r="A46" i="56"/>
  <c r="B46" i="56"/>
  <c r="C46" i="56"/>
  <c r="D46" i="56"/>
  <c r="E46" i="56"/>
  <c r="F46" i="56"/>
  <c r="G46" i="56"/>
  <c r="H46" i="56"/>
  <c r="I46" i="56"/>
  <c r="K46" i="56"/>
  <c r="L46" i="56"/>
  <c r="M46" i="56"/>
  <c r="N46" i="56"/>
  <c r="O46" i="56"/>
  <c r="P46" i="56"/>
  <c r="R46" i="56"/>
  <c r="S46" i="56"/>
  <c r="T46" i="56"/>
  <c r="U46" i="56"/>
  <c r="V46" i="56"/>
  <c r="W46" i="56"/>
  <c r="Y46" i="56"/>
  <c r="Z46" i="56"/>
  <c r="AA46" i="56"/>
  <c r="AB46" i="56"/>
  <c r="AC46" i="56"/>
  <c r="AD46" i="56"/>
  <c r="AF46" i="56"/>
  <c r="AG46" i="56"/>
  <c r="AH46" i="56"/>
  <c r="AI46" i="56"/>
  <c r="AN46" i="56"/>
  <c r="AO46" i="56"/>
  <c r="AP46" i="56"/>
  <c r="AQ46" i="56"/>
  <c r="AR46" i="56"/>
  <c r="AS46" i="56"/>
  <c r="AT46" i="56"/>
  <c r="AU46" i="56"/>
  <c r="AV46" i="56"/>
  <c r="AW46" i="56"/>
  <c r="AY46" i="56"/>
  <c r="AZ46" i="56"/>
  <c r="BA46" i="56"/>
  <c r="BB46" i="56"/>
  <c r="BC46" i="56"/>
  <c r="BD46" i="56"/>
  <c r="BE46" i="56"/>
  <c r="BF46" i="56"/>
  <c r="BG46" i="56"/>
  <c r="BH46" i="56"/>
  <c r="BJ46" i="56"/>
  <c r="BK46" i="56"/>
  <c r="BL46" i="56"/>
  <c r="BM46" i="56"/>
  <c r="BN46" i="56"/>
  <c r="BO46" i="56"/>
  <c r="BP46" i="56"/>
  <c r="BQ46" i="56"/>
  <c r="BR46" i="56"/>
  <c r="BS46" i="56"/>
  <c r="BU46" i="56"/>
  <c r="BV46" i="56"/>
  <c r="BW46" i="56"/>
  <c r="BX46" i="56"/>
  <c r="BY46" i="56"/>
  <c r="BZ46" i="56"/>
  <c r="CA46" i="56"/>
  <c r="CB46" i="56"/>
  <c r="CC46" i="56"/>
  <c r="CD46" i="56"/>
  <c r="A47" i="56"/>
  <c r="B47" i="56"/>
  <c r="C47" i="56"/>
  <c r="D47" i="56"/>
  <c r="E47" i="56"/>
  <c r="F47" i="56"/>
  <c r="G47" i="56"/>
  <c r="H47" i="56"/>
  <c r="I47" i="56"/>
  <c r="K47" i="56"/>
  <c r="L47" i="56"/>
  <c r="M47" i="56"/>
  <c r="N47" i="56"/>
  <c r="O47" i="56"/>
  <c r="P47" i="56"/>
  <c r="R47" i="56"/>
  <c r="S47" i="56"/>
  <c r="T47" i="56"/>
  <c r="U47" i="56"/>
  <c r="V47" i="56"/>
  <c r="W47" i="56"/>
  <c r="Y47" i="56"/>
  <c r="Z47" i="56"/>
  <c r="AA47" i="56"/>
  <c r="AB47" i="56"/>
  <c r="AC47" i="56"/>
  <c r="AD47" i="56"/>
  <c r="AF47" i="56"/>
  <c r="AG47" i="56"/>
  <c r="AH47" i="56"/>
  <c r="AI47" i="56"/>
  <c r="AN47" i="56"/>
  <c r="AO47" i="56"/>
  <c r="AP47" i="56"/>
  <c r="AQ47" i="56"/>
  <c r="AR47" i="56"/>
  <c r="AS47" i="56"/>
  <c r="AT47" i="56"/>
  <c r="AU47" i="56"/>
  <c r="AV47" i="56"/>
  <c r="AW47" i="56"/>
  <c r="AY47" i="56"/>
  <c r="AZ47" i="56"/>
  <c r="BA47" i="56"/>
  <c r="BB47" i="56"/>
  <c r="BC47" i="56"/>
  <c r="BD47" i="56"/>
  <c r="BE47" i="56"/>
  <c r="BF47" i="56"/>
  <c r="BG47" i="56"/>
  <c r="BH47" i="56"/>
  <c r="BJ47" i="56"/>
  <c r="BK47" i="56"/>
  <c r="BL47" i="56"/>
  <c r="BM47" i="56"/>
  <c r="BN47" i="56"/>
  <c r="BO47" i="56"/>
  <c r="BP47" i="56"/>
  <c r="BQ47" i="56"/>
  <c r="BR47" i="56"/>
  <c r="BS47" i="56"/>
  <c r="BU47" i="56"/>
  <c r="BV47" i="56"/>
  <c r="BW47" i="56"/>
  <c r="BX47" i="56"/>
  <c r="BY47" i="56"/>
  <c r="BZ47" i="56"/>
  <c r="CA47" i="56"/>
  <c r="CB47" i="56"/>
  <c r="CC47" i="56"/>
  <c r="CD47" i="56"/>
  <c r="A48" i="56"/>
  <c r="B48" i="56"/>
  <c r="C48" i="56"/>
  <c r="D48" i="56"/>
  <c r="E48" i="56"/>
  <c r="F48" i="56"/>
  <c r="G48" i="56"/>
  <c r="H48" i="56"/>
  <c r="I48" i="56"/>
  <c r="K48" i="56"/>
  <c r="L48" i="56"/>
  <c r="M48" i="56"/>
  <c r="N48" i="56"/>
  <c r="O48" i="56"/>
  <c r="P48" i="56"/>
  <c r="R48" i="56"/>
  <c r="S48" i="56"/>
  <c r="T48" i="56"/>
  <c r="U48" i="56"/>
  <c r="V48" i="56"/>
  <c r="W48" i="56"/>
  <c r="Y48" i="56"/>
  <c r="Z48" i="56"/>
  <c r="AA48" i="56"/>
  <c r="AB48" i="56"/>
  <c r="AC48" i="56"/>
  <c r="AD48" i="56"/>
  <c r="AF48" i="56"/>
  <c r="AG48" i="56"/>
  <c r="AH48" i="56"/>
  <c r="AI48" i="56"/>
  <c r="AN48" i="56"/>
  <c r="AO48" i="56"/>
  <c r="AP48" i="56"/>
  <c r="AQ48" i="56"/>
  <c r="AR48" i="56"/>
  <c r="AS48" i="56"/>
  <c r="AT48" i="56"/>
  <c r="AU48" i="56"/>
  <c r="AV48" i="56"/>
  <c r="AW48" i="56"/>
  <c r="AY48" i="56"/>
  <c r="AZ48" i="56"/>
  <c r="BA48" i="56"/>
  <c r="BB48" i="56"/>
  <c r="BC48" i="56"/>
  <c r="BD48" i="56"/>
  <c r="BE48" i="56"/>
  <c r="BF48" i="56"/>
  <c r="BG48" i="56"/>
  <c r="BH48" i="56"/>
  <c r="BJ48" i="56"/>
  <c r="BK48" i="56"/>
  <c r="BL48" i="56"/>
  <c r="BM48" i="56"/>
  <c r="BN48" i="56"/>
  <c r="BO48" i="56"/>
  <c r="BP48" i="56"/>
  <c r="BQ48" i="56"/>
  <c r="BR48" i="56"/>
  <c r="BS48" i="56"/>
  <c r="BU48" i="56"/>
  <c r="BV48" i="56"/>
  <c r="BW48" i="56"/>
  <c r="BX48" i="56"/>
  <c r="BY48" i="56"/>
  <c r="BZ48" i="56"/>
  <c r="CA48" i="56"/>
  <c r="CB48" i="56"/>
  <c r="CC48" i="56"/>
  <c r="CD48" i="56"/>
  <c r="A49" i="56"/>
  <c r="B49" i="56"/>
  <c r="C49" i="56"/>
  <c r="D49" i="56"/>
  <c r="E49" i="56"/>
  <c r="F49" i="56"/>
  <c r="G49" i="56"/>
  <c r="H49" i="56"/>
  <c r="I49" i="56"/>
  <c r="K49" i="56"/>
  <c r="L49" i="56"/>
  <c r="M49" i="56"/>
  <c r="N49" i="56"/>
  <c r="O49" i="56"/>
  <c r="P49" i="56"/>
  <c r="R49" i="56"/>
  <c r="S49" i="56"/>
  <c r="T49" i="56"/>
  <c r="U49" i="56"/>
  <c r="V49" i="56"/>
  <c r="W49" i="56"/>
  <c r="Y49" i="56"/>
  <c r="Z49" i="56"/>
  <c r="AA49" i="56"/>
  <c r="AB49" i="56"/>
  <c r="AC49" i="56"/>
  <c r="AD49" i="56"/>
  <c r="AF49" i="56"/>
  <c r="AG49" i="56"/>
  <c r="AH49" i="56"/>
  <c r="AI49" i="56"/>
  <c r="AN49" i="56"/>
  <c r="AO49" i="56"/>
  <c r="AP49" i="56"/>
  <c r="AQ49" i="56"/>
  <c r="AR49" i="56"/>
  <c r="AS49" i="56"/>
  <c r="AT49" i="56"/>
  <c r="AU49" i="56"/>
  <c r="AV49" i="56"/>
  <c r="AW49" i="56"/>
  <c r="AY49" i="56"/>
  <c r="AZ49" i="56"/>
  <c r="BA49" i="56"/>
  <c r="BB49" i="56"/>
  <c r="BC49" i="56"/>
  <c r="BD49" i="56"/>
  <c r="BE49" i="56"/>
  <c r="BF49" i="56"/>
  <c r="BG49" i="56"/>
  <c r="BH49" i="56"/>
  <c r="BJ49" i="56"/>
  <c r="BK49" i="56"/>
  <c r="BL49" i="56"/>
  <c r="BM49" i="56"/>
  <c r="BN49" i="56"/>
  <c r="BO49" i="56"/>
  <c r="BP49" i="56"/>
  <c r="BQ49" i="56"/>
  <c r="BR49" i="56"/>
  <c r="BS49" i="56"/>
  <c r="BU49" i="56"/>
  <c r="BV49" i="56"/>
  <c r="BW49" i="56"/>
  <c r="BX49" i="56"/>
  <c r="BY49" i="56"/>
  <c r="BZ49" i="56"/>
  <c r="CA49" i="56"/>
  <c r="CB49" i="56"/>
  <c r="CC49" i="56"/>
  <c r="CD49" i="56"/>
  <c r="A50" i="56"/>
  <c r="B50" i="56"/>
  <c r="C50" i="56"/>
  <c r="D50" i="56"/>
  <c r="E50" i="56"/>
  <c r="F50" i="56"/>
  <c r="G50" i="56"/>
  <c r="H50" i="56"/>
  <c r="I50" i="56"/>
  <c r="K50" i="56"/>
  <c r="L50" i="56"/>
  <c r="M50" i="56"/>
  <c r="N50" i="56"/>
  <c r="O50" i="56"/>
  <c r="P50" i="56"/>
  <c r="R50" i="56"/>
  <c r="S50" i="56"/>
  <c r="T50" i="56"/>
  <c r="U50" i="56"/>
  <c r="V50" i="56"/>
  <c r="W50" i="56"/>
  <c r="Y50" i="56"/>
  <c r="Z50" i="56"/>
  <c r="AA50" i="56"/>
  <c r="AB50" i="56"/>
  <c r="AC50" i="56"/>
  <c r="AD50" i="56"/>
  <c r="AF50" i="56"/>
  <c r="AG50" i="56"/>
  <c r="AH50" i="56"/>
  <c r="AI50" i="56"/>
  <c r="AN50" i="56"/>
  <c r="AO50" i="56"/>
  <c r="AP50" i="56"/>
  <c r="AQ50" i="56"/>
  <c r="AR50" i="56"/>
  <c r="AS50" i="56"/>
  <c r="AT50" i="56"/>
  <c r="AU50" i="56"/>
  <c r="AV50" i="56"/>
  <c r="AW50" i="56"/>
  <c r="AY50" i="56"/>
  <c r="AZ50" i="56"/>
  <c r="BA50" i="56"/>
  <c r="BB50" i="56"/>
  <c r="BC50" i="56"/>
  <c r="BD50" i="56"/>
  <c r="BE50" i="56"/>
  <c r="BF50" i="56"/>
  <c r="BG50" i="56"/>
  <c r="BH50" i="56"/>
  <c r="BJ50" i="56"/>
  <c r="BK50" i="56"/>
  <c r="BL50" i="56"/>
  <c r="BM50" i="56"/>
  <c r="BN50" i="56"/>
  <c r="BO50" i="56"/>
  <c r="BP50" i="56"/>
  <c r="BQ50" i="56"/>
  <c r="BR50" i="56"/>
  <c r="BS50" i="56"/>
  <c r="BU50" i="56"/>
  <c r="BV50" i="56"/>
  <c r="BW50" i="56"/>
  <c r="BX50" i="56"/>
  <c r="BY50" i="56"/>
  <c r="BZ50" i="56"/>
  <c r="CA50" i="56"/>
  <c r="CB50" i="56"/>
  <c r="CC50" i="56"/>
  <c r="CD50" i="56"/>
  <c r="A51" i="56"/>
  <c r="B51" i="56"/>
  <c r="C51" i="56"/>
  <c r="D51" i="56"/>
  <c r="E51" i="56"/>
  <c r="F51" i="56"/>
  <c r="G51" i="56"/>
  <c r="H51" i="56"/>
  <c r="I51" i="56"/>
  <c r="K51" i="56"/>
  <c r="L51" i="56"/>
  <c r="M51" i="56"/>
  <c r="N51" i="56"/>
  <c r="O51" i="56"/>
  <c r="P51" i="56"/>
  <c r="R51" i="56"/>
  <c r="S51" i="56"/>
  <c r="T51" i="56"/>
  <c r="U51" i="56"/>
  <c r="V51" i="56"/>
  <c r="W51" i="56"/>
  <c r="Y51" i="56"/>
  <c r="Z51" i="56"/>
  <c r="AA51" i="56"/>
  <c r="AB51" i="56"/>
  <c r="AC51" i="56"/>
  <c r="AD51" i="56"/>
  <c r="AF51" i="56"/>
  <c r="AG51" i="56"/>
  <c r="AH51" i="56"/>
  <c r="AI51" i="56"/>
  <c r="AN51" i="56"/>
  <c r="AO51" i="56"/>
  <c r="AP51" i="56"/>
  <c r="AQ51" i="56"/>
  <c r="AR51" i="56"/>
  <c r="AS51" i="56"/>
  <c r="AT51" i="56"/>
  <c r="AU51" i="56"/>
  <c r="AV51" i="56"/>
  <c r="AW51" i="56"/>
  <c r="AY51" i="56"/>
  <c r="AZ51" i="56"/>
  <c r="BA51" i="56"/>
  <c r="BB51" i="56"/>
  <c r="BC51" i="56"/>
  <c r="BD51" i="56"/>
  <c r="BE51" i="56"/>
  <c r="BF51" i="56"/>
  <c r="BG51" i="56"/>
  <c r="BH51" i="56"/>
  <c r="BJ51" i="56"/>
  <c r="BK51" i="56"/>
  <c r="BL51" i="56"/>
  <c r="BM51" i="56"/>
  <c r="BN51" i="56"/>
  <c r="BO51" i="56"/>
  <c r="BP51" i="56"/>
  <c r="BQ51" i="56"/>
  <c r="BR51" i="56"/>
  <c r="BS51" i="56"/>
  <c r="BU51" i="56"/>
  <c r="BV51" i="56"/>
  <c r="BW51" i="56"/>
  <c r="BX51" i="56"/>
  <c r="BY51" i="56"/>
  <c r="BZ51" i="56"/>
  <c r="CA51" i="56"/>
  <c r="CB51" i="56"/>
  <c r="CC51" i="56"/>
  <c r="CD51" i="56"/>
  <c r="A52" i="56"/>
  <c r="B52" i="56"/>
  <c r="C52" i="56"/>
  <c r="D52" i="56"/>
  <c r="E52" i="56"/>
  <c r="F52" i="56"/>
  <c r="G52" i="56"/>
  <c r="H52" i="56"/>
  <c r="I52" i="56"/>
  <c r="K52" i="56"/>
  <c r="L52" i="56"/>
  <c r="M52" i="56"/>
  <c r="N52" i="56"/>
  <c r="O52" i="56"/>
  <c r="P52" i="56"/>
  <c r="R52" i="56"/>
  <c r="S52" i="56"/>
  <c r="T52" i="56"/>
  <c r="U52" i="56"/>
  <c r="V52" i="56"/>
  <c r="W52" i="56"/>
  <c r="Y52" i="56"/>
  <c r="Z52" i="56"/>
  <c r="AA52" i="56"/>
  <c r="AB52" i="56"/>
  <c r="AC52" i="56"/>
  <c r="AD52" i="56"/>
  <c r="AF52" i="56"/>
  <c r="AG52" i="56"/>
  <c r="AH52" i="56"/>
  <c r="AI52" i="56"/>
  <c r="AN52" i="56"/>
  <c r="AO52" i="56"/>
  <c r="AP52" i="56"/>
  <c r="AQ52" i="56"/>
  <c r="AR52" i="56"/>
  <c r="AS52" i="56"/>
  <c r="AT52" i="56"/>
  <c r="AU52" i="56"/>
  <c r="AV52" i="56"/>
  <c r="AW52" i="56"/>
  <c r="AY52" i="56"/>
  <c r="AZ52" i="56"/>
  <c r="BA52" i="56"/>
  <c r="BB52" i="56"/>
  <c r="BC52" i="56"/>
  <c r="BD52" i="56"/>
  <c r="BE52" i="56"/>
  <c r="BF52" i="56"/>
  <c r="BG52" i="56"/>
  <c r="BH52" i="56"/>
  <c r="BJ52" i="56"/>
  <c r="BK52" i="56"/>
  <c r="BL52" i="56"/>
  <c r="BM52" i="56"/>
  <c r="BN52" i="56"/>
  <c r="BO52" i="56"/>
  <c r="BP52" i="56"/>
  <c r="BQ52" i="56"/>
  <c r="BR52" i="56"/>
  <c r="BS52" i="56"/>
  <c r="BU52" i="56"/>
  <c r="BV52" i="56"/>
  <c r="BW52" i="56"/>
  <c r="BX52" i="56"/>
  <c r="BY52" i="56"/>
  <c r="BZ52" i="56"/>
  <c r="CA52" i="56"/>
  <c r="CB52" i="56"/>
  <c r="CC52" i="56"/>
  <c r="CD52" i="56"/>
  <c r="A53" i="56"/>
  <c r="B53" i="56"/>
  <c r="C53" i="56"/>
  <c r="D53" i="56"/>
  <c r="E53" i="56"/>
  <c r="F53" i="56"/>
  <c r="G53" i="56"/>
  <c r="H53" i="56"/>
  <c r="I53" i="56"/>
  <c r="K53" i="56"/>
  <c r="L53" i="56"/>
  <c r="M53" i="56"/>
  <c r="N53" i="56"/>
  <c r="O53" i="56"/>
  <c r="P53" i="56"/>
  <c r="R53" i="56"/>
  <c r="S53" i="56"/>
  <c r="T53" i="56"/>
  <c r="U53" i="56"/>
  <c r="V53" i="56"/>
  <c r="W53" i="56"/>
  <c r="Y53" i="56"/>
  <c r="Z53" i="56"/>
  <c r="AA53" i="56"/>
  <c r="AB53" i="56"/>
  <c r="AC53" i="56"/>
  <c r="AD53" i="56"/>
  <c r="AF53" i="56"/>
  <c r="AG53" i="56"/>
  <c r="AH53" i="56"/>
  <c r="AI53" i="56"/>
  <c r="AN53" i="56"/>
  <c r="AO53" i="56"/>
  <c r="AP53" i="56"/>
  <c r="AQ53" i="56"/>
  <c r="AR53" i="56"/>
  <c r="AS53" i="56"/>
  <c r="AT53" i="56"/>
  <c r="AU53" i="56"/>
  <c r="AV53" i="56"/>
  <c r="AW53" i="56"/>
  <c r="AY53" i="56"/>
  <c r="AZ53" i="56"/>
  <c r="BA53" i="56"/>
  <c r="BB53" i="56"/>
  <c r="BC53" i="56"/>
  <c r="BD53" i="56"/>
  <c r="BE53" i="56"/>
  <c r="BF53" i="56"/>
  <c r="BG53" i="56"/>
  <c r="BH53" i="56"/>
  <c r="BJ53" i="56"/>
  <c r="BK53" i="56"/>
  <c r="BL53" i="56"/>
  <c r="BM53" i="56"/>
  <c r="BN53" i="56"/>
  <c r="BO53" i="56"/>
  <c r="BP53" i="56"/>
  <c r="BQ53" i="56"/>
  <c r="BR53" i="56"/>
  <c r="BS53" i="56"/>
  <c r="BU53" i="56"/>
  <c r="BV53" i="56"/>
  <c r="BW53" i="56"/>
  <c r="BX53" i="56"/>
  <c r="BY53" i="56"/>
  <c r="BZ53" i="56"/>
  <c r="CA53" i="56"/>
  <c r="CB53" i="56"/>
  <c r="CC53" i="56"/>
  <c r="CD53" i="56"/>
  <c r="A54" i="56"/>
  <c r="B54" i="56"/>
  <c r="C54" i="56"/>
  <c r="D54" i="56"/>
  <c r="E54" i="56"/>
  <c r="F54" i="56"/>
  <c r="G54" i="56"/>
  <c r="H54" i="56"/>
  <c r="I54" i="56"/>
  <c r="K54" i="56"/>
  <c r="L54" i="56"/>
  <c r="M54" i="56"/>
  <c r="N54" i="56"/>
  <c r="O54" i="56"/>
  <c r="P54" i="56"/>
  <c r="R54" i="56"/>
  <c r="S54" i="56"/>
  <c r="T54" i="56"/>
  <c r="U54" i="56"/>
  <c r="V54" i="56"/>
  <c r="W54" i="56"/>
  <c r="Y54" i="56"/>
  <c r="Z54" i="56"/>
  <c r="AA54" i="56"/>
  <c r="AB54" i="56"/>
  <c r="AC54" i="56"/>
  <c r="AD54" i="56"/>
  <c r="AF54" i="56"/>
  <c r="AG54" i="56"/>
  <c r="AH54" i="56"/>
  <c r="AI54" i="56"/>
  <c r="AN54" i="56"/>
  <c r="AO54" i="56"/>
  <c r="AP54" i="56"/>
  <c r="AQ54" i="56"/>
  <c r="AR54" i="56"/>
  <c r="AS54" i="56"/>
  <c r="AT54" i="56"/>
  <c r="AU54" i="56"/>
  <c r="AV54" i="56"/>
  <c r="AW54" i="56"/>
  <c r="AY54" i="56"/>
  <c r="AZ54" i="56"/>
  <c r="BA54" i="56"/>
  <c r="BB54" i="56"/>
  <c r="BC54" i="56"/>
  <c r="BD54" i="56"/>
  <c r="BE54" i="56"/>
  <c r="BF54" i="56"/>
  <c r="BG54" i="56"/>
  <c r="BH54" i="56"/>
  <c r="BJ54" i="56"/>
  <c r="BK54" i="56"/>
  <c r="BL54" i="56"/>
  <c r="BM54" i="56"/>
  <c r="BN54" i="56"/>
  <c r="BO54" i="56"/>
  <c r="BP54" i="56"/>
  <c r="BQ54" i="56"/>
  <c r="BR54" i="56"/>
  <c r="BS54" i="56"/>
  <c r="BU54" i="56"/>
  <c r="BV54" i="56"/>
  <c r="BW54" i="56"/>
  <c r="BX54" i="56"/>
  <c r="BY54" i="56"/>
  <c r="BZ54" i="56"/>
  <c r="CA54" i="56"/>
  <c r="CB54" i="56"/>
  <c r="CC54" i="56"/>
  <c r="CD54" i="56"/>
  <c r="A55" i="56"/>
  <c r="B55" i="56"/>
  <c r="C55" i="56"/>
  <c r="D55" i="56"/>
  <c r="E55" i="56"/>
  <c r="F55" i="56"/>
  <c r="G55" i="56"/>
  <c r="H55" i="56"/>
  <c r="I55" i="56"/>
  <c r="K55" i="56"/>
  <c r="L55" i="56"/>
  <c r="M55" i="56"/>
  <c r="N55" i="56"/>
  <c r="O55" i="56"/>
  <c r="P55" i="56"/>
  <c r="R55" i="56"/>
  <c r="S55" i="56"/>
  <c r="T55" i="56"/>
  <c r="U55" i="56"/>
  <c r="V55" i="56"/>
  <c r="W55" i="56"/>
  <c r="Y55" i="56"/>
  <c r="Z55" i="56"/>
  <c r="AA55" i="56"/>
  <c r="AB55" i="56"/>
  <c r="AC55" i="56"/>
  <c r="AD55" i="56"/>
  <c r="AF55" i="56"/>
  <c r="AG55" i="56"/>
  <c r="AH55" i="56"/>
  <c r="AI55" i="56"/>
  <c r="AN55" i="56"/>
  <c r="AO55" i="56"/>
  <c r="AP55" i="56"/>
  <c r="AQ55" i="56"/>
  <c r="AR55" i="56"/>
  <c r="AS55" i="56"/>
  <c r="AT55" i="56"/>
  <c r="AU55" i="56"/>
  <c r="AV55" i="56"/>
  <c r="AW55" i="56"/>
  <c r="AY55" i="56"/>
  <c r="AZ55" i="56"/>
  <c r="BA55" i="56"/>
  <c r="BB55" i="56"/>
  <c r="BC55" i="56"/>
  <c r="BD55" i="56"/>
  <c r="BE55" i="56"/>
  <c r="BF55" i="56"/>
  <c r="BG55" i="56"/>
  <c r="BH55" i="56"/>
  <c r="BJ55" i="56"/>
  <c r="BK55" i="56"/>
  <c r="BL55" i="56"/>
  <c r="BM55" i="56"/>
  <c r="BN55" i="56"/>
  <c r="BO55" i="56"/>
  <c r="BP55" i="56"/>
  <c r="BQ55" i="56"/>
  <c r="BR55" i="56"/>
  <c r="BS55" i="56"/>
  <c r="BU55" i="56"/>
  <c r="BV55" i="56"/>
  <c r="BW55" i="56"/>
  <c r="BX55" i="56"/>
  <c r="BY55" i="56"/>
  <c r="BZ55" i="56"/>
  <c r="CA55" i="56"/>
  <c r="CB55" i="56"/>
  <c r="CC55" i="56"/>
  <c r="CD55" i="56"/>
  <c r="A56" i="56"/>
  <c r="B56" i="56"/>
  <c r="C56" i="56"/>
  <c r="D56" i="56"/>
  <c r="E56" i="56"/>
  <c r="F56" i="56"/>
  <c r="G56" i="56"/>
  <c r="H56" i="56"/>
  <c r="I56" i="56"/>
  <c r="K56" i="56"/>
  <c r="L56" i="56"/>
  <c r="M56" i="56"/>
  <c r="N56" i="56"/>
  <c r="O56" i="56"/>
  <c r="P56" i="56"/>
  <c r="R56" i="56"/>
  <c r="S56" i="56"/>
  <c r="T56" i="56"/>
  <c r="U56" i="56"/>
  <c r="V56" i="56"/>
  <c r="W56" i="56"/>
  <c r="Y56" i="56"/>
  <c r="Z56" i="56"/>
  <c r="AA56" i="56"/>
  <c r="AB56" i="56"/>
  <c r="AC56" i="56"/>
  <c r="AD56" i="56"/>
  <c r="AF56" i="56"/>
  <c r="AG56" i="56"/>
  <c r="AH56" i="56"/>
  <c r="AI56" i="56"/>
  <c r="AN56" i="56"/>
  <c r="AO56" i="56"/>
  <c r="AP56" i="56"/>
  <c r="AQ56" i="56"/>
  <c r="AR56" i="56"/>
  <c r="AS56" i="56"/>
  <c r="AT56" i="56"/>
  <c r="AU56" i="56"/>
  <c r="AV56" i="56"/>
  <c r="AW56" i="56"/>
  <c r="AY56" i="56"/>
  <c r="AZ56" i="56"/>
  <c r="BA56" i="56"/>
  <c r="BB56" i="56"/>
  <c r="BC56" i="56"/>
  <c r="BD56" i="56"/>
  <c r="BE56" i="56"/>
  <c r="BF56" i="56"/>
  <c r="BG56" i="56"/>
  <c r="BH56" i="56"/>
  <c r="BJ56" i="56"/>
  <c r="BK56" i="56"/>
  <c r="BL56" i="56"/>
  <c r="BM56" i="56"/>
  <c r="BN56" i="56"/>
  <c r="BO56" i="56"/>
  <c r="BP56" i="56"/>
  <c r="BQ56" i="56"/>
  <c r="BR56" i="56"/>
  <c r="BS56" i="56"/>
  <c r="BU56" i="56"/>
  <c r="BV56" i="56"/>
  <c r="BW56" i="56"/>
  <c r="BX56" i="56"/>
  <c r="BY56" i="56"/>
  <c r="BZ56" i="56"/>
  <c r="CA56" i="56"/>
  <c r="CB56" i="56"/>
  <c r="CC56" i="56"/>
  <c r="CD56" i="56"/>
  <c r="A57" i="56"/>
  <c r="B57" i="56"/>
  <c r="C57" i="56"/>
  <c r="D57" i="56"/>
  <c r="E57" i="56"/>
  <c r="F57" i="56"/>
  <c r="G57" i="56"/>
  <c r="H57" i="56"/>
  <c r="I57" i="56"/>
  <c r="K57" i="56"/>
  <c r="L57" i="56"/>
  <c r="M57" i="56"/>
  <c r="N57" i="56"/>
  <c r="O57" i="56"/>
  <c r="P57" i="56"/>
  <c r="R57" i="56"/>
  <c r="S57" i="56"/>
  <c r="T57" i="56"/>
  <c r="U57" i="56"/>
  <c r="V57" i="56"/>
  <c r="W57" i="56"/>
  <c r="Y57" i="56"/>
  <c r="Z57" i="56"/>
  <c r="AA57" i="56"/>
  <c r="AB57" i="56"/>
  <c r="AC57" i="56"/>
  <c r="AD57" i="56"/>
  <c r="AF57" i="56"/>
  <c r="AG57" i="56"/>
  <c r="AH57" i="56"/>
  <c r="AI57" i="56"/>
  <c r="AN57" i="56"/>
  <c r="AO57" i="56"/>
  <c r="AP57" i="56"/>
  <c r="AQ57" i="56"/>
  <c r="AR57" i="56"/>
  <c r="AS57" i="56"/>
  <c r="AT57" i="56"/>
  <c r="AU57" i="56"/>
  <c r="AV57" i="56"/>
  <c r="AW57" i="56"/>
  <c r="AY57" i="56"/>
  <c r="AZ57" i="56"/>
  <c r="BA57" i="56"/>
  <c r="BB57" i="56"/>
  <c r="BC57" i="56"/>
  <c r="BD57" i="56"/>
  <c r="BE57" i="56"/>
  <c r="BF57" i="56"/>
  <c r="BG57" i="56"/>
  <c r="BH57" i="56"/>
  <c r="BJ57" i="56"/>
  <c r="BK57" i="56"/>
  <c r="BL57" i="56"/>
  <c r="BM57" i="56"/>
  <c r="BN57" i="56"/>
  <c r="BO57" i="56"/>
  <c r="BP57" i="56"/>
  <c r="BQ57" i="56"/>
  <c r="BR57" i="56"/>
  <c r="BS57" i="56"/>
  <c r="BU57" i="56"/>
  <c r="BV57" i="56"/>
  <c r="BW57" i="56"/>
  <c r="BX57" i="56"/>
  <c r="BY57" i="56"/>
  <c r="BZ57" i="56"/>
  <c r="CA57" i="56"/>
  <c r="CB57" i="56"/>
  <c r="CC57" i="56"/>
  <c r="CD57" i="56"/>
  <c r="A58" i="56"/>
  <c r="B58" i="56"/>
  <c r="C58" i="56"/>
  <c r="D58" i="56"/>
  <c r="E58" i="56"/>
  <c r="F58" i="56"/>
  <c r="G58" i="56"/>
  <c r="H58" i="56"/>
  <c r="I58" i="56"/>
  <c r="K58" i="56"/>
  <c r="L58" i="56"/>
  <c r="M58" i="56"/>
  <c r="N58" i="56"/>
  <c r="O58" i="56"/>
  <c r="P58" i="56"/>
  <c r="R58" i="56"/>
  <c r="S58" i="56"/>
  <c r="T58" i="56"/>
  <c r="U58" i="56"/>
  <c r="V58" i="56"/>
  <c r="W58" i="56"/>
  <c r="Y58" i="56"/>
  <c r="Z58" i="56"/>
  <c r="AA58" i="56"/>
  <c r="AB58" i="56"/>
  <c r="AC58" i="56"/>
  <c r="AD58" i="56"/>
  <c r="AF58" i="56"/>
  <c r="AG58" i="56"/>
  <c r="AH58" i="56"/>
  <c r="AI58" i="56"/>
  <c r="AN58" i="56"/>
  <c r="AO58" i="56"/>
  <c r="AP58" i="56"/>
  <c r="AQ58" i="56"/>
  <c r="AR58" i="56"/>
  <c r="AS58" i="56"/>
  <c r="AT58" i="56"/>
  <c r="AU58" i="56"/>
  <c r="AV58" i="56"/>
  <c r="AW58" i="56"/>
  <c r="AY58" i="56"/>
  <c r="AZ58" i="56"/>
  <c r="BA58" i="56"/>
  <c r="BB58" i="56"/>
  <c r="BC58" i="56"/>
  <c r="BD58" i="56"/>
  <c r="BE58" i="56"/>
  <c r="BF58" i="56"/>
  <c r="BG58" i="56"/>
  <c r="BH58" i="56"/>
  <c r="BJ58" i="56"/>
  <c r="BK58" i="56"/>
  <c r="BL58" i="56"/>
  <c r="BM58" i="56"/>
  <c r="BN58" i="56"/>
  <c r="BO58" i="56"/>
  <c r="BP58" i="56"/>
  <c r="BQ58" i="56"/>
  <c r="BR58" i="56"/>
  <c r="BS58" i="56"/>
  <c r="BU58" i="56"/>
  <c r="BV58" i="56"/>
  <c r="BW58" i="56"/>
  <c r="BX58" i="56"/>
  <c r="BY58" i="56"/>
  <c r="BZ58" i="56"/>
  <c r="CA58" i="56"/>
  <c r="CB58" i="56"/>
  <c r="CC58" i="56"/>
  <c r="CD58" i="56"/>
  <c r="A59" i="56"/>
  <c r="B59" i="56"/>
  <c r="C59" i="56"/>
  <c r="D59" i="56"/>
  <c r="E59" i="56"/>
  <c r="F59" i="56"/>
  <c r="G59" i="56"/>
  <c r="H59" i="56"/>
  <c r="I59" i="56"/>
  <c r="K59" i="56"/>
  <c r="L59" i="56"/>
  <c r="M59" i="56"/>
  <c r="N59" i="56"/>
  <c r="O59" i="56"/>
  <c r="P59" i="56"/>
  <c r="R59" i="56"/>
  <c r="S59" i="56"/>
  <c r="T59" i="56"/>
  <c r="U59" i="56"/>
  <c r="V59" i="56"/>
  <c r="W59" i="56"/>
  <c r="Y59" i="56"/>
  <c r="Z59" i="56"/>
  <c r="AA59" i="56"/>
  <c r="AB59" i="56"/>
  <c r="AC59" i="56"/>
  <c r="AD59" i="56"/>
  <c r="AF59" i="56"/>
  <c r="AG59" i="56"/>
  <c r="AH59" i="56"/>
  <c r="AI59" i="56"/>
  <c r="AN59" i="56"/>
  <c r="AO59" i="56"/>
  <c r="AP59" i="56"/>
  <c r="AQ59" i="56"/>
  <c r="AR59" i="56"/>
  <c r="AS59" i="56"/>
  <c r="AT59" i="56"/>
  <c r="AU59" i="56"/>
  <c r="AV59" i="56"/>
  <c r="AW59" i="56"/>
  <c r="AY59" i="56"/>
  <c r="AZ59" i="56"/>
  <c r="BA59" i="56"/>
  <c r="BB59" i="56"/>
  <c r="BC59" i="56"/>
  <c r="BD59" i="56"/>
  <c r="BE59" i="56"/>
  <c r="BF59" i="56"/>
  <c r="BG59" i="56"/>
  <c r="BH59" i="56"/>
  <c r="BJ59" i="56"/>
  <c r="BK59" i="56"/>
  <c r="BL59" i="56"/>
  <c r="BM59" i="56"/>
  <c r="BN59" i="56"/>
  <c r="BO59" i="56"/>
  <c r="BP59" i="56"/>
  <c r="BQ59" i="56"/>
  <c r="BR59" i="56"/>
  <c r="BS59" i="56"/>
  <c r="BU59" i="56"/>
  <c r="BV59" i="56"/>
  <c r="BW59" i="56"/>
  <c r="BX59" i="56"/>
  <c r="BY59" i="56"/>
  <c r="BZ59" i="56"/>
  <c r="CA59" i="56"/>
  <c r="CB59" i="56"/>
  <c r="CC59" i="56"/>
  <c r="CD59" i="56"/>
  <c r="A60" i="56"/>
  <c r="B60" i="56"/>
  <c r="C60" i="56"/>
  <c r="D60" i="56"/>
  <c r="E60" i="56"/>
  <c r="F60" i="56"/>
  <c r="G60" i="56"/>
  <c r="H60" i="56"/>
  <c r="I60" i="56"/>
  <c r="K60" i="56"/>
  <c r="L60" i="56"/>
  <c r="M60" i="56"/>
  <c r="N60" i="56"/>
  <c r="O60" i="56"/>
  <c r="P60" i="56"/>
  <c r="R60" i="56"/>
  <c r="S60" i="56"/>
  <c r="T60" i="56"/>
  <c r="U60" i="56"/>
  <c r="V60" i="56"/>
  <c r="W60" i="56"/>
  <c r="Y60" i="56"/>
  <c r="Z60" i="56"/>
  <c r="AA60" i="56"/>
  <c r="AB60" i="56"/>
  <c r="AC60" i="56"/>
  <c r="AD60" i="56"/>
  <c r="AF60" i="56"/>
  <c r="AG60" i="56"/>
  <c r="AH60" i="56"/>
  <c r="AI60" i="56"/>
  <c r="AN60" i="56"/>
  <c r="AO60" i="56"/>
  <c r="AP60" i="56"/>
  <c r="AQ60" i="56"/>
  <c r="AR60" i="56"/>
  <c r="AS60" i="56"/>
  <c r="AT60" i="56"/>
  <c r="AU60" i="56"/>
  <c r="AV60" i="56"/>
  <c r="AW60" i="56"/>
  <c r="AY60" i="56"/>
  <c r="AZ60" i="56"/>
  <c r="BA60" i="56"/>
  <c r="BB60" i="56"/>
  <c r="BC60" i="56"/>
  <c r="BD60" i="56"/>
  <c r="BE60" i="56"/>
  <c r="BF60" i="56"/>
  <c r="BG60" i="56"/>
  <c r="BH60" i="56"/>
  <c r="BJ60" i="56"/>
  <c r="BK60" i="56"/>
  <c r="BL60" i="56"/>
  <c r="BM60" i="56"/>
  <c r="BN60" i="56"/>
  <c r="BO60" i="56"/>
  <c r="BP60" i="56"/>
  <c r="BQ60" i="56"/>
  <c r="BR60" i="56"/>
  <c r="BS60" i="56"/>
  <c r="BU60" i="56"/>
  <c r="BV60" i="56"/>
  <c r="BW60" i="56"/>
  <c r="BX60" i="56"/>
  <c r="BY60" i="56"/>
  <c r="BZ60" i="56"/>
  <c r="CA60" i="56"/>
  <c r="CB60" i="56"/>
  <c r="CC60" i="56"/>
  <c r="CD60" i="56"/>
  <c r="A61" i="56"/>
  <c r="B61" i="56"/>
  <c r="C61" i="56"/>
  <c r="D61" i="56"/>
  <c r="E61" i="56"/>
  <c r="F61" i="56"/>
  <c r="G61" i="56"/>
  <c r="H61" i="56"/>
  <c r="I61" i="56"/>
  <c r="K61" i="56"/>
  <c r="L61" i="56"/>
  <c r="M61" i="56"/>
  <c r="N61" i="56"/>
  <c r="O61" i="56"/>
  <c r="P61" i="56"/>
  <c r="R61" i="56"/>
  <c r="S61" i="56"/>
  <c r="T61" i="56"/>
  <c r="U61" i="56"/>
  <c r="V61" i="56"/>
  <c r="W61" i="56"/>
  <c r="Y61" i="56"/>
  <c r="Z61" i="56"/>
  <c r="AA61" i="56"/>
  <c r="AB61" i="56"/>
  <c r="AC61" i="56"/>
  <c r="AD61" i="56"/>
  <c r="AF61" i="56"/>
  <c r="AG61" i="56"/>
  <c r="AH61" i="56"/>
  <c r="AI61" i="56"/>
  <c r="AN61" i="56"/>
  <c r="AO61" i="56"/>
  <c r="AP61" i="56"/>
  <c r="AQ61" i="56"/>
  <c r="AR61" i="56"/>
  <c r="AS61" i="56"/>
  <c r="AT61" i="56"/>
  <c r="AU61" i="56"/>
  <c r="AV61" i="56"/>
  <c r="AW61" i="56"/>
  <c r="AY61" i="56"/>
  <c r="AZ61" i="56"/>
  <c r="BA61" i="56"/>
  <c r="BB61" i="56"/>
  <c r="BC61" i="56"/>
  <c r="BD61" i="56"/>
  <c r="BE61" i="56"/>
  <c r="BF61" i="56"/>
  <c r="BG61" i="56"/>
  <c r="BH61" i="56"/>
  <c r="BJ61" i="56"/>
  <c r="BK61" i="56"/>
  <c r="BL61" i="56"/>
  <c r="BM61" i="56"/>
  <c r="BN61" i="56"/>
  <c r="BO61" i="56"/>
  <c r="BP61" i="56"/>
  <c r="BQ61" i="56"/>
  <c r="BR61" i="56"/>
  <c r="BS61" i="56"/>
  <c r="BU61" i="56"/>
  <c r="BV61" i="56"/>
  <c r="BW61" i="56"/>
  <c r="BX61" i="56"/>
  <c r="BY61" i="56"/>
  <c r="BZ61" i="56"/>
  <c r="CA61" i="56"/>
  <c r="CB61" i="56"/>
  <c r="CC61" i="56"/>
  <c r="CD61" i="56"/>
  <c r="A62" i="56"/>
  <c r="B62" i="56"/>
  <c r="C62" i="56"/>
  <c r="D62" i="56"/>
  <c r="E62" i="56"/>
  <c r="F62" i="56"/>
  <c r="G62" i="56"/>
  <c r="H62" i="56"/>
  <c r="I62" i="56"/>
  <c r="K62" i="56"/>
  <c r="L62" i="56"/>
  <c r="M62" i="56"/>
  <c r="N62" i="56"/>
  <c r="O62" i="56"/>
  <c r="P62" i="56"/>
  <c r="R62" i="56"/>
  <c r="S62" i="56"/>
  <c r="T62" i="56"/>
  <c r="U62" i="56"/>
  <c r="V62" i="56"/>
  <c r="W62" i="56"/>
  <c r="Y62" i="56"/>
  <c r="Z62" i="56"/>
  <c r="AA62" i="56"/>
  <c r="AB62" i="56"/>
  <c r="AC62" i="56"/>
  <c r="AD62" i="56"/>
  <c r="AF62" i="56"/>
  <c r="AG62" i="56"/>
  <c r="AH62" i="56"/>
  <c r="AI62" i="56"/>
  <c r="AN62" i="56"/>
  <c r="AO62" i="56"/>
  <c r="AP62" i="56"/>
  <c r="AQ62" i="56"/>
  <c r="AR62" i="56"/>
  <c r="AS62" i="56"/>
  <c r="AT62" i="56"/>
  <c r="AU62" i="56"/>
  <c r="AV62" i="56"/>
  <c r="AW62" i="56"/>
  <c r="AY62" i="56"/>
  <c r="AZ62" i="56"/>
  <c r="BA62" i="56"/>
  <c r="BB62" i="56"/>
  <c r="BC62" i="56"/>
  <c r="BD62" i="56"/>
  <c r="BE62" i="56"/>
  <c r="BF62" i="56"/>
  <c r="BG62" i="56"/>
  <c r="BH62" i="56"/>
  <c r="BJ62" i="56"/>
  <c r="BK62" i="56"/>
  <c r="BL62" i="56"/>
  <c r="BM62" i="56"/>
  <c r="BN62" i="56"/>
  <c r="BO62" i="56"/>
  <c r="BP62" i="56"/>
  <c r="BQ62" i="56"/>
  <c r="BR62" i="56"/>
  <c r="BS62" i="56"/>
  <c r="BU62" i="56"/>
  <c r="BV62" i="56"/>
  <c r="BW62" i="56"/>
  <c r="BX62" i="56"/>
  <c r="BY62" i="56"/>
  <c r="BZ62" i="56"/>
  <c r="CA62" i="56"/>
  <c r="CB62" i="56"/>
  <c r="CC62" i="56"/>
  <c r="CD62" i="56"/>
  <c r="A63" i="56"/>
  <c r="B63" i="56"/>
  <c r="C63" i="56"/>
  <c r="D63" i="56"/>
  <c r="E63" i="56"/>
  <c r="F63" i="56"/>
  <c r="G63" i="56"/>
  <c r="H63" i="56"/>
  <c r="I63" i="56"/>
  <c r="K63" i="56"/>
  <c r="L63" i="56"/>
  <c r="M63" i="56"/>
  <c r="N63" i="56"/>
  <c r="O63" i="56"/>
  <c r="P63" i="56"/>
  <c r="R63" i="56"/>
  <c r="S63" i="56"/>
  <c r="T63" i="56"/>
  <c r="U63" i="56"/>
  <c r="V63" i="56"/>
  <c r="W63" i="56"/>
  <c r="Y63" i="56"/>
  <c r="Z63" i="56"/>
  <c r="AA63" i="56"/>
  <c r="AB63" i="56"/>
  <c r="AC63" i="56"/>
  <c r="AD63" i="56"/>
  <c r="AF63" i="56"/>
  <c r="AG63" i="56"/>
  <c r="AH63" i="56"/>
  <c r="AI63" i="56"/>
  <c r="AN63" i="56"/>
  <c r="AO63" i="56"/>
  <c r="AP63" i="56"/>
  <c r="AQ63" i="56"/>
  <c r="AR63" i="56"/>
  <c r="AS63" i="56"/>
  <c r="AT63" i="56"/>
  <c r="AU63" i="56"/>
  <c r="AV63" i="56"/>
  <c r="AW63" i="56"/>
  <c r="AY63" i="56"/>
  <c r="AZ63" i="56"/>
  <c r="BA63" i="56"/>
  <c r="BB63" i="56"/>
  <c r="BC63" i="56"/>
  <c r="BD63" i="56"/>
  <c r="BE63" i="56"/>
  <c r="BF63" i="56"/>
  <c r="BG63" i="56"/>
  <c r="BH63" i="56"/>
  <c r="BJ63" i="56"/>
  <c r="BK63" i="56"/>
  <c r="BL63" i="56"/>
  <c r="BM63" i="56"/>
  <c r="BN63" i="56"/>
  <c r="BO63" i="56"/>
  <c r="BP63" i="56"/>
  <c r="BQ63" i="56"/>
  <c r="BR63" i="56"/>
  <c r="BS63" i="56"/>
  <c r="BU63" i="56"/>
  <c r="BV63" i="56"/>
  <c r="BW63" i="56"/>
  <c r="BX63" i="56"/>
  <c r="BY63" i="56"/>
  <c r="BZ63" i="56"/>
  <c r="CA63" i="56"/>
  <c r="CB63" i="56"/>
  <c r="CC63" i="56"/>
  <c r="CD63" i="56"/>
  <c r="A64" i="56"/>
  <c r="B64" i="56"/>
  <c r="C64" i="56"/>
  <c r="D64" i="56"/>
  <c r="E64" i="56"/>
  <c r="F64" i="56"/>
  <c r="G64" i="56"/>
  <c r="H64" i="56"/>
  <c r="I64" i="56"/>
  <c r="K64" i="56"/>
  <c r="L64" i="56"/>
  <c r="M64" i="56"/>
  <c r="N64" i="56"/>
  <c r="O64" i="56"/>
  <c r="P64" i="56"/>
  <c r="R64" i="56"/>
  <c r="S64" i="56"/>
  <c r="T64" i="56"/>
  <c r="U64" i="56"/>
  <c r="V64" i="56"/>
  <c r="W64" i="56"/>
  <c r="Y64" i="56"/>
  <c r="Z64" i="56"/>
  <c r="AA64" i="56"/>
  <c r="AB64" i="56"/>
  <c r="AC64" i="56"/>
  <c r="AD64" i="56"/>
  <c r="AF64" i="56"/>
  <c r="AG64" i="56"/>
  <c r="AH64" i="56"/>
  <c r="AI64" i="56"/>
  <c r="AN64" i="56"/>
  <c r="AO64" i="56"/>
  <c r="AP64" i="56"/>
  <c r="AQ64" i="56"/>
  <c r="AR64" i="56"/>
  <c r="AS64" i="56"/>
  <c r="AT64" i="56"/>
  <c r="AU64" i="56"/>
  <c r="AV64" i="56"/>
  <c r="AW64" i="56"/>
  <c r="AY64" i="56"/>
  <c r="AZ64" i="56"/>
  <c r="BA64" i="56"/>
  <c r="BB64" i="56"/>
  <c r="BC64" i="56"/>
  <c r="BD64" i="56"/>
  <c r="BE64" i="56"/>
  <c r="BF64" i="56"/>
  <c r="BG64" i="56"/>
  <c r="BH64" i="56"/>
  <c r="BJ64" i="56"/>
  <c r="BK64" i="56"/>
  <c r="BL64" i="56"/>
  <c r="BM64" i="56"/>
  <c r="BN64" i="56"/>
  <c r="BO64" i="56"/>
  <c r="BP64" i="56"/>
  <c r="BQ64" i="56"/>
  <c r="BR64" i="56"/>
  <c r="BS64" i="56"/>
  <c r="BU64" i="56"/>
  <c r="BV64" i="56"/>
  <c r="BW64" i="56"/>
  <c r="BX64" i="56"/>
  <c r="BY64" i="56"/>
  <c r="BZ64" i="56"/>
  <c r="CA64" i="56"/>
  <c r="CB64" i="56"/>
  <c r="CC64" i="56"/>
  <c r="CD64" i="56"/>
  <c r="A65" i="56"/>
  <c r="B65" i="56"/>
  <c r="C65" i="56"/>
  <c r="D65" i="56"/>
  <c r="E65" i="56"/>
  <c r="F65" i="56"/>
  <c r="G65" i="56"/>
  <c r="H65" i="56"/>
  <c r="I65" i="56"/>
  <c r="K65" i="56"/>
  <c r="L65" i="56"/>
  <c r="M65" i="56"/>
  <c r="N65" i="56"/>
  <c r="O65" i="56"/>
  <c r="P65" i="56"/>
  <c r="R65" i="56"/>
  <c r="S65" i="56"/>
  <c r="T65" i="56"/>
  <c r="U65" i="56"/>
  <c r="V65" i="56"/>
  <c r="W65" i="56"/>
  <c r="Y65" i="56"/>
  <c r="Z65" i="56"/>
  <c r="AA65" i="56"/>
  <c r="AB65" i="56"/>
  <c r="AC65" i="56"/>
  <c r="AD65" i="56"/>
  <c r="AF65" i="56"/>
  <c r="AG65" i="56"/>
  <c r="AH65" i="56"/>
  <c r="AI65" i="56"/>
  <c r="AN65" i="56"/>
  <c r="AO65" i="56"/>
  <c r="AP65" i="56"/>
  <c r="AQ65" i="56"/>
  <c r="AR65" i="56"/>
  <c r="AS65" i="56"/>
  <c r="AT65" i="56"/>
  <c r="AU65" i="56"/>
  <c r="AV65" i="56"/>
  <c r="AW65" i="56"/>
  <c r="AY65" i="56"/>
  <c r="AZ65" i="56"/>
  <c r="BA65" i="56"/>
  <c r="BB65" i="56"/>
  <c r="BC65" i="56"/>
  <c r="BD65" i="56"/>
  <c r="BE65" i="56"/>
  <c r="BF65" i="56"/>
  <c r="BG65" i="56"/>
  <c r="BH65" i="56"/>
  <c r="BJ65" i="56"/>
  <c r="BK65" i="56"/>
  <c r="BL65" i="56"/>
  <c r="BM65" i="56"/>
  <c r="BN65" i="56"/>
  <c r="BO65" i="56"/>
  <c r="BP65" i="56"/>
  <c r="BQ65" i="56"/>
  <c r="BR65" i="56"/>
  <c r="BS65" i="56"/>
  <c r="BU65" i="56"/>
  <c r="BV65" i="56"/>
  <c r="BW65" i="56"/>
  <c r="BX65" i="56"/>
  <c r="BY65" i="56"/>
  <c r="BZ65" i="56"/>
  <c r="CA65" i="56"/>
  <c r="CB65" i="56"/>
  <c r="CC65" i="56"/>
  <c r="CD65" i="56"/>
  <c r="A66" i="56"/>
  <c r="B66" i="56"/>
  <c r="C66" i="56"/>
  <c r="D66" i="56"/>
  <c r="E66" i="56"/>
  <c r="F66" i="56"/>
  <c r="G66" i="56"/>
  <c r="H66" i="56"/>
  <c r="I66" i="56"/>
  <c r="K66" i="56"/>
  <c r="L66" i="56"/>
  <c r="M66" i="56"/>
  <c r="N66" i="56"/>
  <c r="O66" i="56"/>
  <c r="P66" i="56"/>
  <c r="R66" i="56"/>
  <c r="S66" i="56"/>
  <c r="T66" i="56"/>
  <c r="U66" i="56"/>
  <c r="V66" i="56"/>
  <c r="W66" i="56"/>
  <c r="Y66" i="56"/>
  <c r="Z66" i="56"/>
  <c r="AA66" i="56"/>
  <c r="AB66" i="56"/>
  <c r="AC66" i="56"/>
  <c r="AD66" i="56"/>
  <c r="AF66" i="56"/>
  <c r="AG66" i="56"/>
  <c r="AH66" i="56"/>
  <c r="AI66" i="56"/>
  <c r="AN66" i="56"/>
  <c r="AO66" i="56"/>
  <c r="AP66" i="56"/>
  <c r="AQ66" i="56"/>
  <c r="AR66" i="56"/>
  <c r="AS66" i="56"/>
  <c r="AT66" i="56"/>
  <c r="AU66" i="56"/>
  <c r="AV66" i="56"/>
  <c r="AW66" i="56"/>
  <c r="AY66" i="56"/>
  <c r="AZ66" i="56"/>
  <c r="BA66" i="56"/>
  <c r="BB66" i="56"/>
  <c r="BC66" i="56"/>
  <c r="BD66" i="56"/>
  <c r="BE66" i="56"/>
  <c r="BF66" i="56"/>
  <c r="BG66" i="56"/>
  <c r="BH66" i="56"/>
  <c r="BJ66" i="56"/>
  <c r="BK66" i="56"/>
  <c r="BL66" i="56"/>
  <c r="BM66" i="56"/>
  <c r="BN66" i="56"/>
  <c r="BO66" i="56"/>
  <c r="BP66" i="56"/>
  <c r="BQ66" i="56"/>
  <c r="BR66" i="56"/>
  <c r="BS66" i="56"/>
  <c r="BU66" i="56"/>
  <c r="BV66" i="56"/>
  <c r="BW66" i="56"/>
  <c r="BX66" i="56"/>
  <c r="BY66" i="56"/>
  <c r="BZ66" i="56"/>
  <c r="CA66" i="56"/>
  <c r="CB66" i="56"/>
  <c r="CC66" i="56"/>
  <c r="CD66" i="56"/>
  <c r="A67" i="56"/>
  <c r="B67" i="56"/>
  <c r="C67" i="56"/>
  <c r="D67" i="56"/>
  <c r="E67" i="56"/>
  <c r="F67" i="56"/>
  <c r="G67" i="56"/>
  <c r="H67" i="56"/>
  <c r="I67" i="56"/>
  <c r="K67" i="56"/>
  <c r="L67" i="56"/>
  <c r="M67" i="56"/>
  <c r="N67" i="56"/>
  <c r="O67" i="56"/>
  <c r="P67" i="56"/>
  <c r="R67" i="56"/>
  <c r="S67" i="56"/>
  <c r="T67" i="56"/>
  <c r="U67" i="56"/>
  <c r="V67" i="56"/>
  <c r="W67" i="56"/>
  <c r="Y67" i="56"/>
  <c r="Z67" i="56"/>
  <c r="AA67" i="56"/>
  <c r="AB67" i="56"/>
  <c r="AC67" i="56"/>
  <c r="AD67" i="56"/>
  <c r="AF67" i="56"/>
  <c r="AG67" i="56"/>
  <c r="AH67" i="56"/>
  <c r="AI67" i="56"/>
  <c r="AN67" i="56"/>
  <c r="AO67" i="56"/>
  <c r="AP67" i="56"/>
  <c r="AQ67" i="56"/>
  <c r="AR67" i="56"/>
  <c r="AS67" i="56"/>
  <c r="AT67" i="56"/>
  <c r="AU67" i="56"/>
  <c r="AV67" i="56"/>
  <c r="AW67" i="56"/>
  <c r="AY67" i="56"/>
  <c r="AZ67" i="56"/>
  <c r="BA67" i="56"/>
  <c r="BB67" i="56"/>
  <c r="BC67" i="56"/>
  <c r="BD67" i="56"/>
  <c r="BE67" i="56"/>
  <c r="BF67" i="56"/>
  <c r="BG67" i="56"/>
  <c r="BH67" i="56"/>
  <c r="BJ67" i="56"/>
  <c r="BK67" i="56"/>
  <c r="BL67" i="56"/>
  <c r="BM67" i="56"/>
  <c r="BN67" i="56"/>
  <c r="BO67" i="56"/>
  <c r="BP67" i="56"/>
  <c r="BQ67" i="56"/>
  <c r="BR67" i="56"/>
  <c r="BS67" i="56"/>
  <c r="BU67" i="56"/>
  <c r="BV67" i="56"/>
  <c r="BW67" i="56"/>
  <c r="BX67" i="56"/>
  <c r="BY67" i="56"/>
  <c r="BZ67" i="56"/>
  <c r="CA67" i="56"/>
  <c r="CB67" i="56"/>
  <c r="CC67" i="56"/>
  <c r="CD67" i="56"/>
  <c r="A68" i="56"/>
  <c r="B68" i="56"/>
  <c r="C68" i="56"/>
  <c r="D68" i="56"/>
  <c r="E68" i="56"/>
  <c r="F68" i="56"/>
  <c r="G68" i="56"/>
  <c r="H68" i="56"/>
  <c r="I68" i="56"/>
  <c r="K68" i="56"/>
  <c r="L68" i="56"/>
  <c r="M68" i="56"/>
  <c r="N68" i="56"/>
  <c r="O68" i="56"/>
  <c r="P68" i="56"/>
  <c r="R68" i="56"/>
  <c r="S68" i="56"/>
  <c r="T68" i="56"/>
  <c r="U68" i="56"/>
  <c r="V68" i="56"/>
  <c r="W68" i="56"/>
  <c r="Y68" i="56"/>
  <c r="Z68" i="56"/>
  <c r="AA68" i="56"/>
  <c r="AB68" i="56"/>
  <c r="AC68" i="56"/>
  <c r="AD68" i="56"/>
  <c r="AF68" i="56"/>
  <c r="AG68" i="56"/>
  <c r="AH68" i="56"/>
  <c r="AI68" i="56"/>
  <c r="AN68" i="56"/>
  <c r="AO68" i="56"/>
  <c r="AP68" i="56"/>
  <c r="AQ68" i="56"/>
  <c r="AR68" i="56"/>
  <c r="AS68" i="56"/>
  <c r="AT68" i="56"/>
  <c r="AU68" i="56"/>
  <c r="AV68" i="56"/>
  <c r="AW68" i="56"/>
  <c r="AY68" i="56"/>
  <c r="AZ68" i="56"/>
  <c r="BA68" i="56"/>
  <c r="BB68" i="56"/>
  <c r="BC68" i="56"/>
  <c r="BD68" i="56"/>
  <c r="BE68" i="56"/>
  <c r="BF68" i="56"/>
  <c r="BG68" i="56"/>
  <c r="BH68" i="56"/>
  <c r="BJ68" i="56"/>
  <c r="BK68" i="56"/>
  <c r="BL68" i="56"/>
  <c r="BM68" i="56"/>
  <c r="BN68" i="56"/>
  <c r="BO68" i="56"/>
  <c r="BP68" i="56"/>
  <c r="BQ68" i="56"/>
  <c r="BR68" i="56"/>
  <c r="BS68" i="56"/>
  <c r="BU68" i="56"/>
  <c r="BV68" i="56"/>
  <c r="BW68" i="56"/>
  <c r="BX68" i="56"/>
  <c r="BY68" i="56"/>
  <c r="BZ68" i="56"/>
  <c r="CA68" i="56"/>
  <c r="CB68" i="56"/>
  <c r="CC68" i="56"/>
  <c r="CD68" i="56"/>
  <c r="A69" i="56"/>
  <c r="B69" i="56"/>
  <c r="C69" i="56"/>
  <c r="D69" i="56"/>
  <c r="E69" i="56"/>
  <c r="F69" i="56"/>
  <c r="G69" i="56"/>
  <c r="H69" i="56"/>
  <c r="I69" i="56"/>
  <c r="K69" i="56"/>
  <c r="L69" i="56"/>
  <c r="M69" i="56"/>
  <c r="N69" i="56"/>
  <c r="O69" i="56"/>
  <c r="P69" i="56"/>
  <c r="R69" i="56"/>
  <c r="S69" i="56"/>
  <c r="T69" i="56"/>
  <c r="U69" i="56"/>
  <c r="V69" i="56"/>
  <c r="W69" i="56"/>
  <c r="Y69" i="56"/>
  <c r="Z69" i="56"/>
  <c r="AA69" i="56"/>
  <c r="AB69" i="56"/>
  <c r="AC69" i="56"/>
  <c r="AD69" i="56"/>
  <c r="AF69" i="56"/>
  <c r="AG69" i="56"/>
  <c r="AH69" i="56"/>
  <c r="AI69" i="56"/>
  <c r="AN69" i="56"/>
  <c r="AO69" i="56"/>
  <c r="AP69" i="56"/>
  <c r="AQ69" i="56"/>
  <c r="AR69" i="56"/>
  <c r="AS69" i="56"/>
  <c r="AT69" i="56"/>
  <c r="AU69" i="56"/>
  <c r="AV69" i="56"/>
  <c r="AW69" i="56"/>
  <c r="AY69" i="56"/>
  <c r="AZ69" i="56"/>
  <c r="BA69" i="56"/>
  <c r="BB69" i="56"/>
  <c r="BC69" i="56"/>
  <c r="BD69" i="56"/>
  <c r="BE69" i="56"/>
  <c r="BF69" i="56"/>
  <c r="BG69" i="56"/>
  <c r="BH69" i="56"/>
  <c r="BJ69" i="56"/>
  <c r="BK69" i="56"/>
  <c r="BL69" i="56"/>
  <c r="BM69" i="56"/>
  <c r="BN69" i="56"/>
  <c r="BO69" i="56"/>
  <c r="BP69" i="56"/>
  <c r="BQ69" i="56"/>
  <c r="BR69" i="56"/>
  <c r="BS69" i="56"/>
  <c r="BU69" i="56"/>
  <c r="BV69" i="56"/>
  <c r="BW69" i="56"/>
  <c r="BX69" i="56"/>
  <c r="BY69" i="56"/>
  <c r="BZ69" i="56"/>
  <c r="CA69" i="56"/>
  <c r="CB69" i="56"/>
  <c r="CC69" i="56"/>
  <c r="CD69" i="56"/>
  <c r="A70" i="56"/>
  <c r="B70" i="56"/>
  <c r="C70" i="56"/>
  <c r="D70" i="56"/>
  <c r="E70" i="56"/>
  <c r="F70" i="56"/>
  <c r="G70" i="56"/>
  <c r="H70" i="56"/>
  <c r="I70" i="56"/>
  <c r="K70" i="56"/>
  <c r="L70" i="56"/>
  <c r="M70" i="56"/>
  <c r="N70" i="56"/>
  <c r="O70" i="56"/>
  <c r="P70" i="56"/>
  <c r="R70" i="56"/>
  <c r="S70" i="56"/>
  <c r="T70" i="56"/>
  <c r="U70" i="56"/>
  <c r="V70" i="56"/>
  <c r="W70" i="56"/>
  <c r="Y70" i="56"/>
  <c r="Z70" i="56"/>
  <c r="AA70" i="56"/>
  <c r="AB70" i="56"/>
  <c r="AC70" i="56"/>
  <c r="AD70" i="56"/>
  <c r="AF70" i="56"/>
  <c r="AG70" i="56"/>
  <c r="AH70" i="56"/>
  <c r="AI70" i="56"/>
  <c r="AN70" i="56"/>
  <c r="AO70" i="56"/>
  <c r="AP70" i="56"/>
  <c r="AQ70" i="56"/>
  <c r="AR70" i="56"/>
  <c r="AS70" i="56"/>
  <c r="AT70" i="56"/>
  <c r="AU70" i="56"/>
  <c r="AV70" i="56"/>
  <c r="AW70" i="56"/>
  <c r="AY70" i="56"/>
  <c r="AZ70" i="56"/>
  <c r="BA70" i="56"/>
  <c r="BB70" i="56"/>
  <c r="BC70" i="56"/>
  <c r="BD70" i="56"/>
  <c r="BE70" i="56"/>
  <c r="BF70" i="56"/>
  <c r="BG70" i="56"/>
  <c r="BH70" i="56"/>
  <c r="BJ70" i="56"/>
  <c r="BK70" i="56"/>
  <c r="BL70" i="56"/>
  <c r="BM70" i="56"/>
  <c r="BN70" i="56"/>
  <c r="BO70" i="56"/>
  <c r="BP70" i="56"/>
  <c r="BQ70" i="56"/>
  <c r="BR70" i="56"/>
  <c r="BS70" i="56"/>
  <c r="BU70" i="56"/>
  <c r="BV70" i="56"/>
  <c r="BW70" i="56"/>
  <c r="BX70" i="56"/>
  <c r="BY70" i="56"/>
  <c r="BZ70" i="56"/>
  <c r="CA70" i="56"/>
  <c r="CB70" i="56"/>
  <c r="CC70" i="56"/>
  <c r="CD70" i="56"/>
  <c r="A71" i="56"/>
  <c r="B71" i="56"/>
  <c r="C71" i="56"/>
  <c r="D71" i="56"/>
  <c r="E71" i="56"/>
  <c r="F71" i="56"/>
  <c r="G71" i="56"/>
  <c r="H71" i="56"/>
  <c r="I71" i="56"/>
  <c r="K71" i="56"/>
  <c r="L71" i="56"/>
  <c r="M71" i="56"/>
  <c r="N71" i="56"/>
  <c r="O71" i="56"/>
  <c r="P71" i="56"/>
  <c r="R71" i="56"/>
  <c r="S71" i="56"/>
  <c r="T71" i="56"/>
  <c r="U71" i="56"/>
  <c r="V71" i="56"/>
  <c r="W71" i="56"/>
  <c r="Y71" i="56"/>
  <c r="Z71" i="56"/>
  <c r="AA71" i="56"/>
  <c r="AB71" i="56"/>
  <c r="AC71" i="56"/>
  <c r="AD71" i="56"/>
  <c r="AF71" i="56"/>
  <c r="AG71" i="56"/>
  <c r="AH71" i="56"/>
  <c r="AI71" i="56"/>
  <c r="AN71" i="56"/>
  <c r="AO71" i="56"/>
  <c r="AP71" i="56"/>
  <c r="AQ71" i="56"/>
  <c r="AR71" i="56"/>
  <c r="AS71" i="56"/>
  <c r="AT71" i="56"/>
  <c r="AU71" i="56"/>
  <c r="AV71" i="56"/>
  <c r="AW71" i="56"/>
  <c r="AY71" i="56"/>
  <c r="AZ71" i="56"/>
  <c r="BA71" i="56"/>
  <c r="BB71" i="56"/>
  <c r="BC71" i="56"/>
  <c r="BD71" i="56"/>
  <c r="BE71" i="56"/>
  <c r="BF71" i="56"/>
  <c r="BG71" i="56"/>
  <c r="BH71" i="56"/>
  <c r="BJ71" i="56"/>
  <c r="BK71" i="56"/>
  <c r="BL71" i="56"/>
  <c r="BM71" i="56"/>
  <c r="BN71" i="56"/>
  <c r="BO71" i="56"/>
  <c r="BP71" i="56"/>
  <c r="BQ71" i="56"/>
  <c r="BR71" i="56"/>
  <c r="BS71" i="56"/>
  <c r="BU71" i="56"/>
  <c r="BV71" i="56"/>
  <c r="BW71" i="56"/>
  <c r="BX71" i="56"/>
  <c r="BY71" i="56"/>
  <c r="BZ71" i="56"/>
  <c r="CA71" i="56"/>
  <c r="CB71" i="56"/>
  <c r="CC71" i="56"/>
  <c r="CD71" i="56"/>
  <c r="A72" i="56"/>
  <c r="B72" i="56"/>
  <c r="C72" i="56"/>
  <c r="D72" i="56"/>
  <c r="E72" i="56"/>
  <c r="F72" i="56"/>
  <c r="G72" i="56"/>
  <c r="H72" i="56"/>
  <c r="I72" i="56"/>
  <c r="K72" i="56"/>
  <c r="L72" i="56"/>
  <c r="M72" i="56"/>
  <c r="N72" i="56"/>
  <c r="O72" i="56"/>
  <c r="P72" i="56"/>
  <c r="R72" i="56"/>
  <c r="S72" i="56"/>
  <c r="T72" i="56"/>
  <c r="U72" i="56"/>
  <c r="V72" i="56"/>
  <c r="W72" i="56"/>
  <c r="Y72" i="56"/>
  <c r="Z72" i="56"/>
  <c r="AA72" i="56"/>
  <c r="AB72" i="56"/>
  <c r="AC72" i="56"/>
  <c r="AD72" i="56"/>
  <c r="AF72" i="56"/>
  <c r="AG72" i="56"/>
  <c r="AH72" i="56"/>
  <c r="AI72" i="56"/>
  <c r="AN72" i="56"/>
  <c r="AO72" i="56"/>
  <c r="AP72" i="56"/>
  <c r="AQ72" i="56"/>
  <c r="AR72" i="56"/>
  <c r="AS72" i="56"/>
  <c r="AT72" i="56"/>
  <c r="AU72" i="56"/>
  <c r="AV72" i="56"/>
  <c r="AW72" i="56"/>
  <c r="AY72" i="56"/>
  <c r="AZ72" i="56"/>
  <c r="BA72" i="56"/>
  <c r="BB72" i="56"/>
  <c r="BC72" i="56"/>
  <c r="BD72" i="56"/>
  <c r="BE72" i="56"/>
  <c r="BF72" i="56"/>
  <c r="BG72" i="56"/>
  <c r="BH72" i="56"/>
  <c r="BJ72" i="56"/>
  <c r="BK72" i="56"/>
  <c r="BL72" i="56"/>
  <c r="BM72" i="56"/>
  <c r="BN72" i="56"/>
  <c r="BO72" i="56"/>
  <c r="BP72" i="56"/>
  <c r="BQ72" i="56"/>
  <c r="BR72" i="56"/>
  <c r="BS72" i="56"/>
  <c r="BU72" i="56"/>
  <c r="BV72" i="56"/>
  <c r="BW72" i="56"/>
  <c r="BX72" i="56"/>
  <c r="BY72" i="56"/>
  <c r="BZ72" i="56"/>
  <c r="CA72" i="56"/>
  <c r="CB72" i="56"/>
  <c r="CC72" i="56"/>
  <c r="CD72" i="56"/>
  <c r="A73" i="56"/>
  <c r="B73" i="56"/>
  <c r="C73" i="56"/>
  <c r="D73" i="56"/>
  <c r="E73" i="56"/>
  <c r="F73" i="56"/>
  <c r="G73" i="56"/>
  <c r="H73" i="56"/>
  <c r="I73" i="56"/>
  <c r="K73" i="56"/>
  <c r="L73" i="56"/>
  <c r="M73" i="56"/>
  <c r="N73" i="56"/>
  <c r="O73" i="56"/>
  <c r="P73" i="56"/>
  <c r="R73" i="56"/>
  <c r="S73" i="56"/>
  <c r="T73" i="56"/>
  <c r="U73" i="56"/>
  <c r="V73" i="56"/>
  <c r="W73" i="56"/>
  <c r="Y73" i="56"/>
  <c r="Z73" i="56"/>
  <c r="AA73" i="56"/>
  <c r="AB73" i="56"/>
  <c r="AC73" i="56"/>
  <c r="AD73" i="56"/>
  <c r="AF73" i="56"/>
  <c r="AG73" i="56"/>
  <c r="AH73" i="56"/>
  <c r="AI73" i="56"/>
  <c r="AN73" i="56"/>
  <c r="AO73" i="56"/>
  <c r="AP73" i="56"/>
  <c r="AQ73" i="56"/>
  <c r="AR73" i="56"/>
  <c r="AS73" i="56"/>
  <c r="AT73" i="56"/>
  <c r="AU73" i="56"/>
  <c r="AV73" i="56"/>
  <c r="AW73" i="56"/>
  <c r="AY73" i="56"/>
  <c r="AZ73" i="56"/>
  <c r="BA73" i="56"/>
  <c r="BB73" i="56"/>
  <c r="BC73" i="56"/>
  <c r="BD73" i="56"/>
  <c r="BE73" i="56"/>
  <c r="BF73" i="56"/>
  <c r="BG73" i="56"/>
  <c r="BH73" i="56"/>
  <c r="BJ73" i="56"/>
  <c r="BK73" i="56"/>
  <c r="BL73" i="56"/>
  <c r="BM73" i="56"/>
  <c r="BN73" i="56"/>
  <c r="BO73" i="56"/>
  <c r="BP73" i="56"/>
  <c r="BQ73" i="56"/>
  <c r="BR73" i="56"/>
  <c r="BS73" i="56"/>
  <c r="BU73" i="56"/>
  <c r="BV73" i="56"/>
  <c r="BW73" i="56"/>
  <c r="BX73" i="56"/>
  <c r="BY73" i="56"/>
  <c r="BZ73" i="56"/>
  <c r="CA73" i="56"/>
  <c r="CB73" i="56"/>
  <c r="CC73" i="56"/>
  <c r="CD73" i="56"/>
  <c r="A74" i="56"/>
  <c r="B74" i="56"/>
  <c r="C74" i="56"/>
  <c r="D74" i="56"/>
  <c r="E74" i="56"/>
  <c r="F74" i="56"/>
  <c r="G74" i="56"/>
  <c r="H74" i="56"/>
  <c r="I74" i="56"/>
  <c r="K74" i="56"/>
  <c r="L74" i="56"/>
  <c r="M74" i="56"/>
  <c r="N74" i="56"/>
  <c r="O74" i="56"/>
  <c r="P74" i="56"/>
  <c r="R74" i="56"/>
  <c r="S74" i="56"/>
  <c r="T74" i="56"/>
  <c r="U74" i="56"/>
  <c r="V74" i="56"/>
  <c r="W74" i="56"/>
  <c r="Y74" i="56"/>
  <c r="Z74" i="56"/>
  <c r="AA74" i="56"/>
  <c r="AB74" i="56"/>
  <c r="AC74" i="56"/>
  <c r="AD74" i="56"/>
  <c r="AF74" i="56"/>
  <c r="AG74" i="56"/>
  <c r="AH74" i="56"/>
  <c r="AI74" i="56"/>
  <c r="AN74" i="56"/>
  <c r="AO74" i="56"/>
  <c r="AP74" i="56"/>
  <c r="AQ74" i="56"/>
  <c r="AR74" i="56"/>
  <c r="AS74" i="56"/>
  <c r="AT74" i="56"/>
  <c r="AU74" i="56"/>
  <c r="AV74" i="56"/>
  <c r="AW74" i="56"/>
  <c r="AY74" i="56"/>
  <c r="AZ74" i="56"/>
  <c r="BA74" i="56"/>
  <c r="BB74" i="56"/>
  <c r="BC74" i="56"/>
  <c r="BD74" i="56"/>
  <c r="BE74" i="56"/>
  <c r="BF74" i="56"/>
  <c r="BG74" i="56"/>
  <c r="BH74" i="56"/>
  <c r="BJ74" i="56"/>
  <c r="BK74" i="56"/>
  <c r="BL74" i="56"/>
  <c r="BM74" i="56"/>
  <c r="BN74" i="56"/>
  <c r="BO74" i="56"/>
  <c r="BP74" i="56"/>
  <c r="BQ74" i="56"/>
  <c r="BR74" i="56"/>
  <c r="BS74" i="56"/>
  <c r="BU74" i="56"/>
  <c r="BV74" i="56"/>
  <c r="BW74" i="56"/>
  <c r="BX74" i="56"/>
  <c r="BY74" i="56"/>
  <c r="BZ74" i="56"/>
  <c r="CA74" i="56"/>
  <c r="CB74" i="56"/>
  <c r="CC74" i="56"/>
  <c r="CD74" i="56"/>
  <c r="A75" i="56"/>
  <c r="B75" i="56"/>
  <c r="C75" i="56"/>
  <c r="D75" i="56"/>
  <c r="E75" i="56"/>
  <c r="F75" i="56"/>
  <c r="G75" i="56"/>
  <c r="H75" i="56"/>
  <c r="I75" i="56"/>
  <c r="K75" i="56"/>
  <c r="L75" i="56"/>
  <c r="M75" i="56"/>
  <c r="N75" i="56"/>
  <c r="O75" i="56"/>
  <c r="P75" i="56"/>
  <c r="R75" i="56"/>
  <c r="S75" i="56"/>
  <c r="T75" i="56"/>
  <c r="U75" i="56"/>
  <c r="V75" i="56"/>
  <c r="W75" i="56"/>
  <c r="Y75" i="56"/>
  <c r="Z75" i="56"/>
  <c r="AA75" i="56"/>
  <c r="AB75" i="56"/>
  <c r="AC75" i="56"/>
  <c r="AD75" i="56"/>
  <c r="AF75" i="56"/>
  <c r="AG75" i="56"/>
  <c r="AH75" i="56"/>
  <c r="AI75" i="56"/>
  <c r="AN75" i="56"/>
  <c r="AO75" i="56"/>
  <c r="AP75" i="56"/>
  <c r="AQ75" i="56"/>
  <c r="AR75" i="56"/>
  <c r="AS75" i="56"/>
  <c r="AT75" i="56"/>
  <c r="AU75" i="56"/>
  <c r="AV75" i="56"/>
  <c r="AW75" i="56"/>
  <c r="AY75" i="56"/>
  <c r="AZ75" i="56"/>
  <c r="BA75" i="56"/>
  <c r="BB75" i="56"/>
  <c r="BC75" i="56"/>
  <c r="BD75" i="56"/>
  <c r="BE75" i="56"/>
  <c r="BF75" i="56"/>
  <c r="BG75" i="56"/>
  <c r="BH75" i="56"/>
  <c r="BJ75" i="56"/>
  <c r="BK75" i="56"/>
  <c r="BL75" i="56"/>
  <c r="BM75" i="56"/>
  <c r="BN75" i="56"/>
  <c r="BO75" i="56"/>
  <c r="BP75" i="56"/>
  <c r="BQ75" i="56"/>
  <c r="BR75" i="56"/>
  <c r="BS75" i="56"/>
  <c r="BU75" i="56"/>
  <c r="BV75" i="56"/>
  <c r="BW75" i="56"/>
  <c r="BX75" i="56"/>
  <c r="BY75" i="56"/>
  <c r="BZ75" i="56"/>
  <c r="CA75" i="56"/>
  <c r="CB75" i="56"/>
  <c r="CC75" i="56"/>
  <c r="CD75" i="56"/>
  <c r="A76" i="56"/>
  <c r="B76" i="56"/>
  <c r="C76" i="56"/>
  <c r="D76" i="56"/>
  <c r="E76" i="56"/>
  <c r="F76" i="56"/>
  <c r="G76" i="56"/>
  <c r="H76" i="56"/>
  <c r="I76" i="56"/>
  <c r="K76" i="56"/>
  <c r="L76" i="56"/>
  <c r="M76" i="56"/>
  <c r="N76" i="56"/>
  <c r="O76" i="56"/>
  <c r="P76" i="56"/>
  <c r="R76" i="56"/>
  <c r="S76" i="56"/>
  <c r="T76" i="56"/>
  <c r="U76" i="56"/>
  <c r="V76" i="56"/>
  <c r="W76" i="56"/>
  <c r="Y76" i="56"/>
  <c r="Z76" i="56"/>
  <c r="AA76" i="56"/>
  <c r="AB76" i="56"/>
  <c r="AC76" i="56"/>
  <c r="AD76" i="56"/>
  <c r="AF76" i="56"/>
  <c r="AG76" i="56"/>
  <c r="AH76" i="56"/>
  <c r="AI76" i="56"/>
  <c r="AN76" i="56"/>
  <c r="AO76" i="56"/>
  <c r="AP76" i="56"/>
  <c r="AQ76" i="56"/>
  <c r="AR76" i="56"/>
  <c r="AS76" i="56"/>
  <c r="AT76" i="56"/>
  <c r="AU76" i="56"/>
  <c r="AV76" i="56"/>
  <c r="AW76" i="56"/>
  <c r="AY76" i="56"/>
  <c r="AZ76" i="56"/>
  <c r="BA76" i="56"/>
  <c r="BB76" i="56"/>
  <c r="BC76" i="56"/>
  <c r="BD76" i="56"/>
  <c r="BE76" i="56"/>
  <c r="BF76" i="56"/>
  <c r="BG76" i="56"/>
  <c r="BH76" i="56"/>
  <c r="BJ76" i="56"/>
  <c r="BK76" i="56"/>
  <c r="BL76" i="56"/>
  <c r="BM76" i="56"/>
  <c r="BN76" i="56"/>
  <c r="BO76" i="56"/>
  <c r="BP76" i="56"/>
  <c r="BQ76" i="56"/>
  <c r="BR76" i="56"/>
  <c r="BS76" i="56"/>
  <c r="BU76" i="56"/>
  <c r="BV76" i="56"/>
  <c r="BW76" i="56"/>
  <c r="BX76" i="56"/>
  <c r="BY76" i="56"/>
  <c r="BZ76" i="56"/>
  <c r="CA76" i="56"/>
  <c r="CB76" i="56"/>
  <c r="CC76" i="56"/>
  <c r="CD76" i="56"/>
  <c r="A77" i="56"/>
  <c r="B77" i="56"/>
  <c r="C77" i="56"/>
  <c r="D77" i="56"/>
  <c r="E77" i="56"/>
  <c r="F77" i="56"/>
  <c r="G77" i="56"/>
  <c r="H77" i="56"/>
  <c r="I77" i="56"/>
  <c r="K77" i="56"/>
  <c r="L77" i="56"/>
  <c r="M77" i="56"/>
  <c r="N77" i="56"/>
  <c r="O77" i="56"/>
  <c r="P77" i="56"/>
  <c r="R77" i="56"/>
  <c r="S77" i="56"/>
  <c r="T77" i="56"/>
  <c r="U77" i="56"/>
  <c r="V77" i="56"/>
  <c r="W77" i="56"/>
  <c r="Y77" i="56"/>
  <c r="Z77" i="56"/>
  <c r="AA77" i="56"/>
  <c r="AB77" i="56"/>
  <c r="AC77" i="56"/>
  <c r="AD77" i="56"/>
  <c r="AF77" i="56"/>
  <c r="AG77" i="56"/>
  <c r="AH77" i="56"/>
  <c r="AI77" i="56"/>
  <c r="AN77" i="56"/>
  <c r="AO77" i="56"/>
  <c r="AP77" i="56"/>
  <c r="AQ77" i="56"/>
  <c r="AR77" i="56"/>
  <c r="AS77" i="56"/>
  <c r="AT77" i="56"/>
  <c r="AU77" i="56"/>
  <c r="AV77" i="56"/>
  <c r="AW77" i="56"/>
  <c r="AY77" i="56"/>
  <c r="AZ77" i="56"/>
  <c r="BA77" i="56"/>
  <c r="BB77" i="56"/>
  <c r="BC77" i="56"/>
  <c r="BD77" i="56"/>
  <c r="BE77" i="56"/>
  <c r="BF77" i="56"/>
  <c r="BG77" i="56"/>
  <c r="BH77" i="56"/>
  <c r="BJ77" i="56"/>
  <c r="BK77" i="56"/>
  <c r="BL77" i="56"/>
  <c r="BM77" i="56"/>
  <c r="BN77" i="56"/>
  <c r="BO77" i="56"/>
  <c r="BP77" i="56"/>
  <c r="BQ77" i="56"/>
  <c r="BR77" i="56"/>
  <c r="BS77" i="56"/>
  <c r="BU77" i="56"/>
  <c r="BV77" i="56"/>
  <c r="BW77" i="56"/>
  <c r="BX77" i="56"/>
  <c r="BY77" i="56"/>
  <c r="BZ77" i="56"/>
  <c r="CA77" i="56"/>
  <c r="CB77" i="56"/>
  <c r="CC77" i="56"/>
  <c r="CD77" i="56"/>
  <c r="A78" i="56"/>
  <c r="B78" i="56"/>
  <c r="C78" i="56"/>
  <c r="D78" i="56"/>
  <c r="E78" i="56"/>
  <c r="F78" i="56"/>
  <c r="G78" i="56"/>
  <c r="H78" i="56"/>
  <c r="I78" i="56"/>
  <c r="K78" i="56"/>
  <c r="L78" i="56"/>
  <c r="M78" i="56"/>
  <c r="N78" i="56"/>
  <c r="O78" i="56"/>
  <c r="P78" i="56"/>
  <c r="R78" i="56"/>
  <c r="S78" i="56"/>
  <c r="T78" i="56"/>
  <c r="U78" i="56"/>
  <c r="V78" i="56"/>
  <c r="W78" i="56"/>
  <c r="Y78" i="56"/>
  <c r="Z78" i="56"/>
  <c r="AA78" i="56"/>
  <c r="AB78" i="56"/>
  <c r="AC78" i="56"/>
  <c r="AD78" i="56"/>
  <c r="AF78" i="56"/>
  <c r="AG78" i="56"/>
  <c r="AH78" i="56"/>
  <c r="AI78" i="56"/>
  <c r="AN78" i="56"/>
  <c r="AO78" i="56"/>
  <c r="AP78" i="56"/>
  <c r="AQ78" i="56"/>
  <c r="AR78" i="56"/>
  <c r="AS78" i="56"/>
  <c r="AT78" i="56"/>
  <c r="AU78" i="56"/>
  <c r="AV78" i="56"/>
  <c r="AW78" i="56"/>
  <c r="AY78" i="56"/>
  <c r="AZ78" i="56"/>
  <c r="BA78" i="56"/>
  <c r="BB78" i="56"/>
  <c r="BC78" i="56"/>
  <c r="BD78" i="56"/>
  <c r="BE78" i="56"/>
  <c r="BF78" i="56"/>
  <c r="BG78" i="56"/>
  <c r="BH78" i="56"/>
  <c r="BJ78" i="56"/>
  <c r="BK78" i="56"/>
  <c r="BL78" i="56"/>
  <c r="BM78" i="56"/>
  <c r="BN78" i="56"/>
  <c r="BO78" i="56"/>
  <c r="BP78" i="56"/>
  <c r="BQ78" i="56"/>
  <c r="BR78" i="56"/>
  <c r="BS78" i="56"/>
  <c r="BU78" i="56"/>
  <c r="BV78" i="56"/>
  <c r="BW78" i="56"/>
  <c r="BX78" i="56"/>
  <c r="BY78" i="56"/>
  <c r="BZ78" i="56"/>
  <c r="CA78" i="56"/>
  <c r="CB78" i="56"/>
  <c r="CC78" i="56"/>
  <c r="CD78" i="56"/>
  <c r="A79" i="56"/>
  <c r="B79" i="56"/>
  <c r="C79" i="56"/>
  <c r="D79" i="56"/>
  <c r="E79" i="56"/>
  <c r="F79" i="56"/>
  <c r="G79" i="56"/>
  <c r="H79" i="56"/>
  <c r="I79" i="56"/>
  <c r="K79" i="56"/>
  <c r="L79" i="56"/>
  <c r="M79" i="56"/>
  <c r="N79" i="56"/>
  <c r="O79" i="56"/>
  <c r="P79" i="56"/>
  <c r="R79" i="56"/>
  <c r="S79" i="56"/>
  <c r="T79" i="56"/>
  <c r="U79" i="56"/>
  <c r="V79" i="56"/>
  <c r="W79" i="56"/>
  <c r="Y79" i="56"/>
  <c r="Z79" i="56"/>
  <c r="AA79" i="56"/>
  <c r="AB79" i="56"/>
  <c r="AC79" i="56"/>
  <c r="AD79" i="56"/>
  <c r="AF79" i="56"/>
  <c r="AG79" i="56"/>
  <c r="AH79" i="56"/>
  <c r="AI79" i="56"/>
  <c r="AN79" i="56"/>
  <c r="AO79" i="56"/>
  <c r="AP79" i="56"/>
  <c r="AQ79" i="56"/>
  <c r="AR79" i="56"/>
  <c r="AS79" i="56"/>
  <c r="AT79" i="56"/>
  <c r="AU79" i="56"/>
  <c r="AV79" i="56"/>
  <c r="AW79" i="56"/>
  <c r="AY79" i="56"/>
  <c r="AZ79" i="56"/>
  <c r="BA79" i="56"/>
  <c r="BB79" i="56"/>
  <c r="BC79" i="56"/>
  <c r="BD79" i="56"/>
  <c r="BE79" i="56"/>
  <c r="BF79" i="56"/>
  <c r="BG79" i="56"/>
  <c r="BH79" i="56"/>
  <c r="BJ79" i="56"/>
  <c r="BK79" i="56"/>
  <c r="BL79" i="56"/>
  <c r="BM79" i="56"/>
  <c r="BN79" i="56"/>
  <c r="BO79" i="56"/>
  <c r="BP79" i="56"/>
  <c r="BQ79" i="56"/>
  <c r="BR79" i="56"/>
  <c r="BS79" i="56"/>
  <c r="BU79" i="56"/>
  <c r="BV79" i="56"/>
  <c r="BW79" i="56"/>
  <c r="BX79" i="56"/>
  <c r="BY79" i="56"/>
  <c r="BZ79" i="56"/>
  <c r="CA79" i="56"/>
  <c r="CB79" i="56"/>
  <c r="CC79" i="56"/>
  <c r="CD79" i="56"/>
  <c r="A80" i="56"/>
  <c r="B80" i="56"/>
  <c r="C80" i="56"/>
  <c r="D80" i="56"/>
  <c r="E80" i="56"/>
  <c r="F80" i="56"/>
  <c r="G80" i="56"/>
  <c r="H80" i="56"/>
  <c r="I80" i="56"/>
  <c r="K80" i="56"/>
  <c r="L80" i="56"/>
  <c r="M80" i="56"/>
  <c r="N80" i="56"/>
  <c r="O80" i="56"/>
  <c r="P80" i="56"/>
  <c r="R80" i="56"/>
  <c r="S80" i="56"/>
  <c r="T80" i="56"/>
  <c r="U80" i="56"/>
  <c r="V80" i="56"/>
  <c r="W80" i="56"/>
  <c r="Y80" i="56"/>
  <c r="Z80" i="56"/>
  <c r="AA80" i="56"/>
  <c r="AB80" i="56"/>
  <c r="AC80" i="56"/>
  <c r="AD80" i="56"/>
  <c r="AF80" i="56"/>
  <c r="AG80" i="56"/>
  <c r="AH80" i="56"/>
  <c r="AI80" i="56"/>
  <c r="AN80" i="56"/>
  <c r="AO80" i="56"/>
  <c r="AP80" i="56"/>
  <c r="AQ80" i="56"/>
  <c r="AR80" i="56"/>
  <c r="AS80" i="56"/>
  <c r="AT80" i="56"/>
  <c r="AU80" i="56"/>
  <c r="AV80" i="56"/>
  <c r="AW80" i="56"/>
  <c r="AY80" i="56"/>
  <c r="AZ80" i="56"/>
  <c r="BA80" i="56"/>
  <c r="BB80" i="56"/>
  <c r="BC80" i="56"/>
  <c r="BD80" i="56"/>
  <c r="BE80" i="56"/>
  <c r="BF80" i="56"/>
  <c r="BG80" i="56"/>
  <c r="BH80" i="56"/>
  <c r="BJ80" i="56"/>
  <c r="BK80" i="56"/>
  <c r="BL80" i="56"/>
  <c r="BM80" i="56"/>
  <c r="BN80" i="56"/>
  <c r="BO80" i="56"/>
  <c r="BP80" i="56"/>
  <c r="BQ80" i="56"/>
  <c r="BR80" i="56"/>
  <c r="BS80" i="56"/>
  <c r="BU80" i="56"/>
  <c r="BV80" i="56"/>
  <c r="BW80" i="56"/>
  <c r="BX80" i="56"/>
  <c r="BY80" i="56"/>
  <c r="BZ80" i="56"/>
  <c r="CA80" i="56"/>
  <c r="CB80" i="56"/>
  <c r="CC80" i="56"/>
  <c r="CD80" i="56"/>
  <c r="A81" i="56"/>
  <c r="B81" i="56"/>
  <c r="C81" i="56"/>
  <c r="D81" i="56"/>
  <c r="E81" i="56"/>
  <c r="F81" i="56"/>
  <c r="G81" i="56"/>
  <c r="H81" i="56"/>
  <c r="I81" i="56"/>
  <c r="K81" i="56"/>
  <c r="L81" i="56"/>
  <c r="M81" i="56"/>
  <c r="N81" i="56"/>
  <c r="O81" i="56"/>
  <c r="P81" i="56"/>
  <c r="R81" i="56"/>
  <c r="S81" i="56"/>
  <c r="T81" i="56"/>
  <c r="U81" i="56"/>
  <c r="V81" i="56"/>
  <c r="W81" i="56"/>
  <c r="Y81" i="56"/>
  <c r="Z81" i="56"/>
  <c r="AA81" i="56"/>
  <c r="AB81" i="56"/>
  <c r="AC81" i="56"/>
  <c r="AD81" i="56"/>
  <c r="AF81" i="56"/>
  <c r="AG81" i="56"/>
  <c r="AH81" i="56"/>
  <c r="AI81" i="56"/>
  <c r="AN81" i="56"/>
  <c r="AO81" i="56"/>
  <c r="AP81" i="56"/>
  <c r="AQ81" i="56"/>
  <c r="AR81" i="56"/>
  <c r="AS81" i="56"/>
  <c r="AT81" i="56"/>
  <c r="AU81" i="56"/>
  <c r="AV81" i="56"/>
  <c r="AW81" i="56"/>
  <c r="AY81" i="56"/>
  <c r="AZ81" i="56"/>
  <c r="BA81" i="56"/>
  <c r="BB81" i="56"/>
  <c r="BC81" i="56"/>
  <c r="BD81" i="56"/>
  <c r="BE81" i="56"/>
  <c r="BF81" i="56"/>
  <c r="BG81" i="56"/>
  <c r="BH81" i="56"/>
  <c r="BJ81" i="56"/>
  <c r="BK81" i="56"/>
  <c r="BL81" i="56"/>
  <c r="BM81" i="56"/>
  <c r="BN81" i="56"/>
  <c r="BO81" i="56"/>
  <c r="BP81" i="56"/>
  <c r="BQ81" i="56"/>
  <c r="BR81" i="56"/>
  <c r="BS81" i="56"/>
  <c r="BU81" i="56"/>
  <c r="BV81" i="56"/>
  <c r="BW81" i="56"/>
  <c r="BX81" i="56"/>
  <c r="BY81" i="56"/>
  <c r="BZ81" i="56"/>
  <c r="CA81" i="56"/>
  <c r="CB81" i="56"/>
  <c r="CC81" i="56"/>
  <c r="CD81" i="56"/>
  <c r="A82" i="56"/>
  <c r="B82" i="56"/>
  <c r="C82" i="56"/>
  <c r="D82" i="56"/>
  <c r="E82" i="56"/>
  <c r="F82" i="56"/>
  <c r="G82" i="56"/>
  <c r="H82" i="56"/>
  <c r="I82" i="56"/>
  <c r="K82" i="56"/>
  <c r="L82" i="56"/>
  <c r="M82" i="56"/>
  <c r="N82" i="56"/>
  <c r="O82" i="56"/>
  <c r="P82" i="56"/>
  <c r="R82" i="56"/>
  <c r="S82" i="56"/>
  <c r="T82" i="56"/>
  <c r="U82" i="56"/>
  <c r="V82" i="56"/>
  <c r="W82" i="56"/>
  <c r="Y82" i="56"/>
  <c r="Z82" i="56"/>
  <c r="AA82" i="56"/>
  <c r="AB82" i="56"/>
  <c r="AC82" i="56"/>
  <c r="AD82" i="56"/>
  <c r="AF82" i="56"/>
  <c r="AG82" i="56"/>
  <c r="AH82" i="56"/>
  <c r="AI82" i="56"/>
  <c r="AN82" i="56"/>
  <c r="AO82" i="56"/>
  <c r="AP82" i="56"/>
  <c r="AQ82" i="56"/>
  <c r="AR82" i="56"/>
  <c r="AS82" i="56"/>
  <c r="AT82" i="56"/>
  <c r="AU82" i="56"/>
  <c r="AV82" i="56"/>
  <c r="AW82" i="56"/>
  <c r="AY82" i="56"/>
  <c r="AZ82" i="56"/>
  <c r="BA82" i="56"/>
  <c r="BB82" i="56"/>
  <c r="BC82" i="56"/>
  <c r="BD82" i="56"/>
  <c r="BE82" i="56"/>
  <c r="BF82" i="56"/>
  <c r="BG82" i="56"/>
  <c r="BH82" i="56"/>
  <c r="BJ82" i="56"/>
  <c r="BK82" i="56"/>
  <c r="BL82" i="56"/>
  <c r="BM82" i="56"/>
  <c r="BN82" i="56"/>
  <c r="BO82" i="56"/>
  <c r="BP82" i="56"/>
  <c r="BQ82" i="56"/>
  <c r="BR82" i="56"/>
  <c r="BS82" i="56"/>
  <c r="BU82" i="56"/>
  <c r="BV82" i="56"/>
  <c r="BW82" i="56"/>
  <c r="BX82" i="56"/>
  <c r="BY82" i="56"/>
  <c r="BZ82" i="56"/>
  <c r="CA82" i="56"/>
  <c r="CB82" i="56"/>
  <c r="CC82" i="56"/>
  <c r="CD82" i="56"/>
  <c r="A83" i="56"/>
  <c r="B83" i="56"/>
  <c r="C83" i="56"/>
  <c r="D83" i="56"/>
  <c r="E83" i="56"/>
  <c r="F83" i="56"/>
  <c r="G83" i="56"/>
  <c r="H83" i="56"/>
  <c r="I83" i="56"/>
  <c r="K83" i="56"/>
  <c r="L83" i="56"/>
  <c r="M83" i="56"/>
  <c r="N83" i="56"/>
  <c r="O83" i="56"/>
  <c r="P83" i="56"/>
  <c r="R83" i="56"/>
  <c r="S83" i="56"/>
  <c r="T83" i="56"/>
  <c r="U83" i="56"/>
  <c r="V83" i="56"/>
  <c r="W83" i="56"/>
  <c r="Y83" i="56"/>
  <c r="Z83" i="56"/>
  <c r="AA83" i="56"/>
  <c r="AB83" i="56"/>
  <c r="AC83" i="56"/>
  <c r="AD83" i="56"/>
  <c r="AF83" i="56"/>
  <c r="AG83" i="56"/>
  <c r="AH83" i="56"/>
  <c r="AI83" i="56"/>
  <c r="AN83" i="56"/>
  <c r="AO83" i="56"/>
  <c r="AP83" i="56"/>
  <c r="AQ83" i="56"/>
  <c r="AR83" i="56"/>
  <c r="AS83" i="56"/>
  <c r="AT83" i="56"/>
  <c r="AU83" i="56"/>
  <c r="AV83" i="56"/>
  <c r="AW83" i="56"/>
  <c r="AY83" i="56"/>
  <c r="AZ83" i="56"/>
  <c r="BA83" i="56"/>
  <c r="BB83" i="56"/>
  <c r="BC83" i="56"/>
  <c r="BD83" i="56"/>
  <c r="BE83" i="56"/>
  <c r="BF83" i="56"/>
  <c r="BG83" i="56"/>
  <c r="BH83" i="56"/>
  <c r="BJ83" i="56"/>
  <c r="BK83" i="56"/>
  <c r="BL83" i="56"/>
  <c r="BM83" i="56"/>
  <c r="BN83" i="56"/>
  <c r="BO83" i="56"/>
  <c r="BP83" i="56"/>
  <c r="BQ83" i="56"/>
  <c r="BR83" i="56"/>
  <c r="BS83" i="56"/>
  <c r="BU83" i="56"/>
  <c r="BV83" i="56"/>
  <c r="BW83" i="56"/>
  <c r="BX83" i="56"/>
  <c r="BY83" i="56"/>
  <c r="BZ83" i="56"/>
  <c r="CA83" i="56"/>
  <c r="CB83" i="56"/>
  <c r="CC83" i="56"/>
  <c r="CD83" i="56"/>
  <c r="A84" i="56"/>
  <c r="B84" i="56"/>
  <c r="C84" i="56"/>
  <c r="D84" i="56"/>
  <c r="E84" i="56"/>
  <c r="F84" i="56"/>
  <c r="G84" i="56"/>
  <c r="H84" i="56"/>
  <c r="I84" i="56"/>
  <c r="K84" i="56"/>
  <c r="L84" i="56"/>
  <c r="M84" i="56"/>
  <c r="N84" i="56"/>
  <c r="O84" i="56"/>
  <c r="P84" i="56"/>
  <c r="R84" i="56"/>
  <c r="S84" i="56"/>
  <c r="T84" i="56"/>
  <c r="U84" i="56"/>
  <c r="V84" i="56"/>
  <c r="W84" i="56"/>
  <c r="Y84" i="56"/>
  <c r="Z84" i="56"/>
  <c r="AA84" i="56"/>
  <c r="AB84" i="56"/>
  <c r="AC84" i="56"/>
  <c r="AD84" i="56"/>
  <c r="AF84" i="56"/>
  <c r="AG84" i="56"/>
  <c r="AH84" i="56"/>
  <c r="AI84" i="56"/>
  <c r="AN84" i="56"/>
  <c r="AO84" i="56"/>
  <c r="AP84" i="56"/>
  <c r="AQ84" i="56"/>
  <c r="AR84" i="56"/>
  <c r="AS84" i="56"/>
  <c r="AT84" i="56"/>
  <c r="AU84" i="56"/>
  <c r="AV84" i="56"/>
  <c r="AW84" i="56"/>
  <c r="AY84" i="56"/>
  <c r="AZ84" i="56"/>
  <c r="BA84" i="56"/>
  <c r="BB84" i="56"/>
  <c r="BC84" i="56"/>
  <c r="BD84" i="56"/>
  <c r="BE84" i="56"/>
  <c r="BF84" i="56"/>
  <c r="BG84" i="56"/>
  <c r="BH84" i="56"/>
  <c r="BJ84" i="56"/>
  <c r="BK84" i="56"/>
  <c r="BL84" i="56"/>
  <c r="BM84" i="56"/>
  <c r="BN84" i="56"/>
  <c r="BO84" i="56"/>
  <c r="BP84" i="56"/>
  <c r="BQ84" i="56"/>
  <c r="BR84" i="56"/>
  <c r="BS84" i="56"/>
  <c r="BU84" i="56"/>
  <c r="BV84" i="56"/>
  <c r="BW84" i="56"/>
  <c r="BX84" i="56"/>
  <c r="BY84" i="56"/>
  <c r="BZ84" i="56"/>
  <c r="CA84" i="56"/>
  <c r="CB84" i="56"/>
  <c r="CC84" i="56"/>
  <c r="CD84" i="56"/>
  <c r="A85" i="56"/>
  <c r="B85" i="56"/>
  <c r="C85" i="56"/>
  <c r="D85" i="56"/>
  <c r="E85" i="56"/>
  <c r="F85" i="56"/>
  <c r="G85" i="56"/>
  <c r="H85" i="56"/>
  <c r="I85" i="56"/>
  <c r="K85" i="56"/>
  <c r="L85" i="56"/>
  <c r="M85" i="56"/>
  <c r="N85" i="56"/>
  <c r="O85" i="56"/>
  <c r="P85" i="56"/>
  <c r="R85" i="56"/>
  <c r="S85" i="56"/>
  <c r="T85" i="56"/>
  <c r="U85" i="56"/>
  <c r="V85" i="56"/>
  <c r="W85" i="56"/>
  <c r="Y85" i="56"/>
  <c r="Z85" i="56"/>
  <c r="AA85" i="56"/>
  <c r="AB85" i="56"/>
  <c r="AC85" i="56"/>
  <c r="AD85" i="56"/>
  <c r="AF85" i="56"/>
  <c r="AG85" i="56"/>
  <c r="AH85" i="56"/>
  <c r="AI85" i="56"/>
  <c r="AN85" i="56"/>
  <c r="AO85" i="56"/>
  <c r="AP85" i="56"/>
  <c r="AQ85" i="56"/>
  <c r="AR85" i="56"/>
  <c r="AS85" i="56"/>
  <c r="AT85" i="56"/>
  <c r="AU85" i="56"/>
  <c r="AV85" i="56"/>
  <c r="AW85" i="56"/>
  <c r="AY85" i="56"/>
  <c r="AZ85" i="56"/>
  <c r="BA85" i="56"/>
  <c r="BB85" i="56"/>
  <c r="BC85" i="56"/>
  <c r="BD85" i="56"/>
  <c r="BE85" i="56"/>
  <c r="BF85" i="56"/>
  <c r="BG85" i="56"/>
  <c r="BH85" i="56"/>
  <c r="BJ85" i="56"/>
  <c r="BK85" i="56"/>
  <c r="BL85" i="56"/>
  <c r="BM85" i="56"/>
  <c r="BN85" i="56"/>
  <c r="BO85" i="56"/>
  <c r="BP85" i="56"/>
  <c r="BQ85" i="56"/>
  <c r="BR85" i="56"/>
  <c r="BS85" i="56"/>
  <c r="BU85" i="56"/>
  <c r="BV85" i="56"/>
  <c r="BW85" i="56"/>
  <c r="BX85" i="56"/>
  <c r="BY85" i="56"/>
  <c r="BZ85" i="56"/>
  <c r="CA85" i="56"/>
  <c r="CB85" i="56"/>
  <c r="CC85" i="56"/>
  <c r="CD85" i="56"/>
  <c r="A86" i="56"/>
  <c r="B86" i="56"/>
  <c r="C86" i="56"/>
  <c r="D86" i="56"/>
  <c r="E86" i="56"/>
  <c r="F86" i="56"/>
  <c r="G86" i="56"/>
  <c r="H86" i="56"/>
  <c r="I86" i="56"/>
  <c r="K86" i="56"/>
  <c r="L86" i="56"/>
  <c r="M86" i="56"/>
  <c r="N86" i="56"/>
  <c r="O86" i="56"/>
  <c r="P86" i="56"/>
  <c r="R86" i="56"/>
  <c r="S86" i="56"/>
  <c r="T86" i="56"/>
  <c r="U86" i="56"/>
  <c r="V86" i="56"/>
  <c r="W86" i="56"/>
  <c r="Y86" i="56"/>
  <c r="Z86" i="56"/>
  <c r="AA86" i="56"/>
  <c r="AB86" i="56"/>
  <c r="AC86" i="56"/>
  <c r="AD86" i="56"/>
  <c r="AF86" i="56"/>
  <c r="AG86" i="56"/>
  <c r="AH86" i="56"/>
  <c r="AI86" i="56"/>
  <c r="AN86" i="56"/>
  <c r="AO86" i="56"/>
  <c r="AP86" i="56"/>
  <c r="AQ86" i="56"/>
  <c r="AR86" i="56"/>
  <c r="AS86" i="56"/>
  <c r="AT86" i="56"/>
  <c r="AU86" i="56"/>
  <c r="AV86" i="56"/>
  <c r="AW86" i="56"/>
  <c r="AY86" i="56"/>
  <c r="AZ86" i="56"/>
  <c r="BA86" i="56"/>
  <c r="BB86" i="56"/>
  <c r="BC86" i="56"/>
  <c r="BD86" i="56"/>
  <c r="BE86" i="56"/>
  <c r="BF86" i="56"/>
  <c r="BG86" i="56"/>
  <c r="BH86" i="56"/>
  <c r="BJ86" i="56"/>
  <c r="BK86" i="56"/>
  <c r="BL86" i="56"/>
  <c r="BM86" i="56"/>
  <c r="BN86" i="56"/>
  <c r="BO86" i="56"/>
  <c r="BP86" i="56"/>
  <c r="BQ86" i="56"/>
  <c r="BR86" i="56"/>
  <c r="BS86" i="56"/>
  <c r="BU86" i="56"/>
  <c r="BV86" i="56"/>
  <c r="BW86" i="56"/>
  <c r="BX86" i="56"/>
  <c r="BY86" i="56"/>
  <c r="BZ86" i="56"/>
  <c r="CA86" i="56"/>
  <c r="CB86" i="56"/>
  <c r="CC86" i="56"/>
  <c r="CD86" i="56"/>
  <c r="A87" i="56"/>
  <c r="B87" i="56"/>
  <c r="C87" i="56"/>
  <c r="D87" i="56"/>
  <c r="E87" i="56"/>
  <c r="F87" i="56"/>
  <c r="G87" i="56"/>
  <c r="H87" i="56"/>
  <c r="I87" i="56"/>
  <c r="K87" i="56"/>
  <c r="L87" i="56"/>
  <c r="M87" i="56"/>
  <c r="N87" i="56"/>
  <c r="O87" i="56"/>
  <c r="P87" i="56"/>
  <c r="R87" i="56"/>
  <c r="S87" i="56"/>
  <c r="T87" i="56"/>
  <c r="U87" i="56"/>
  <c r="V87" i="56"/>
  <c r="W87" i="56"/>
  <c r="Y87" i="56"/>
  <c r="Z87" i="56"/>
  <c r="AA87" i="56"/>
  <c r="AB87" i="56"/>
  <c r="AC87" i="56"/>
  <c r="AD87" i="56"/>
  <c r="AF87" i="56"/>
  <c r="AG87" i="56"/>
  <c r="AH87" i="56"/>
  <c r="AI87" i="56"/>
  <c r="AN87" i="56"/>
  <c r="AO87" i="56"/>
  <c r="AP87" i="56"/>
  <c r="AQ87" i="56"/>
  <c r="AR87" i="56"/>
  <c r="AS87" i="56"/>
  <c r="AT87" i="56"/>
  <c r="AU87" i="56"/>
  <c r="AV87" i="56"/>
  <c r="AW87" i="56"/>
  <c r="AY87" i="56"/>
  <c r="AZ87" i="56"/>
  <c r="BA87" i="56"/>
  <c r="BB87" i="56"/>
  <c r="BC87" i="56"/>
  <c r="BD87" i="56"/>
  <c r="BE87" i="56"/>
  <c r="BF87" i="56"/>
  <c r="BG87" i="56"/>
  <c r="BH87" i="56"/>
  <c r="BJ87" i="56"/>
  <c r="BK87" i="56"/>
  <c r="BL87" i="56"/>
  <c r="BM87" i="56"/>
  <c r="BN87" i="56"/>
  <c r="BO87" i="56"/>
  <c r="BP87" i="56"/>
  <c r="BQ87" i="56"/>
  <c r="BR87" i="56"/>
  <c r="BS87" i="56"/>
  <c r="BU87" i="56"/>
  <c r="BV87" i="56"/>
  <c r="BW87" i="56"/>
  <c r="BX87" i="56"/>
  <c r="BY87" i="56"/>
  <c r="BZ87" i="56"/>
  <c r="CA87" i="56"/>
  <c r="CB87" i="56"/>
  <c r="CC87" i="56"/>
  <c r="CD87" i="56"/>
  <c r="A88" i="56"/>
  <c r="B88" i="56"/>
  <c r="C88" i="56"/>
  <c r="D88" i="56"/>
  <c r="E88" i="56"/>
  <c r="F88" i="56"/>
  <c r="G88" i="56"/>
  <c r="H88" i="56"/>
  <c r="I88" i="56"/>
  <c r="K88" i="56"/>
  <c r="L88" i="56"/>
  <c r="M88" i="56"/>
  <c r="N88" i="56"/>
  <c r="O88" i="56"/>
  <c r="P88" i="56"/>
  <c r="R88" i="56"/>
  <c r="S88" i="56"/>
  <c r="T88" i="56"/>
  <c r="U88" i="56"/>
  <c r="V88" i="56"/>
  <c r="W88" i="56"/>
  <c r="Y88" i="56"/>
  <c r="Z88" i="56"/>
  <c r="AA88" i="56"/>
  <c r="AB88" i="56"/>
  <c r="AC88" i="56"/>
  <c r="AD88" i="56"/>
  <c r="AF88" i="56"/>
  <c r="AG88" i="56"/>
  <c r="AH88" i="56"/>
  <c r="AI88" i="56"/>
  <c r="AN88" i="56"/>
  <c r="AO88" i="56"/>
  <c r="AP88" i="56"/>
  <c r="AQ88" i="56"/>
  <c r="AR88" i="56"/>
  <c r="AS88" i="56"/>
  <c r="AT88" i="56"/>
  <c r="AU88" i="56"/>
  <c r="AV88" i="56"/>
  <c r="AW88" i="56"/>
  <c r="AY88" i="56"/>
  <c r="AZ88" i="56"/>
  <c r="BA88" i="56"/>
  <c r="BB88" i="56"/>
  <c r="BC88" i="56"/>
  <c r="BD88" i="56"/>
  <c r="BE88" i="56"/>
  <c r="BF88" i="56"/>
  <c r="BG88" i="56"/>
  <c r="BH88" i="56"/>
  <c r="BJ88" i="56"/>
  <c r="BK88" i="56"/>
  <c r="BL88" i="56"/>
  <c r="BM88" i="56"/>
  <c r="BN88" i="56"/>
  <c r="BO88" i="56"/>
  <c r="BP88" i="56"/>
  <c r="BQ88" i="56"/>
  <c r="BR88" i="56"/>
  <c r="BS88" i="56"/>
  <c r="BU88" i="56"/>
  <c r="BV88" i="56"/>
  <c r="BW88" i="56"/>
  <c r="BX88" i="56"/>
  <c r="BY88" i="56"/>
  <c r="BZ88" i="56"/>
  <c r="CA88" i="56"/>
  <c r="CB88" i="56"/>
  <c r="CC88" i="56"/>
  <c r="CD88" i="56"/>
  <c r="A89" i="56"/>
  <c r="B89" i="56"/>
  <c r="C89" i="56"/>
  <c r="D89" i="56"/>
  <c r="E89" i="56"/>
  <c r="F89" i="56"/>
  <c r="G89" i="56"/>
  <c r="H89" i="56"/>
  <c r="I89" i="56"/>
  <c r="K89" i="56"/>
  <c r="L89" i="56"/>
  <c r="M89" i="56"/>
  <c r="N89" i="56"/>
  <c r="O89" i="56"/>
  <c r="P89" i="56"/>
  <c r="R89" i="56"/>
  <c r="S89" i="56"/>
  <c r="T89" i="56"/>
  <c r="U89" i="56"/>
  <c r="V89" i="56"/>
  <c r="W89" i="56"/>
  <c r="Y89" i="56"/>
  <c r="Z89" i="56"/>
  <c r="AA89" i="56"/>
  <c r="AB89" i="56"/>
  <c r="AC89" i="56"/>
  <c r="AD89" i="56"/>
  <c r="AF89" i="56"/>
  <c r="AG89" i="56"/>
  <c r="AH89" i="56"/>
  <c r="AI89" i="56"/>
  <c r="AN89" i="56"/>
  <c r="AO89" i="56"/>
  <c r="AP89" i="56"/>
  <c r="AQ89" i="56"/>
  <c r="AR89" i="56"/>
  <c r="AS89" i="56"/>
  <c r="AT89" i="56"/>
  <c r="AU89" i="56"/>
  <c r="AV89" i="56"/>
  <c r="AW89" i="56"/>
  <c r="AY89" i="56"/>
  <c r="AZ89" i="56"/>
  <c r="BA89" i="56"/>
  <c r="BB89" i="56"/>
  <c r="BC89" i="56"/>
  <c r="BD89" i="56"/>
  <c r="BE89" i="56"/>
  <c r="BF89" i="56"/>
  <c r="BG89" i="56"/>
  <c r="BH89" i="56"/>
  <c r="BJ89" i="56"/>
  <c r="BK89" i="56"/>
  <c r="BL89" i="56"/>
  <c r="BM89" i="56"/>
  <c r="BN89" i="56"/>
  <c r="BO89" i="56"/>
  <c r="BP89" i="56"/>
  <c r="BQ89" i="56"/>
  <c r="BR89" i="56"/>
  <c r="BS89" i="56"/>
  <c r="BU89" i="56"/>
  <c r="BV89" i="56"/>
  <c r="BW89" i="56"/>
  <c r="BX89" i="56"/>
  <c r="BY89" i="56"/>
  <c r="BZ89" i="56"/>
  <c r="CA89" i="56"/>
  <c r="CB89" i="56"/>
  <c r="CC89" i="56"/>
  <c r="CD89" i="56"/>
  <c r="A90" i="56"/>
  <c r="B90" i="56"/>
  <c r="C90" i="56"/>
  <c r="D90" i="56"/>
  <c r="E90" i="56"/>
  <c r="F90" i="56"/>
  <c r="G90" i="56"/>
  <c r="H90" i="56"/>
  <c r="I90" i="56"/>
  <c r="K90" i="56"/>
  <c r="L90" i="56"/>
  <c r="M90" i="56"/>
  <c r="N90" i="56"/>
  <c r="O90" i="56"/>
  <c r="P90" i="56"/>
  <c r="R90" i="56"/>
  <c r="S90" i="56"/>
  <c r="T90" i="56"/>
  <c r="U90" i="56"/>
  <c r="V90" i="56"/>
  <c r="W90" i="56"/>
  <c r="Y90" i="56"/>
  <c r="Z90" i="56"/>
  <c r="AA90" i="56"/>
  <c r="AB90" i="56"/>
  <c r="AC90" i="56"/>
  <c r="AD90" i="56"/>
  <c r="AF90" i="56"/>
  <c r="AG90" i="56"/>
  <c r="AH90" i="56"/>
  <c r="AI90" i="56"/>
  <c r="AN90" i="56"/>
  <c r="AO90" i="56"/>
  <c r="AP90" i="56"/>
  <c r="AQ90" i="56"/>
  <c r="AR90" i="56"/>
  <c r="AS90" i="56"/>
  <c r="AT90" i="56"/>
  <c r="AU90" i="56"/>
  <c r="AV90" i="56"/>
  <c r="AW90" i="56"/>
  <c r="AY90" i="56"/>
  <c r="AZ90" i="56"/>
  <c r="BA90" i="56"/>
  <c r="BB90" i="56"/>
  <c r="BC90" i="56"/>
  <c r="BD90" i="56"/>
  <c r="BE90" i="56"/>
  <c r="BF90" i="56"/>
  <c r="BG90" i="56"/>
  <c r="BH90" i="56"/>
  <c r="BJ90" i="56"/>
  <c r="BK90" i="56"/>
  <c r="BL90" i="56"/>
  <c r="BM90" i="56"/>
  <c r="BN90" i="56"/>
  <c r="BO90" i="56"/>
  <c r="BP90" i="56"/>
  <c r="BQ90" i="56"/>
  <c r="BR90" i="56"/>
  <c r="BS90" i="56"/>
  <c r="BU90" i="56"/>
  <c r="BV90" i="56"/>
  <c r="BW90" i="56"/>
  <c r="BX90" i="56"/>
  <c r="BY90" i="56"/>
  <c r="BZ90" i="56"/>
  <c r="CA90" i="56"/>
  <c r="CB90" i="56"/>
  <c r="CC90" i="56"/>
  <c r="CD90" i="56"/>
  <c r="A91" i="56"/>
  <c r="B91" i="56"/>
  <c r="C91" i="56"/>
  <c r="D91" i="56"/>
  <c r="E91" i="56"/>
  <c r="F91" i="56"/>
  <c r="G91" i="56"/>
  <c r="H91" i="56"/>
  <c r="I91" i="56"/>
  <c r="K91" i="56"/>
  <c r="L91" i="56"/>
  <c r="M91" i="56"/>
  <c r="N91" i="56"/>
  <c r="O91" i="56"/>
  <c r="P91" i="56"/>
  <c r="R91" i="56"/>
  <c r="S91" i="56"/>
  <c r="T91" i="56"/>
  <c r="U91" i="56"/>
  <c r="V91" i="56"/>
  <c r="W91" i="56"/>
  <c r="Y91" i="56"/>
  <c r="Z91" i="56"/>
  <c r="AA91" i="56"/>
  <c r="AB91" i="56"/>
  <c r="AC91" i="56"/>
  <c r="AD91" i="56"/>
  <c r="AF91" i="56"/>
  <c r="AG91" i="56"/>
  <c r="AH91" i="56"/>
  <c r="AI91" i="56"/>
  <c r="AN91" i="56"/>
  <c r="AO91" i="56"/>
  <c r="AP91" i="56"/>
  <c r="AQ91" i="56"/>
  <c r="AR91" i="56"/>
  <c r="AS91" i="56"/>
  <c r="AT91" i="56"/>
  <c r="AU91" i="56"/>
  <c r="AV91" i="56"/>
  <c r="AW91" i="56"/>
  <c r="AY91" i="56"/>
  <c r="AZ91" i="56"/>
  <c r="BA91" i="56"/>
  <c r="BB91" i="56"/>
  <c r="BC91" i="56"/>
  <c r="BD91" i="56"/>
  <c r="BE91" i="56"/>
  <c r="BF91" i="56"/>
  <c r="BG91" i="56"/>
  <c r="BH91" i="56"/>
  <c r="BJ91" i="56"/>
  <c r="BK91" i="56"/>
  <c r="BL91" i="56"/>
  <c r="BM91" i="56"/>
  <c r="BN91" i="56"/>
  <c r="BO91" i="56"/>
  <c r="BP91" i="56"/>
  <c r="BQ91" i="56"/>
  <c r="BR91" i="56"/>
  <c r="BS91" i="56"/>
  <c r="BU91" i="56"/>
  <c r="BV91" i="56"/>
  <c r="BW91" i="56"/>
  <c r="BX91" i="56"/>
  <c r="BY91" i="56"/>
  <c r="BZ91" i="56"/>
  <c r="CA91" i="56"/>
  <c r="CB91" i="56"/>
  <c r="CC91" i="56"/>
  <c r="CD91" i="56"/>
  <c r="A92" i="56"/>
  <c r="B92" i="56"/>
  <c r="C92" i="56"/>
  <c r="D92" i="56"/>
  <c r="E92" i="56"/>
  <c r="F92" i="56"/>
  <c r="G92" i="56"/>
  <c r="H92" i="56"/>
  <c r="I92" i="56"/>
  <c r="K92" i="56"/>
  <c r="L92" i="56"/>
  <c r="M92" i="56"/>
  <c r="N92" i="56"/>
  <c r="O92" i="56"/>
  <c r="P92" i="56"/>
  <c r="R92" i="56"/>
  <c r="S92" i="56"/>
  <c r="T92" i="56"/>
  <c r="U92" i="56"/>
  <c r="V92" i="56"/>
  <c r="W92" i="56"/>
  <c r="Y92" i="56"/>
  <c r="Z92" i="56"/>
  <c r="AA92" i="56"/>
  <c r="AB92" i="56"/>
  <c r="AC92" i="56"/>
  <c r="AD92" i="56"/>
  <c r="AF92" i="56"/>
  <c r="AG92" i="56"/>
  <c r="AH92" i="56"/>
  <c r="AI92" i="56"/>
  <c r="AN92" i="56"/>
  <c r="AO92" i="56"/>
  <c r="AP92" i="56"/>
  <c r="AQ92" i="56"/>
  <c r="AR92" i="56"/>
  <c r="AS92" i="56"/>
  <c r="AT92" i="56"/>
  <c r="AU92" i="56"/>
  <c r="AV92" i="56"/>
  <c r="AW92" i="56"/>
  <c r="AY92" i="56"/>
  <c r="AZ92" i="56"/>
  <c r="BA92" i="56"/>
  <c r="BB92" i="56"/>
  <c r="BC92" i="56"/>
  <c r="BD92" i="56"/>
  <c r="BE92" i="56"/>
  <c r="BF92" i="56"/>
  <c r="BG92" i="56"/>
  <c r="BH92" i="56"/>
  <c r="BJ92" i="56"/>
  <c r="BK92" i="56"/>
  <c r="BL92" i="56"/>
  <c r="BM92" i="56"/>
  <c r="BN92" i="56"/>
  <c r="BO92" i="56"/>
  <c r="BP92" i="56"/>
  <c r="BQ92" i="56"/>
  <c r="BR92" i="56"/>
  <c r="BS92" i="56"/>
  <c r="BU92" i="56"/>
  <c r="BV92" i="56"/>
  <c r="BW92" i="56"/>
  <c r="BX92" i="56"/>
  <c r="BY92" i="56"/>
  <c r="BZ92" i="56"/>
  <c r="CA92" i="56"/>
  <c r="CB92" i="56"/>
  <c r="CC92" i="56"/>
  <c r="CD92" i="56"/>
  <c r="A93" i="56"/>
  <c r="B93" i="56"/>
  <c r="C93" i="56"/>
  <c r="D93" i="56"/>
  <c r="E93" i="56"/>
  <c r="F93" i="56"/>
  <c r="G93" i="56"/>
  <c r="H93" i="56"/>
  <c r="I93" i="56"/>
  <c r="K93" i="56"/>
  <c r="L93" i="56"/>
  <c r="M93" i="56"/>
  <c r="N93" i="56"/>
  <c r="O93" i="56"/>
  <c r="P93" i="56"/>
  <c r="R93" i="56"/>
  <c r="S93" i="56"/>
  <c r="T93" i="56"/>
  <c r="U93" i="56"/>
  <c r="V93" i="56"/>
  <c r="W93" i="56"/>
  <c r="Y93" i="56"/>
  <c r="Z93" i="56"/>
  <c r="AA93" i="56"/>
  <c r="AB93" i="56"/>
  <c r="AC93" i="56"/>
  <c r="AD93" i="56"/>
  <c r="AF93" i="56"/>
  <c r="AG93" i="56"/>
  <c r="AH93" i="56"/>
  <c r="AI93" i="56"/>
  <c r="AN93" i="56"/>
  <c r="AO93" i="56"/>
  <c r="AP93" i="56"/>
  <c r="AQ93" i="56"/>
  <c r="AR93" i="56"/>
  <c r="AS93" i="56"/>
  <c r="AT93" i="56"/>
  <c r="AU93" i="56"/>
  <c r="AV93" i="56"/>
  <c r="AW93" i="56"/>
  <c r="AY93" i="56"/>
  <c r="AZ93" i="56"/>
  <c r="BA93" i="56"/>
  <c r="BB93" i="56"/>
  <c r="BC93" i="56"/>
  <c r="BD93" i="56"/>
  <c r="BE93" i="56"/>
  <c r="BF93" i="56"/>
  <c r="BG93" i="56"/>
  <c r="BH93" i="56"/>
  <c r="BJ93" i="56"/>
  <c r="BK93" i="56"/>
  <c r="BL93" i="56"/>
  <c r="BM93" i="56"/>
  <c r="BN93" i="56"/>
  <c r="BO93" i="56"/>
  <c r="BP93" i="56"/>
  <c r="BQ93" i="56"/>
  <c r="BR93" i="56"/>
  <c r="BS93" i="56"/>
  <c r="BU93" i="56"/>
  <c r="BV93" i="56"/>
  <c r="BW93" i="56"/>
  <c r="BX93" i="56"/>
  <c r="BY93" i="56"/>
  <c r="BZ93" i="56"/>
  <c r="CA93" i="56"/>
  <c r="CB93" i="56"/>
  <c r="CC93" i="56"/>
  <c r="CD93" i="56"/>
  <c r="A94" i="56"/>
  <c r="B94" i="56"/>
  <c r="C94" i="56"/>
  <c r="D94" i="56"/>
  <c r="E94" i="56"/>
  <c r="F94" i="56"/>
  <c r="G94" i="56"/>
  <c r="H94" i="56"/>
  <c r="I94" i="56"/>
  <c r="K94" i="56"/>
  <c r="L94" i="56"/>
  <c r="M94" i="56"/>
  <c r="N94" i="56"/>
  <c r="O94" i="56"/>
  <c r="P94" i="56"/>
  <c r="R94" i="56"/>
  <c r="S94" i="56"/>
  <c r="T94" i="56"/>
  <c r="U94" i="56"/>
  <c r="V94" i="56"/>
  <c r="W94" i="56"/>
  <c r="Y94" i="56"/>
  <c r="Z94" i="56"/>
  <c r="AA94" i="56"/>
  <c r="AB94" i="56"/>
  <c r="AC94" i="56"/>
  <c r="AD94" i="56"/>
  <c r="AF94" i="56"/>
  <c r="AG94" i="56"/>
  <c r="AH94" i="56"/>
  <c r="AI94" i="56"/>
  <c r="AN94" i="56"/>
  <c r="AO94" i="56"/>
  <c r="AP94" i="56"/>
  <c r="AQ94" i="56"/>
  <c r="AR94" i="56"/>
  <c r="AS94" i="56"/>
  <c r="AT94" i="56"/>
  <c r="AU94" i="56"/>
  <c r="AV94" i="56"/>
  <c r="AW94" i="56"/>
  <c r="AY94" i="56"/>
  <c r="AZ94" i="56"/>
  <c r="BA94" i="56"/>
  <c r="BB94" i="56"/>
  <c r="BC94" i="56"/>
  <c r="BD94" i="56"/>
  <c r="BE94" i="56"/>
  <c r="BF94" i="56"/>
  <c r="BG94" i="56"/>
  <c r="BH94" i="56"/>
  <c r="BJ94" i="56"/>
  <c r="BK94" i="56"/>
  <c r="BL94" i="56"/>
  <c r="BM94" i="56"/>
  <c r="BN94" i="56"/>
  <c r="BO94" i="56"/>
  <c r="BP94" i="56"/>
  <c r="BQ94" i="56"/>
  <c r="BR94" i="56"/>
  <c r="BS94" i="56"/>
  <c r="BU94" i="56"/>
  <c r="BV94" i="56"/>
  <c r="BW94" i="56"/>
  <c r="BX94" i="56"/>
  <c r="BY94" i="56"/>
  <c r="BZ94" i="56"/>
  <c r="CA94" i="56"/>
  <c r="CB94" i="56"/>
  <c r="CC94" i="56"/>
  <c r="CD94" i="56"/>
  <c r="A95" i="56"/>
  <c r="B95" i="56"/>
  <c r="C95" i="56"/>
  <c r="D95" i="56"/>
  <c r="E95" i="56"/>
  <c r="F95" i="56"/>
  <c r="G95" i="56"/>
  <c r="H95" i="56"/>
  <c r="I95" i="56"/>
  <c r="K95" i="56"/>
  <c r="L95" i="56"/>
  <c r="M95" i="56"/>
  <c r="N95" i="56"/>
  <c r="O95" i="56"/>
  <c r="P95" i="56"/>
  <c r="R95" i="56"/>
  <c r="S95" i="56"/>
  <c r="T95" i="56"/>
  <c r="U95" i="56"/>
  <c r="V95" i="56"/>
  <c r="W95" i="56"/>
  <c r="Y95" i="56"/>
  <c r="Z95" i="56"/>
  <c r="AA95" i="56"/>
  <c r="AB95" i="56"/>
  <c r="AC95" i="56"/>
  <c r="AD95" i="56"/>
  <c r="AF95" i="56"/>
  <c r="AG95" i="56"/>
  <c r="AH95" i="56"/>
  <c r="AI95" i="56"/>
  <c r="AN95" i="56"/>
  <c r="AO95" i="56"/>
  <c r="AP95" i="56"/>
  <c r="AQ95" i="56"/>
  <c r="AR95" i="56"/>
  <c r="AS95" i="56"/>
  <c r="AT95" i="56"/>
  <c r="AU95" i="56"/>
  <c r="AV95" i="56"/>
  <c r="AW95" i="56"/>
  <c r="AY95" i="56"/>
  <c r="AZ95" i="56"/>
  <c r="BA95" i="56"/>
  <c r="BB95" i="56"/>
  <c r="BC95" i="56"/>
  <c r="BD95" i="56"/>
  <c r="BE95" i="56"/>
  <c r="BF95" i="56"/>
  <c r="BG95" i="56"/>
  <c r="BH95" i="56"/>
  <c r="BJ95" i="56"/>
  <c r="BK95" i="56"/>
  <c r="BL95" i="56"/>
  <c r="BM95" i="56"/>
  <c r="BN95" i="56"/>
  <c r="BO95" i="56"/>
  <c r="BP95" i="56"/>
  <c r="BQ95" i="56"/>
  <c r="BR95" i="56"/>
  <c r="BS95" i="56"/>
  <c r="BU95" i="56"/>
  <c r="BV95" i="56"/>
  <c r="BW95" i="56"/>
  <c r="BX95" i="56"/>
  <c r="BY95" i="56"/>
  <c r="BZ95" i="56"/>
  <c r="CA95" i="56"/>
  <c r="CB95" i="56"/>
  <c r="CC95" i="56"/>
  <c r="CD95" i="56"/>
  <c r="A96" i="56"/>
  <c r="B96" i="56"/>
  <c r="C96" i="56"/>
  <c r="D96" i="56"/>
  <c r="E96" i="56"/>
  <c r="F96" i="56"/>
  <c r="G96" i="56"/>
  <c r="H96" i="56"/>
  <c r="I96" i="56"/>
  <c r="K96" i="56"/>
  <c r="L96" i="56"/>
  <c r="M96" i="56"/>
  <c r="N96" i="56"/>
  <c r="O96" i="56"/>
  <c r="P96" i="56"/>
  <c r="R96" i="56"/>
  <c r="S96" i="56"/>
  <c r="T96" i="56"/>
  <c r="U96" i="56"/>
  <c r="V96" i="56"/>
  <c r="W96" i="56"/>
  <c r="Y96" i="56"/>
  <c r="Z96" i="56"/>
  <c r="AA96" i="56"/>
  <c r="AB96" i="56"/>
  <c r="AC96" i="56"/>
  <c r="AD96" i="56"/>
  <c r="AF96" i="56"/>
  <c r="AG96" i="56"/>
  <c r="AH96" i="56"/>
  <c r="AI96" i="56"/>
  <c r="AN96" i="56"/>
  <c r="AO96" i="56"/>
  <c r="AP96" i="56"/>
  <c r="AQ96" i="56"/>
  <c r="AR96" i="56"/>
  <c r="AS96" i="56"/>
  <c r="AT96" i="56"/>
  <c r="AU96" i="56"/>
  <c r="AV96" i="56"/>
  <c r="AW96" i="56"/>
  <c r="AY96" i="56"/>
  <c r="AZ96" i="56"/>
  <c r="BA96" i="56"/>
  <c r="BB96" i="56"/>
  <c r="BC96" i="56"/>
  <c r="BD96" i="56"/>
  <c r="BE96" i="56"/>
  <c r="BF96" i="56"/>
  <c r="BG96" i="56"/>
  <c r="BH96" i="56"/>
  <c r="BJ96" i="56"/>
  <c r="BK96" i="56"/>
  <c r="BL96" i="56"/>
  <c r="BM96" i="56"/>
  <c r="BN96" i="56"/>
  <c r="BO96" i="56"/>
  <c r="BP96" i="56"/>
  <c r="BQ96" i="56"/>
  <c r="BR96" i="56"/>
  <c r="BS96" i="56"/>
  <c r="BU96" i="56"/>
  <c r="BV96" i="56"/>
  <c r="BW96" i="56"/>
  <c r="BX96" i="56"/>
  <c r="BY96" i="56"/>
  <c r="BZ96" i="56"/>
  <c r="CA96" i="56"/>
  <c r="CB96" i="56"/>
  <c r="CC96" i="56"/>
  <c r="CD96" i="56"/>
  <c r="A97" i="56"/>
  <c r="B97" i="56"/>
  <c r="C97" i="56"/>
  <c r="D97" i="56"/>
  <c r="E97" i="56"/>
  <c r="F97" i="56"/>
  <c r="G97" i="56"/>
  <c r="H97" i="56"/>
  <c r="I97" i="56"/>
  <c r="K97" i="56"/>
  <c r="L97" i="56"/>
  <c r="M97" i="56"/>
  <c r="N97" i="56"/>
  <c r="O97" i="56"/>
  <c r="P97" i="56"/>
  <c r="R97" i="56"/>
  <c r="S97" i="56"/>
  <c r="T97" i="56"/>
  <c r="U97" i="56"/>
  <c r="V97" i="56"/>
  <c r="W97" i="56"/>
  <c r="Y97" i="56"/>
  <c r="Z97" i="56"/>
  <c r="AA97" i="56"/>
  <c r="AB97" i="56"/>
  <c r="AC97" i="56"/>
  <c r="AD97" i="56"/>
  <c r="AF97" i="56"/>
  <c r="AG97" i="56"/>
  <c r="AH97" i="56"/>
  <c r="AI97" i="56"/>
  <c r="AN97" i="56"/>
  <c r="AO97" i="56"/>
  <c r="AP97" i="56"/>
  <c r="AQ97" i="56"/>
  <c r="AR97" i="56"/>
  <c r="AS97" i="56"/>
  <c r="AT97" i="56"/>
  <c r="AU97" i="56"/>
  <c r="AV97" i="56"/>
  <c r="AW97" i="56"/>
  <c r="AY97" i="56"/>
  <c r="AZ97" i="56"/>
  <c r="BA97" i="56"/>
  <c r="BB97" i="56"/>
  <c r="BC97" i="56"/>
  <c r="BD97" i="56"/>
  <c r="BE97" i="56"/>
  <c r="BF97" i="56"/>
  <c r="BG97" i="56"/>
  <c r="BH97" i="56"/>
  <c r="BJ97" i="56"/>
  <c r="BK97" i="56"/>
  <c r="BL97" i="56"/>
  <c r="BM97" i="56"/>
  <c r="BN97" i="56"/>
  <c r="BO97" i="56"/>
  <c r="BP97" i="56"/>
  <c r="BQ97" i="56"/>
  <c r="BR97" i="56"/>
  <c r="BS97" i="56"/>
  <c r="BU97" i="56"/>
  <c r="BV97" i="56"/>
  <c r="BW97" i="56"/>
  <c r="BX97" i="56"/>
  <c r="BY97" i="56"/>
  <c r="BZ97" i="56"/>
  <c r="CA97" i="56"/>
  <c r="CB97" i="56"/>
  <c r="CC97" i="56"/>
  <c r="CD97" i="56"/>
  <c r="A98" i="56"/>
  <c r="B98" i="56"/>
  <c r="C98" i="56"/>
  <c r="D98" i="56"/>
  <c r="E98" i="56"/>
  <c r="F98" i="56"/>
  <c r="G98" i="56"/>
  <c r="H98" i="56"/>
  <c r="I98" i="56"/>
  <c r="K98" i="56"/>
  <c r="L98" i="56"/>
  <c r="M98" i="56"/>
  <c r="N98" i="56"/>
  <c r="O98" i="56"/>
  <c r="P98" i="56"/>
  <c r="R98" i="56"/>
  <c r="S98" i="56"/>
  <c r="T98" i="56"/>
  <c r="U98" i="56"/>
  <c r="V98" i="56"/>
  <c r="W98" i="56"/>
  <c r="Y98" i="56"/>
  <c r="Z98" i="56"/>
  <c r="AA98" i="56"/>
  <c r="AB98" i="56"/>
  <c r="AC98" i="56"/>
  <c r="AD98" i="56"/>
  <c r="AF98" i="56"/>
  <c r="AG98" i="56"/>
  <c r="AH98" i="56"/>
  <c r="AI98" i="56"/>
  <c r="AN98" i="56"/>
  <c r="AO98" i="56"/>
  <c r="AP98" i="56"/>
  <c r="AQ98" i="56"/>
  <c r="AR98" i="56"/>
  <c r="AS98" i="56"/>
  <c r="AT98" i="56"/>
  <c r="AU98" i="56"/>
  <c r="AV98" i="56"/>
  <c r="AW98" i="56"/>
  <c r="AY98" i="56"/>
  <c r="AZ98" i="56"/>
  <c r="BA98" i="56"/>
  <c r="BB98" i="56"/>
  <c r="BC98" i="56"/>
  <c r="BD98" i="56"/>
  <c r="BE98" i="56"/>
  <c r="BF98" i="56"/>
  <c r="BG98" i="56"/>
  <c r="BH98" i="56"/>
  <c r="BJ98" i="56"/>
  <c r="BK98" i="56"/>
  <c r="BL98" i="56"/>
  <c r="BM98" i="56"/>
  <c r="BN98" i="56"/>
  <c r="BO98" i="56"/>
  <c r="BP98" i="56"/>
  <c r="BQ98" i="56"/>
  <c r="BR98" i="56"/>
  <c r="BS98" i="56"/>
  <c r="BU98" i="56"/>
  <c r="BV98" i="56"/>
  <c r="BW98" i="56"/>
  <c r="BX98" i="56"/>
  <c r="BY98" i="56"/>
  <c r="BZ98" i="56"/>
  <c r="CA98" i="56"/>
  <c r="CB98" i="56"/>
  <c r="CC98" i="56"/>
  <c r="CD98" i="56"/>
  <c r="A99" i="56"/>
  <c r="B99" i="56"/>
  <c r="C99" i="56"/>
  <c r="D99" i="56"/>
  <c r="E99" i="56"/>
  <c r="F99" i="56"/>
  <c r="G99" i="56"/>
  <c r="H99" i="56"/>
  <c r="I99" i="56"/>
  <c r="K99" i="56"/>
  <c r="L99" i="56"/>
  <c r="M99" i="56"/>
  <c r="N99" i="56"/>
  <c r="O99" i="56"/>
  <c r="P99" i="56"/>
  <c r="R99" i="56"/>
  <c r="S99" i="56"/>
  <c r="T99" i="56"/>
  <c r="U99" i="56"/>
  <c r="V99" i="56"/>
  <c r="W99" i="56"/>
  <c r="Y99" i="56"/>
  <c r="Z99" i="56"/>
  <c r="AA99" i="56"/>
  <c r="AB99" i="56"/>
  <c r="AC99" i="56"/>
  <c r="AD99" i="56"/>
  <c r="AF99" i="56"/>
  <c r="AG99" i="56"/>
  <c r="AH99" i="56"/>
  <c r="AI99" i="56"/>
  <c r="AN99" i="56"/>
  <c r="AO99" i="56"/>
  <c r="AP99" i="56"/>
  <c r="AQ99" i="56"/>
  <c r="AR99" i="56"/>
  <c r="AS99" i="56"/>
  <c r="AT99" i="56"/>
  <c r="AU99" i="56"/>
  <c r="AV99" i="56"/>
  <c r="AW99" i="56"/>
  <c r="AY99" i="56"/>
  <c r="AZ99" i="56"/>
  <c r="BA99" i="56"/>
  <c r="BB99" i="56"/>
  <c r="BC99" i="56"/>
  <c r="BD99" i="56"/>
  <c r="BE99" i="56"/>
  <c r="BF99" i="56"/>
  <c r="BG99" i="56"/>
  <c r="BH99" i="56"/>
  <c r="BJ99" i="56"/>
  <c r="BK99" i="56"/>
  <c r="BL99" i="56"/>
  <c r="BM99" i="56"/>
  <c r="BN99" i="56"/>
  <c r="BO99" i="56"/>
  <c r="BP99" i="56"/>
  <c r="BQ99" i="56"/>
  <c r="BR99" i="56"/>
  <c r="BS99" i="56"/>
  <c r="BU99" i="56"/>
  <c r="BV99" i="56"/>
  <c r="BW99" i="56"/>
  <c r="BX99" i="56"/>
  <c r="BY99" i="56"/>
  <c r="BZ99" i="56"/>
  <c r="CA99" i="56"/>
  <c r="CB99" i="56"/>
  <c r="CC99" i="56"/>
  <c r="CD99" i="56"/>
  <c r="A100" i="56"/>
  <c r="B100" i="56"/>
  <c r="C100" i="56"/>
  <c r="D100" i="56"/>
  <c r="E100" i="56"/>
  <c r="F100" i="56"/>
  <c r="G100" i="56"/>
  <c r="H100" i="56"/>
  <c r="I100" i="56"/>
  <c r="K100" i="56"/>
  <c r="L100" i="56"/>
  <c r="M100" i="56"/>
  <c r="N100" i="56"/>
  <c r="O100" i="56"/>
  <c r="P100" i="56"/>
  <c r="R100" i="56"/>
  <c r="S100" i="56"/>
  <c r="T100" i="56"/>
  <c r="U100" i="56"/>
  <c r="V100" i="56"/>
  <c r="W100" i="56"/>
  <c r="Y100" i="56"/>
  <c r="Z100" i="56"/>
  <c r="AA100" i="56"/>
  <c r="AB100" i="56"/>
  <c r="AC100" i="56"/>
  <c r="AD100" i="56"/>
  <c r="AF100" i="56"/>
  <c r="AG100" i="56"/>
  <c r="AH100" i="56"/>
  <c r="AI100" i="56"/>
  <c r="AN100" i="56"/>
  <c r="AO100" i="56"/>
  <c r="AP100" i="56"/>
  <c r="AQ100" i="56"/>
  <c r="AR100" i="56"/>
  <c r="AS100" i="56"/>
  <c r="AT100" i="56"/>
  <c r="AU100" i="56"/>
  <c r="AV100" i="56"/>
  <c r="AW100" i="56"/>
  <c r="AY100" i="56"/>
  <c r="AZ100" i="56"/>
  <c r="BA100" i="56"/>
  <c r="BB100" i="56"/>
  <c r="BC100" i="56"/>
  <c r="BD100" i="56"/>
  <c r="BE100" i="56"/>
  <c r="BF100" i="56"/>
  <c r="BG100" i="56"/>
  <c r="BH100" i="56"/>
  <c r="BJ100" i="56"/>
  <c r="BK100" i="56"/>
  <c r="BL100" i="56"/>
  <c r="BM100" i="56"/>
  <c r="BN100" i="56"/>
  <c r="BO100" i="56"/>
  <c r="BP100" i="56"/>
  <c r="BQ100" i="56"/>
  <c r="BR100" i="56"/>
  <c r="BS100" i="56"/>
  <c r="BU100" i="56"/>
  <c r="BV100" i="56"/>
  <c r="BW100" i="56"/>
  <c r="BX100" i="56"/>
  <c r="BY100" i="56"/>
  <c r="BZ100" i="56"/>
  <c r="CA100" i="56"/>
  <c r="CB100" i="56"/>
  <c r="CC100" i="56"/>
  <c r="CD100" i="56"/>
  <c r="A101" i="56"/>
  <c r="B101" i="56"/>
  <c r="C101" i="56"/>
  <c r="D101" i="56"/>
  <c r="E101" i="56"/>
  <c r="F101" i="56"/>
  <c r="G101" i="56"/>
  <c r="H101" i="56"/>
  <c r="I101" i="56"/>
  <c r="K101" i="56"/>
  <c r="L101" i="56"/>
  <c r="M101" i="56"/>
  <c r="N101" i="56"/>
  <c r="O101" i="56"/>
  <c r="P101" i="56"/>
  <c r="R101" i="56"/>
  <c r="S101" i="56"/>
  <c r="T101" i="56"/>
  <c r="U101" i="56"/>
  <c r="V101" i="56"/>
  <c r="W101" i="56"/>
  <c r="Y101" i="56"/>
  <c r="Z101" i="56"/>
  <c r="AA101" i="56"/>
  <c r="AB101" i="56"/>
  <c r="AC101" i="56"/>
  <c r="AD101" i="56"/>
  <c r="AF101" i="56"/>
  <c r="AG101" i="56"/>
  <c r="AH101" i="56"/>
  <c r="AI101" i="56"/>
  <c r="AN101" i="56"/>
  <c r="AO101" i="56"/>
  <c r="AP101" i="56"/>
  <c r="AQ101" i="56"/>
  <c r="AR101" i="56"/>
  <c r="AS101" i="56"/>
  <c r="AT101" i="56"/>
  <c r="AU101" i="56"/>
  <c r="AV101" i="56"/>
  <c r="AW101" i="56"/>
  <c r="AY101" i="56"/>
  <c r="AZ101" i="56"/>
  <c r="BA101" i="56"/>
  <c r="BB101" i="56"/>
  <c r="BC101" i="56"/>
  <c r="BD101" i="56"/>
  <c r="BE101" i="56"/>
  <c r="BF101" i="56"/>
  <c r="BG101" i="56"/>
  <c r="BH101" i="56"/>
  <c r="BJ101" i="56"/>
  <c r="BK101" i="56"/>
  <c r="BL101" i="56"/>
  <c r="BM101" i="56"/>
  <c r="BN101" i="56"/>
  <c r="BO101" i="56"/>
  <c r="BP101" i="56"/>
  <c r="BQ101" i="56"/>
  <c r="BR101" i="56"/>
  <c r="BS101" i="56"/>
  <c r="BU101" i="56"/>
  <c r="BV101" i="56"/>
  <c r="BW101" i="56"/>
  <c r="BX101" i="56"/>
  <c r="BY101" i="56"/>
  <c r="BZ101" i="56"/>
  <c r="CA101" i="56"/>
  <c r="CB101" i="56"/>
  <c r="CC101" i="56"/>
  <c r="CD101" i="56"/>
  <c r="A102" i="56"/>
  <c r="B102" i="56"/>
  <c r="C102" i="56"/>
  <c r="D102" i="56"/>
  <c r="E102" i="56"/>
  <c r="F102" i="56"/>
  <c r="G102" i="56"/>
  <c r="H102" i="56"/>
  <c r="I102" i="56"/>
  <c r="K102" i="56"/>
  <c r="L102" i="56"/>
  <c r="M102" i="56"/>
  <c r="N102" i="56"/>
  <c r="O102" i="56"/>
  <c r="P102" i="56"/>
  <c r="R102" i="56"/>
  <c r="S102" i="56"/>
  <c r="T102" i="56"/>
  <c r="U102" i="56"/>
  <c r="V102" i="56"/>
  <c r="W102" i="56"/>
  <c r="Y102" i="56"/>
  <c r="Z102" i="56"/>
  <c r="AA102" i="56"/>
  <c r="AB102" i="56"/>
  <c r="AC102" i="56"/>
  <c r="AD102" i="56"/>
  <c r="AF102" i="56"/>
  <c r="AG102" i="56"/>
  <c r="AH102" i="56"/>
  <c r="AI102" i="56"/>
  <c r="AN102" i="56"/>
  <c r="AO102" i="56"/>
  <c r="AP102" i="56"/>
  <c r="AQ102" i="56"/>
  <c r="AR102" i="56"/>
  <c r="AS102" i="56"/>
  <c r="AT102" i="56"/>
  <c r="AU102" i="56"/>
  <c r="AV102" i="56"/>
  <c r="AW102" i="56"/>
  <c r="AY102" i="56"/>
  <c r="AZ102" i="56"/>
  <c r="BA102" i="56"/>
  <c r="BB102" i="56"/>
  <c r="BC102" i="56"/>
  <c r="BD102" i="56"/>
  <c r="BE102" i="56"/>
  <c r="BF102" i="56"/>
  <c r="BG102" i="56"/>
  <c r="BH102" i="56"/>
  <c r="BJ102" i="56"/>
  <c r="BK102" i="56"/>
  <c r="BL102" i="56"/>
  <c r="BM102" i="56"/>
  <c r="BN102" i="56"/>
  <c r="BO102" i="56"/>
  <c r="BP102" i="56"/>
  <c r="BQ102" i="56"/>
  <c r="BR102" i="56"/>
  <c r="BS102" i="56"/>
  <c r="BU102" i="56"/>
  <c r="BV102" i="56"/>
  <c r="BW102" i="56"/>
  <c r="BX102" i="56"/>
  <c r="BY102" i="56"/>
  <c r="BZ102" i="56"/>
  <c r="CA102" i="56"/>
  <c r="CB102" i="56"/>
  <c r="CC102" i="56"/>
  <c r="CD102" i="56"/>
  <c r="A103" i="56"/>
  <c r="B103" i="56"/>
  <c r="C103" i="56"/>
  <c r="D103" i="56"/>
  <c r="E103" i="56"/>
  <c r="F103" i="56"/>
  <c r="G103" i="56"/>
  <c r="H103" i="56"/>
  <c r="I103" i="56"/>
  <c r="K103" i="56"/>
  <c r="L103" i="56"/>
  <c r="M103" i="56"/>
  <c r="N103" i="56"/>
  <c r="O103" i="56"/>
  <c r="P103" i="56"/>
  <c r="R103" i="56"/>
  <c r="S103" i="56"/>
  <c r="T103" i="56"/>
  <c r="U103" i="56"/>
  <c r="V103" i="56"/>
  <c r="W103" i="56"/>
  <c r="Y103" i="56"/>
  <c r="Z103" i="56"/>
  <c r="AA103" i="56"/>
  <c r="AB103" i="56"/>
  <c r="AC103" i="56"/>
  <c r="AD103" i="56"/>
  <c r="AF103" i="56"/>
  <c r="AG103" i="56"/>
  <c r="AH103" i="56"/>
  <c r="AI103" i="56"/>
  <c r="AN103" i="56"/>
  <c r="AO103" i="56"/>
  <c r="AP103" i="56"/>
  <c r="AQ103" i="56"/>
  <c r="AR103" i="56"/>
  <c r="AS103" i="56"/>
  <c r="AT103" i="56"/>
  <c r="AU103" i="56"/>
  <c r="AV103" i="56"/>
  <c r="AW103" i="56"/>
  <c r="AY103" i="56"/>
  <c r="AZ103" i="56"/>
  <c r="BA103" i="56"/>
  <c r="BB103" i="56"/>
  <c r="BC103" i="56"/>
  <c r="BD103" i="56"/>
  <c r="BE103" i="56"/>
  <c r="BF103" i="56"/>
  <c r="BG103" i="56"/>
  <c r="BH103" i="56"/>
  <c r="BJ103" i="56"/>
  <c r="BK103" i="56"/>
  <c r="BL103" i="56"/>
  <c r="BM103" i="56"/>
  <c r="BN103" i="56"/>
  <c r="BO103" i="56"/>
  <c r="BP103" i="56"/>
  <c r="BQ103" i="56"/>
  <c r="BR103" i="56"/>
  <c r="BS103" i="56"/>
  <c r="BU103" i="56"/>
  <c r="BV103" i="56"/>
  <c r="BW103" i="56"/>
  <c r="BX103" i="56"/>
  <c r="BY103" i="56"/>
  <c r="BZ103" i="56"/>
  <c r="CA103" i="56"/>
  <c r="CB103" i="56"/>
  <c r="CC103" i="56"/>
  <c r="CD103" i="56"/>
  <c r="A104" i="56"/>
  <c r="B104" i="56"/>
  <c r="C104" i="56"/>
  <c r="D104" i="56"/>
  <c r="E104" i="56"/>
  <c r="F104" i="56"/>
  <c r="G104" i="56"/>
  <c r="H104" i="56"/>
  <c r="I104" i="56"/>
  <c r="K104" i="56"/>
  <c r="L104" i="56"/>
  <c r="M104" i="56"/>
  <c r="N104" i="56"/>
  <c r="O104" i="56"/>
  <c r="P104" i="56"/>
  <c r="R104" i="56"/>
  <c r="S104" i="56"/>
  <c r="T104" i="56"/>
  <c r="U104" i="56"/>
  <c r="V104" i="56"/>
  <c r="W104" i="56"/>
  <c r="Y104" i="56"/>
  <c r="Z104" i="56"/>
  <c r="AA104" i="56"/>
  <c r="AB104" i="56"/>
  <c r="AC104" i="56"/>
  <c r="AD104" i="56"/>
  <c r="AF104" i="56"/>
  <c r="AG104" i="56"/>
  <c r="AH104" i="56"/>
  <c r="AI104" i="56"/>
  <c r="AN104" i="56"/>
  <c r="AO104" i="56"/>
  <c r="AP104" i="56"/>
  <c r="AQ104" i="56"/>
  <c r="AR104" i="56"/>
  <c r="AS104" i="56"/>
  <c r="AT104" i="56"/>
  <c r="AU104" i="56"/>
  <c r="AV104" i="56"/>
  <c r="AW104" i="56"/>
  <c r="AY104" i="56"/>
  <c r="AZ104" i="56"/>
  <c r="BA104" i="56"/>
  <c r="BB104" i="56"/>
  <c r="BC104" i="56"/>
  <c r="BD104" i="56"/>
  <c r="BE104" i="56"/>
  <c r="BF104" i="56"/>
  <c r="BG104" i="56"/>
  <c r="BH104" i="56"/>
  <c r="BJ104" i="56"/>
  <c r="BK104" i="56"/>
  <c r="BL104" i="56"/>
  <c r="BM104" i="56"/>
  <c r="BN104" i="56"/>
  <c r="BO104" i="56"/>
  <c r="BP104" i="56"/>
  <c r="BQ104" i="56"/>
  <c r="BR104" i="56"/>
  <c r="BS104" i="56"/>
  <c r="BU104" i="56"/>
  <c r="BV104" i="56"/>
  <c r="BW104" i="56"/>
  <c r="BX104" i="56"/>
  <c r="BY104" i="56"/>
  <c r="BZ104" i="56"/>
  <c r="CA104" i="56"/>
  <c r="CB104" i="56"/>
  <c r="CC104" i="56"/>
  <c r="CD104" i="56"/>
  <c r="A105" i="56"/>
  <c r="B105" i="56"/>
  <c r="C105" i="56"/>
  <c r="D105" i="56"/>
  <c r="E105" i="56"/>
  <c r="F105" i="56"/>
  <c r="G105" i="56"/>
  <c r="H105" i="56"/>
  <c r="I105" i="56"/>
  <c r="K105" i="56"/>
  <c r="L105" i="56"/>
  <c r="M105" i="56"/>
  <c r="N105" i="56"/>
  <c r="O105" i="56"/>
  <c r="P105" i="56"/>
  <c r="R105" i="56"/>
  <c r="S105" i="56"/>
  <c r="T105" i="56"/>
  <c r="U105" i="56"/>
  <c r="V105" i="56"/>
  <c r="W105" i="56"/>
  <c r="Y105" i="56"/>
  <c r="Z105" i="56"/>
  <c r="AA105" i="56"/>
  <c r="AB105" i="56"/>
  <c r="AC105" i="56"/>
  <c r="AD105" i="56"/>
  <c r="AF105" i="56"/>
  <c r="AG105" i="56"/>
  <c r="AH105" i="56"/>
  <c r="AI105" i="56"/>
  <c r="AN105" i="56"/>
  <c r="AO105" i="56"/>
  <c r="AP105" i="56"/>
  <c r="AQ105" i="56"/>
  <c r="AR105" i="56"/>
  <c r="AS105" i="56"/>
  <c r="AT105" i="56"/>
  <c r="AU105" i="56"/>
  <c r="AV105" i="56"/>
  <c r="AW105" i="56"/>
  <c r="AY105" i="56"/>
  <c r="AZ105" i="56"/>
  <c r="BA105" i="56"/>
  <c r="BB105" i="56"/>
  <c r="BC105" i="56"/>
  <c r="BD105" i="56"/>
  <c r="BE105" i="56"/>
  <c r="BF105" i="56"/>
  <c r="BG105" i="56"/>
  <c r="BH105" i="56"/>
  <c r="BJ105" i="56"/>
  <c r="BK105" i="56"/>
  <c r="BL105" i="56"/>
  <c r="BM105" i="56"/>
  <c r="BN105" i="56"/>
  <c r="BO105" i="56"/>
  <c r="BP105" i="56"/>
  <c r="BQ105" i="56"/>
  <c r="BR105" i="56"/>
  <c r="BS105" i="56"/>
  <c r="BU105" i="56"/>
  <c r="BV105" i="56"/>
  <c r="BW105" i="56"/>
  <c r="BX105" i="56"/>
  <c r="BY105" i="56"/>
  <c r="BZ105" i="56"/>
  <c r="CA105" i="56"/>
  <c r="CB105" i="56"/>
  <c r="CC105" i="56"/>
  <c r="CD105" i="56"/>
  <c r="A106" i="56"/>
  <c r="B106" i="56"/>
  <c r="C106" i="56"/>
  <c r="D106" i="56"/>
  <c r="E106" i="56"/>
  <c r="F106" i="56"/>
  <c r="G106" i="56"/>
  <c r="H106" i="56"/>
  <c r="I106" i="56"/>
  <c r="K106" i="56"/>
  <c r="L106" i="56"/>
  <c r="M106" i="56"/>
  <c r="N106" i="56"/>
  <c r="O106" i="56"/>
  <c r="P106" i="56"/>
  <c r="R106" i="56"/>
  <c r="S106" i="56"/>
  <c r="T106" i="56"/>
  <c r="U106" i="56"/>
  <c r="V106" i="56"/>
  <c r="W106" i="56"/>
  <c r="Y106" i="56"/>
  <c r="Z106" i="56"/>
  <c r="AA106" i="56"/>
  <c r="AB106" i="56"/>
  <c r="AC106" i="56"/>
  <c r="AD106" i="56"/>
  <c r="AF106" i="56"/>
  <c r="AG106" i="56"/>
  <c r="AH106" i="56"/>
  <c r="AI106" i="56"/>
  <c r="AN106" i="56"/>
  <c r="AO106" i="56"/>
  <c r="AP106" i="56"/>
  <c r="AQ106" i="56"/>
  <c r="AR106" i="56"/>
  <c r="AS106" i="56"/>
  <c r="AT106" i="56"/>
  <c r="AU106" i="56"/>
  <c r="AV106" i="56"/>
  <c r="AW106" i="56"/>
  <c r="AY106" i="56"/>
  <c r="AZ106" i="56"/>
  <c r="BA106" i="56"/>
  <c r="BB106" i="56"/>
  <c r="BC106" i="56"/>
  <c r="BD106" i="56"/>
  <c r="BE106" i="56"/>
  <c r="BF106" i="56"/>
  <c r="BG106" i="56"/>
  <c r="BH106" i="56"/>
  <c r="BJ106" i="56"/>
  <c r="BK106" i="56"/>
  <c r="BL106" i="56"/>
  <c r="BM106" i="56"/>
  <c r="BN106" i="56"/>
  <c r="BO106" i="56"/>
  <c r="BP106" i="56"/>
  <c r="BQ106" i="56"/>
  <c r="BR106" i="56"/>
  <c r="BS106" i="56"/>
  <c r="BU106" i="56"/>
  <c r="BV106" i="56"/>
  <c r="BW106" i="56"/>
  <c r="BX106" i="56"/>
  <c r="BY106" i="56"/>
  <c r="BZ106" i="56"/>
  <c r="CA106" i="56"/>
  <c r="CB106" i="56"/>
  <c r="CC106" i="56"/>
  <c r="CD106" i="56"/>
  <c r="A107" i="56"/>
  <c r="B107" i="56"/>
  <c r="C107" i="56"/>
  <c r="D107" i="56"/>
  <c r="E107" i="56"/>
  <c r="F107" i="56"/>
  <c r="G107" i="56"/>
  <c r="H107" i="56"/>
  <c r="I107" i="56"/>
  <c r="K107" i="56"/>
  <c r="L107" i="56"/>
  <c r="M107" i="56"/>
  <c r="N107" i="56"/>
  <c r="O107" i="56"/>
  <c r="P107" i="56"/>
  <c r="R107" i="56"/>
  <c r="S107" i="56"/>
  <c r="T107" i="56"/>
  <c r="U107" i="56"/>
  <c r="V107" i="56"/>
  <c r="W107" i="56"/>
  <c r="Y107" i="56"/>
  <c r="Z107" i="56"/>
  <c r="AA107" i="56"/>
  <c r="AB107" i="56"/>
  <c r="AC107" i="56"/>
  <c r="AD107" i="56"/>
  <c r="AF107" i="56"/>
  <c r="AG107" i="56"/>
  <c r="AH107" i="56"/>
  <c r="AI107" i="56"/>
  <c r="AN107" i="56"/>
  <c r="AO107" i="56"/>
  <c r="AP107" i="56"/>
  <c r="AQ107" i="56"/>
  <c r="AR107" i="56"/>
  <c r="AS107" i="56"/>
  <c r="AT107" i="56"/>
  <c r="AU107" i="56"/>
  <c r="AV107" i="56"/>
  <c r="AW107" i="56"/>
  <c r="AY107" i="56"/>
  <c r="AZ107" i="56"/>
  <c r="BA107" i="56"/>
  <c r="BB107" i="56"/>
  <c r="BC107" i="56"/>
  <c r="BD107" i="56"/>
  <c r="BE107" i="56"/>
  <c r="BF107" i="56"/>
  <c r="BG107" i="56"/>
  <c r="BH107" i="56"/>
  <c r="BJ107" i="56"/>
  <c r="BK107" i="56"/>
  <c r="BL107" i="56"/>
  <c r="BM107" i="56"/>
  <c r="BN107" i="56"/>
  <c r="BO107" i="56"/>
  <c r="BP107" i="56"/>
  <c r="BQ107" i="56"/>
  <c r="BR107" i="56"/>
  <c r="BS107" i="56"/>
  <c r="BU107" i="56"/>
  <c r="BV107" i="56"/>
  <c r="BW107" i="56"/>
  <c r="BX107" i="56"/>
  <c r="BY107" i="56"/>
  <c r="BZ107" i="56"/>
  <c r="CA107" i="56"/>
  <c r="CB107" i="56"/>
  <c r="CC107" i="56"/>
  <c r="CD107" i="56"/>
  <c r="A108" i="56"/>
  <c r="B108" i="56"/>
  <c r="C108" i="56"/>
  <c r="D108" i="56"/>
  <c r="E108" i="56"/>
  <c r="F108" i="56"/>
  <c r="G108" i="56"/>
  <c r="H108" i="56"/>
  <c r="I108" i="56"/>
  <c r="K108" i="56"/>
  <c r="L108" i="56"/>
  <c r="M108" i="56"/>
  <c r="N108" i="56"/>
  <c r="O108" i="56"/>
  <c r="P108" i="56"/>
  <c r="R108" i="56"/>
  <c r="S108" i="56"/>
  <c r="T108" i="56"/>
  <c r="U108" i="56"/>
  <c r="V108" i="56"/>
  <c r="W108" i="56"/>
  <c r="Y108" i="56"/>
  <c r="Z108" i="56"/>
  <c r="AA108" i="56"/>
  <c r="AB108" i="56"/>
  <c r="AC108" i="56"/>
  <c r="AD108" i="56"/>
  <c r="AF108" i="56"/>
  <c r="AG108" i="56"/>
  <c r="AH108" i="56"/>
  <c r="AI108" i="56"/>
  <c r="AN108" i="56"/>
  <c r="AO108" i="56"/>
  <c r="AP108" i="56"/>
  <c r="AQ108" i="56"/>
  <c r="AR108" i="56"/>
  <c r="AS108" i="56"/>
  <c r="AT108" i="56"/>
  <c r="AU108" i="56"/>
  <c r="AV108" i="56"/>
  <c r="AW108" i="56"/>
  <c r="AY108" i="56"/>
  <c r="AZ108" i="56"/>
  <c r="BA108" i="56"/>
  <c r="BB108" i="56"/>
  <c r="BC108" i="56"/>
  <c r="BD108" i="56"/>
  <c r="BE108" i="56"/>
  <c r="BF108" i="56"/>
  <c r="BG108" i="56"/>
  <c r="BH108" i="56"/>
  <c r="BJ108" i="56"/>
  <c r="BK108" i="56"/>
  <c r="BL108" i="56"/>
  <c r="BM108" i="56"/>
  <c r="BN108" i="56"/>
  <c r="BO108" i="56"/>
  <c r="BP108" i="56"/>
  <c r="BQ108" i="56"/>
  <c r="BR108" i="56"/>
  <c r="BS108" i="56"/>
  <c r="BU108" i="56"/>
  <c r="BV108" i="56"/>
  <c r="BW108" i="56"/>
  <c r="BX108" i="56"/>
  <c r="BY108" i="56"/>
  <c r="BZ108" i="56"/>
  <c r="CA108" i="56"/>
  <c r="CB108" i="56"/>
  <c r="CC108" i="56"/>
  <c r="CD108" i="56"/>
  <c r="A109" i="56"/>
  <c r="B109" i="56"/>
  <c r="C109" i="56"/>
  <c r="D109" i="56"/>
  <c r="E109" i="56"/>
  <c r="F109" i="56"/>
  <c r="G109" i="56"/>
  <c r="H109" i="56"/>
  <c r="I109" i="56"/>
  <c r="K109" i="56"/>
  <c r="L109" i="56"/>
  <c r="M109" i="56"/>
  <c r="N109" i="56"/>
  <c r="O109" i="56"/>
  <c r="P109" i="56"/>
  <c r="R109" i="56"/>
  <c r="S109" i="56"/>
  <c r="T109" i="56"/>
  <c r="U109" i="56"/>
  <c r="V109" i="56"/>
  <c r="W109" i="56"/>
  <c r="Y109" i="56"/>
  <c r="Z109" i="56"/>
  <c r="AA109" i="56"/>
  <c r="AB109" i="56"/>
  <c r="AC109" i="56"/>
  <c r="AD109" i="56"/>
  <c r="AF109" i="56"/>
  <c r="AG109" i="56"/>
  <c r="AH109" i="56"/>
  <c r="AI109" i="56"/>
  <c r="AN109" i="56"/>
  <c r="AO109" i="56"/>
  <c r="AP109" i="56"/>
  <c r="AQ109" i="56"/>
  <c r="AR109" i="56"/>
  <c r="AS109" i="56"/>
  <c r="AT109" i="56"/>
  <c r="AU109" i="56"/>
  <c r="AV109" i="56"/>
  <c r="AW109" i="56"/>
  <c r="AY109" i="56"/>
  <c r="AZ109" i="56"/>
  <c r="BA109" i="56"/>
  <c r="BB109" i="56"/>
  <c r="BC109" i="56"/>
  <c r="BD109" i="56"/>
  <c r="BE109" i="56"/>
  <c r="BF109" i="56"/>
  <c r="BG109" i="56"/>
  <c r="BH109" i="56"/>
  <c r="BJ109" i="56"/>
  <c r="BK109" i="56"/>
  <c r="BL109" i="56"/>
  <c r="BM109" i="56"/>
  <c r="BN109" i="56"/>
  <c r="BO109" i="56"/>
  <c r="BP109" i="56"/>
  <c r="BQ109" i="56"/>
  <c r="BR109" i="56"/>
  <c r="BS109" i="56"/>
  <c r="BU109" i="56"/>
  <c r="BV109" i="56"/>
  <c r="BW109" i="56"/>
  <c r="BX109" i="56"/>
  <c r="BY109" i="56"/>
  <c r="BZ109" i="56"/>
  <c r="CA109" i="56"/>
  <c r="CB109" i="56"/>
  <c r="CC109" i="56"/>
  <c r="CD109" i="56"/>
  <c r="A110" i="56"/>
  <c r="B110" i="56"/>
  <c r="C110" i="56"/>
  <c r="D110" i="56"/>
  <c r="E110" i="56"/>
  <c r="F110" i="56"/>
  <c r="G110" i="56"/>
  <c r="H110" i="56"/>
  <c r="I110" i="56"/>
  <c r="K110" i="56"/>
  <c r="L110" i="56"/>
  <c r="M110" i="56"/>
  <c r="N110" i="56"/>
  <c r="O110" i="56"/>
  <c r="P110" i="56"/>
  <c r="R110" i="56"/>
  <c r="S110" i="56"/>
  <c r="T110" i="56"/>
  <c r="U110" i="56"/>
  <c r="V110" i="56"/>
  <c r="W110" i="56"/>
  <c r="Y110" i="56"/>
  <c r="Z110" i="56"/>
  <c r="AA110" i="56"/>
  <c r="AB110" i="56"/>
  <c r="AC110" i="56"/>
  <c r="AD110" i="56"/>
  <c r="AF110" i="56"/>
  <c r="AG110" i="56"/>
  <c r="AH110" i="56"/>
  <c r="AI110" i="56"/>
  <c r="AN110" i="56"/>
  <c r="AO110" i="56"/>
  <c r="AP110" i="56"/>
  <c r="AQ110" i="56"/>
  <c r="AR110" i="56"/>
  <c r="AS110" i="56"/>
  <c r="AT110" i="56"/>
  <c r="AU110" i="56"/>
  <c r="AV110" i="56"/>
  <c r="AW110" i="56"/>
  <c r="AY110" i="56"/>
  <c r="AZ110" i="56"/>
  <c r="BA110" i="56"/>
  <c r="BB110" i="56"/>
  <c r="BC110" i="56"/>
  <c r="BD110" i="56"/>
  <c r="BE110" i="56"/>
  <c r="BF110" i="56"/>
  <c r="BG110" i="56"/>
  <c r="BH110" i="56"/>
  <c r="BJ110" i="56"/>
  <c r="BK110" i="56"/>
  <c r="BL110" i="56"/>
  <c r="BM110" i="56"/>
  <c r="BN110" i="56"/>
  <c r="BO110" i="56"/>
  <c r="BP110" i="56"/>
  <c r="BQ110" i="56"/>
  <c r="BR110" i="56"/>
  <c r="BS110" i="56"/>
  <c r="BU110" i="56"/>
  <c r="BV110" i="56"/>
  <c r="BW110" i="56"/>
  <c r="BX110" i="56"/>
  <c r="BY110" i="56"/>
  <c r="BZ110" i="56"/>
  <c r="CA110" i="56"/>
  <c r="CB110" i="56"/>
  <c r="CC110" i="56"/>
  <c r="CD110" i="56"/>
  <c r="A111" i="56"/>
  <c r="B111" i="56"/>
  <c r="C111" i="56"/>
  <c r="D111" i="56"/>
  <c r="E111" i="56"/>
  <c r="F111" i="56"/>
  <c r="G111" i="56"/>
  <c r="H111" i="56"/>
  <c r="I111" i="56"/>
  <c r="K111" i="56"/>
  <c r="L111" i="56"/>
  <c r="M111" i="56"/>
  <c r="N111" i="56"/>
  <c r="O111" i="56"/>
  <c r="P111" i="56"/>
  <c r="R111" i="56"/>
  <c r="S111" i="56"/>
  <c r="T111" i="56"/>
  <c r="U111" i="56"/>
  <c r="V111" i="56"/>
  <c r="W111" i="56"/>
  <c r="Y111" i="56"/>
  <c r="Z111" i="56"/>
  <c r="AA111" i="56"/>
  <c r="AB111" i="56"/>
  <c r="AC111" i="56"/>
  <c r="AD111" i="56"/>
  <c r="AF111" i="56"/>
  <c r="AG111" i="56"/>
  <c r="AH111" i="56"/>
  <c r="AI111" i="56"/>
  <c r="AN111" i="56"/>
  <c r="AO111" i="56"/>
  <c r="AP111" i="56"/>
  <c r="AQ111" i="56"/>
  <c r="AR111" i="56"/>
  <c r="AS111" i="56"/>
  <c r="AT111" i="56"/>
  <c r="AU111" i="56"/>
  <c r="AV111" i="56"/>
  <c r="AW111" i="56"/>
  <c r="AY111" i="56"/>
  <c r="AZ111" i="56"/>
  <c r="BA111" i="56"/>
  <c r="BB111" i="56"/>
  <c r="BC111" i="56"/>
  <c r="BD111" i="56"/>
  <c r="BE111" i="56"/>
  <c r="BF111" i="56"/>
  <c r="BG111" i="56"/>
  <c r="BH111" i="56"/>
  <c r="BJ111" i="56"/>
  <c r="BK111" i="56"/>
  <c r="BL111" i="56"/>
  <c r="BM111" i="56"/>
  <c r="BN111" i="56"/>
  <c r="BO111" i="56"/>
  <c r="BP111" i="56"/>
  <c r="BQ111" i="56"/>
  <c r="BR111" i="56"/>
  <c r="BS111" i="56"/>
  <c r="BU111" i="56"/>
  <c r="BV111" i="56"/>
  <c r="BW111" i="56"/>
  <c r="BX111" i="56"/>
  <c r="BY111" i="56"/>
  <c r="BZ111" i="56"/>
  <c r="CA111" i="56"/>
  <c r="CB111" i="56"/>
  <c r="CC111" i="56"/>
  <c r="CD111" i="56"/>
  <c r="A112" i="56"/>
  <c r="B112" i="56"/>
  <c r="C112" i="56"/>
  <c r="D112" i="56"/>
  <c r="E112" i="56"/>
  <c r="F112" i="56"/>
  <c r="G112" i="56"/>
  <c r="H112" i="56"/>
  <c r="I112" i="56"/>
  <c r="K112" i="56"/>
  <c r="L112" i="56"/>
  <c r="M112" i="56"/>
  <c r="N112" i="56"/>
  <c r="O112" i="56"/>
  <c r="P112" i="56"/>
  <c r="R112" i="56"/>
  <c r="S112" i="56"/>
  <c r="T112" i="56"/>
  <c r="U112" i="56"/>
  <c r="V112" i="56"/>
  <c r="W112" i="56"/>
  <c r="Y112" i="56"/>
  <c r="Z112" i="56"/>
  <c r="AA112" i="56"/>
  <c r="AB112" i="56"/>
  <c r="AC112" i="56"/>
  <c r="AD112" i="56"/>
  <c r="AF112" i="56"/>
  <c r="AG112" i="56"/>
  <c r="AH112" i="56"/>
  <c r="AI112" i="56"/>
  <c r="AN112" i="56"/>
  <c r="AO112" i="56"/>
  <c r="AP112" i="56"/>
  <c r="AQ112" i="56"/>
  <c r="AR112" i="56"/>
  <c r="AS112" i="56"/>
  <c r="AT112" i="56"/>
  <c r="AU112" i="56"/>
  <c r="AV112" i="56"/>
  <c r="AW112" i="56"/>
  <c r="AY112" i="56"/>
  <c r="AZ112" i="56"/>
  <c r="BA112" i="56"/>
  <c r="BB112" i="56"/>
  <c r="BC112" i="56"/>
  <c r="BD112" i="56"/>
  <c r="BE112" i="56"/>
  <c r="BF112" i="56"/>
  <c r="BG112" i="56"/>
  <c r="BH112" i="56"/>
  <c r="BJ112" i="56"/>
  <c r="BK112" i="56"/>
  <c r="BL112" i="56"/>
  <c r="BM112" i="56"/>
  <c r="BN112" i="56"/>
  <c r="BO112" i="56"/>
  <c r="BP112" i="56"/>
  <c r="BQ112" i="56"/>
  <c r="BR112" i="56"/>
  <c r="BS112" i="56"/>
  <c r="BU112" i="56"/>
  <c r="BV112" i="56"/>
  <c r="BW112" i="56"/>
  <c r="BX112" i="56"/>
  <c r="BY112" i="56"/>
  <c r="BZ112" i="56"/>
  <c r="CA112" i="56"/>
  <c r="CB112" i="56"/>
  <c r="CC112" i="56"/>
  <c r="CD112" i="56"/>
  <c r="A113" i="56"/>
  <c r="B113" i="56"/>
  <c r="C113" i="56"/>
  <c r="D113" i="56"/>
  <c r="E113" i="56"/>
  <c r="F113" i="56"/>
  <c r="G113" i="56"/>
  <c r="H113" i="56"/>
  <c r="I113" i="56"/>
  <c r="K113" i="56"/>
  <c r="L113" i="56"/>
  <c r="M113" i="56"/>
  <c r="N113" i="56"/>
  <c r="O113" i="56"/>
  <c r="P113" i="56"/>
  <c r="R113" i="56"/>
  <c r="S113" i="56"/>
  <c r="T113" i="56"/>
  <c r="U113" i="56"/>
  <c r="V113" i="56"/>
  <c r="W113" i="56"/>
  <c r="Y113" i="56"/>
  <c r="Z113" i="56"/>
  <c r="AA113" i="56"/>
  <c r="AB113" i="56"/>
  <c r="AC113" i="56"/>
  <c r="AD113" i="56"/>
  <c r="AF113" i="56"/>
  <c r="AG113" i="56"/>
  <c r="AH113" i="56"/>
  <c r="AI113" i="56"/>
  <c r="AN113" i="56"/>
  <c r="AO113" i="56"/>
  <c r="AP113" i="56"/>
  <c r="AQ113" i="56"/>
  <c r="AR113" i="56"/>
  <c r="AS113" i="56"/>
  <c r="AT113" i="56"/>
  <c r="AU113" i="56"/>
  <c r="AV113" i="56"/>
  <c r="AW113" i="56"/>
  <c r="AY113" i="56"/>
  <c r="AZ113" i="56"/>
  <c r="BA113" i="56"/>
  <c r="BB113" i="56"/>
  <c r="BC113" i="56"/>
  <c r="BD113" i="56"/>
  <c r="BE113" i="56"/>
  <c r="BF113" i="56"/>
  <c r="BG113" i="56"/>
  <c r="BH113" i="56"/>
  <c r="BJ113" i="56"/>
  <c r="BK113" i="56"/>
  <c r="BL113" i="56"/>
  <c r="BM113" i="56"/>
  <c r="BN113" i="56"/>
  <c r="BO113" i="56"/>
  <c r="BP113" i="56"/>
  <c r="BQ113" i="56"/>
  <c r="BR113" i="56"/>
  <c r="BS113" i="56"/>
  <c r="BU113" i="56"/>
  <c r="BV113" i="56"/>
  <c r="BW113" i="56"/>
  <c r="BX113" i="56"/>
  <c r="BY113" i="56"/>
  <c r="BZ113" i="56"/>
  <c r="CA113" i="56"/>
  <c r="CB113" i="56"/>
  <c r="CC113" i="56"/>
  <c r="CD113" i="56"/>
  <c r="A114" i="56"/>
  <c r="B114" i="56"/>
  <c r="C114" i="56"/>
  <c r="D114" i="56"/>
  <c r="E114" i="56"/>
  <c r="F114" i="56"/>
  <c r="G114" i="56"/>
  <c r="H114" i="56"/>
  <c r="I114" i="56"/>
  <c r="K114" i="56"/>
  <c r="L114" i="56"/>
  <c r="M114" i="56"/>
  <c r="N114" i="56"/>
  <c r="O114" i="56"/>
  <c r="P114" i="56"/>
  <c r="R114" i="56"/>
  <c r="S114" i="56"/>
  <c r="T114" i="56"/>
  <c r="U114" i="56"/>
  <c r="V114" i="56"/>
  <c r="W114" i="56"/>
  <c r="Y114" i="56"/>
  <c r="Z114" i="56"/>
  <c r="AA114" i="56"/>
  <c r="AB114" i="56"/>
  <c r="AC114" i="56"/>
  <c r="AD114" i="56"/>
  <c r="AF114" i="56"/>
  <c r="AG114" i="56"/>
  <c r="AH114" i="56"/>
  <c r="AI114" i="56"/>
  <c r="AN114" i="56"/>
  <c r="AO114" i="56"/>
  <c r="AP114" i="56"/>
  <c r="AQ114" i="56"/>
  <c r="AR114" i="56"/>
  <c r="AS114" i="56"/>
  <c r="AT114" i="56"/>
  <c r="AU114" i="56"/>
  <c r="AV114" i="56"/>
  <c r="AW114" i="56"/>
  <c r="AY114" i="56"/>
  <c r="AZ114" i="56"/>
  <c r="BA114" i="56"/>
  <c r="BB114" i="56"/>
  <c r="BC114" i="56"/>
  <c r="BD114" i="56"/>
  <c r="BE114" i="56"/>
  <c r="BF114" i="56"/>
  <c r="BG114" i="56"/>
  <c r="BH114" i="56"/>
  <c r="BJ114" i="56"/>
  <c r="BK114" i="56"/>
  <c r="BL114" i="56"/>
  <c r="BM114" i="56"/>
  <c r="BN114" i="56"/>
  <c r="BO114" i="56"/>
  <c r="BP114" i="56"/>
  <c r="BQ114" i="56"/>
  <c r="BR114" i="56"/>
  <c r="BS114" i="56"/>
  <c r="BU114" i="56"/>
  <c r="BV114" i="56"/>
  <c r="BW114" i="56"/>
  <c r="BX114" i="56"/>
  <c r="BY114" i="56"/>
  <c r="BZ114" i="56"/>
  <c r="CA114" i="56"/>
  <c r="CB114" i="56"/>
  <c r="CC114" i="56"/>
  <c r="CD114" i="56"/>
  <c r="A115" i="56"/>
  <c r="B115" i="56"/>
  <c r="C115" i="56"/>
  <c r="D115" i="56"/>
  <c r="E115" i="56"/>
  <c r="F115" i="56"/>
  <c r="G115" i="56"/>
  <c r="H115" i="56"/>
  <c r="I115" i="56"/>
  <c r="K115" i="56"/>
  <c r="L115" i="56"/>
  <c r="M115" i="56"/>
  <c r="N115" i="56"/>
  <c r="O115" i="56"/>
  <c r="P115" i="56"/>
  <c r="R115" i="56"/>
  <c r="S115" i="56"/>
  <c r="T115" i="56"/>
  <c r="U115" i="56"/>
  <c r="V115" i="56"/>
  <c r="W115" i="56"/>
  <c r="Y115" i="56"/>
  <c r="Z115" i="56"/>
  <c r="AA115" i="56"/>
  <c r="AB115" i="56"/>
  <c r="AC115" i="56"/>
  <c r="AD115" i="56"/>
  <c r="AF115" i="56"/>
  <c r="AG115" i="56"/>
  <c r="AH115" i="56"/>
  <c r="AI115" i="56"/>
  <c r="AN115" i="56"/>
  <c r="AO115" i="56"/>
  <c r="AP115" i="56"/>
  <c r="AQ115" i="56"/>
  <c r="AR115" i="56"/>
  <c r="AS115" i="56"/>
  <c r="AT115" i="56"/>
  <c r="AU115" i="56"/>
  <c r="AV115" i="56"/>
  <c r="AW115" i="56"/>
  <c r="AY115" i="56"/>
  <c r="AZ115" i="56"/>
  <c r="BA115" i="56"/>
  <c r="BB115" i="56"/>
  <c r="BC115" i="56"/>
  <c r="BD115" i="56"/>
  <c r="BE115" i="56"/>
  <c r="BF115" i="56"/>
  <c r="BG115" i="56"/>
  <c r="BH115" i="56"/>
  <c r="BJ115" i="56"/>
  <c r="BK115" i="56"/>
  <c r="BL115" i="56"/>
  <c r="BM115" i="56"/>
  <c r="BN115" i="56"/>
  <c r="BO115" i="56"/>
  <c r="BP115" i="56"/>
  <c r="BQ115" i="56"/>
  <c r="BR115" i="56"/>
  <c r="BS115" i="56"/>
  <c r="BU115" i="56"/>
  <c r="BV115" i="56"/>
  <c r="BW115" i="56"/>
  <c r="BX115" i="56"/>
  <c r="BY115" i="56"/>
  <c r="BZ115" i="56"/>
  <c r="CA115" i="56"/>
  <c r="CB115" i="56"/>
  <c r="CC115" i="56"/>
  <c r="CD115" i="56"/>
  <c r="A116" i="56"/>
  <c r="B116" i="56"/>
  <c r="C116" i="56"/>
  <c r="D116" i="56"/>
  <c r="E116" i="56"/>
  <c r="F116" i="56"/>
  <c r="G116" i="56"/>
  <c r="H116" i="56"/>
  <c r="I116" i="56"/>
  <c r="K116" i="56"/>
  <c r="L116" i="56"/>
  <c r="M116" i="56"/>
  <c r="N116" i="56"/>
  <c r="O116" i="56"/>
  <c r="P116" i="56"/>
  <c r="R116" i="56"/>
  <c r="S116" i="56"/>
  <c r="T116" i="56"/>
  <c r="U116" i="56"/>
  <c r="V116" i="56"/>
  <c r="W116" i="56"/>
  <c r="Y116" i="56"/>
  <c r="Z116" i="56"/>
  <c r="AA116" i="56"/>
  <c r="AB116" i="56"/>
  <c r="AC116" i="56"/>
  <c r="AD116" i="56"/>
  <c r="AF116" i="56"/>
  <c r="AG116" i="56"/>
  <c r="AH116" i="56"/>
  <c r="AI116" i="56"/>
  <c r="AN116" i="56"/>
  <c r="AO116" i="56"/>
  <c r="AP116" i="56"/>
  <c r="AQ116" i="56"/>
  <c r="AR116" i="56"/>
  <c r="AS116" i="56"/>
  <c r="AT116" i="56"/>
  <c r="AU116" i="56"/>
  <c r="AV116" i="56"/>
  <c r="AW116" i="56"/>
  <c r="AY116" i="56"/>
  <c r="AZ116" i="56"/>
  <c r="BA116" i="56"/>
  <c r="BB116" i="56"/>
  <c r="BC116" i="56"/>
  <c r="BD116" i="56"/>
  <c r="BE116" i="56"/>
  <c r="BF116" i="56"/>
  <c r="BG116" i="56"/>
  <c r="BH116" i="56"/>
  <c r="BJ116" i="56"/>
  <c r="BK116" i="56"/>
  <c r="BL116" i="56"/>
  <c r="BM116" i="56"/>
  <c r="BN116" i="56"/>
  <c r="BO116" i="56"/>
  <c r="BP116" i="56"/>
  <c r="BQ116" i="56"/>
  <c r="BR116" i="56"/>
  <c r="BS116" i="56"/>
  <c r="BU116" i="56"/>
  <c r="BV116" i="56"/>
  <c r="BW116" i="56"/>
  <c r="BX116" i="56"/>
  <c r="BY116" i="56"/>
  <c r="BZ116" i="56"/>
  <c r="CA116" i="56"/>
  <c r="CB116" i="56"/>
  <c r="CC116" i="56"/>
  <c r="CD116" i="56"/>
  <c r="A117" i="56"/>
  <c r="B117" i="56"/>
  <c r="C117" i="56"/>
  <c r="D117" i="56"/>
  <c r="E117" i="56"/>
  <c r="F117" i="56"/>
  <c r="G117" i="56"/>
  <c r="H117" i="56"/>
  <c r="I117" i="56"/>
  <c r="K117" i="56"/>
  <c r="L117" i="56"/>
  <c r="M117" i="56"/>
  <c r="N117" i="56"/>
  <c r="O117" i="56"/>
  <c r="P117" i="56"/>
  <c r="R117" i="56"/>
  <c r="S117" i="56"/>
  <c r="T117" i="56"/>
  <c r="U117" i="56"/>
  <c r="V117" i="56"/>
  <c r="W117" i="56"/>
  <c r="Y117" i="56"/>
  <c r="Z117" i="56"/>
  <c r="AA117" i="56"/>
  <c r="AB117" i="56"/>
  <c r="AC117" i="56"/>
  <c r="AD117" i="56"/>
  <c r="AF117" i="56"/>
  <c r="AG117" i="56"/>
  <c r="AH117" i="56"/>
  <c r="AI117" i="56"/>
  <c r="AN117" i="56"/>
  <c r="AO117" i="56"/>
  <c r="AP117" i="56"/>
  <c r="AQ117" i="56"/>
  <c r="AR117" i="56"/>
  <c r="AS117" i="56"/>
  <c r="AT117" i="56"/>
  <c r="AU117" i="56"/>
  <c r="AV117" i="56"/>
  <c r="AW117" i="56"/>
  <c r="AY117" i="56"/>
  <c r="AZ117" i="56"/>
  <c r="BA117" i="56"/>
  <c r="BB117" i="56"/>
  <c r="BC117" i="56"/>
  <c r="BD117" i="56"/>
  <c r="BE117" i="56"/>
  <c r="BF117" i="56"/>
  <c r="BG117" i="56"/>
  <c r="BH117" i="56"/>
  <c r="BJ117" i="56"/>
  <c r="BK117" i="56"/>
  <c r="BL117" i="56"/>
  <c r="BM117" i="56"/>
  <c r="BN117" i="56"/>
  <c r="BO117" i="56"/>
  <c r="BP117" i="56"/>
  <c r="BQ117" i="56"/>
  <c r="BR117" i="56"/>
  <c r="BS117" i="56"/>
  <c r="BU117" i="56"/>
  <c r="BV117" i="56"/>
  <c r="BW117" i="56"/>
  <c r="BX117" i="56"/>
  <c r="BY117" i="56"/>
  <c r="BZ117" i="56"/>
  <c r="CA117" i="56"/>
  <c r="CB117" i="56"/>
  <c r="CC117" i="56"/>
  <c r="CD117" i="56"/>
  <c r="A118" i="56"/>
  <c r="B118" i="56"/>
  <c r="C118" i="56"/>
  <c r="D118" i="56"/>
  <c r="E118" i="56"/>
  <c r="F118" i="56"/>
  <c r="G118" i="56"/>
  <c r="H118" i="56"/>
  <c r="I118" i="56"/>
  <c r="K118" i="56"/>
  <c r="L118" i="56"/>
  <c r="M118" i="56"/>
  <c r="N118" i="56"/>
  <c r="O118" i="56"/>
  <c r="P118" i="56"/>
  <c r="R118" i="56"/>
  <c r="S118" i="56"/>
  <c r="T118" i="56"/>
  <c r="U118" i="56"/>
  <c r="V118" i="56"/>
  <c r="W118" i="56"/>
  <c r="Y118" i="56"/>
  <c r="Z118" i="56"/>
  <c r="AA118" i="56"/>
  <c r="AB118" i="56"/>
  <c r="AC118" i="56"/>
  <c r="AD118" i="56"/>
  <c r="AF118" i="56"/>
  <c r="AG118" i="56"/>
  <c r="AH118" i="56"/>
  <c r="AI118" i="56"/>
  <c r="AN118" i="56"/>
  <c r="AO118" i="56"/>
  <c r="AP118" i="56"/>
  <c r="AQ118" i="56"/>
  <c r="AR118" i="56"/>
  <c r="AS118" i="56"/>
  <c r="AT118" i="56"/>
  <c r="AU118" i="56"/>
  <c r="AV118" i="56"/>
  <c r="AW118" i="56"/>
  <c r="AY118" i="56"/>
  <c r="AZ118" i="56"/>
  <c r="BA118" i="56"/>
  <c r="BB118" i="56"/>
  <c r="BC118" i="56"/>
  <c r="BD118" i="56"/>
  <c r="BE118" i="56"/>
  <c r="BF118" i="56"/>
  <c r="BG118" i="56"/>
  <c r="BH118" i="56"/>
  <c r="BJ118" i="56"/>
  <c r="BK118" i="56"/>
  <c r="BL118" i="56"/>
  <c r="BM118" i="56"/>
  <c r="BN118" i="56"/>
  <c r="BO118" i="56"/>
  <c r="BP118" i="56"/>
  <c r="BQ118" i="56"/>
  <c r="BR118" i="56"/>
  <c r="BS118" i="56"/>
  <c r="BU118" i="56"/>
  <c r="BV118" i="56"/>
  <c r="BW118" i="56"/>
  <c r="BX118" i="56"/>
  <c r="BY118" i="56"/>
  <c r="BZ118" i="56"/>
  <c r="CA118" i="56"/>
  <c r="CB118" i="56"/>
  <c r="CC118" i="56"/>
  <c r="CD118" i="56"/>
  <c r="A119" i="56"/>
  <c r="B119" i="56"/>
  <c r="C119" i="56"/>
  <c r="D119" i="56"/>
  <c r="E119" i="56"/>
  <c r="F119" i="56"/>
  <c r="G119" i="56"/>
  <c r="H119" i="56"/>
  <c r="I119" i="56"/>
  <c r="K119" i="56"/>
  <c r="L119" i="56"/>
  <c r="M119" i="56"/>
  <c r="N119" i="56"/>
  <c r="O119" i="56"/>
  <c r="P119" i="56"/>
  <c r="R119" i="56"/>
  <c r="S119" i="56"/>
  <c r="T119" i="56"/>
  <c r="U119" i="56"/>
  <c r="V119" i="56"/>
  <c r="W119" i="56"/>
  <c r="Y119" i="56"/>
  <c r="Z119" i="56"/>
  <c r="AA119" i="56"/>
  <c r="AB119" i="56"/>
  <c r="AC119" i="56"/>
  <c r="AD119" i="56"/>
  <c r="AF119" i="56"/>
  <c r="AG119" i="56"/>
  <c r="AH119" i="56"/>
  <c r="AI119" i="56"/>
  <c r="AN119" i="56"/>
  <c r="AO119" i="56"/>
  <c r="AP119" i="56"/>
  <c r="AQ119" i="56"/>
  <c r="AR119" i="56"/>
  <c r="AS119" i="56"/>
  <c r="AT119" i="56"/>
  <c r="AU119" i="56"/>
  <c r="AV119" i="56"/>
  <c r="AW119" i="56"/>
  <c r="AY119" i="56"/>
  <c r="AZ119" i="56"/>
  <c r="BA119" i="56"/>
  <c r="BB119" i="56"/>
  <c r="BC119" i="56"/>
  <c r="BD119" i="56"/>
  <c r="BE119" i="56"/>
  <c r="BF119" i="56"/>
  <c r="BG119" i="56"/>
  <c r="BH119" i="56"/>
  <c r="BJ119" i="56"/>
  <c r="BK119" i="56"/>
  <c r="BL119" i="56"/>
  <c r="BM119" i="56"/>
  <c r="BN119" i="56"/>
  <c r="BO119" i="56"/>
  <c r="BP119" i="56"/>
  <c r="BQ119" i="56"/>
  <c r="BR119" i="56"/>
  <c r="BS119" i="56"/>
  <c r="BU119" i="56"/>
  <c r="BV119" i="56"/>
  <c r="BW119" i="56"/>
  <c r="BX119" i="56"/>
  <c r="BY119" i="56"/>
  <c r="BZ119" i="56"/>
  <c r="CA119" i="56"/>
  <c r="CB119" i="56"/>
  <c r="CC119" i="56"/>
  <c r="CD119" i="56"/>
  <c r="A120" i="56"/>
  <c r="B120" i="56"/>
  <c r="C120" i="56"/>
  <c r="D120" i="56"/>
  <c r="E120" i="56"/>
  <c r="F120" i="56"/>
  <c r="G120" i="56"/>
  <c r="H120" i="56"/>
  <c r="I120" i="56"/>
  <c r="K120" i="56"/>
  <c r="L120" i="56"/>
  <c r="M120" i="56"/>
  <c r="N120" i="56"/>
  <c r="O120" i="56"/>
  <c r="P120" i="56"/>
  <c r="R120" i="56"/>
  <c r="S120" i="56"/>
  <c r="T120" i="56"/>
  <c r="U120" i="56"/>
  <c r="V120" i="56"/>
  <c r="W120" i="56"/>
  <c r="Y120" i="56"/>
  <c r="Z120" i="56"/>
  <c r="AA120" i="56"/>
  <c r="AB120" i="56"/>
  <c r="AC120" i="56"/>
  <c r="AD120" i="56"/>
  <c r="AF120" i="56"/>
  <c r="AG120" i="56"/>
  <c r="AH120" i="56"/>
  <c r="AI120" i="56"/>
  <c r="AN120" i="56"/>
  <c r="AO120" i="56"/>
  <c r="AP120" i="56"/>
  <c r="AQ120" i="56"/>
  <c r="AR120" i="56"/>
  <c r="AS120" i="56"/>
  <c r="AT120" i="56"/>
  <c r="AU120" i="56"/>
  <c r="AV120" i="56"/>
  <c r="AW120" i="56"/>
  <c r="AY120" i="56"/>
  <c r="AZ120" i="56"/>
  <c r="BA120" i="56"/>
  <c r="BB120" i="56"/>
  <c r="BC120" i="56"/>
  <c r="BD120" i="56"/>
  <c r="BE120" i="56"/>
  <c r="BF120" i="56"/>
  <c r="BG120" i="56"/>
  <c r="BH120" i="56"/>
  <c r="BJ120" i="56"/>
  <c r="BK120" i="56"/>
  <c r="BL120" i="56"/>
  <c r="BM120" i="56"/>
  <c r="BN120" i="56"/>
  <c r="BO120" i="56"/>
  <c r="BP120" i="56"/>
  <c r="BQ120" i="56"/>
  <c r="BR120" i="56"/>
  <c r="BS120" i="56"/>
  <c r="BU120" i="56"/>
  <c r="BV120" i="56"/>
  <c r="BW120" i="56"/>
  <c r="BX120" i="56"/>
  <c r="BY120" i="56"/>
  <c r="BZ120" i="56"/>
  <c r="CA120" i="56"/>
  <c r="CB120" i="56"/>
  <c r="CC120" i="56"/>
  <c r="CD120" i="56"/>
  <c r="A121" i="56"/>
  <c r="B121" i="56"/>
  <c r="C121" i="56"/>
  <c r="D121" i="56"/>
  <c r="E121" i="56"/>
  <c r="F121" i="56"/>
  <c r="G121" i="56"/>
  <c r="H121" i="56"/>
  <c r="I121" i="56"/>
  <c r="K121" i="56"/>
  <c r="L121" i="56"/>
  <c r="M121" i="56"/>
  <c r="N121" i="56"/>
  <c r="O121" i="56"/>
  <c r="P121" i="56"/>
  <c r="R121" i="56"/>
  <c r="S121" i="56"/>
  <c r="T121" i="56"/>
  <c r="U121" i="56"/>
  <c r="V121" i="56"/>
  <c r="W121" i="56"/>
  <c r="Y121" i="56"/>
  <c r="Z121" i="56"/>
  <c r="AA121" i="56"/>
  <c r="AB121" i="56"/>
  <c r="AC121" i="56"/>
  <c r="AD121" i="56"/>
  <c r="AF121" i="56"/>
  <c r="AG121" i="56"/>
  <c r="AH121" i="56"/>
  <c r="AI121" i="56"/>
  <c r="AN121" i="56"/>
  <c r="AO121" i="56"/>
  <c r="AP121" i="56"/>
  <c r="AQ121" i="56"/>
  <c r="AR121" i="56"/>
  <c r="AS121" i="56"/>
  <c r="AT121" i="56"/>
  <c r="AU121" i="56"/>
  <c r="AV121" i="56"/>
  <c r="AW121" i="56"/>
  <c r="AY121" i="56"/>
  <c r="AZ121" i="56"/>
  <c r="BA121" i="56"/>
  <c r="BB121" i="56"/>
  <c r="BC121" i="56"/>
  <c r="BD121" i="56"/>
  <c r="BE121" i="56"/>
  <c r="BF121" i="56"/>
  <c r="BG121" i="56"/>
  <c r="BH121" i="56"/>
  <c r="BJ121" i="56"/>
  <c r="BK121" i="56"/>
  <c r="BL121" i="56"/>
  <c r="BM121" i="56"/>
  <c r="BN121" i="56"/>
  <c r="BO121" i="56"/>
  <c r="BP121" i="56"/>
  <c r="BQ121" i="56"/>
  <c r="BR121" i="56"/>
  <c r="BS121" i="56"/>
  <c r="BU121" i="56"/>
  <c r="BV121" i="56"/>
  <c r="BW121" i="56"/>
  <c r="BX121" i="56"/>
  <c r="BY121" i="56"/>
  <c r="BZ121" i="56"/>
  <c r="CA121" i="56"/>
  <c r="CB121" i="56"/>
  <c r="CC121" i="56"/>
  <c r="CD121" i="56"/>
  <c r="A122" i="56"/>
  <c r="B122" i="56"/>
  <c r="C122" i="56"/>
  <c r="D122" i="56"/>
  <c r="E122" i="56"/>
  <c r="F122" i="56"/>
  <c r="G122" i="56"/>
  <c r="H122" i="56"/>
  <c r="I122" i="56"/>
  <c r="K122" i="56"/>
  <c r="L122" i="56"/>
  <c r="M122" i="56"/>
  <c r="N122" i="56"/>
  <c r="O122" i="56"/>
  <c r="P122" i="56"/>
  <c r="R122" i="56"/>
  <c r="S122" i="56"/>
  <c r="T122" i="56"/>
  <c r="U122" i="56"/>
  <c r="V122" i="56"/>
  <c r="W122" i="56"/>
  <c r="Y122" i="56"/>
  <c r="Z122" i="56"/>
  <c r="AA122" i="56"/>
  <c r="AB122" i="56"/>
  <c r="AC122" i="56"/>
  <c r="AD122" i="56"/>
  <c r="AF122" i="56"/>
  <c r="AG122" i="56"/>
  <c r="AH122" i="56"/>
  <c r="AI122" i="56"/>
  <c r="AN122" i="56"/>
  <c r="AO122" i="56"/>
  <c r="AP122" i="56"/>
  <c r="AQ122" i="56"/>
  <c r="AR122" i="56"/>
  <c r="AS122" i="56"/>
  <c r="AT122" i="56"/>
  <c r="AU122" i="56"/>
  <c r="AV122" i="56"/>
  <c r="AW122" i="56"/>
  <c r="AY122" i="56"/>
  <c r="AZ122" i="56"/>
  <c r="BA122" i="56"/>
  <c r="BB122" i="56"/>
  <c r="BC122" i="56"/>
  <c r="BD122" i="56"/>
  <c r="BE122" i="56"/>
  <c r="BF122" i="56"/>
  <c r="BG122" i="56"/>
  <c r="BH122" i="56"/>
  <c r="BJ122" i="56"/>
  <c r="BK122" i="56"/>
  <c r="BL122" i="56"/>
  <c r="BM122" i="56"/>
  <c r="BN122" i="56"/>
  <c r="BO122" i="56"/>
  <c r="BP122" i="56"/>
  <c r="BQ122" i="56"/>
  <c r="BR122" i="56"/>
  <c r="BS122" i="56"/>
  <c r="BU122" i="56"/>
  <c r="BV122" i="56"/>
  <c r="BW122" i="56"/>
  <c r="BX122" i="56"/>
  <c r="BY122" i="56"/>
  <c r="BZ122" i="56"/>
  <c r="CA122" i="56"/>
  <c r="CB122" i="56"/>
  <c r="CC122" i="56"/>
  <c r="CD122" i="56"/>
  <c r="A123" i="56"/>
  <c r="B123" i="56"/>
  <c r="C123" i="56"/>
  <c r="D123" i="56"/>
  <c r="E123" i="56"/>
  <c r="F123" i="56"/>
  <c r="G123" i="56"/>
  <c r="H123" i="56"/>
  <c r="I123" i="56"/>
  <c r="K123" i="56"/>
  <c r="L123" i="56"/>
  <c r="M123" i="56"/>
  <c r="N123" i="56"/>
  <c r="O123" i="56"/>
  <c r="P123" i="56"/>
  <c r="R123" i="56"/>
  <c r="S123" i="56"/>
  <c r="T123" i="56"/>
  <c r="U123" i="56"/>
  <c r="V123" i="56"/>
  <c r="W123" i="56"/>
  <c r="Y123" i="56"/>
  <c r="Z123" i="56"/>
  <c r="AA123" i="56"/>
  <c r="AB123" i="56"/>
  <c r="AC123" i="56"/>
  <c r="AD123" i="56"/>
  <c r="AF123" i="56"/>
  <c r="AG123" i="56"/>
  <c r="AH123" i="56"/>
  <c r="AI123" i="56"/>
  <c r="AN123" i="56"/>
  <c r="AO123" i="56"/>
  <c r="AP123" i="56"/>
  <c r="AQ123" i="56"/>
  <c r="AR123" i="56"/>
  <c r="AS123" i="56"/>
  <c r="AT123" i="56"/>
  <c r="AU123" i="56"/>
  <c r="AV123" i="56"/>
  <c r="AW123" i="56"/>
  <c r="AY123" i="56"/>
  <c r="AZ123" i="56"/>
  <c r="BA123" i="56"/>
  <c r="BB123" i="56"/>
  <c r="BC123" i="56"/>
  <c r="BD123" i="56"/>
  <c r="BE123" i="56"/>
  <c r="BF123" i="56"/>
  <c r="BG123" i="56"/>
  <c r="BH123" i="56"/>
  <c r="BJ123" i="56"/>
  <c r="BK123" i="56"/>
  <c r="BL123" i="56"/>
  <c r="BM123" i="56"/>
  <c r="BN123" i="56"/>
  <c r="BO123" i="56"/>
  <c r="BP123" i="56"/>
  <c r="BQ123" i="56"/>
  <c r="BR123" i="56"/>
  <c r="BS123" i="56"/>
  <c r="BU123" i="56"/>
  <c r="BV123" i="56"/>
  <c r="BW123" i="56"/>
  <c r="BX123" i="56"/>
  <c r="BY123" i="56"/>
  <c r="BZ123" i="56"/>
  <c r="CA123" i="56"/>
  <c r="CB123" i="56"/>
  <c r="CC123" i="56"/>
  <c r="CD123" i="56"/>
  <c r="A124" i="56"/>
  <c r="B124" i="56"/>
  <c r="C124" i="56"/>
  <c r="D124" i="56"/>
  <c r="E124" i="56"/>
  <c r="F124" i="56"/>
  <c r="G124" i="56"/>
  <c r="H124" i="56"/>
  <c r="I124" i="56"/>
  <c r="K124" i="56"/>
  <c r="L124" i="56"/>
  <c r="M124" i="56"/>
  <c r="N124" i="56"/>
  <c r="O124" i="56"/>
  <c r="P124" i="56"/>
  <c r="R124" i="56"/>
  <c r="S124" i="56"/>
  <c r="T124" i="56"/>
  <c r="U124" i="56"/>
  <c r="V124" i="56"/>
  <c r="W124" i="56"/>
  <c r="Y124" i="56"/>
  <c r="Z124" i="56"/>
  <c r="AA124" i="56"/>
  <c r="AB124" i="56"/>
  <c r="AC124" i="56"/>
  <c r="AD124" i="56"/>
  <c r="AF124" i="56"/>
  <c r="AG124" i="56"/>
  <c r="AH124" i="56"/>
  <c r="AI124" i="56"/>
  <c r="AN124" i="56"/>
  <c r="AO124" i="56"/>
  <c r="AP124" i="56"/>
  <c r="AQ124" i="56"/>
  <c r="AR124" i="56"/>
  <c r="AS124" i="56"/>
  <c r="AT124" i="56"/>
  <c r="AU124" i="56"/>
  <c r="AV124" i="56"/>
  <c r="AW124" i="56"/>
  <c r="AY124" i="56"/>
  <c r="AZ124" i="56"/>
  <c r="BA124" i="56"/>
  <c r="BB124" i="56"/>
  <c r="BC124" i="56"/>
  <c r="BD124" i="56"/>
  <c r="BE124" i="56"/>
  <c r="BF124" i="56"/>
  <c r="BG124" i="56"/>
  <c r="BH124" i="56"/>
  <c r="BJ124" i="56"/>
  <c r="BK124" i="56"/>
  <c r="BL124" i="56"/>
  <c r="BM124" i="56"/>
  <c r="BN124" i="56"/>
  <c r="BO124" i="56"/>
  <c r="BP124" i="56"/>
  <c r="BQ124" i="56"/>
  <c r="BR124" i="56"/>
  <c r="BS124" i="56"/>
  <c r="BU124" i="56"/>
  <c r="BV124" i="56"/>
  <c r="BW124" i="56"/>
  <c r="BX124" i="56"/>
  <c r="BY124" i="56"/>
  <c r="BZ124" i="56"/>
  <c r="CA124" i="56"/>
  <c r="CB124" i="56"/>
  <c r="CC124" i="56"/>
  <c r="CD124" i="56"/>
  <c r="A125" i="56"/>
  <c r="B125" i="56"/>
  <c r="C125" i="56"/>
  <c r="D125" i="56"/>
  <c r="E125" i="56"/>
  <c r="F125" i="56"/>
  <c r="G125" i="56"/>
  <c r="H125" i="56"/>
  <c r="I125" i="56"/>
  <c r="K125" i="56"/>
  <c r="L125" i="56"/>
  <c r="M125" i="56"/>
  <c r="N125" i="56"/>
  <c r="O125" i="56"/>
  <c r="P125" i="56"/>
  <c r="R125" i="56"/>
  <c r="S125" i="56"/>
  <c r="T125" i="56"/>
  <c r="U125" i="56"/>
  <c r="V125" i="56"/>
  <c r="W125" i="56"/>
  <c r="Y125" i="56"/>
  <c r="Z125" i="56"/>
  <c r="AA125" i="56"/>
  <c r="AB125" i="56"/>
  <c r="AC125" i="56"/>
  <c r="AD125" i="56"/>
  <c r="AF125" i="56"/>
  <c r="AG125" i="56"/>
  <c r="AH125" i="56"/>
  <c r="AI125" i="56"/>
  <c r="AN125" i="56"/>
  <c r="AO125" i="56"/>
  <c r="AP125" i="56"/>
  <c r="AQ125" i="56"/>
  <c r="AR125" i="56"/>
  <c r="AS125" i="56"/>
  <c r="AT125" i="56"/>
  <c r="AU125" i="56"/>
  <c r="AV125" i="56"/>
  <c r="AW125" i="56"/>
  <c r="AY125" i="56"/>
  <c r="AZ125" i="56"/>
  <c r="BA125" i="56"/>
  <c r="BB125" i="56"/>
  <c r="BC125" i="56"/>
  <c r="BD125" i="56"/>
  <c r="BE125" i="56"/>
  <c r="BF125" i="56"/>
  <c r="BG125" i="56"/>
  <c r="BH125" i="56"/>
  <c r="BJ125" i="56"/>
  <c r="BK125" i="56"/>
  <c r="BL125" i="56"/>
  <c r="BM125" i="56"/>
  <c r="BN125" i="56"/>
  <c r="BO125" i="56"/>
  <c r="BP125" i="56"/>
  <c r="BQ125" i="56"/>
  <c r="BR125" i="56"/>
  <c r="BS125" i="56"/>
  <c r="BU125" i="56"/>
  <c r="BV125" i="56"/>
  <c r="BW125" i="56"/>
  <c r="BX125" i="56"/>
  <c r="BY125" i="56"/>
  <c r="BZ125" i="56"/>
  <c r="CA125" i="56"/>
  <c r="CB125" i="56"/>
  <c r="CC125" i="56"/>
  <c r="CD125" i="56"/>
  <c r="A126" i="56"/>
  <c r="B126" i="56"/>
  <c r="C126" i="56"/>
  <c r="D126" i="56"/>
  <c r="E126" i="56"/>
  <c r="F126" i="56"/>
  <c r="G126" i="56"/>
  <c r="H126" i="56"/>
  <c r="I126" i="56"/>
  <c r="K126" i="56"/>
  <c r="L126" i="56"/>
  <c r="M126" i="56"/>
  <c r="N126" i="56"/>
  <c r="O126" i="56"/>
  <c r="P126" i="56"/>
  <c r="R126" i="56"/>
  <c r="S126" i="56"/>
  <c r="T126" i="56"/>
  <c r="U126" i="56"/>
  <c r="V126" i="56"/>
  <c r="W126" i="56"/>
  <c r="Y126" i="56"/>
  <c r="Z126" i="56"/>
  <c r="AA126" i="56"/>
  <c r="AB126" i="56"/>
  <c r="AC126" i="56"/>
  <c r="AD126" i="56"/>
  <c r="AF126" i="56"/>
  <c r="AG126" i="56"/>
  <c r="AH126" i="56"/>
  <c r="AI126" i="56"/>
  <c r="AN126" i="56"/>
  <c r="AO126" i="56"/>
  <c r="AP126" i="56"/>
  <c r="AQ126" i="56"/>
  <c r="AR126" i="56"/>
  <c r="AS126" i="56"/>
  <c r="AT126" i="56"/>
  <c r="AU126" i="56"/>
  <c r="AV126" i="56"/>
  <c r="AW126" i="56"/>
  <c r="AY126" i="56"/>
  <c r="AZ126" i="56"/>
  <c r="BA126" i="56"/>
  <c r="BB126" i="56"/>
  <c r="BC126" i="56"/>
  <c r="BD126" i="56"/>
  <c r="BE126" i="56"/>
  <c r="BF126" i="56"/>
  <c r="BG126" i="56"/>
  <c r="BH126" i="56"/>
  <c r="BJ126" i="56"/>
  <c r="BK126" i="56"/>
  <c r="BL126" i="56"/>
  <c r="BM126" i="56"/>
  <c r="BN126" i="56"/>
  <c r="BO126" i="56"/>
  <c r="BP126" i="56"/>
  <c r="BQ126" i="56"/>
  <c r="BR126" i="56"/>
  <c r="BS126" i="56"/>
  <c r="BU126" i="56"/>
  <c r="BV126" i="56"/>
  <c r="BW126" i="56"/>
  <c r="BX126" i="56"/>
  <c r="BY126" i="56"/>
  <c r="BZ126" i="56"/>
  <c r="CA126" i="56"/>
  <c r="CB126" i="56"/>
  <c r="CC126" i="56"/>
  <c r="CD126" i="56"/>
  <c r="A127" i="56"/>
  <c r="B127" i="56"/>
  <c r="C127" i="56"/>
  <c r="D127" i="56"/>
  <c r="E127" i="56"/>
  <c r="F127" i="56"/>
  <c r="G127" i="56"/>
  <c r="H127" i="56"/>
  <c r="I127" i="56"/>
  <c r="K127" i="56"/>
  <c r="L127" i="56"/>
  <c r="M127" i="56"/>
  <c r="N127" i="56"/>
  <c r="O127" i="56"/>
  <c r="P127" i="56"/>
  <c r="R127" i="56"/>
  <c r="S127" i="56"/>
  <c r="T127" i="56"/>
  <c r="U127" i="56"/>
  <c r="V127" i="56"/>
  <c r="W127" i="56"/>
  <c r="Y127" i="56"/>
  <c r="Z127" i="56"/>
  <c r="AA127" i="56"/>
  <c r="AB127" i="56"/>
  <c r="AC127" i="56"/>
  <c r="AD127" i="56"/>
  <c r="AF127" i="56"/>
  <c r="AG127" i="56"/>
  <c r="AH127" i="56"/>
  <c r="AI127" i="56"/>
  <c r="AN127" i="56"/>
  <c r="AO127" i="56"/>
  <c r="AP127" i="56"/>
  <c r="AQ127" i="56"/>
  <c r="AR127" i="56"/>
  <c r="AS127" i="56"/>
  <c r="AT127" i="56"/>
  <c r="AU127" i="56"/>
  <c r="AV127" i="56"/>
  <c r="AW127" i="56"/>
  <c r="AY127" i="56"/>
  <c r="AZ127" i="56"/>
  <c r="BA127" i="56"/>
  <c r="BB127" i="56"/>
  <c r="BC127" i="56"/>
  <c r="BD127" i="56"/>
  <c r="BE127" i="56"/>
  <c r="BF127" i="56"/>
  <c r="BG127" i="56"/>
  <c r="BH127" i="56"/>
  <c r="BJ127" i="56"/>
  <c r="BK127" i="56"/>
  <c r="BL127" i="56"/>
  <c r="BM127" i="56"/>
  <c r="BN127" i="56"/>
  <c r="BO127" i="56"/>
  <c r="BP127" i="56"/>
  <c r="BQ127" i="56"/>
  <c r="BR127" i="56"/>
  <c r="BS127" i="56"/>
  <c r="BU127" i="56"/>
  <c r="BV127" i="56"/>
  <c r="BW127" i="56"/>
  <c r="BX127" i="56"/>
  <c r="BY127" i="56"/>
  <c r="BZ127" i="56"/>
  <c r="CA127" i="56"/>
  <c r="CB127" i="56"/>
  <c r="CC127" i="56"/>
  <c r="CD127" i="56"/>
  <c r="A128" i="56"/>
  <c r="B128" i="56"/>
  <c r="C128" i="56"/>
  <c r="D128" i="56"/>
  <c r="E128" i="56"/>
  <c r="F128" i="56"/>
  <c r="G128" i="56"/>
  <c r="H128" i="56"/>
  <c r="I128" i="56"/>
  <c r="K128" i="56"/>
  <c r="L128" i="56"/>
  <c r="M128" i="56"/>
  <c r="N128" i="56"/>
  <c r="O128" i="56"/>
  <c r="P128" i="56"/>
  <c r="R128" i="56"/>
  <c r="S128" i="56"/>
  <c r="T128" i="56"/>
  <c r="U128" i="56"/>
  <c r="V128" i="56"/>
  <c r="W128" i="56"/>
  <c r="Y128" i="56"/>
  <c r="Z128" i="56"/>
  <c r="AA128" i="56"/>
  <c r="AB128" i="56"/>
  <c r="AC128" i="56"/>
  <c r="AD128" i="56"/>
  <c r="AF128" i="56"/>
  <c r="AG128" i="56"/>
  <c r="AH128" i="56"/>
  <c r="AI128" i="56"/>
  <c r="AN128" i="56"/>
  <c r="AO128" i="56"/>
  <c r="AP128" i="56"/>
  <c r="AQ128" i="56"/>
  <c r="AR128" i="56"/>
  <c r="AS128" i="56"/>
  <c r="AT128" i="56"/>
  <c r="AU128" i="56"/>
  <c r="AV128" i="56"/>
  <c r="AW128" i="56"/>
  <c r="AY128" i="56"/>
  <c r="AZ128" i="56"/>
  <c r="BA128" i="56"/>
  <c r="BB128" i="56"/>
  <c r="BC128" i="56"/>
  <c r="BD128" i="56"/>
  <c r="BE128" i="56"/>
  <c r="BF128" i="56"/>
  <c r="BG128" i="56"/>
  <c r="BH128" i="56"/>
  <c r="BJ128" i="56"/>
  <c r="BK128" i="56"/>
  <c r="BL128" i="56"/>
  <c r="BM128" i="56"/>
  <c r="BN128" i="56"/>
  <c r="BO128" i="56"/>
  <c r="BP128" i="56"/>
  <c r="BQ128" i="56"/>
  <c r="BR128" i="56"/>
  <c r="BS128" i="56"/>
  <c r="BU128" i="56"/>
  <c r="BV128" i="56"/>
  <c r="BW128" i="56"/>
  <c r="BX128" i="56"/>
  <c r="BY128" i="56"/>
  <c r="BZ128" i="56"/>
  <c r="CA128" i="56"/>
  <c r="CB128" i="56"/>
  <c r="CC128" i="56"/>
  <c r="CD128" i="56"/>
  <c r="A129" i="56"/>
  <c r="B129" i="56"/>
  <c r="C129" i="56"/>
  <c r="D129" i="56"/>
  <c r="E129" i="56"/>
  <c r="F129" i="56"/>
  <c r="G129" i="56"/>
  <c r="H129" i="56"/>
  <c r="I129" i="56"/>
  <c r="K129" i="56"/>
  <c r="L129" i="56"/>
  <c r="M129" i="56"/>
  <c r="N129" i="56"/>
  <c r="O129" i="56"/>
  <c r="P129" i="56"/>
  <c r="R129" i="56"/>
  <c r="S129" i="56"/>
  <c r="T129" i="56"/>
  <c r="U129" i="56"/>
  <c r="V129" i="56"/>
  <c r="W129" i="56"/>
  <c r="Y129" i="56"/>
  <c r="Z129" i="56"/>
  <c r="AA129" i="56"/>
  <c r="AB129" i="56"/>
  <c r="AC129" i="56"/>
  <c r="AD129" i="56"/>
  <c r="AF129" i="56"/>
  <c r="AG129" i="56"/>
  <c r="AH129" i="56"/>
  <c r="AI129" i="56"/>
  <c r="AN129" i="56"/>
  <c r="AO129" i="56"/>
  <c r="AP129" i="56"/>
  <c r="AQ129" i="56"/>
  <c r="AR129" i="56"/>
  <c r="AS129" i="56"/>
  <c r="AT129" i="56"/>
  <c r="AU129" i="56"/>
  <c r="AV129" i="56"/>
  <c r="AW129" i="56"/>
  <c r="AY129" i="56"/>
  <c r="AZ129" i="56"/>
  <c r="BA129" i="56"/>
  <c r="BB129" i="56"/>
  <c r="BC129" i="56"/>
  <c r="BD129" i="56"/>
  <c r="BE129" i="56"/>
  <c r="BF129" i="56"/>
  <c r="BG129" i="56"/>
  <c r="BH129" i="56"/>
  <c r="BJ129" i="56"/>
  <c r="BK129" i="56"/>
  <c r="BL129" i="56"/>
  <c r="BM129" i="56"/>
  <c r="BN129" i="56"/>
  <c r="BO129" i="56"/>
  <c r="BP129" i="56"/>
  <c r="BQ129" i="56"/>
  <c r="BR129" i="56"/>
  <c r="BS129" i="56"/>
  <c r="BU129" i="56"/>
  <c r="BV129" i="56"/>
  <c r="BW129" i="56"/>
  <c r="BX129" i="56"/>
  <c r="BY129" i="56"/>
  <c r="BZ129" i="56"/>
  <c r="CA129" i="56"/>
  <c r="CB129" i="56"/>
  <c r="CC129" i="56"/>
  <c r="CD129" i="56"/>
  <c r="A130" i="56"/>
  <c r="B130" i="56"/>
  <c r="C130" i="56"/>
  <c r="D130" i="56"/>
  <c r="E130" i="56"/>
  <c r="F130" i="56"/>
  <c r="G130" i="56"/>
  <c r="H130" i="56"/>
  <c r="I130" i="56"/>
  <c r="K130" i="56"/>
  <c r="L130" i="56"/>
  <c r="M130" i="56"/>
  <c r="N130" i="56"/>
  <c r="O130" i="56"/>
  <c r="P130" i="56"/>
  <c r="R130" i="56"/>
  <c r="S130" i="56"/>
  <c r="T130" i="56"/>
  <c r="U130" i="56"/>
  <c r="V130" i="56"/>
  <c r="W130" i="56"/>
  <c r="Y130" i="56"/>
  <c r="Z130" i="56"/>
  <c r="AA130" i="56"/>
  <c r="AB130" i="56"/>
  <c r="AC130" i="56"/>
  <c r="AD130" i="56"/>
  <c r="AF130" i="56"/>
  <c r="AG130" i="56"/>
  <c r="AH130" i="56"/>
  <c r="AI130" i="56"/>
  <c r="AN130" i="56"/>
  <c r="AO130" i="56"/>
  <c r="AP130" i="56"/>
  <c r="AQ130" i="56"/>
  <c r="AR130" i="56"/>
  <c r="AS130" i="56"/>
  <c r="AT130" i="56"/>
  <c r="AU130" i="56"/>
  <c r="AV130" i="56"/>
  <c r="AW130" i="56"/>
  <c r="AY130" i="56"/>
  <c r="AZ130" i="56"/>
  <c r="BA130" i="56"/>
  <c r="BB130" i="56"/>
  <c r="BC130" i="56"/>
  <c r="BD130" i="56"/>
  <c r="BE130" i="56"/>
  <c r="BF130" i="56"/>
  <c r="BG130" i="56"/>
  <c r="BH130" i="56"/>
  <c r="BJ130" i="56"/>
  <c r="BK130" i="56"/>
  <c r="BL130" i="56"/>
  <c r="BM130" i="56"/>
  <c r="BN130" i="56"/>
  <c r="BO130" i="56"/>
  <c r="BP130" i="56"/>
  <c r="BQ130" i="56"/>
  <c r="BR130" i="56"/>
  <c r="BS130" i="56"/>
  <c r="BU130" i="56"/>
  <c r="BV130" i="56"/>
  <c r="BW130" i="56"/>
  <c r="BX130" i="56"/>
  <c r="BY130" i="56"/>
  <c r="BZ130" i="56"/>
  <c r="CA130" i="56"/>
  <c r="CB130" i="56"/>
  <c r="CC130" i="56"/>
  <c r="CD130" i="56"/>
  <c r="A131" i="56"/>
  <c r="B131" i="56"/>
  <c r="C131" i="56"/>
  <c r="D131" i="56"/>
  <c r="E131" i="56"/>
  <c r="F131" i="56"/>
  <c r="G131" i="56"/>
  <c r="H131" i="56"/>
  <c r="I131" i="56"/>
  <c r="K131" i="56"/>
  <c r="L131" i="56"/>
  <c r="M131" i="56"/>
  <c r="N131" i="56"/>
  <c r="O131" i="56"/>
  <c r="P131" i="56"/>
  <c r="R131" i="56"/>
  <c r="S131" i="56"/>
  <c r="T131" i="56"/>
  <c r="U131" i="56"/>
  <c r="V131" i="56"/>
  <c r="W131" i="56"/>
  <c r="Y131" i="56"/>
  <c r="Z131" i="56"/>
  <c r="AA131" i="56"/>
  <c r="AB131" i="56"/>
  <c r="AC131" i="56"/>
  <c r="AD131" i="56"/>
  <c r="AF131" i="56"/>
  <c r="AG131" i="56"/>
  <c r="AH131" i="56"/>
  <c r="AI131" i="56"/>
  <c r="AN131" i="56"/>
  <c r="AO131" i="56"/>
  <c r="AP131" i="56"/>
  <c r="AQ131" i="56"/>
  <c r="AR131" i="56"/>
  <c r="AS131" i="56"/>
  <c r="AT131" i="56"/>
  <c r="AU131" i="56"/>
  <c r="AV131" i="56"/>
  <c r="AW131" i="56"/>
  <c r="AY131" i="56"/>
  <c r="AZ131" i="56"/>
  <c r="BA131" i="56"/>
  <c r="BB131" i="56"/>
  <c r="BC131" i="56"/>
  <c r="BD131" i="56"/>
  <c r="BE131" i="56"/>
  <c r="BF131" i="56"/>
  <c r="BG131" i="56"/>
  <c r="BH131" i="56"/>
  <c r="BJ131" i="56"/>
  <c r="BK131" i="56"/>
  <c r="BL131" i="56"/>
  <c r="BM131" i="56"/>
  <c r="BN131" i="56"/>
  <c r="BO131" i="56"/>
  <c r="BP131" i="56"/>
  <c r="BQ131" i="56"/>
  <c r="BR131" i="56"/>
  <c r="BS131" i="56"/>
  <c r="BU131" i="56"/>
  <c r="BV131" i="56"/>
  <c r="BW131" i="56"/>
  <c r="BX131" i="56"/>
  <c r="BY131" i="56"/>
  <c r="BZ131" i="56"/>
  <c r="CA131" i="56"/>
  <c r="CB131" i="56"/>
  <c r="CC131" i="56"/>
  <c r="CD131" i="56"/>
  <c r="A132" i="56"/>
  <c r="B132" i="56"/>
  <c r="C132" i="56"/>
  <c r="D132" i="56"/>
  <c r="E132" i="56"/>
  <c r="F132" i="56"/>
  <c r="G132" i="56"/>
  <c r="H132" i="56"/>
  <c r="I132" i="56"/>
  <c r="K132" i="56"/>
  <c r="L132" i="56"/>
  <c r="M132" i="56"/>
  <c r="N132" i="56"/>
  <c r="O132" i="56"/>
  <c r="P132" i="56"/>
  <c r="R132" i="56"/>
  <c r="S132" i="56"/>
  <c r="T132" i="56"/>
  <c r="U132" i="56"/>
  <c r="V132" i="56"/>
  <c r="W132" i="56"/>
  <c r="Y132" i="56"/>
  <c r="Z132" i="56"/>
  <c r="AA132" i="56"/>
  <c r="AB132" i="56"/>
  <c r="AC132" i="56"/>
  <c r="AD132" i="56"/>
  <c r="AF132" i="56"/>
  <c r="AG132" i="56"/>
  <c r="AH132" i="56"/>
  <c r="AI132" i="56"/>
  <c r="AN132" i="56"/>
  <c r="AO132" i="56"/>
  <c r="AP132" i="56"/>
  <c r="AQ132" i="56"/>
  <c r="AR132" i="56"/>
  <c r="AS132" i="56"/>
  <c r="AT132" i="56"/>
  <c r="AU132" i="56"/>
  <c r="AV132" i="56"/>
  <c r="AW132" i="56"/>
  <c r="AY132" i="56"/>
  <c r="AZ132" i="56"/>
  <c r="BA132" i="56"/>
  <c r="BB132" i="56"/>
  <c r="BC132" i="56"/>
  <c r="BD132" i="56"/>
  <c r="BE132" i="56"/>
  <c r="BF132" i="56"/>
  <c r="BG132" i="56"/>
  <c r="BH132" i="56"/>
  <c r="BJ132" i="56"/>
  <c r="BK132" i="56"/>
  <c r="BL132" i="56"/>
  <c r="BM132" i="56"/>
  <c r="BN132" i="56"/>
  <c r="BO132" i="56"/>
  <c r="BP132" i="56"/>
  <c r="BQ132" i="56"/>
  <c r="BR132" i="56"/>
  <c r="BS132" i="56"/>
  <c r="BU132" i="56"/>
  <c r="BV132" i="56"/>
  <c r="BW132" i="56"/>
  <c r="BX132" i="56"/>
  <c r="BY132" i="56"/>
  <c r="BZ132" i="56"/>
  <c r="CA132" i="56"/>
  <c r="CB132" i="56"/>
  <c r="CC132" i="56"/>
  <c r="CD132" i="56"/>
  <c r="A133" i="56"/>
  <c r="B133" i="56"/>
  <c r="C133" i="56"/>
  <c r="D133" i="56"/>
  <c r="E133" i="56"/>
  <c r="F133" i="56"/>
  <c r="G133" i="56"/>
  <c r="H133" i="56"/>
  <c r="I133" i="56"/>
  <c r="K133" i="56"/>
  <c r="L133" i="56"/>
  <c r="M133" i="56"/>
  <c r="N133" i="56"/>
  <c r="O133" i="56"/>
  <c r="P133" i="56"/>
  <c r="R133" i="56"/>
  <c r="S133" i="56"/>
  <c r="T133" i="56"/>
  <c r="U133" i="56"/>
  <c r="V133" i="56"/>
  <c r="W133" i="56"/>
  <c r="Y133" i="56"/>
  <c r="Z133" i="56"/>
  <c r="AA133" i="56"/>
  <c r="AB133" i="56"/>
  <c r="AC133" i="56"/>
  <c r="AD133" i="56"/>
  <c r="AF133" i="56"/>
  <c r="AG133" i="56"/>
  <c r="AH133" i="56"/>
  <c r="AI133" i="56"/>
  <c r="AN133" i="56"/>
  <c r="AO133" i="56"/>
  <c r="AP133" i="56"/>
  <c r="AQ133" i="56"/>
  <c r="AR133" i="56"/>
  <c r="AS133" i="56"/>
  <c r="AT133" i="56"/>
  <c r="AU133" i="56"/>
  <c r="AV133" i="56"/>
  <c r="AW133" i="56"/>
  <c r="AY133" i="56"/>
  <c r="AZ133" i="56"/>
  <c r="BA133" i="56"/>
  <c r="BB133" i="56"/>
  <c r="BC133" i="56"/>
  <c r="BD133" i="56"/>
  <c r="BE133" i="56"/>
  <c r="BF133" i="56"/>
  <c r="BG133" i="56"/>
  <c r="BH133" i="56"/>
  <c r="BJ133" i="56"/>
  <c r="BK133" i="56"/>
  <c r="BL133" i="56"/>
  <c r="BM133" i="56"/>
  <c r="BN133" i="56"/>
  <c r="BO133" i="56"/>
  <c r="BP133" i="56"/>
  <c r="BQ133" i="56"/>
  <c r="BR133" i="56"/>
  <c r="BS133" i="56"/>
  <c r="BU133" i="56"/>
  <c r="BV133" i="56"/>
  <c r="BW133" i="56"/>
  <c r="BX133" i="56"/>
  <c r="BY133" i="56"/>
  <c r="BZ133" i="56"/>
  <c r="CA133" i="56"/>
  <c r="CB133" i="56"/>
  <c r="CC133" i="56"/>
  <c r="CD133" i="56"/>
  <c r="A134" i="56"/>
  <c r="B134" i="56"/>
  <c r="C134" i="56"/>
  <c r="D134" i="56"/>
  <c r="E134" i="56"/>
  <c r="F134" i="56"/>
  <c r="G134" i="56"/>
  <c r="H134" i="56"/>
  <c r="I134" i="56"/>
  <c r="K134" i="56"/>
  <c r="L134" i="56"/>
  <c r="M134" i="56"/>
  <c r="N134" i="56"/>
  <c r="O134" i="56"/>
  <c r="P134" i="56"/>
  <c r="R134" i="56"/>
  <c r="S134" i="56"/>
  <c r="T134" i="56"/>
  <c r="U134" i="56"/>
  <c r="V134" i="56"/>
  <c r="W134" i="56"/>
  <c r="Y134" i="56"/>
  <c r="Z134" i="56"/>
  <c r="AA134" i="56"/>
  <c r="AB134" i="56"/>
  <c r="AC134" i="56"/>
  <c r="AD134" i="56"/>
  <c r="AF134" i="56"/>
  <c r="AG134" i="56"/>
  <c r="AH134" i="56"/>
  <c r="AI134" i="56"/>
  <c r="AN134" i="56"/>
  <c r="AO134" i="56"/>
  <c r="AP134" i="56"/>
  <c r="AQ134" i="56"/>
  <c r="AR134" i="56"/>
  <c r="AS134" i="56"/>
  <c r="AT134" i="56"/>
  <c r="AU134" i="56"/>
  <c r="AV134" i="56"/>
  <c r="AW134" i="56"/>
  <c r="AY134" i="56"/>
  <c r="AZ134" i="56"/>
  <c r="BA134" i="56"/>
  <c r="BB134" i="56"/>
  <c r="BC134" i="56"/>
  <c r="BD134" i="56"/>
  <c r="BE134" i="56"/>
  <c r="BF134" i="56"/>
  <c r="BG134" i="56"/>
  <c r="BH134" i="56"/>
  <c r="BJ134" i="56"/>
  <c r="BK134" i="56"/>
  <c r="BL134" i="56"/>
  <c r="BM134" i="56"/>
  <c r="BN134" i="56"/>
  <c r="BO134" i="56"/>
  <c r="BP134" i="56"/>
  <c r="BQ134" i="56"/>
  <c r="BR134" i="56"/>
  <c r="BS134" i="56"/>
  <c r="BU134" i="56"/>
  <c r="BV134" i="56"/>
  <c r="BW134" i="56"/>
  <c r="BX134" i="56"/>
  <c r="BY134" i="56"/>
  <c r="BZ134" i="56"/>
  <c r="CA134" i="56"/>
  <c r="CB134" i="56"/>
  <c r="CC134" i="56"/>
  <c r="CD134" i="56"/>
  <c r="A135" i="56"/>
  <c r="B135" i="56"/>
  <c r="C135" i="56"/>
  <c r="D135" i="56"/>
  <c r="E135" i="56"/>
  <c r="F135" i="56"/>
  <c r="G135" i="56"/>
  <c r="H135" i="56"/>
  <c r="I135" i="56"/>
  <c r="K135" i="56"/>
  <c r="L135" i="56"/>
  <c r="M135" i="56"/>
  <c r="N135" i="56"/>
  <c r="O135" i="56"/>
  <c r="P135" i="56"/>
  <c r="R135" i="56"/>
  <c r="S135" i="56"/>
  <c r="T135" i="56"/>
  <c r="U135" i="56"/>
  <c r="V135" i="56"/>
  <c r="W135" i="56"/>
  <c r="Y135" i="56"/>
  <c r="Z135" i="56"/>
  <c r="AA135" i="56"/>
  <c r="AB135" i="56"/>
  <c r="AC135" i="56"/>
  <c r="AD135" i="56"/>
  <c r="AF135" i="56"/>
  <c r="AG135" i="56"/>
  <c r="AH135" i="56"/>
  <c r="AI135" i="56"/>
  <c r="AN135" i="56"/>
  <c r="AO135" i="56"/>
  <c r="AP135" i="56"/>
  <c r="AQ135" i="56"/>
  <c r="AR135" i="56"/>
  <c r="AS135" i="56"/>
  <c r="AT135" i="56"/>
  <c r="AU135" i="56"/>
  <c r="AV135" i="56"/>
  <c r="AW135" i="56"/>
  <c r="AY135" i="56"/>
  <c r="AZ135" i="56"/>
  <c r="BA135" i="56"/>
  <c r="BB135" i="56"/>
  <c r="BC135" i="56"/>
  <c r="BD135" i="56"/>
  <c r="BE135" i="56"/>
  <c r="BF135" i="56"/>
  <c r="BG135" i="56"/>
  <c r="BH135" i="56"/>
  <c r="BJ135" i="56"/>
  <c r="BK135" i="56"/>
  <c r="BL135" i="56"/>
  <c r="BM135" i="56"/>
  <c r="BN135" i="56"/>
  <c r="BO135" i="56"/>
  <c r="BP135" i="56"/>
  <c r="BQ135" i="56"/>
  <c r="BR135" i="56"/>
  <c r="BS135" i="56"/>
  <c r="BU135" i="56"/>
  <c r="BV135" i="56"/>
  <c r="BW135" i="56"/>
  <c r="BX135" i="56"/>
  <c r="BY135" i="56"/>
  <c r="BZ135" i="56"/>
  <c r="CA135" i="56"/>
  <c r="CB135" i="56"/>
  <c r="CC135" i="56"/>
  <c r="CD135" i="56"/>
  <c r="A136" i="56"/>
  <c r="B136" i="56"/>
  <c r="C136" i="56"/>
  <c r="D136" i="56"/>
  <c r="E136" i="56"/>
  <c r="F136" i="56"/>
  <c r="G136" i="56"/>
  <c r="H136" i="56"/>
  <c r="I136" i="56"/>
  <c r="K136" i="56"/>
  <c r="L136" i="56"/>
  <c r="M136" i="56"/>
  <c r="N136" i="56"/>
  <c r="O136" i="56"/>
  <c r="P136" i="56"/>
  <c r="R136" i="56"/>
  <c r="S136" i="56"/>
  <c r="T136" i="56"/>
  <c r="U136" i="56"/>
  <c r="V136" i="56"/>
  <c r="W136" i="56"/>
  <c r="Y136" i="56"/>
  <c r="Z136" i="56"/>
  <c r="AA136" i="56"/>
  <c r="AB136" i="56"/>
  <c r="AC136" i="56"/>
  <c r="AD136" i="56"/>
  <c r="AF136" i="56"/>
  <c r="AG136" i="56"/>
  <c r="AH136" i="56"/>
  <c r="AI136" i="56"/>
  <c r="AN136" i="56"/>
  <c r="AO136" i="56"/>
  <c r="AP136" i="56"/>
  <c r="AQ136" i="56"/>
  <c r="AR136" i="56"/>
  <c r="AS136" i="56"/>
  <c r="AT136" i="56"/>
  <c r="AU136" i="56"/>
  <c r="AV136" i="56"/>
  <c r="AW136" i="56"/>
  <c r="AY136" i="56"/>
  <c r="AZ136" i="56"/>
  <c r="BA136" i="56"/>
  <c r="BB136" i="56"/>
  <c r="BC136" i="56"/>
  <c r="BD136" i="56"/>
  <c r="BE136" i="56"/>
  <c r="BF136" i="56"/>
  <c r="BG136" i="56"/>
  <c r="BH136" i="56"/>
  <c r="BJ136" i="56"/>
  <c r="BK136" i="56"/>
  <c r="BL136" i="56"/>
  <c r="BM136" i="56"/>
  <c r="BN136" i="56"/>
  <c r="BO136" i="56"/>
  <c r="BP136" i="56"/>
  <c r="BQ136" i="56"/>
  <c r="BR136" i="56"/>
  <c r="BS136" i="56"/>
  <c r="BU136" i="56"/>
  <c r="BV136" i="56"/>
  <c r="BW136" i="56"/>
  <c r="BX136" i="56"/>
  <c r="BY136" i="56"/>
  <c r="BZ136" i="56"/>
  <c r="CA136" i="56"/>
  <c r="CB136" i="56"/>
  <c r="CC136" i="56"/>
  <c r="CD136" i="56"/>
  <c r="A137" i="56"/>
  <c r="B137" i="56"/>
  <c r="C137" i="56"/>
  <c r="D137" i="56"/>
  <c r="E137" i="56"/>
  <c r="F137" i="56"/>
  <c r="G137" i="56"/>
  <c r="H137" i="56"/>
  <c r="I137" i="56"/>
  <c r="K137" i="56"/>
  <c r="L137" i="56"/>
  <c r="M137" i="56"/>
  <c r="N137" i="56"/>
  <c r="O137" i="56"/>
  <c r="P137" i="56"/>
  <c r="R137" i="56"/>
  <c r="S137" i="56"/>
  <c r="T137" i="56"/>
  <c r="U137" i="56"/>
  <c r="V137" i="56"/>
  <c r="W137" i="56"/>
  <c r="Y137" i="56"/>
  <c r="Z137" i="56"/>
  <c r="AA137" i="56"/>
  <c r="AB137" i="56"/>
  <c r="AC137" i="56"/>
  <c r="AD137" i="56"/>
  <c r="AF137" i="56"/>
  <c r="AG137" i="56"/>
  <c r="AH137" i="56"/>
  <c r="AI137" i="56"/>
  <c r="AN137" i="56"/>
  <c r="AO137" i="56"/>
  <c r="AP137" i="56"/>
  <c r="AQ137" i="56"/>
  <c r="AR137" i="56"/>
  <c r="AS137" i="56"/>
  <c r="AT137" i="56"/>
  <c r="AU137" i="56"/>
  <c r="AV137" i="56"/>
  <c r="AW137" i="56"/>
  <c r="AY137" i="56"/>
  <c r="AZ137" i="56"/>
  <c r="BA137" i="56"/>
  <c r="BB137" i="56"/>
  <c r="BC137" i="56"/>
  <c r="BD137" i="56"/>
  <c r="BE137" i="56"/>
  <c r="BF137" i="56"/>
  <c r="BG137" i="56"/>
  <c r="BH137" i="56"/>
  <c r="BJ137" i="56"/>
  <c r="BK137" i="56"/>
  <c r="BL137" i="56"/>
  <c r="BM137" i="56"/>
  <c r="BN137" i="56"/>
  <c r="BO137" i="56"/>
  <c r="BP137" i="56"/>
  <c r="BQ137" i="56"/>
  <c r="BR137" i="56"/>
  <c r="BS137" i="56"/>
  <c r="BU137" i="56"/>
  <c r="BV137" i="56"/>
  <c r="BW137" i="56"/>
  <c r="BX137" i="56"/>
  <c r="BY137" i="56"/>
  <c r="BZ137" i="56"/>
  <c r="CA137" i="56"/>
  <c r="CB137" i="56"/>
  <c r="CC137" i="56"/>
  <c r="CD137" i="56"/>
  <c r="A138" i="56"/>
  <c r="B138" i="56"/>
  <c r="C138" i="56"/>
  <c r="D138" i="56"/>
  <c r="E138" i="56"/>
  <c r="F138" i="56"/>
  <c r="G138" i="56"/>
  <c r="H138" i="56"/>
  <c r="I138" i="56"/>
  <c r="K138" i="56"/>
  <c r="L138" i="56"/>
  <c r="M138" i="56"/>
  <c r="N138" i="56"/>
  <c r="O138" i="56"/>
  <c r="P138" i="56"/>
  <c r="R138" i="56"/>
  <c r="S138" i="56"/>
  <c r="T138" i="56"/>
  <c r="U138" i="56"/>
  <c r="V138" i="56"/>
  <c r="W138" i="56"/>
  <c r="Y138" i="56"/>
  <c r="Z138" i="56"/>
  <c r="AA138" i="56"/>
  <c r="AB138" i="56"/>
  <c r="AC138" i="56"/>
  <c r="AD138" i="56"/>
  <c r="AF138" i="56"/>
  <c r="AG138" i="56"/>
  <c r="AH138" i="56"/>
  <c r="AI138" i="56"/>
  <c r="AN138" i="56"/>
  <c r="AO138" i="56"/>
  <c r="AP138" i="56"/>
  <c r="AQ138" i="56"/>
  <c r="AR138" i="56"/>
  <c r="AS138" i="56"/>
  <c r="AT138" i="56"/>
  <c r="AU138" i="56"/>
  <c r="AV138" i="56"/>
  <c r="AW138" i="56"/>
  <c r="AY138" i="56"/>
  <c r="AZ138" i="56"/>
  <c r="BA138" i="56"/>
  <c r="BB138" i="56"/>
  <c r="BC138" i="56"/>
  <c r="BD138" i="56"/>
  <c r="BE138" i="56"/>
  <c r="BF138" i="56"/>
  <c r="BG138" i="56"/>
  <c r="BH138" i="56"/>
  <c r="BJ138" i="56"/>
  <c r="BK138" i="56"/>
  <c r="BL138" i="56"/>
  <c r="BM138" i="56"/>
  <c r="BN138" i="56"/>
  <c r="BO138" i="56"/>
  <c r="BP138" i="56"/>
  <c r="BQ138" i="56"/>
  <c r="BR138" i="56"/>
  <c r="BS138" i="56"/>
  <c r="BU138" i="56"/>
  <c r="BV138" i="56"/>
  <c r="BW138" i="56"/>
  <c r="BX138" i="56"/>
  <c r="BY138" i="56"/>
  <c r="BZ138" i="56"/>
  <c r="CA138" i="56"/>
  <c r="CB138" i="56"/>
  <c r="CC138" i="56"/>
  <c r="CD138" i="56"/>
  <c r="A139" i="56"/>
  <c r="B139" i="56"/>
  <c r="C139" i="56"/>
  <c r="D139" i="56"/>
  <c r="E139" i="56"/>
  <c r="F139" i="56"/>
  <c r="G139" i="56"/>
  <c r="H139" i="56"/>
  <c r="I139" i="56"/>
  <c r="K139" i="56"/>
  <c r="L139" i="56"/>
  <c r="M139" i="56"/>
  <c r="N139" i="56"/>
  <c r="O139" i="56"/>
  <c r="P139" i="56"/>
  <c r="R139" i="56"/>
  <c r="S139" i="56"/>
  <c r="T139" i="56"/>
  <c r="U139" i="56"/>
  <c r="V139" i="56"/>
  <c r="W139" i="56"/>
  <c r="Y139" i="56"/>
  <c r="Z139" i="56"/>
  <c r="AA139" i="56"/>
  <c r="AB139" i="56"/>
  <c r="AC139" i="56"/>
  <c r="AD139" i="56"/>
  <c r="AF139" i="56"/>
  <c r="AG139" i="56"/>
  <c r="AH139" i="56"/>
  <c r="AI139" i="56"/>
  <c r="AN139" i="56"/>
  <c r="AO139" i="56"/>
  <c r="AP139" i="56"/>
  <c r="AQ139" i="56"/>
  <c r="AR139" i="56"/>
  <c r="AS139" i="56"/>
  <c r="AT139" i="56"/>
  <c r="AU139" i="56"/>
  <c r="AV139" i="56"/>
  <c r="AW139" i="56"/>
  <c r="AY139" i="56"/>
  <c r="AZ139" i="56"/>
  <c r="BA139" i="56"/>
  <c r="BB139" i="56"/>
  <c r="BC139" i="56"/>
  <c r="BD139" i="56"/>
  <c r="BE139" i="56"/>
  <c r="BF139" i="56"/>
  <c r="BG139" i="56"/>
  <c r="BH139" i="56"/>
  <c r="BJ139" i="56"/>
  <c r="BK139" i="56"/>
  <c r="BL139" i="56"/>
  <c r="BM139" i="56"/>
  <c r="BN139" i="56"/>
  <c r="BO139" i="56"/>
  <c r="BP139" i="56"/>
  <c r="BQ139" i="56"/>
  <c r="BR139" i="56"/>
  <c r="BS139" i="56"/>
  <c r="BU139" i="56"/>
  <c r="BV139" i="56"/>
  <c r="BW139" i="56"/>
  <c r="BX139" i="56"/>
  <c r="BY139" i="56"/>
  <c r="BZ139" i="56"/>
  <c r="CA139" i="56"/>
  <c r="CB139" i="56"/>
  <c r="CC139" i="56"/>
  <c r="CD139" i="56"/>
  <c r="A140" i="56"/>
  <c r="B140" i="56"/>
  <c r="C140" i="56"/>
  <c r="D140" i="56"/>
  <c r="E140" i="56"/>
  <c r="F140" i="56"/>
  <c r="G140" i="56"/>
  <c r="H140" i="56"/>
  <c r="I140" i="56"/>
  <c r="K140" i="56"/>
  <c r="L140" i="56"/>
  <c r="M140" i="56"/>
  <c r="N140" i="56"/>
  <c r="O140" i="56"/>
  <c r="P140" i="56"/>
  <c r="R140" i="56"/>
  <c r="S140" i="56"/>
  <c r="T140" i="56"/>
  <c r="U140" i="56"/>
  <c r="V140" i="56"/>
  <c r="W140" i="56"/>
  <c r="Y140" i="56"/>
  <c r="Z140" i="56"/>
  <c r="AA140" i="56"/>
  <c r="AB140" i="56"/>
  <c r="AC140" i="56"/>
  <c r="AD140" i="56"/>
  <c r="AF140" i="56"/>
  <c r="AG140" i="56"/>
  <c r="AH140" i="56"/>
  <c r="AI140" i="56"/>
  <c r="AN140" i="56"/>
  <c r="AO140" i="56"/>
  <c r="AP140" i="56"/>
  <c r="AQ140" i="56"/>
  <c r="AR140" i="56"/>
  <c r="AS140" i="56"/>
  <c r="AT140" i="56"/>
  <c r="AU140" i="56"/>
  <c r="AV140" i="56"/>
  <c r="AW140" i="56"/>
  <c r="AY140" i="56"/>
  <c r="AZ140" i="56"/>
  <c r="BA140" i="56"/>
  <c r="BB140" i="56"/>
  <c r="BC140" i="56"/>
  <c r="BD140" i="56"/>
  <c r="BE140" i="56"/>
  <c r="BF140" i="56"/>
  <c r="BG140" i="56"/>
  <c r="BH140" i="56"/>
  <c r="BJ140" i="56"/>
  <c r="BK140" i="56"/>
  <c r="BL140" i="56"/>
  <c r="BM140" i="56"/>
  <c r="BN140" i="56"/>
  <c r="BO140" i="56"/>
  <c r="BP140" i="56"/>
  <c r="BQ140" i="56"/>
  <c r="BR140" i="56"/>
  <c r="BS140" i="56"/>
  <c r="BU140" i="56"/>
  <c r="BV140" i="56"/>
  <c r="BW140" i="56"/>
  <c r="BX140" i="56"/>
  <c r="BY140" i="56"/>
  <c r="BZ140" i="56"/>
  <c r="CA140" i="56"/>
  <c r="CB140" i="56"/>
  <c r="CC140" i="56"/>
  <c r="CD140" i="56"/>
  <c r="A141" i="56"/>
  <c r="B141" i="56"/>
  <c r="C141" i="56"/>
  <c r="D141" i="56"/>
  <c r="E141" i="56"/>
  <c r="F141" i="56"/>
  <c r="G141" i="56"/>
  <c r="H141" i="56"/>
  <c r="I141" i="56"/>
  <c r="K141" i="56"/>
  <c r="L141" i="56"/>
  <c r="M141" i="56"/>
  <c r="N141" i="56"/>
  <c r="O141" i="56"/>
  <c r="P141" i="56"/>
  <c r="R141" i="56"/>
  <c r="S141" i="56"/>
  <c r="T141" i="56"/>
  <c r="U141" i="56"/>
  <c r="V141" i="56"/>
  <c r="W141" i="56"/>
  <c r="Y141" i="56"/>
  <c r="Z141" i="56"/>
  <c r="AA141" i="56"/>
  <c r="AB141" i="56"/>
  <c r="AC141" i="56"/>
  <c r="AD141" i="56"/>
  <c r="AF141" i="56"/>
  <c r="AG141" i="56"/>
  <c r="AH141" i="56"/>
  <c r="AI141" i="56"/>
  <c r="AN141" i="56"/>
  <c r="AO141" i="56"/>
  <c r="AP141" i="56"/>
  <c r="AQ141" i="56"/>
  <c r="AR141" i="56"/>
  <c r="AS141" i="56"/>
  <c r="AT141" i="56"/>
  <c r="AU141" i="56"/>
  <c r="AV141" i="56"/>
  <c r="AW141" i="56"/>
  <c r="AY141" i="56"/>
  <c r="AZ141" i="56"/>
  <c r="BA141" i="56"/>
  <c r="BB141" i="56"/>
  <c r="BC141" i="56"/>
  <c r="BD141" i="56"/>
  <c r="BE141" i="56"/>
  <c r="BF141" i="56"/>
  <c r="BG141" i="56"/>
  <c r="BH141" i="56"/>
  <c r="BJ141" i="56"/>
  <c r="BK141" i="56"/>
  <c r="BL141" i="56"/>
  <c r="BM141" i="56"/>
  <c r="BN141" i="56"/>
  <c r="BO141" i="56"/>
  <c r="BP141" i="56"/>
  <c r="BQ141" i="56"/>
  <c r="BR141" i="56"/>
  <c r="BS141" i="56"/>
  <c r="BU141" i="56"/>
  <c r="BV141" i="56"/>
  <c r="BW141" i="56"/>
  <c r="BX141" i="56"/>
  <c r="BY141" i="56"/>
  <c r="BZ141" i="56"/>
  <c r="CA141" i="56"/>
  <c r="CB141" i="56"/>
  <c r="CC141" i="56"/>
  <c r="CD141" i="56"/>
  <c r="A142" i="56"/>
  <c r="B142" i="56"/>
  <c r="C142" i="56"/>
  <c r="D142" i="56"/>
  <c r="E142" i="56"/>
  <c r="F142" i="56"/>
  <c r="G142" i="56"/>
  <c r="H142" i="56"/>
  <c r="I142" i="56"/>
  <c r="K142" i="56"/>
  <c r="L142" i="56"/>
  <c r="M142" i="56"/>
  <c r="N142" i="56"/>
  <c r="O142" i="56"/>
  <c r="P142" i="56"/>
  <c r="R142" i="56"/>
  <c r="S142" i="56"/>
  <c r="T142" i="56"/>
  <c r="U142" i="56"/>
  <c r="V142" i="56"/>
  <c r="W142" i="56"/>
  <c r="Y142" i="56"/>
  <c r="Z142" i="56"/>
  <c r="AA142" i="56"/>
  <c r="AB142" i="56"/>
  <c r="AC142" i="56"/>
  <c r="AD142" i="56"/>
  <c r="AF142" i="56"/>
  <c r="AG142" i="56"/>
  <c r="AH142" i="56"/>
  <c r="AI142" i="56"/>
  <c r="AN142" i="56"/>
  <c r="AO142" i="56"/>
  <c r="AP142" i="56"/>
  <c r="AQ142" i="56"/>
  <c r="AR142" i="56"/>
  <c r="AS142" i="56"/>
  <c r="AT142" i="56"/>
  <c r="AU142" i="56"/>
  <c r="AV142" i="56"/>
  <c r="AW142" i="56"/>
  <c r="AY142" i="56"/>
  <c r="AZ142" i="56"/>
  <c r="BA142" i="56"/>
  <c r="BB142" i="56"/>
  <c r="BC142" i="56"/>
  <c r="BD142" i="56"/>
  <c r="BE142" i="56"/>
  <c r="BF142" i="56"/>
  <c r="BG142" i="56"/>
  <c r="BH142" i="56"/>
  <c r="BJ142" i="56"/>
  <c r="BK142" i="56"/>
  <c r="BL142" i="56"/>
  <c r="BM142" i="56"/>
  <c r="BN142" i="56"/>
  <c r="BO142" i="56"/>
  <c r="BP142" i="56"/>
  <c r="BQ142" i="56"/>
  <c r="BR142" i="56"/>
  <c r="BS142" i="56"/>
  <c r="BU142" i="56"/>
  <c r="BV142" i="56"/>
  <c r="BW142" i="56"/>
  <c r="BX142" i="56"/>
  <c r="BY142" i="56"/>
  <c r="BZ142" i="56"/>
  <c r="CA142" i="56"/>
  <c r="CB142" i="56"/>
  <c r="CC142" i="56"/>
  <c r="CD142" i="56"/>
  <c r="A143" i="56"/>
  <c r="B143" i="56"/>
  <c r="C143" i="56"/>
  <c r="D143" i="56"/>
  <c r="E143" i="56"/>
  <c r="F143" i="56"/>
  <c r="G143" i="56"/>
  <c r="H143" i="56"/>
  <c r="I143" i="56"/>
  <c r="K143" i="56"/>
  <c r="L143" i="56"/>
  <c r="M143" i="56"/>
  <c r="N143" i="56"/>
  <c r="O143" i="56"/>
  <c r="P143" i="56"/>
  <c r="R143" i="56"/>
  <c r="S143" i="56"/>
  <c r="T143" i="56"/>
  <c r="U143" i="56"/>
  <c r="V143" i="56"/>
  <c r="W143" i="56"/>
  <c r="Y143" i="56"/>
  <c r="Z143" i="56"/>
  <c r="AA143" i="56"/>
  <c r="AB143" i="56"/>
  <c r="AC143" i="56"/>
  <c r="AD143" i="56"/>
  <c r="AF143" i="56"/>
  <c r="AG143" i="56"/>
  <c r="AH143" i="56"/>
  <c r="AI143" i="56"/>
  <c r="AN143" i="56"/>
  <c r="AO143" i="56"/>
  <c r="AP143" i="56"/>
  <c r="AQ143" i="56"/>
  <c r="AR143" i="56"/>
  <c r="AS143" i="56"/>
  <c r="AT143" i="56"/>
  <c r="AU143" i="56"/>
  <c r="AV143" i="56"/>
  <c r="AW143" i="56"/>
  <c r="AY143" i="56"/>
  <c r="AZ143" i="56"/>
  <c r="BA143" i="56"/>
  <c r="BB143" i="56"/>
  <c r="BC143" i="56"/>
  <c r="BD143" i="56"/>
  <c r="BE143" i="56"/>
  <c r="BF143" i="56"/>
  <c r="BG143" i="56"/>
  <c r="BH143" i="56"/>
  <c r="BJ143" i="56"/>
  <c r="BK143" i="56"/>
  <c r="BL143" i="56"/>
  <c r="BM143" i="56"/>
  <c r="BN143" i="56"/>
  <c r="BO143" i="56"/>
  <c r="BP143" i="56"/>
  <c r="BQ143" i="56"/>
  <c r="BR143" i="56"/>
  <c r="BS143" i="56"/>
  <c r="BU143" i="56"/>
  <c r="BV143" i="56"/>
  <c r="BW143" i="56"/>
  <c r="BX143" i="56"/>
  <c r="BY143" i="56"/>
  <c r="BZ143" i="56"/>
  <c r="CA143" i="56"/>
  <c r="CB143" i="56"/>
  <c r="CC143" i="56"/>
  <c r="CD143" i="56"/>
  <c r="A144" i="56"/>
  <c r="B144" i="56"/>
  <c r="C144" i="56"/>
  <c r="D144" i="56"/>
  <c r="E144" i="56"/>
  <c r="F144" i="56"/>
  <c r="G144" i="56"/>
  <c r="H144" i="56"/>
  <c r="I144" i="56"/>
  <c r="K144" i="56"/>
  <c r="L144" i="56"/>
  <c r="M144" i="56"/>
  <c r="N144" i="56"/>
  <c r="O144" i="56"/>
  <c r="P144" i="56"/>
  <c r="R144" i="56"/>
  <c r="S144" i="56"/>
  <c r="T144" i="56"/>
  <c r="U144" i="56"/>
  <c r="V144" i="56"/>
  <c r="W144" i="56"/>
  <c r="Y144" i="56"/>
  <c r="Z144" i="56"/>
  <c r="AA144" i="56"/>
  <c r="AB144" i="56"/>
  <c r="AC144" i="56"/>
  <c r="AD144" i="56"/>
  <c r="AF144" i="56"/>
  <c r="AG144" i="56"/>
  <c r="AH144" i="56"/>
  <c r="AI144" i="56"/>
  <c r="AN144" i="56"/>
  <c r="AO144" i="56"/>
  <c r="AP144" i="56"/>
  <c r="AQ144" i="56"/>
  <c r="AR144" i="56"/>
  <c r="AS144" i="56"/>
  <c r="AT144" i="56"/>
  <c r="AU144" i="56"/>
  <c r="AV144" i="56"/>
  <c r="AW144" i="56"/>
  <c r="AY144" i="56"/>
  <c r="AZ144" i="56"/>
  <c r="BA144" i="56"/>
  <c r="BB144" i="56"/>
  <c r="BC144" i="56"/>
  <c r="BD144" i="56"/>
  <c r="BE144" i="56"/>
  <c r="BF144" i="56"/>
  <c r="BG144" i="56"/>
  <c r="BH144" i="56"/>
  <c r="BJ144" i="56"/>
  <c r="BK144" i="56"/>
  <c r="BL144" i="56"/>
  <c r="BM144" i="56"/>
  <c r="BN144" i="56"/>
  <c r="BO144" i="56"/>
  <c r="BP144" i="56"/>
  <c r="BQ144" i="56"/>
  <c r="BR144" i="56"/>
  <c r="BS144" i="56"/>
  <c r="BU144" i="56"/>
  <c r="BV144" i="56"/>
  <c r="BW144" i="56"/>
  <c r="BX144" i="56"/>
  <c r="BY144" i="56"/>
  <c r="BZ144" i="56"/>
  <c r="CA144" i="56"/>
  <c r="CB144" i="56"/>
  <c r="CC144" i="56"/>
  <c r="CD144" i="56"/>
  <c r="A145" i="56"/>
  <c r="B145" i="56"/>
  <c r="C145" i="56"/>
  <c r="D145" i="56"/>
  <c r="E145" i="56"/>
  <c r="F145" i="56"/>
  <c r="G145" i="56"/>
  <c r="H145" i="56"/>
  <c r="I145" i="56"/>
  <c r="K145" i="56"/>
  <c r="L145" i="56"/>
  <c r="M145" i="56"/>
  <c r="N145" i="56"/>
  <c r="O145" i="56"/>
  <c r="P145" i="56"/>
  <c r="R145" i="56"/>
  <c r="S145" i="56"/>
  <c r="T145" i="56"/>
  <c r="U145" i="56"/>
  <c r="V145" i="56"/>
  <c r="W145" i="56"/>
  <c r="Y145" i="56"/>
  <c r="Z145" i="56"/>
  <c r="AA145" i="56"/>
  <c r="AB145" i="56"/>
  <c r="AC145" i="56"/>
  <c r="AD145" i="56"/>
  <c r="AF145" i="56"/>
  <c r="AG145" i="56"/>
  <c r="AH145" i="56"/>
  <c r="AI145" i="56"/>
  <c r="AN145" i="56"/>
  <c r="AO145" i="56"/>
  <c r="AP145" i="56"/>
  <c r="AQ145" i="56"/>
  <c r="AR145" i="56"/>
  <c r="AS145" i="56"/>
  <c r="AT145" i="56"/>
  <c r="AU145" i="56"/>
  <c r="AV145" i="56"/>
  <c r="AW145" i="56"/>
  <c r="AY145" i="56"/>
  <c r="AZ145" i="56"/>
  <c r="BA145" i="56"/>
  <c r="BB145" i="56"/>
  <c r="BC145" i="56"/>
  <c r="BD145" i="56"/>
  <c r="BE145" i="56"/>
  <c r="BF145" i="56"/>
  <c r="BG145" i="56"/>
  <c r="BH145" i="56"/>
  <c r="BJ145" i="56"/>
  <c r="BK145" i="56"/>
  <c r="BL145" i="56"/>
  <c r="BM145" i="56"/>
  <c r="BN145" i="56"/>
  <c r="BO145" i="56"/>
  <c r="BP145" i="56"/>
  <c r="BQ145" i="56"/>
  <c r="BR145" i="56"/>
  <c r="BS145" i="56"/>
  <c r="BU145" i="56"/>
  <c r="BV145" i="56"/>
  <c r="BW145" i="56"/>
  <c r="BX145" i="56"/>
  <c r="BY145" i="56"/>
  <c r="BZ145" i="56"/>
  <c r="CA145" i="56"/>
  <c r="CB145" i="56"/>
  <c r="CC145" i="56"/>
  <c r="CD145" i="56"/>
  <c r="A146" i="56"/>
  <c r="B146" i="56"/>
  <c r="C146" i="56"/>
  <c r="D146" i="56"/>
  <c r="E146" i="56"/>
  <c r="F146" i="56"/>
  <c r="G146" i="56"/>
  <c r="H146" i="56"/>
  <c r="I146" i="56"/>
  <c r="K146" i="56"/>
  <c r="L146" i="56"/>
  <c r="M146" i="56"/>
  <c r="N146" i="56"/>
  <c r="O146" i="56"/>
  <c r="P146" i="56"/>
  <c r="R146" i="56"/>
  <c r="S146" i="56"/>
  <c r="T146" i="56"/>
  <c r="U146" i="56"/>
  <c r="V146" i="56"/>
  <c r="W146" i="56"/>
  <c r="Y146" i="56"/>
  <c r="Z146" i="56"/>
  <c r="AA146" i="56"/>
  <c r="AB146" i="56"/>
  <c r="AC146" i="56"/>
  <c r="AD146" i="56"/>
  <c r="AF146" i="56"/>
  <c r="AG146" i="56"/>
  <c r="AH146" i="56"/>
  <c r="AI146" i="56"/>
  <c r="AN146" i="56"/>
  <c r="AO146" i="56"/>
  <c r="AP146" i="56"/>
  <c r="AQ146" i="56"/>
  <c r="AR146" i="56"/>
  <c r="AS146" i="56"/>
  <c r="AT146" i="56"/>
  <c r="AU146" i="56"/>
  <c r="AV146" i="56"/>
  <c r="AW146" i="56"/>
  <c r="AY146" i="56"/>
  <c r="AZ146" i="56"/>
  <c r="BA146" i="56"/>
  <c r="BB146" i="56"/>
  <c r="BC146" i="56"/>
  <c r="BD146" i="56"/>
  <c r="BE146" i="56"/>
  <c r="BF146" i="56"/>
  <c r="BG146" i="56"/>
  <c r="BH146" i="56"/>
  <c r="BJ146" i="56"/>
  <c r="BK146" i="56"/>
  <c r="BL146" i="56"/>
  <c r="BM146" i="56"/>
  <c r="BN146" i="56"/>
  <c r="BO146" i="56"/>
  <c r="BP146" i="56"/>
  <c r="BQ146" i="56"/>
  <c r="BR146" i="56"/>
  <c r="BS146" i="56"/>
  <c r="BU146" i="56"/>
  <c r="BV146" i="56"/>
  <c r="BW146" i="56"/>
  <c r="BX146" i="56"/>
  <c r="BY146" i="56"/>
  <c r="BZ146" i="56"/>
  <c r="CA146" i="56"/>
  <c r="CB146" i="56"/>
  <c r="CC146" i="56"/>
  <c r="CD146" i="56"/>
  <c r="A147" i="56"/>
  <c r="B147" i="56"/>
  <c r="C147" i="56"/>
  <c r="D147" i="56"/>
  <c r="E147" i="56"/>
  <c r="F147" i="56"/>
  <c r="G147" i="56"/>
  <c r="H147" i="56"/>
  <c r="I147" i="56"/>
  <c r="K147" i="56"/>
  <c r="L147" i="56"/>
  <c r="M147" i="56"/>
  <c r="N147" i="56"/>
  <c r="O147" i="56"/>
  <c r="P147" i="56"/>
  <c r="R147" i="56"/>
  <c r="S147" i="56"/>
  <c r="T147" i="56"/>
  <c r="U147" i="56"/>
  <c r="V147" i="56"/>
  <c r="W147" i="56"/>
  <c r="Y147" i="56"/>
  <c r="Z147" i="56"/>
  <c r="AA147" i="56"/>
  <c r="AB147" i="56"/>
  <c r="AC147" i="56"/>
  <c r="AD147" i="56"/>
  <c r="AF147" i="56"/>
  <c r="AG147" i="56"/>
  <c r="AH147" i="56"/>
  <c r="AI147" i="56"/>
  <c r="AN147" i="56"/>
  <c r="AO147" i="56"/>
  <c r="AP147" i="56"/>
  <c r="AQ147" i="56"/>
  <c r="AR147" i="56"/>
  <c r="AS147" i="56"/>
  <c r="AT147" i="56"/>
  <c r="AU147" i="56"/>
  <c r="AV147" i="56"/>
  <c r="AW147" i="56"/>
  <c r="AY147" i="56"/>
  <c r="AZ147" i="56"/>
  <c r="BA147" i="56"/>
  <c r="BB147" i="56"/>
  <c r="BC147" i="56"/>
  <c r="BD147" i="56"/>
  <c r="BE147" i="56"/>
  <c r="BF147" i="56"/>
  <c r="BG147" i="56"/>
  <c r="BH147" i="56"/>
  <c r="BJ147" i="56"/>
  <c r="BK147" i="56"/>
  <c r="BL147" i="56"/>
  <c r="BM147" i="56"/>
  <c r="BN147" i="56"/>
  <c r="BO147" i="56"/>
  <c r="BP147" i="56"/>
  <c r="BQ147" i="56"/>
  <c r="BR147" i="56"/>
  <c r="BS147" i="56"/>
  <c r="BU147" i="56"/>
  <c r="BV147" i="56"/>
  <c r="BW147" i="56"/>
  <c r="BX147" i="56"/>
  <c r="BY147" i="56"/>
  <c r="BZ147" i="56"/>
  <c r="CA147" i="56"/>
  <c r="CB147" i="56"/>
  <c r="CC147" i="56"/>
  <c r="CD147" i="56"/>
  <c r="A148" i="56"/>
  <c r="B148" i="56"/>
  <c r="C148" i="56"/>
  <c r="D148" i="56"/>
  <c r="E148" i="56"/>
  <c r="F148" i="56"/>
  <c r="G148" i="56"/>
  <c r="H148" i="56"/>
  <c r="I148" i="56"/>
  <c r="K148" i="56"/>
  <c r="L148" i="56"/>
  <c r="M148" i="56"/>
  <c r="N148" i="56"/>
  <c r="O148" i="56"/>
  <c r="P148" i="56"/>
  <c r="R148" i="56"/>
  <c r="S148" i="56"/>
  <c r="T148" i="56"/>
  <c r="U148" i="56"/>
  <c r="V148" i="56"/>
  <c r="W148" i="56"/>
  <c r="Y148" i="56"/>
  <c r="Z148" i="56"/>
  <c r="AA148" i="56"/>
  <c r="AB148" i="56"/>
  <c r="AC148" i="56"/>
  <c r="AD148" i="56"/>
  <c r="AF148" i="56"/>
  <c r="AG148" i="56"/>
  <c r="AH148" i="56"/>
  <c r="AI148" i="56"/>
  <c r="AN148" i="56"/>
  <c r="AO148" i="56"/>
  <c r="AP148" i="56"/>
  <c r="AQ148" i="56"/>
  <c r="AR148" i="56"/>
  <c r="AS148" i="56"/>
  <c r="AT148" i="56"/>
  <c r="AU148" i="56"/>
  <c r="AV148" i="56"/>
  <c r="AW148" i="56"/>
  <c r="AY148" i="56"/>
  <c r="AZ148" i="56"/>
  <c r="BA148" i="56"/>
  <c r="BB148" i="56"/>
  <c r="BC148" i="56"/>
  <c r="BD148" i="56"/>
  <c r="BE148" i="56"/>
  <c r="BF148" i="56"/>
  <c r="BG148" i="56"/>
  <c r="BH148" i="56"/>
  <c r="BJ148" i="56"/>
  <c r="BK148" i="56"/>
  <c r="BL148" i="56"/>
  <c r="BM148" i="56"/>
  <c r="BN148" i="56"/>
  <c r="BO148" i="56"/>
  <c r="BP148" i="56"/>
  <c r="BQ148" i="56"/>
  <c r="BR148" i="56"/>
  <c r="BS148" i="56"/>
  <c r="BU148" i="56"/>
  <c r="BV148" i="56"/>
  <c r="BW148" i="56"/>
  <c r="BX148" i="56"/>
  <c r="BY148" i="56"/>
  <c r="BZ148" i="56"/>
  <c r="CA148" i="56"/>
  <c r="CB148" i="56"/>
  <c r="CC148" i="56"/>
  <c r="CD148" i="56"/>
  <c r="A149" i="56"/>
  <c r="B149" i="56"/>
  <c r="C149" i="56"/>
  <c r="D149" i="56"/>
  <c r="E149" i="56"/>
  <c r="F149" i="56"/>
  <c r="G149" i="56"/>
  <c r="H149" i="56"/>
  <c r="I149" i="56"/>
  <c r="K149" i="56"/>
  <c r="L149" i="56"/>
  <c r="M149" i="56"/>
  <c r="N149" i="56"/>
  <c r="O149" i="56"/>
  <c r="P149" i="56"/>
  <c r="R149" i="56"/>
  <c r="S149" i="56"/>
  <c r="T149" i="56"/>
  <c r="U149" i="56"/>
  <c r="V149" i="56"/>
  <c r="W149" i="56"/>
  <c r="Y149" i="56"/>
  <c r="Z149" i="56"/>
  <c r="AA149" i="56"/>
  <c r="AB149" i="56"/>
  <c r="AC149" i="56"/>
  <c r="AD149" i="56"/>
  <c r="AF149" i="56"/>
  <c r="AG149" i="56"/>
  <c r="AH149" i="56"/>
  <c r="AI149" i="56"/>
  <c r="AN149" i="56"/>
  <c r="AO149" i="56"/>
  <c r="AP149" i="56"/>
  <c r="AQ149" i="56"/>
  <c r="AR149" i="56"/>
  <c r="AS149" i="56"/>
  <c r="AT149" i="56"/>
  <c r="AU149" i="56"/>
  <c r="AV149" i="56"/>
  <c r="AW149" i="56"/>
  <c r="AY149" i="56"/>
  <c r="AZ149" i="56"/>
  <c r="BA149" i="56"/>
  <c r="BB149" i="56"/>
  <c r="BC149" i="56"/>
  <c r="BD149" i="56"/>
  <c r="BE149" i="56"/>
  <c r="BF149" i="56"/>
  <c r="BG149" i="56"/>
  <c r="BH149" i="56"/>
  <c r="BJ149" i="56"/>
  <c r="BK149" i="56"/>
  <c r="BL149" i="56"/>
  <c r="BM149" i="56"/>
  <c r="BN149" i="56"/>
  <c r="BO149" i="56"/>
  <c r="BP149" i="56"/>
  <c r="BQ149" i="56"/>
  <c r="BR149" i="56"/>
  <c r="BS149" i="56"/>
  <c r="BU149" i="56"/>
  <c r="BV149" i="56"/>
  <c r="BW149" i="56"/>
  <c r="BX149" i="56"/>
  <c r="BY149" i="56"/>
  <c r="BZ149" i="56"/>
  <c r="CA149" i="56"/>
  <c r="CB149" i="56"/>
  <c r="CC149" i="56"/>
  <c r="CD149" i="56"/>
  <c r="A150" i="56"/>
  <c r="B150" i="56"/>
  <c r="C150" i="56"/>
  <c r="D150" i="56"/>
  <c r="E150" i="56"/>
  <c r="F150" i="56"/>
  <c r="G150" i="56"/>
  <c r="H150" i="56"/>
  <c r="I150" i="56"/>
  <c r="K150" i="56"/>
  <c r="L150" i="56"/>
  <c r="M150" i="56"/>
  <c r="N150" i="56"/>
  <c r="O150" i="56"/>
  <c r="P150" i="56"/>
  <c r="R150" i="56"/>
  <c r="S150" i="56"/>
  <c r="T150" i="56"/>
  <c r="U150" i="56"/>
  <c r="V150" i="56"/>
  <c r="W150" i="56"/>
  <c r="Y150" i="56"/>
  <c r="Z150" i="56"/>
  <c r="AA150" i="56"/>
  <c r="AB150" i="56"/>
  <c r="AC150" i="56"/>
  <c r="AD150" i="56"/>
  <c r="AF150" i="56"/>
  <c r="AG150" i="56"/>
  <c r="AH150" i="56"/>
  <c r="AI150" i="56"/>
  <c r="AN150" i="56"/>
  <c r="AO150" i="56"/>
  <c r="AP150" i="56"/>
  <c r="AQ150" i="56"/>
  <c r="AR150" i="56"/>
  <c r="AS150" i="56"/>
  <c r="AT150" i="56"/>
  <c r="AU150" i="56"/>
  <c r="AV150" i="56"/>
  <c r="AW150" i="56"/>
  <c r="AY150" i="56"/>
  <c r="AZ150" i="56"/>
  <c r="BA150" i="56"/>
  <c r="BB150" i="56"/>
  <c r="BC150" i="56"/>
  <c r="BD150" i="56"/>
  <c r="BE150" i="56"/>
  <c r="BF150" i="56"/>
  <c r="BG150" i="56"/>
  <c r="BH150" i="56"/>
  <c r="BJ150" i="56"/>
  <c r="BK150" i="56"/>
  <c r="BL150" i="56"/>
  <c r="BM150" i="56"/>
  <c r="BN150" i="56"/>
  <c r="BO150" i="56"/>
  <c r="BP150" i="56"/>
  <c r="BQ150" i="56"/>
  <c r="BR150" i="56"/>
  <c r="BS150" i="56"/>
  <c r="BU150" i="56"/>
  <c r="BV150" i="56"/>
  <c r="BW150" i="56"/>
  <c r="BX150" i="56"/>
  <c r="BY150" i="56"/>
  <c r="BZ150" i="56"/>
  <c r="CA150" i="56"/>
  <c r="CB150" i="56"/>
  <c r="CC150" i="56"/>
  <c r="CD150" i="56"/>
  <c r="A151" i="56"/>
  <c r="B1" i="76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B4" i="10"/>
  <c r="C4" i="10"/>
  <c r="B5" i="10"/>
  <c r="C5" i="10"/>
  <c r="E5" i="10"/>
  <c r="F5" i="10"/>
  <c r="G5" i="10"/>
  <c r="H5" i="10"/>
  <c r="M5" i="10"/>
  <c r="N5" i="10"/>
  <c r="O5" i="10"/>
  <c r="B6" i="10"/>
  <c r="C6" i="10"/>
  <c r="E6" i="10"/>
  <c r="F6" i="10"/>
  <c r="G6" i="10"/>
  <c r="H6" i="10"/>
  <c r="M6" i="10"/>
  <c r="N6" i="10"/>
  <c r="O6" i="10"/>
  <c r="B7" i="10"/>
  <c r="C7" i="10"/>
  <c r="M7" i="10"/>
  <c r="N7" i="10"/>
  <c r="O7" i="10"/>
  <c r="B8" i="10"/>
  <c r="C8" i="10"/>
  <c r="L8" i="10"/>
  <c r="M8" i="10"/>
  <c r="N8" i="10"/>
  <c r="O8" i="10"/>
  <c r="B9" i="10"/>
  <c r="C9" i="10"/>
  <c r="L9" i="10"/>
  <c r="M9" i="10"/>
  <c r="N9" i="10"/>
  <c r="O9" i="10"/>
  <c r="B10" i="10"/>
  <c r="C10" i="10"/>
  <c r="L10" i="10"/>
  <c r="M10" i="10"/>
  <c r="N10" i="10"/>
  <c r="O10" i="10"/>
  <c r="B11" i="10"/>
  <c r="C11" i="10"/>
  <c r="L11" i="10"/>
  <c r="M11" i="10"/>
  <c r="N11" i="10"/>
  <c r="O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K14" i="10"/>
  <c r="L14" i="10"/>
  <c r="E15" i="10"/>
  <c r="G15" i="10"/>
  <c r="E16" i="10"/>
  <c r="W16" i="10"/>
  <c r="C18" i="10"/>
  <c r="D18" i="10"/>
  <c r="E18" i="10"/>
  <c r="F18" i="10"/>
  <c r="G18" i="10"/>
  <c r="I18" i="10"/>
  <c r="J18" i="10"/>
  <c r="K18" i="10"/>
  <c r="L18" i="10"/>
  <c r="M18" i="10"/>
  <c r="O18" i="10"/>
  <c r="Q18" i="10"/>
  <c r="T18" i="10"/>
  <c r="U18" i="10"/>
  <c r="V18" i="10"/>
  <c r="Z18" i="10"/>
  <c r="AA18" i="10"/>
  <c r="A19" i="10"/>
  <c r="C19" i="10"/>
  <c r="D19" i="10"/>
  <c r="E19" i="10"/>
  <c r="F19" i="10"/>
  <c r="G19" i="10"/>
  <c r="I19" i="10"/>
  <c r="J19" i="10"/>
  <c r="K19" i="10"/>
  <c r="L19" i="10"/>
  <c r="M19" i="10"/>
  <c r="O19" i="10"/>
  <c r="Q19" i="10"/>
  <c r="T19" i="10"/>
  <c r="U19" i="10"/>
  <c r="Z19" i="10"/>
  <c r="AA19" i="10"/>
  <c r="A20" i="10"/>
  <c r="C20" i="10"/>
  <c r="D20" i="10"/>
  <c r="E20" i="10"/>
  <c r="F20" i="10"/>
  <c r="G20" i="10"/>
  <c r="I20" i="10"/>
  <c r="J20" i="10"/>
  <c r="K20" i="10"/>
  <c r="L20" i="10"/>
  <c r="M20" i="10"/>
  <c r="O20" i="10"/>
  <c r="Q20" i="10"/>
  <c r="T20" i="10"/>
  <c r="U20" i="10"/>
  <c r="Z20" i="10"/>
  <c r="AA20" i="10"/>
  <c r="A21" i="10"/>
  <c r="C21" i="10"/>
  <c r="D21" i="10"/>
  <c r="E21" i="10"/>
  <c r="F21" i="10"/>
  <c r="G21" i="10"/>
  <c r="I21" i="10"/>
  <c r="J21" i="10"/>
  <c r="K21" i="10"/>
  <c r="L21" i="10"/>
  <c r="M21" i="10"/>
  <c r="O21" i="10"/>
  <c r="Q21" i="10"/>
  <c r="T21" i="10"/>
  <c r="U21" i="10"/>
  <c r="Z21" i="10"/>
  <c r="AA21" i="10"/>
  <c r="A22" i="10"/>
  <c r="C22" i="10"/>
  <c r="D22" i="10"/>
  <c r="E22" i="10"/>
  <c r="F22" i="10"/>
  <c r="G22" i="10"/>
  <c r="I22" i="10"/>
  <c r="J22" i="10"/>
  <c r="K22" i="10"/>
  <c r="L22" i="10"/>
  <c r="M22" i="10"/>
  <c r="O22" i="10"/>
  <c r="Q22" i="10"/>
  <c r="T22" i="10"/>
  <c r="U22" i="10"/>
  <c r="Z22" i="10"/>
  <c r="AA22" i="10"/>
  <c r="A23" i="10"/>
  <c r="C23" i="10"/>
  <c r="D23" i="10"/>
  <c r="E23" i="10"/>
  <c r="F23" i="10"/>
  <c r="G23" i="10"/>
  <c r="I23" i="10"/>
  <c r="J23" i="10"/>
  <c r="K23" i="10"/>
  <c r="L23" i="10"/>
  <c r="M23" i="10"/>
  <c r="O23" i="10"/>
  <c r="Q23" i="10"/>
  <c r="T23" i="10"/>
  <c r="U23" i="10"/>
  <c r="Z23" i="10"/>
  <c r="AA23" i="10"/>
  <c r="A24" i="10"/>
  <c r="C24" i="10"/>
  <c r="D24" i="10"/>
  <c r="E24" i="10"/>
  <c r="F24" i="10"/>
  <c r="G24" i="10"/>
  <c r="I24" i="10"/>
  <c r="J24" i="10"/>
  <c r="K24" i="10"/>
  <c r="L24" i="10"/>
  <c r="M24" i="10"/>
  <c r="O24" i="10"/>
  <c r="Q24" i="10"/>
  <c r="T24" i="10"/>
  <c r="U24" i="10"/>
  <c r="Z24" i="10"/>
  <c r="AA24" i="10"/>
  <c r="A25" i="10"/>
  <c r="C25" i="10"/>
  <c r="D25" i="10"/>
  <c r="E25" i="10"/>
  <c r="F25" i="10"/>
  <c r="G25" i="10"/>
  <c r="I25" i="10"/>
  <c r="J25" i="10"/>
  <c r="K25" i="10"/>
  <c r="L25" i="10"/>
  <c r="M25" i="10"/>
  <c r="O25" i="10"/>
  <c r="Q25" i="10"/>
  <c r="T25" i="10"/>
  <c r="U25" i="10"/>
  <c r="Z25" i="10"/>
  <c r="AA25" i="10"/>
  <c r="A26" i="10"/>
  <c r="C26" i="10"/>
  <c r="D26" i="10"/>
  <c r="E26" i="10"/>
  <c r="F26" i="10"/>
  <c r="G26" i="10"/>
  <c r="I26" i="10"/>
  <c r="J26" i="10"/>
  <c r="K26" i="10"/>
  <c r="L26" i="10"/>
  <c r="M26" i="10"/>
  <c r="O26" i="10"/>
  <c r="Q26" i="10"/>
  <c r="T26" i="10"/>
  <c r="U26" i="10"/>
  <c r="Z26" i="10"/>
  <c r="AA26" i="10"/>
  <c r="A27" i="10"/>
  <c r="C27" i="10"/>
  <c r="D27" i="10"/>
  <c r="E27" i="10"/>
  <c r="F27" i="10"/>
  <c r="G27" i="10"/>
  <c r="I27" i="10"/>
  <c r="J27" i="10"/>
  <c r="K27" i="10"/>
  <c r="L27" i="10"/>
  <c r="M27" i="10"/>
  <c r="O27" i="10"/>
  <c r="Q27" i="10"/>
  <c r="T27" i="10"/>
  <c r="U27" i="10"/>
  <c r="Z27" i="10"/>
  <c r="AA27" i="10"/>
  <c r="A28" i="10"/>
  <c r="C28" i="10"/>
  <c r="D28" i="10"/>
  <c r="E28" i="10"/>
  <c r="F28" i="10"/>
  <c r="G28" i="10"/>
  <c r="I28" i="10"/>
  <c r="J28" i="10"/>
  <c r="K28" i="10"/>
  <c r="L28" i="10"/>
  <c r="M28" i="10"/>
  <c r="O28" i="10"/>
  <c r="Q28" i="10"/>
  <c r="T28" i="10"/>
  <c r="U28" i="10"/>
  <c r="Z28" i="10"/>
  <c r="AA28" i="10"/>
  <c r="A29" i="10"/>
  <c r="C29" i="10"/>
  <c r="D29" i="10"/>
  <c r="E29" i="10"/>
  <c r="F29" i="10"/>
  <c r="G29" i="10"/>
  <c r="I29" i="10"/>
  <c r="J29" i="10"/>
  <c r="K29" i="10"/>
  <c r="L29" i="10"/>
  <c r="M29" i="10"/>
  <c r="O29" i="10"/>
  <c r="Z29" i="10"/>
  <c r="AA29" i="10"/>
  <c r="A30" i="10"/>
  <c r="C30" i="10"/>
  <c r="D30" i="10"/>
  <c r="E30" i="10"/>
  <c r="F30" i="10"/>
  <c r="G30" i="10"/>
  <c r="I30" i="10"/>
  <c r="J30" i="10"/>
  <c r="K30" i="10"/>
  <c r="L30" i="10"/>
  <c r="M30" i="10"/>
  <c r="O30" i="10"/>
  <c r="Z30" i="10"/>
  <c r="AA30" i="10"/>
  <c r="A31" i="10"/>
  <c r="C31" i="10"/>
  <c r="D31" i="10"/>
  <c r="E31" i="10"/>
  <c r="F31" i="10"/>
  <c r="G31" i="10"/>
  <c r="I31" i="10"/>
  <c r="J31" i="10"/>
  <c r="K31" i="10"/>
  <c r="L31" i="10"/>
  <c r="M31" i="10"/>
  <c r="O31" i="10"/>
  <c r="Z31" i="10"/>
  <c r="AA31" i="10"/>
  <c r="A32" i="10"/>
  <c r="C32" i="10"/>
  <c r="D32" i="10"/>
  <c r="E32" i="10"/>
  <c r="F32" i="10"/>
  <c r="G32" i="10"/>
  <c r="I32" i="10"/>
  <c r="J32" i="10"/>
  <c r="K32" i="10"/>
  <c r="L32" i="10"/>
  <c r="M32" i="10"/>
  <c r="O32" i="10"/>
  <c r="Z32" i="10"/>
  <c r="AA32" i="10"/>
  <c r="A33" i="10"/>
  <c r="C33" i="10"/>
  <c r="D33" i="10"/>
  <c r="E33" i="10"/>
  <c r="F33" i="10"/>
  <c r="G33" i="10"/>
  <c r="I33" i="10"/>
  <c r="J33" i="10"/>
  <c r="K33" i="10"/>
  <c r="L33" i="10"/>
  <c r="M33" i="10"/>
  <c r="O33" i="10"/>
  <c r="Z33" i="10"/>
  <c r="AA33" i="10"/>
  <c r="A34" i="10"/>
  <c r="C34" i="10"/>
  <c r="D34" i="10"/>
  <c r="E34" i="10"/>
  <c r="F34" i="10"/>
  <c r="G34" i="10"/>
  <c r="I34" i="10"/>
  <c r="J34" i="10"/>
  <c r="K34" i="10"/>
  <c r="L34" i="10"/>
  <c r="M34" i="10"/>
  <c r="O34" i="10"/>
  <c r="Z34" i="10"/>
  <c r="AA34" i="10"/>
  <c r="A35" i="10"/>
  <c r="C35" i="10"/>
  <c r="D35" i="10"/>
  <c r="E35" i="10"/>
  <c r="F35" i="10"/>
  <c r="G35" i="10"/>
  <c r="I35" i="10"/>
  <c r="J35" i="10"/>
  <c r="K35" i="10"/>
  <c r="L35" i="10"/>
  <c r="M35" i="10"/>
  <c r="O35" i="10"/>
  <c r="Z35" i="10"/>
  <c r="AA35" i="10"/>
  <c r="A36" i="10"/>
  <c r="C36" i="10"/>
  <c r="D36" i="10"/>
  <c r="E36" i="10"/>
  <c r="F36" i="10"/>
  <c r="G36" i="10"/>
  <c r="I36" i="10"/>
  <c r="J36" i="10"/>
  <c r="K36" i="10"/>
  <c r="L36" i="10"/>
  <c r="M36" i="10"/>
  <c r="O36" i="10"/>
  <c r="Z36" i="10"/>
  <c r="AA36" i="10"/>
  <c r="A37" i="10"/>
  <c r="C37" i="10"/>
  <c r="D37" i="10"/>
  <c r="E37" i="10"/>
  <c r="F37" i="10"/>
  <c r="G37" i="10"/>
  <c r="I37" i="10"/>
  <c r="J37" i="10"/>
  <c r="K37" i="10"/>
  <c r="L37" i="10"/>
  <c r="M37" i="10"/>
  <c r="O37" i="10"/>
  <c r="Z37" i="10"/>
  <c r="AA37" i="10"/>
  <c r="A38" i="10"/>
  <c r="C38" i="10"/>
  <c r="D38" i="10"/>
  <c r="E38" i="10"/>
  <c r="F38" i="10"/>
  <c r="G38" i="10"/>
  <c r="I38" i="10"/>
  <c r="J38" i="10"/>
  <c r="K38" i="10"/>
  <c r="L38" i="10"/>
  <c r="M38" i="10"/>
  <c r="O38" i="10"/>
  <c r="Z38" i="10"/>
  <c r="AA38" i="10"/>
  <c r="A39" i="10"/>
  <c r="C39" i="10"/>
  <c r="D39" i="10"/>
  <c r="E39" i="10"/>
  <c r="F39" i="10"/>
  <c r="G39" i="10"/>
  <c r="I39" i="10"/>
  <c r="J39" i="10"/>
  <c r="K39" i="10"/>
  <c r="L39" i="10"/>
  <c r="M39" i="10"/>
  <c r="O39" i="10"/>
  <c r="Z39" i="10"/>
  <c r="AA39" i="10"/>
  <c r="A40" i="10"/>
  <c r="C40" i="10"/>
  <c r="D40" i="10"/>
  <c r="E40" i="10"/>
  <c r="F40" i="10"/>
  <c r="G40" i="10"/>
  <c r="I40" i="10"/>
  <c r="J40" i="10"/>
  <c r="K40" i="10"/>
  <c r="L40" i="10"/>
  <c r="M40" i="10"/>
  <c r="O40" i="10"/>
  <c r="Z40" i="10"/>
  <c r="AA40" i="10"/>
  <c r="A41" i="10"/>
  <c r="C41" i="10"/>
  <c r="D41" i="10"/>
  <c r="E41" i="10"/>
  <c r="F41" i="10"/>
  <c r="G41" i="10"/>
  <c r="I41" i="10"/>
  <c r="J41" i="10"/>
  <c r="K41" i="10"/>
  <c r="L41" i="10"/>
  <c r="M41" i="10"/>
  <c r="Z41" i="10"/>
  <c r="AA41" i="10"/>
  <c r="A42" i="10"/>
  <c r="C42" i="10"/>
  <c r="D42" i="10"/>
  <c r="E42" i="10"/>
  <c r="F42" i="10"/>
  <c r="G42" i="10"/>
  <c r="I42" i="10"/>
  <c r="J42" i="10"/>
  <c r="K42" i="10"/>
  <c r="L42" i="10"/>
  <c r="M42" i="10"/>
  <c r="Z42" i="10"/>
  <c r="AA42" i="10"/>
  <c r="A43" i="10"/>
  <c r="C43" i="10"/>
  <c r="D43" i="10"/>
  <c r="E43" i="10"/>
  <c r="F43" i="10"/>
  <c r="G43" i="10"/>
  <c r="I43" i="10"/>
  <c r="J43" i="10"/>
  <c r="K43" i="10"/>
  <c r="L43" i="10"/>
  <c r="M43" i="10"/>
  <c r="Z43" i="10"/>
  <c r="AA43" i="10"/>
  <c r="A44" i="10"/>
  <c r="C44" i="10"/>
  <c r="D44" i="10"/>
  <c r="E44" i="10"/>
  <c r="F44" i="10"/>
  <c r="G44" i="10"/>
  <c r="I44" i="10"/>
  <c r="J44" i="10"/>
  <c r="K44" i="10"/>
  <c r="L44" i="10"/>
  <c r="M44" i="10"/>
  <c r="Z44" i="10"/>
  <c r="AA44" i="10"/>
  <c r="A45" i="10"/>
  <c r="C45" i="10"/>
  <c r="D45" i="10"/>
  <c r="E45" i="10"/>
  <c r="F45" i="10"/>
  <c r="G45" i="10"/>
  <c r="I45" i="10"/>
  <c r="J45" i="10"/>
  <c r="K45" i="10"/>
  <c r="L45" i="10"/>
  <c r="M45" i="10"/>
  <c r="Z45" i="10"/>
  <c r="AA45" i="10"/>
  <c r="A46" i="10"/>
  <c r="C46" i="10"/>
  <c r="D46" i="10"/>
  <c r="E46" i="10"/>
  <c r="F46" i="10"/>
  <c r="G46" i="10"/>
  <c r="I46" i="10"/>
  <c r="J46" i="10"/>
  <c r="K46" i="10"/>
  <c r="L46" i="10"/>
  <c r="M46" i="10"/>
  <c r="Z46" i="10"/>
  <c r="AA46" i="10"/>
  <c r="A47" i="10"/>
  <c r="C47" i="10"/>
  <c r="D47" i="10"/>
  <c r="E47" i="10"/>
  <c r="F47" i="10"/>
  <c r="G47" i="10"/>
  <c r="I47" i="10"/>
  <c r="J47" i="10"/>
  <c r="K47" i="10"/>
  <c r="L47" i="10"/>
  <c r="M47" i="10"/>
  <c r="Z47" i="10"/>
  <c r="AA47" i="10"/>
  <c r="A48" i="10"/>
  <c r="C48" i="10"/>
  <c r="D48" i="10"/>
  <c r="E48" i="10"/>
  <c r="F48" i="10"/>
  <c r="G48" i="10"/>
  <c r="I48" i="10"/>
  <c r="J48" i="10"/>
  <c r="K48" i="10"/>
  <c r="L48" i="10"/>
  <c r="M48" i="10"/>
  <c r="Z48" i="10"/>
  <c r="AA48" i="10"/>
  <c r="A49" i="10"/>
  <c r="C49" i="10"/>
  <c r="D49" i="10"/>
  <c r="E49" i="10"/>
  <c r="F49" i="10"/>
  <c r="G49" i="10"/>
  <c r="I49" i="10"/>
  <c r="K49" i="10"/>
  <c r="L49" i="10"/>
  <c r="M49" i="10"/>
  <c r="Z49" i="10"/>
  <c r="AA49" i="10"/>
  <c r="A50" i="10"/>
  <c r="C50" i="10"/>
  <c r="D50" i="10"/>
  <c r="E50" i="10"/>
  <c r="F50" i="10"/>
  <c r="G50" i="10"/>
  <c r="I50" i="10"/>
  <c r="K50" i="10"/>
  <c r="L50" i="10"/>
  <c r="M50" i="10"/>
  <c r="Z50" i="10"/>
  <c r="AA50" i="10"/>
  <c r="A51" i="10"/>
  <c r="C51" i="10"/>
  <c r="D51" i="10"/>
  <c r="E51" i="10"/>
  <c r="F51" i="10"/>
  <c r="G51" i="10"/>
  <c r="I51" i="10"/>
  <c r="K51" i="10"/>
  <c r="L51" i="10"/>
  <c r="M51" i="10"/>
  <c r="Z51" i="10"/>
  <c r="AA51" i="10"/>
  <c r="A52" i="10"/>
  <c r="C52" i="10"/>
  <c r="D52" i="10"/>
  <c r="E52" i="10"/>
  <c r="F52" i="10"/>
  <c r="G52" i="10"/>
  <c r="I52" i="10"/>
  <c r="K52" i="10"/>
  <c r="L52" i="10"/>
  <c r="M52" i="10"/>
  <c r="Z52" i="10"/>
  <c r="AA52" i="10"/>
  <c r="A53" i="10"/>
  <c r="D53" i="10"/>
  <c r="E53" i="10"/>
  <c r="F53" i="10"/>
  <c r="G53" i="10"/>
  <c r="I53" i="10"/>
  <c r="K53" i="10"/>
  <c r="L53" i="10"/>
  <c r="M53" i="10"/>
  <c r="Z53" i="10"/>
  <c r="AA53" i="10"/>
  <c r="A54" i="10"/>
  <c r="D54" i="10"/>
  <c r="E54" i="10"/>
  <c r="F54" i="10"/>
  <c r="G54" i="10"/>
  <c r="I54" i="10"/>
  <c r="K54" i="10"/>
  <c r="L54" i="10"/>
  <c r="M54" i="10"/>
  <c r="A55" i="10"/>
  <c r="D55" i="10"/>
  <c r="E55" i="10"/>
  <c r="F55" i="10"/>
  <c r="G55" i="10"/>
  <c r="I55" i="10"/>
  <c r="K55" i="10"/>
  <c r="L55" i="10"/>
  <c r="M55" i="10"/>
  <c r="A56" i="10"/>
  <c r="D56" i="10"/>
  <c r="E56" i="10"/>
  <c r="F56" i="10"/>
  <c r="G56" i="10"/>
  <c r="I56" i="10"/>
  <c r="K56" i="10"/>
  <c r="L56" i="10"/>
  <c r="M56" i="10"/>
  <c r="A57" i="10"/>
  <c r="D57" i="10"/>
  <c r="E57" i="10"/>
  <c r="F57" i="10"/>
  <c r="G57" i="10"/>
  <c r="I57" i="10"/>
  <c r="K57" i="10"/>
  <c r="L57" i="10"/>
  <c r="M57" i="10"/>
  <c r="A58" i="10"/>
  <c r="D58" i="10"/>
  <c r="E58" i="10"/>
  <c r="F58" i="10"/>
  <c r="G58" i="10"/>
  <c r="I58" i="10"/>
  <c r="K58" i="10"/>
  <c r="L58" i="10"/>
  <c r="M58" i="10"/>
  <c r="A59" i="10"/>
  <c r="D59" i="10"/>
  <c r="E59" i="10"/>
  <c r="F59" i="10"/>
  <c r="G59" i="10"/>
  <c r="I59" i="10"/>
  <c r="K59" i="10"/>
  <c r="L59" i="10"/>
  <c r="M59" i="10"/>
  <c r="A60" i="10"/>
  <c r="B60" i="10"/>
  <c r="D60" i="10"/>
  <c r="E60" i="10"/>
  <c r="F60" i="10"/>
  <c r="G60" i="10"/>
  <c r="I60" i="10"/>
  <c r="K60" i="10"/>
  <c r="L60" i="10"/>
  <c r="M60" i="10"/>
  <c r="A61" i="10"/>
  <c r="B61" i="10"/>
  <c r="D61" i="10"/>
  <c r="E61" i="10"/>
  <c r="F61" i="10"/>
  <c r="G61" i="10"/>
  <c r="I61" i="10"/>
  <c r="K61" i="10"/>
  <c r="L61" i="10"/>
  <c r="M61" i="10"/>
  <c r="A62" i="10"/>
  <c r="B62" i="10"/>
  <c r="D62" i="10"/>
  <c r="E62" i="10"/>
  <c r="F62" i="10"/>
  <c r="G62" i="10"/>
  <c r="I62" i="10"/>
  <c r="K62" i="10"/>
  <c r="L62" i="10"/>
  <c r="M62" i="10"/>
  <c r="A63" i="10"/>
  <c r="B63" i="10"/>
  <c r="D63" i="10"/>
  <c r="E63" i="10"/>
  <c r="F63" i="10"/>
  <c r="G63" i="10"/>
  <c r="I63" i="10"/>
  <c r="K63" i="10"/>
  <c r="L63" i="10"/>
  <c r="M63" i="10"/>
  <c r="A64" i="10"/>
  <c r="B64" i="10"/>
  <c r="D64" i="10"/>
  <c r="E64" i="10"/>
  <c r="F64" i="10"/>
  <c r="G64" i="10"/>
  <c r="I64" i="10"/>
  <c r="K64" i="10"/>
  <c r="L64" i="10"/>
  <c r="M64" i="10"/>
  <c r="A65" i="10"/>
  <c r="B65" i="10"/>
  <c r="D65" i="10"/>
  <c r="E65" i="10"/>
  <c r="F65" i="10"/>
  <c r="G65" i="10"/>
  <c r="I65" i="10"/>
  <c r="K65" i="10"/>
  <c r="L65" i="10"/>
  <c r="M65" i="10"/>
  <c r="A66" i="10"/>
  <c r="B66" i="10"/>
  <c r="D66" i="10"/>
  <c r="E66" i="10"/>
  <c r="F66" i="10"/>
  <c r="G66" i="10"/>
  <c r="I66" i="10"/>
  <c r="K66" i="10"/>
  <c r="L66" i="10"/>
  <c r="M66" i="10"/>
  <c r="A67" i="10"/>
  <c r="B67" i="10"/>
  <c r="D67" i="10"/>
  <c r="E67" i="10"/>
  <c r="F67" i="10"/>
  <c r="G67" i="10"/>
  <c r="I67" i="10"/>
  <c r="K67" i="10"/>
  <c r="L67" i="10"/>
  <c r="M67" i="10"/>
  <c r="A68" i="10"/>
  <c r="B68" i="10"/>
  <c r="D68" i="10"/>
  <c r="E68" i="10"/>
  <c r="F68" i="10"/>
  <c r="G68" i="10"/>
  <c r="I68" i="10"/>
  <c r="K68" i="10"/>
  <c r="L68" i="10"/>
  <c r="M68" i="10"/>
  <c r="A69" i="10"/>
  <c r="B69" i="10"/>
  <c r="D69" i="10"/>
  <c r="E69" i="10"/>
  <c r="F69" i="10"/>
  <c r="G69" i="10"/>
  <c r="I69" i="10"/>
  <c r="K69" i="10"/>
  <c r="L69" i="10"/>
  <c r="M69" i="10"/>
  <c r="A70" i="10"/>
  <c r="B70" i="10"/>
  <c r="D70" i="10"/>
  <c r="E70" i="10"/>
  <c r="F70" i="10"/>
  <c r="G70" i="10"/>
  <c r="I70" i="10"/>
  <c r="K70" i="10"/>
  <c r="L70" i="10"/>
  <c r="M70" i="10"/>
  <c r="A71" i="10"/>
  <c r="B71" i="10"/>
  <c r="D71" i="10"/>
  <c r="E71" i="10"/>
  <c r="F71" i="10"/>
  <c r="G71" i="10"/>
  <c r="I71" i="10"/>
  <c r="K71" i="10"/>
  <c r="L71" i="10"/>
  <c r="M71" i="10"/>
  <c r="A72" i="10"/>
  <c r="B72" i="10"/>
  <c r="D72" i="10"/>
  <c r="E72" i="10"/>
  <c r="F72" i="10"/>
  <c r="G72" i="10"/>
  <c r="I72" i="10"/>
  <c r="K72" i="10"/>
  <c r="L72" i="10"/>
  <c r="M72" i="10"/>
  <c r="A73" i="10"/>
  <c r="B73" i="10"/>
  <c r="D73" i="10"/>
  <c r="E73" i="10"/>
  <c r="F73" i="10"/>
  <c r="G73" i="10"/>
  <c r="I73" i="10"/>
  <c r="K73" i="10"/>
  <c r="L73" i="10"/>
  <c r="M73" i="10"/>
  <c r="A74" i="10"/>
  <c r="B74" i="10"/>
  <c r="D74" i="10"/>
  <c r="E74" i="10"/>
  <c r="F74" i="10"/>
  <c r="G74" i="10"/>
  <c r="I74" i="10"/>
  <c r="K74" i="10"/>
  <c r="L74" i="10"/>
  <c r="M74" i="10"/>
  <c r="A75" i="10"/>
  <c r="B75" i="10"/>
  <c r="D75" i="10"/>
  <c r="E75" i="10"/>
  <c r="F75" i="10"/>
  <c r="G75" i="10"/>
  <c r="I75" i="10"/>
  <c r="K75" i="10"/>
  <c r="L75" i="10"/>
  <c r="M75" i="10"/>
  <c r="A76" i="10"/>
  <c r="B76" i="10"/>
  <c r="D76" i="10"/>
  <c r="E76" i="10"/>
  <c r="F76" i="10"/>
  <c r="G76" i="10"/>
  <c r="I76" i="10"/>
  <c r="K76" i="10"/>
  <c r="L76" i="10"/>
  <c r="M76" i="10"/>
  <c r="A77" i="10"/>
  <c r="B77" i="10"/>
  <c r="D77" i="10"/>
  <c r="E77" i="10"/>
  <c r="F77" i="10"/>
  <c r="G77" i="10"/>
  <c r="I77" i="10"/>
  <c r="K77" i="10"/>
  <c r="L77" i="10"/>
  <c r="M77" i="10"/>
  <c r="A78" i="10"/>
  <c r="B78" i="10"/>
  <c r="D78" i="10"/>
  <c r="E78" i="10"/>
  <c r="F78" i="10"/>
  <c r="G78" i="10"/>
  <c r="I78" i="10"/>
  <c r="K78" i="10"/>
  <c r="L78" i="10"/>
  <c r="M78" i="10"/>
  <c r="A79" i="10"/>
  <c r="B79" i="10"/>
  <c r="D79" i="10"/>
  <c r="E79" i="10"/>
  <c r="F79" i="10"/>
  <c r="G79" i="10"/>
  <c r="I79" i="10"/>
  <c r="K79" i="10"/>
  <c r="L79" i="10"/>
  <c r="M79" i="10"/>
  <c r="A80" i="10"/>
  <c r="B80" i="10"/>
  <c r="D80" i="10"/>
  <c r="E80" i="10"/>
  <c r="F80" i="10"/>
  <c r="G80" i="10"/>
  <c r="I80" i="10"/>
  <c r="K80" i="10"/>
  <c r="L80" i="10"/>
  <c r="M80" i="10"/>
  <c r="A81" i="10"/>
  <c r="B81" i="10"/>
  <c r="D81" i="10"/>
  <c r="E81" i="10"/>
  <c r="F81" i="10"/>
  <c r="G81" i="10"/>
  <c r="I81" i="10"/>
  <c r="K81" i="10"/>
  <c r="L81" i="10"/>
  <c r="M81" i="10"/>
  <c r="A82" i="10"/>
  <c r="B82" i="10"/>
  <c r="D82" i="10"/>
  <c r="E82" i="10"/>
  <c r="F82" i="10"/>
  <c r="G82" i="10"/>
  <c r="I82" i="10"/>
  <c r="K82" i="10"/>
  <c r="L82" i="10"/>
  <c r="M82" i="10"/>
  <c r="A83" i="10"/>
  <c r="B83" i="10"/>
  <c r="D83" i="10"/>
  <c r="E83" i="10"/>
  <c r="F83" i="10"/>
  <c r="G83" i="10"/>
  <c r="I83" i="10"/>
  <c r="K83" i="10"/>
  <c r="L83" i="10"/>
  <c r="M83" i="10"/>
  <c r="A84" i="10"/>
  <c r="B84" i="10"/>
  <c r="D84" i="10"/>
  <c r="E84" i="10"/>
  <c r="F84" i="10"/>
  <c r="G84" i="10"/>
  <c r="I84" i="10"/>
  <c r="K84" i="10"/>
  <c r="L84" i="10"/>
  <c r="M84" i="10"/>
  <c r="A85" i="10"/>
  <c r="B85" i="10"/>
  <c r="D85" i="10"/>
  <c r="E85" i="10"/>
  <c r="F85" i="10"/>
  <c r="G85" i="10"/>
  <c r="I85" i="10"/>
  <c r="K85" i="10"/>
  <c r="L85" i="10"/>
  <c r="M85" i="10"/>
  <c r="A86" i="10"/>
  <c r="B86" i="10"/>
  <c r="D86" i="10"/>
  <c r="E86" i="10"/>
  <c r="F86" i="10"/>
  <c r="G86" i="10"/>
  <c r="I86" i="10"/>
  <c r="K86" i="10"/>
  <c r="L86" i="10"/>
  <c r="M86" i="10"/>
  <c r="A87" i="10"/>
  <c r="B87" i="10"/>
  <c r="D87" i="10"/>
  <c r="E87" i="10"/>
  <c r="F87" i="10"/>
  <c r="G87" i="10"/>
  <c r="I87" i="10"/>
  <c r="K87" i="10"/>
  <c r="L87" i="10"/>
  <c r="M87" i="10"/>
  <c r="A88" i="10"/>
  <c r="B88" i="10"/>
  <c r="D88" i="10"/>
  <c r="E88" i="10"/>
  <c r="F88" i="10"/>
  <c r="G88" i="10"/>
  <c r="I88" i="10"/>
  <c r="K88" i="10"/>
  <c r="L88" i="10"/>
  <c r="M88" i="10"/>
  <c r="A89" i="10"/>
  <c r="B89" i="10"/>
  <c r="D89" i="10"/>
  <c r="E89" i="10"/>
  <c r="F89" i="10"/>
  <c r="G89" i="10"/>
  <c r="I89" i="10"/>
  <c r="K89" i="10"/>
  <c r="L89" i="10"/>
  <c r="M89" i="10"/>
  <c r="A90" i="10"/>
  <c r="B90" i="10"/>
  <c r="D90" i="10"/>
  <c r="E90" i="10"/>
  <c r="F90" i="10"/>
  <c r="G90" i="10"/>
  <c r="I90" i="10"/>
  <c r="K90" i="10"/>
  <c r="L90" i="10"/>
  <c r="M90" i="10"/>
  <c r="A91" i="10"/>
  <c r="B91" i="10"/>
  <c r="D91" i="10"/>
  <c r="E91" i="10"/>
  <c r="F91" i="10"/>
  <c r="G91" i="10"/>
  <c r="I91" i="10"/>
  <c r="K91" i="10"/>
  <c r="L91" i="10"/>
  <c r="M91" i="10"/>
  <c r="A92" i="10"/>
  <c r="B92" i="10"/>
  <c r="D92" i="10"/>
  <c r="E92" i="10"/>
  <c r="F92" i="10"/>
  <c r="G92" i="10"/>
  <c r="I92" i="10"/>
  <c r="K92" i="10"/>
  <c r="L92" i="10"/>
  <c r="M92" i="10"/>
  <c r="A93" i="10"/>
  <c r="B93" i="10"/>
  <c r="D93" i="10"/>
  <c r="E93" i="10"/>
  <c r="F93" i="10"/>
  <c r="G93" i="10"/>
  <c r="I93" i="10"/>
  <c r="K93" i="10"/>
  <c r="L93" i="10"/>
  <c r="M93" i="10"/>
  <c r="A94" i="10"/>
  <c r="B94" i="10"/>
  <c r="D94" i="10"/>
  <c r="E94" i="10"/>
  <c r="F94" i="10"/>
  <c r="G94" i="10"/>
  <c r="I94" i="10"/>
  <c r="K94" i="10"/>
  <c r="L94" i="10"/>
  <c r="M94" i="10"/>
  <c r="A95" i="10"/>
  <c r="B95" i="10"/>
  <c r="D95" i="10"/>
  <c r="E95" i="10"/>
  <c r="F95" i="10"/>
  <c r="G95" i="10"/>
  <c r="I95" i="10"/>
  <c r="K95" i="10"/>
  <c r="L95" i="10"/>
  <c r="M95" i="10"/>
  <c r="A96" i="10"/>
  <c r="B96" i="10"/>
  <c r="D96" i="10"/>
  <c r="E96" i="10"/>
  <c r="F96" i="10"/>
  <c r="G96" i="10"/>
  <c r="I96" i="10"/>
  <c r="K96" i="10"/>
  <c r="L96" i="10"/>
  <c r="M96" i="10"/>
  <c r="A97" i="10"/>
  <c r="B97" i="10"/>
  <c r="D97" i="10"/>
  <c r="E97" i="10"/>
  <c r="F97" i="10"/>
  <c r="G97" i="10"/>
  <c r="I97" i="10"/>
  <c r="K97" i="10"/>
  <c r="L97" i="10"/>
  <c r="M97" i="10"/>
  <c r="A98" i="10"/>
  <c r="B98" i="10"/>
  <c r="D98" i="10"/>
  <c r="E98" i="10"/>
  <c r="F98" i="10"/>
  <c r="G98" i="10"/>
  <c r="I98" i="10"/>
  <c r="K98" i="10"/>
  <c r="L98" i="10"/>
  <c r="M98" i="10"/>
  <c r="A99" i="10"/>
  <c r="B99" i="10"/>
  <c r="D99" i="10"/>
  <c r="E99" i="10"/>
  <c r="F99" i="10"/>
  <c r="G99" i="10"/>
  <c r="I99" i="10"/>
  <c r="K99" i="10"/>
  <c r="L99" i="10"/>
  <c r="M99" i="10"/>
  <c r="A100" i="10"/>
  <c r="B100" i="10"/>
  <c r="D100" i="10"/>
  <c r="E100" i="10"/>
  <c r="F100" i="10"/>
  <c r="G100" i="10"/>
  <c r="I100" i="10"/>
  <c r="K100" i="10"/>
  <c r="L100" i="10"/>
  <c r="M100" i="10"/>
  <c r="A101" i="10"/>
  <c r="B101" i="10"/>
  <c r="D101" i="10"/>
  <c r="E101" i="10"/>
  <c r="F101" i="10"/>
  <c r="G101" i="10"/>
  <c r="I101" i="10"/>
  <c r="K101" i="10"/>
  <c r="L101" i="10"/>
  <c r="M101" i="10"/>
  <c r="A102" i="10"/>
  <c r="B102" i="10"/>
  <c r="D102" i="10"/>
  <c r="E102" i="10"/>
  <c r="F102" i="10"/>
  <c r="G102" i="10"/>
  <c r="I102" i="10"/>
  <c r="K102" i="10"/>
  <c r="L102" i="10"/>
  <c r="M102" i="10"/>
  <c r="A103" i="10"/>
  <c r="B103" i="10"/>
  <c r="D103" i="10"/>
  <c r="E103" i="10"/>
  <c r="F103" i="10"/>
  <c r="G103" i="10"/>
  <c r="I103" i="10"/>
  <c r="K103" i="10"/>
  <c r="L103" i="10"/>
  <c r="M103" i="10"/>
  <c r="A104" i="10"/>
  <c r="B104" i="10"/>
  <c r="D104" i="10"/>
  <c r="E104" i="10"/>
  <c r="F104" i="10"/>
  <c r="G104" i="10"/>
  <c r="I104" i="10"/>
  <c r="K104" i="10"/>
  <c r="L104" i="10"/>
  <c r="M104" i="10"/>
  <c r="A105" i="10"/>
  <c r="B105" i="10"/>
  <c r="D105" i="10"/>
  <c r="E105" i="10"/>
  <c r="F105" i="10"/>
  <c r="G105" i="10"/>
  <c r="I105" i="10"/>
  <c r="K105" i="10"/>
  <c r="L105" i="10"/>
  <c r="M105" i="10"/>
  <c r="A106" i="10"/>
  <c r="B106" i="10"/>
  <c r="D106" i="10"/>
  <c r="E106" i="10"/>
  <c r="F106" i="10"/>
  <c r="G106" i="10"/>
  <c r="I106" i="10"/>
  <c r="K106" i="10"/>
  <c r="L106" i="10"/>
  <c r="M106" i="10"/>
  <c r="A107" i="10"/>
  <c r="B107" i="10"/>
  <c r="D107" i="10"/>
  <c r="E107" i="10"/>
  <c r="F107" i="10"/>
  <c r="G107" i="10"/>
  <c r="I107" i="10"/>
  <c r="K107" i="10"/>
  <c r="L107" i="10"/>
  <c r="M107" i="10"/>
  <c r="A108" i="10"/>
  <c r="B108" i="10"/>
  <c r="D108" i="10"/>
  <c r="E108" i="10"/>
  <c r="F108" i="10"/>
  <c r="G108" i="10"/>
  <c r="I108" i="10"/>
  <c r="K108" i="10"/>
  <c r="L108" i="10"/>
  <c r="M108" i="10"/>
  <c r="A109" i="10"/>
  <c r="B109" i="10"/>
  <c r="D109" i="10"/>
  <c r="E109" i="10"/>
  <c r="F109" i="10"/>
  <c r="G109" i="10"/>
  <c r="I109" i="10"/>
  <c r="K109" i="10"/>
  <c r="L109" i="10"/>
  <c r="M109" i="10"/>
  <c r="A110" i="10"/>
  <c r="B110" i="10"/>
  <c r="D110" i="10"/>
  <c r="E110" i="10"/>
  <c r="F110" i="10"/>
  <c r="G110" i="10"/>
  <c r="I110" i="10"/>
  <c r="K110" i="10"/>
  <c r="L110" i="10"/>
  <c r="M110" i="10"/>
  <c r="A111" i="10"/>
  <c r="B111" i="10"/>
  <c r="D111" i="10"/>
  <c r="E111" i="10"/>
  <c r="F111" i="10"/>
  <c r="G111" i="10"/>
  <c r="I111" i="10"/>
  <c r="K111" i="10"/>
  <c r="L111" i="10"/>
  <c r="M111" i="10"/>
  <c r="A112" i="10"/>
  <c r="B112" i="10"/>
  <c r="D112" i="10"/>
  <c r="E112" i="10"/>
  <c r="F112" i="10"/>
  <c r="G112" i="10"/>
  <c r="I112" i="10"/>
  <c r="K112" i="10"/>
  <c r="L112" i="10"/>
  <c r="M112" i="10"/>
  <c r="A113" i="10"/>
  <c r="B113" i="10"/>
  <c r="D113" i="10"/>
  <c r="E113" i="10"/>
  <c r="F113" i="10"/>
  <c r="G113" i="10"/>
  <c r="I113" i="10"/>
  <c r="K113" i="10"/>
  <c r="L113" i="10"/>
  <c r="M113" i="10"/>
  <c r="A114" i="10"/>
  <c r="B114" i="10"/>
  <c r="D114" i="10"/>
  <c r="E114" i="10"/>
  <c r="F114" i="10"/>
  <c r="G114" i="10"/>
  <c r="I114" i="10"/>
  <c r="K114" i="10"/>
  <c r="L114" i="10"/>
  <c r="M114" i="10"/>
  <c r="A115" i="10"/>
  <c r="B115" i="10"/>
  <c r="D115" i="10"/>
  <c r="E115" i="10"/>
  <c r="F115" i="10"/>
  <c r="G115" i="10"/>
  <c r="I115" i="10"/>
  <c r="K115" i="10"/>
  <c r="L115" i="10"/>
  <c r="M115" i="10"/>
  <c r="A116" i="10"/>
  <c r="B116" i="10"/>
  <c r="D116" i="10"/>
  <c r="E116" i="10"/>
  <c r="F116" i="10"/>
  <c r="G116" i="10"/>
  <c r="I116" i="10"/>
  <c r="K116" i="10"/>
  <c r="L116" i="10"/>
  <c r="M116" i="10"/>
  <c r="A117" i="10"/>
  <c r="B117" i="10"/>
  <c r="D117" i="10"/>
  <c r="E117" i="10"/>
  <c r="F117" i="10"/>
  <c r="G117" i="10"/>
  <c r="I117" i="10"/>
  <c r="K117" i="10"/>
  <c r="L117" i="10"/>
  <c r="M117" i="10"/>
  <c r="A118" i="10"/>
  <c r="B118" i="10"/>
  <c r="D118" i="10"/>
  <c r="E118" i="10"/>
  <c r="F118" i="10"/>
  <c r="G118" i="10"/>
  <c r="I118" i="10"/>
  <c r="K118" i="10"/>
  <c r="L118" i="10"/>
  <c r="M118" i="10"/>
  <c r="A119" i="10"/>
  <c r="B119" i="10"/>
  <c r="D119" i="10"/>
  <c r="E119" i="10"/>
  <c r="F119" i="10"/>
  <c r="G119" i="10"/>
  <c r="I119" i="10"/>
  <c r="K119" i="10"/>
  <c r="L119" i="10"/>
  <c r="M119" i="10"/>
  <c r="A120" i="10"/>
  <c r="B120" i="10"/>
  <c r="D120" i="10"/>
  <c r="E120" i="10"/>
  <c r="F120" i="10"/>
  <c r="G120" i="10"/>
  <c r="I120" i="10"/>
  <c r="K120" i="10"/>
  <c r="L120" i="10"/>
  <c r="M120" i="10"/>
  <c r="A121" i="10"/>
  <c r="B121" i="10"/>
  <c r="D121" i="10"/>
  <c r="E121" i="10"/>
  <c r="F121" i="10"/>
  <c r="G121" i="10"/>
  <c r="I121" i="10"/>
  <c r="K121" i="10"/>
  <c r="L121" i="10"/>
  <c r="M121" i="10"/>
  <c r="A122" i="10"/>
  <c r="B122" i="10"/>
  <c r="D122" i="10"/>
  <c r="E122" i="10"/>
  <c r="F122" i="10"/>
  <c r="G122" i="10"/>
  <c r="I122" i="10"/>
  <c r="K122" i="10"/>
  <c r="L122" i="10"/>
  <c r="M122" i="10"/>
  <c r="A123" i="10"/>
  <c r="B123" i="10"/>
  <c r="D123" i="10"/>
  <c r="E123" i="10"/>
  <c r="F123" i="10"/>
  <c r="G123" i="10"/>
  <c r="I123" i="10"/>
  <c r="K123" i="10"/>
  <c r="L123" i="10"/>
  <c r="M123" i="10"/>
  <c r="A124" i="10"/>
  <c r="B124" i="10"/>
  <c r="D124" i="10"/>
  <c r="E124" i="10"/>
  <c r="F124" i="10"/>
  <c r="G124" i="10"/>
  <c r="I124" i="10"/>
  <c r="K124" i="10"/>
  <c r="L124" i="10"/>
  <c r="M124" i="10"/>
  <c r="A125" i="10"/>
  <c r="B125" i="10"/>
  <c r="D125" i="10"/>
  <c r="E125" i="10"/>
  <c r="F125" i="10"/>
  <c r="G125" i="10"/>
  <c r="I125" i="10"/>
  <c r="K125" i="10"/>
  <c r="L125" i="10"/>
  <c r="M125" i="10"/>
  <c r="A126" i="10"/>
  <c r="B126" i="10"/>
  <c r="D126" i="10"/>
  <c r="E126" i="10"/>
  <c r="F126" i="10"/>
  <c r="G126" i="10"/>
  <c r="I126" i="10"/>
  <c r="K126" i="10"/>
  <c r="L126" i="10"/>
  <c r="M126" i="10"/>
  <c r="A127" i="10"/>
  <c r="B127" i="10"/>
  <c r="D127" i="10"/>
  <c r="E127" i="10"/>
  <c r="F127" i="10"/>
  <c r="G127" i="10"/>
  <c r="I127" i="10"/>
  <c r="K127" i="10"/>
  <c r="L127" i="10"/>
  <c r="M127" i="10"/>
  <c r="A128" i="10"/>
  <c r="B128" i="10"/>
  <c r="D128" i="10"/>
  <c r="E128" i="10"/>
  <c r="F128" i="10"/>
  <c r="G128" i="10"/>
  <c r="I128" i="10"/>
  <c r="K128" i="10"/>
  <c r="L128" i="10"/>
  <c r="M128" i="10"/>
  <c r="A129" i="10"/>
  <c r="B129" i="10"/>
  <c r="D129" i="10"/>
  <c r="E129" i="10"/>
  <c r="F129" i="10"/>
  <c r="G129" i="10"/>
  <c r="I129" i="10"/>
  <c r="K129" i="10"/>
  <c r="L129" i="10"/>
  <c r="M129" i="10"/>
  <c r="A130" i="10"/>
  <c r="B130" i="10"/>
  <c r="D130" i="10"/>
  <c r="E130" i="10"/>
  <c r="F130" i="10"/>
  <c r="G130" i="10"/>
  <c r="I130" i="10"/>
  <c r="K130" i="10"/>
  <c r="L130" i="10"/>
  <c r="M130" i="10"/>
  <c r="A131" i="10"/>
  <c r="B131" i="10"/>
  <c r="D131" i="10"/>
  <c r="E131" i="10"/>
  <c r="F131" i="10"/>
  <c r="G131" i="10"/>
  <c r="I131" i="10"/>
  <c r="K131" i="10"/>
  <c r="L131" i="10"/>
  <c r="M131" i="10"/>
  <c r="A132" i="10"/>
  <c r="B132" i="10"/>
  <c r="D132" i="10"/>
  <c r="E132" i="10"/>
  <c r="F132" i="10"/>
  <c r="G132" i="10"/>
  <c r="I132" i="10"/>
  <c r="K132" i="10"/>
  <c r="L132" i="10"/>
  <c r="M132" i="10"/>
  <c r="A133" i="10"/>
  <c r="B133" i="10"/>
  <c r="D133" i="10"/>
  <c r="E133" i="10"/>
  <c r="F133" i="10"/>
  <c r="G133" i="10"/>
  <c r="I133" i="10"/>
  <c r="K133" i="10"/>
  <c r="L133" i="10"/>
  <c r="M133" i="10"/>
  <c r="A134" i="10"/>
  <c r="B134" i="10"/>
  <c r="D134" i="10"/>
  <c r="E134" i="10"/>
  <c r="F134" i="10"/>
  <c r="G134" i="10"/>
  <c r="I134" i="10"/>
  <c r="K134" i="10"/>
  <c r="L134" i="10"/>
  <c r="M134" i="10"/>
  <c r="A135" i="10"/>
  <c r="B135" i="10"/>
  <c r="D135" i="10"/>
  <c r="E135" i="10"/>
  <c r="F135" i="10"/>
  <c r="G135" i="10"/>
  <c r="I135" i="10"/>
  <c r="K135" i="10"/>
  <c r="L135" i="10"/>
  <c r="M135" i="10"/>
  <c r="A136" i="10"/>
  <c r="B136" i="10"/>
  <c r="D136" i="10"/>
  <c r="E136" i="10"/>
  <c r="F136" i="10"/>
  <c r="G136" i="10"/>
  <c r="I136" i="10"/>
  <c r="K136" i="10"/>
  <c r="L136" i="10"/>
  <c r="M136" i="10"/>
  <c r="A137" i="10"/>
  <c r="B137" i="10"/>
  <c r="D137" i="10"/>
  <c r="E137" i="10"/>
  <c r="F137" i="10"/>
  <c r="G137" i="10"/>
  <c r="I137" i="10"/>
  <c r="K137" i="10"/>
  <c r="L137" i="10"/>
  <c r="M137" i="10"/>
  <c r="J1" i="24"/>
  <c r="K1" i="24"/>
  <c r="F2" i="24"/>
  <c r="G2" i="24"/>
  <c r="H2" i="24"/>
  <c r="O3" i="24"/>
  <c r="P3" i="24"/>
  <c r="B4" i="24"/>
  <c r="C4" i="24"/>
  <c r="D4" i="24"/>
  <c r="O4" i="24"/>
  <c r="P4" i="24"/>
  <c r="B5" i="24"/>
  <c r="C5" i="24"/>
  <c r="B6" i="24"/>
  <c r="C6" i="24"/>
  <c r="G6" i="24"/>
  <c r="H6" i="24"/>
  <c r="I6" i="24"/>
  <c r="G7" i="24"/>
  <c r="H7" i="24"/>
  <c r="I7" i="24"/>
  <c r="B8" i="24"/>
  <c r="C8" i="24"/>
  <c r="G8" i="24"/>
  <c r="H8" i="24"/>
  <c r="I8" i="24"/>
  <c r="G9" i="24"/>
  <c r="H9" i="24"/>
  <c r="I9" i="24"/>
  <c r="G10" i="24"/>
  <c r="H10" i="24"/>
  <c r="I10" i="24"/>
  <c r="B11" i="24"/>
  <c r="C11" i="24"/>
  <c r="D11" i="24"/>
  <c r="B13" i="24"/>
  <c r="C13" i="24"/>
  <c r="D13" i="24"/>
  <c r="B14" i="24"/>
  <c r="C14" i="24"/>
  <c r="D14" i="24"/>
  <c r="B15" i="24"/>
  <c r="C15" i="24"/>
  <c r="D15" i="24"/>
  <c r="J18" i="24"/>
  <c r="B22" i="24"/>
  <c r="C22" i="24"/>
  <c r="B25" i="24"/>
  <c r="BI33" i="24"/>
  <c r="BH39" i="24"/>
  <c r="BI39" i="24"/>
  <c r="BJ39" i="24"/>
  <c r="BK39" i="24"/>
  <c r="BL39" i="24"/>
  <c r="BM39" i="24"/>
  <c r="BN39" i="24"/>
  <c r="BQ39" i="24"/>
  <c r="BR39" i="24"/>
  <c r="BS39" i="24"/>
  <c r="BT39" i="24"/>
  <c r="BU39" i="24"/>
  <c r="R41" i="24"/>
  <c r="S41" i="24"/>
  <c r="T41" i="24"/>
  <c r="U41" i="24"/>
  <c r="V41" i="24"/>
  <c r="W41" i="24"/>
  <c r="X41" i="24"/>
  <c r="Y41" i="24"/>
  <c r="Z41" i="24"/>
  <c r="AA41" i="24"/>
  <c r="AD41" i="24"/>
  <c r="AH41" i="24"/>
  <c r="AI41" i="24"/>
  <c r="AK41" i="24"/>
  <c r="AN41" i="24"/>
  <c r="AR41" i="24"/>
  <c r="AS41" i="24"/>
  <c r="AU41" i="24"/>
  <c r="AX41" i="24"/>
  <c r="BB41" i="24"/>
  <c r="BC41" i="24"/>
  <c r="BE41" i="24"/>
  <c r="A44" i="24"/>
  <c r="B44" i="24"/>
  <c r="C44" i="24"/>
  <c r="E44" i="24"/>
  <c r="F44" i="24"/>
  <c r="G44" i="24"/>
  <c r="H44" i="24"/>
  <c r="I44" i="24"/>
  <c r="J44" i="24"/>
  <c r="K44" i="24"/>
  <c r="L44" i="24"/>
  <c r="O44" i="24"/>
  <c r="P44" i="24"/>
  <c r="R44" i="24"/>
  <c r="S44" i="24"/>
  <c r="T44" i="24"/>
  <c r="U44" i="24"/>
  <c r="V44" i="24"/>
  <c r="W44" i="24"/>
  <c r="X44" i="24"/>
  <c r="Y44" i="24"/>
  <c r="Z44" i="24"/>
  <c r="AA44" i="24"/>
  <c r="AC44" i="24"/>
  <c r="AD44" i="24"/>
  <c r="AE44" i="24"/>
  <c r="AF44" i="24"/>
  <c r="AG44" i="24"/>
  <c r="AH44" i="24"/>
  <c r="AI44" i="24"/>
  <c r="AJ44" i="24"/>
  <c r="AK44" i="24"/>
  <c r="AM44" i="24"/>
  <c r="AN44" i="24"/>
  <c r="AO44" i="24"/>
  <c r="AP44" i="24"/>
  <c r="AQ44" i="24"/>
  <c r="AR44" i="24"/>
  <c r="AS44" i="24"/>
  <c r="AT44" i="24"/>
  <c r="AU44" i="24"/>
  <c r="AW44" i="24"/>
  <c r="AX44" i="24"/>
  <c r="AY44" i="24"/>
  <c r="AZ44" i="24"/>
  <c r="BA44" i="24"/>
  <c r="BB44" i="24"/>
  <c r="BC44" i="24"/>
  <c r="BD44" i="24"/>
  <c r="BE44" i="24"/>
  <c r="BH44" i="24"/>
  <c r="BI44" i="24"/>
  <c r="BJ44" i="24"/>
  <c r="BK44" i="24"/>
  <c r="BL44" i="24"/>
  <c r="BM44" i="24"/>
  <c r="BN44" i="24"/>
  <c r="BQ44" i="24"/>
  <c r="BR44" i="24"/>
  <c r="BS44" i="24"/>
  <c r="BT44" i="24"/>
  <c r="BU44" i="24"/>
  <c r="A45" i="24"/>
  <c r="B45" i="24"/>
  <c r="C45" i="24"/>
  <c r="E45" i="24"/>
  <c r="F45" i="24"/>
  <c r="G45" i="24"/>
  <c r="H45" i="24"/>
  <c r="I45" i="24"/>
  <c r="J45" i="24"/>
  <c r="K45" i="24"/>
  <c r="L45" i="24"/>
  <c r="O45" i="24"/>
  <c r="P45" i="24"/>
  <c r="R45" i="24"/>
  <c r="S45" i="24"/>
  <c r="T45" i="24"/>
  <c r="U45" i="24"/>
  <c r="V45" i="24"/>
  <c r="W45" i="24"/>
  <c r="X45" i="24"/>
  <c r="Y45" i="24"/>
  <c r="Z45" i="24"/>
  <c r="AA45" i="24"/>
  <c r="AC45" i="24"/>
  <c r="AD45" i="24"/>
  <c r="AE45" i="24"/>
  <c r="AF45" i="24"/>
  <c r="AG45" i="24"/>
  <c r="AH45" i="24"/>
  <c r="AI45" i="24"/>
  <c r="AJ45" i="24"/>
  <c r="AK45" i="24"/>
  <c r="AM45" i="24"/>
  <c r="AN45" i="24"/>
  <c r="AO45" i="24"/>
  <c r="AP45" i="24"/>
  <c r="AQ45" i="24"/>
  <c r="AR45" i="24"/>
  <c r="AS45" i="24"/>
  <c r="AT45" i="24"/>
  <c r="AU45" i="24"/>
  <c r="AW45" i="24"/>
  <c r="AX45" i="24"/>
  <c r="AY45" i="24"/>
  <c r="AZ45" i="24"/>
  <c r="BA45" i="24"/>
  <c r="BB45" i="24"/>
  <c r="BC45" i="24"/>
  <c r="BD45" i="24"/>
  <c r="BE45" i="24"/>
  <c r="BH45" i="24"/>
  <c r="BI45" i="24"/>
  <c r="BJ45" i="24"/>
  <c r="BK45" i="24"/>
  <c r="BL45" i="24"/>
  <c r="BM45" i="24"/>
  <c r="BN45" i="24"/>
  <c r="BQ45" i="24"/>
  <c r="BR45" i="24"/>
  <c r="BS45" i="24"/>
  <c r="BT45" i="24"/>
  <c r="BU45" i="24"/>
  <c r="A46" i="24"/>
  <c r="B46" i="24"/>
  <c r="C46" i="24"/>
  <c r="E46" i="24"/>
  <c r="F46" i="24"/>
  <c r="G46" i="24"/>
  <c r="H46" i="24"/>
  <c r="I46" i="24"/>
  <c r="J46" i="24"/>
  <c r="K46" i="24"/>
  <c r="L46" i="24"/>
  <c r="O46" i="24"/>
  <c r="P46" i="24"/>
  <c r="R46" i="24"/>
  <c r="S46" i="24"/>
  <c r="T46" i="24"/>
  <c r="U46" i="24"/>
  <c r="V46" i="24"/>
  <c r="W46" i="24"/>
  <c r="X46" i="24"/>
  <c r="Y46" i="24"/>
  <c r="Z46" i="24"/>
  <c r="AA46" i="24"/>
  <c r="AC46" i="24"/>
  <c r="AD46" i="24"/>
  <c r="AE46" i="24"/>
  <c r="AF46" i="24"/>
  <c r="AG46" i="24"/>
  <c r="AH46" i="24"/>
  <c r="AI46" i="24"/>
  <c r="AJ46" i="24"/>
  <c r="AK46" i="24"/>
  <c r="AM46" i="24"/>
  <c r="AN46" i="24"/>
  <c r="AO46" i="24"/>
  <c r="AP46" i="24"/>
  <c r="AQ46" i="24"/>
  <c r="AR46" i="24"/>
  <c r="AS46" i="24"/>
  <c r="AT46" i="24"/>
  <c r="AU46" i="24"/>
  <c r="AW46" i="24"/>
  <c r="AX46" i="24"/>
  <c r="AY46" i="24"/>
  <c r="AZ46" i="24"/>
  <c r="BA46" i="24"/>
  <c r="BB46" i="24"/>
  <c r="BC46" i="24"/>
  <c r="BD46" i="24"/>
  <c r="BE46" i="24"/>
  <c r="BH46" i="24"/>
  <c r="BI46" i="24"/>
  <c r="BJ46" i="24"/>
  <c r="BK46" i="24"/>
  <c r="BL46" i="24"/>
  <c r="BM46" i="24"/>
  <c r="BN46" i="24"/>
  <c r="BQ46" i="24"/>
  <c r="BR46" i="24"/>
  <c r="BS46" i="24"/>
  <c r="BT46" i="24"/>
  <c r="BU46" i="24"/>
  <c r="A47" i="24"/>
  <c r="B47" i="24"/>
  <c r="C47" i="24"/>
  <c r="E47" i="24"/>
  <c r="F47" i="24"/>
  <c r="G47" i="24"/>
  <c r="H47" i="24"/>
  <c r="I47" i="24"/>
  <c r="J47" i="24"/>
  <c r="K47" i="24"/>
  <c r="L47" i="24"/>
  <c r="O47" i="24"/>
  <c r="P47" i="24"/>
  <c r="R47" i="24"/>
  <c r="S47" i="24"/>
  <c r="T47" i="24"/>
  <c r="U47" i="24"/>
  <c r="V47" i="24"/>
  <c r="W47" i="24"/>
  <c r="X47" i="24"/>
  <c r="Y47" i="24"/>
  <c r="Z47" i="24"/>
  <c r="AA47" i="24"/>
  <c r="AC47" i="24"/>
  <c r="AD47" i="24"/>
  <c r="AE47" i="24"/>
  <c r="AF47" i="24"/>
  <c r="AG47" i="24"/>
  <c r="AH47" i="24"/>
  <c r="AI47" i="24"/>
  <c r="AJ47" i="24"/>
  <c r="AK47" i="24"/>
  <c r="AM47" i="24"/>
  <c r="AN47" i="24"/>
  <c r="AO47" i="24"/>
  <c r="AP47" i="24"/>
  <c r="AQ47" i="24"/>
  <c r="AR47" i="24"/>
  <c r="AS47" i="24"/>
  <c r="AT47" i="24"/>
  <c r="AU47" i="24"/>
  <c r="AW47" i="24"/>
  <c r="AX47" i="24"/>
  <c r="AY47" i="24"/>
  <c r="AZ47" i="24"/>
  <c r="BA47" i="24"/>
  <c r="BB47" i="24"/>
  <c r="BC47" i="24"/>
  <c r="BD47" i="24"/>
  <c r="BE47" i="24"/>
  <c r="BH47" i="24"/>
  <c r="BI47" i="24"/>
  <c r="BJ47" i="24"/>
  <c r="BK47" i="24"/>
  <c r="BL47" i="24"/>
  <c r="BM47" i="24"/>
  <c r="BN47" i="24"/>
  <c r="BQ47" i="24"/>
  <c r="BR47" i="24"/>
  <c r="BS47" i="24"/>
  <c r="BT47" i="24"/>
  <c r="BU47" i="24"/>
  <c r="A48" i="24"/>
  <c r="B48" i="24"/>
  <c r="C48" i="24"/>
  <c r="E48" i="24"/>
  <c r="F48" i="24"/>
  <c r="G48" i="24"/>
  <c r="H48" i="24"/>
  <c r="I48" i="24"/>
  <c r="J48" i="24"/>
  <c r="K48" i="24"/>
  <c r="L48" i="24"/>
  <c r="O48" i="24"/>
  <c r="P48" i="24"/>
  <c r="R48" i="24"/>
  <c r="S48" i="24"/>
  <c r="T48" i="24"/>
  <c r="U48" i="24"/>
  <c r="V48" i="24"/>
  <c r="W48" i="24"/>
  <c r="X48" i="24"/>
  <c r="Y48" i="24"/>
  <c r="Z48" i="24"/>
  <c r="AA48" i="24"/>
  <c r="AC48" i="24"/>
  <c r="AD48" i="24"/>
  <c r="AE48" i="24"/>
  <c r="AF48" i="24"/>
  <c r="AG48" i="24"/>
  <c r="AH48" i="24"/>
  <c r="AI48" i="24"/>
  <c r="AJ48" i="24"/>
  <c r="AK48" i="24"/>
  <c r="AM48" i="24"/>
  <c r="AN48" i="24"/>
  <c r="AO48" i="24"/>
  <c r="AP48" i="24"/>
  <c r="AQ48" i="24"/>
  <c r="AR48" i="24"/>
  <c r="AS48" i="24"/>
  <c r="AT48" i="24"/>
  <c r="AU48" i="24"/>
  <c r="AW48" i="24"/>
  <c r="AX48" i="24"/>
  <c r="AY48" i="24"/>
  <c r="AZ48" i="24"/>
  <c r="BA48" i="24"/>
  <c r="BB48" i="24"/>
  <c r="BC48" i="24"/>
  <c r="BD48" i="24"/>
  <c r="BE48" i="24"/>
  <c r="BH48" i="24"/>
  <c r="BI48" i="24"/>
  <c r="BJ48" i="24"/>
  <c r="BK48" i="24"/>
  <c r="BL48" i="24"/>
  <c r="BM48" i="24"/>
  <c r="BN48" i="24"/>
  <c r="BQ48" i="24"/>
  <c r="BR48" i="24"/>
  <c r="BS48" i="24"/>
  <c r="BT48" i="24"/>
  <c r="BU48" i="24"/>
  <c r="A49" i="24"/>
  <c r="B49" i="24"/>
  <c r="C49" i="24"/>
  <c r="E49" i="24"/>
  <c r="F49" i="24"/>
  <c r="G49" i="24"/>
  <c r="H49" i="24"/>
  <c r="I49" i="24"/>
  <c r="J49" i="24"/>
  <c r="K49" i="24"/>
  <c r="L49" i="24"/>
  <c r="O49" i="24"/>
  <c r="P49" i="24"/>
  <c r="R49" i="24"/>
  <c r="S49" i="24"/>
  <c r="T49" i="24"/>
  <c r="U49" i="24"/>
  <c r="V49" i="24"/>
  <c r="W49" i="24"/>
  <c r="X49" i="24"/>
  <c r="Y49" i="24"/>
  <c r="Z49" i="24"/>
  <c r="AA49" i="24"/>
  <c r="AC49" i="24"/>
  <c r="AD49" i="24"/>
  <c r="AE49" i="24"/>
  <c r="AF49" i="24"/>
  <c r="AG49" i="24"/>
  <c r="AH49" i="24"/>
  <c r="AI49" i="24"/>
  <c r="AJ49" i="24"/>
  <c r="AK49" i="24"/>
  <c r="AM49" i="24"/>
  <c r="AN49" i="24"/>
  <c r="AO49" i="24"/>
  <c r="AP49" i="24"/>
  <c r="AQ49" i="24"/>
  <c r="AR49" i="24"/>
  <c r="AS49" i="24"/>
  <c r="AT49" i="24"/>
  <c r="AU49" i="24"/>
  <c r="AW49" i="24"/>
  <c r="AX49" i="24"/>
  <c r="AY49" i="24"/>
  <c r="AZ49" i="24"/>
  <c r="BA49" i="24"/>
  <c r="BB49" i="24"/>
  <c r="BC49" i="24"/>
  <c r="BD49" i="24"/>
  <c r="BE49" i="24"/>
  <c r="BH49" i="24"/>
  <c r="BI49" i="24"/>
  <c r="BJ49" i="24"/>
  <c r="BK49" i="24"/>
  <c r="BL49" i="24"/>
  <c r="BM49" i="24"/>
  <c r="BN49" i="24"/>
  <c r="BQ49" i="24"/>
  <c r="BR49" i="24"/>
  <c r="BS49" i="24"/>
  <c r="BT49" i="24"/>
  <c r="BU49" i="24"/>
  <c r="A50" i="24"/>
  <c r="B50" i="24"/>
  <c r="C50" i="24"/>
  <c r="E50" i="24"/>
  <c r="F50" i="24"/>
  <c r="G50" i="24"/>
  <c r="H50" i="24"/>
  <c r="I50" i="24"/>
  <c r="J50" i="24"/>
  <c r="K50" i="24"/>
  <c r="L50" i="24"/>
  <c r="O50" i="24"/>
  <c r="P50" i="24"/>
  <c r="R50" i="24"/>
  <c r="S50" i="24"/>
  <c r="T50" i="24"/>
  <c r="U50" i="24"/>
  <c r="V50" i="24"/>
  <c r="W50" i="24"/>
  <c r="X50" i="24"/>
  <c r="Y50" i="24"/>
  <c r="Z50" i="24"/>
  <c r="AA50" i="24"/>
  <c r="AC50" i="24"/>
  <c r="AD50" i="24"/>
  <c r="AE50" i="24"/>
  <c r="AF50" i="24"/>
  <c r="AG50" i="24"/>
  <c r="AH50" i="24"/>
  <c r="AI50" i="24"/>
  <c r="AJ50" i="24"/>
  <c r="AK50" i="24"/>
  <c r="AM50" i="24"/>
  <c r="AN50" i="24"/>
  <c r="AO50" i="24"/>
  <c r="AP50" i="24"/>
  <c r="AQ50" i="24"/>
  <c r="AR50" i="24"/>
  <c r="AS50" i="24"/>
  <c r="AT50" i="24"/>
  <c r="AU50" i="24"/>
  <c r="AW50" i="24"/>
  <c r="AX50" i="24"/>
  <c r="AY50" i="24"/>
  <c r="AZ50" i="24"/>
  <c r="BA50" i="24"/>
  <c r="BB50" i="24"/>
  <c r="BC50" i="24"/>
  <c r="BD50" i="24"/>
  <c r="BE50" i="24"/>
  <c r="BH50" i="24"/>
  <c r="BI50" i="24"/>
  <c r="BJ50" i="24"/>
  <c r="BK50" i="24"/>
  <c r="BL50" i="24"/>
  <c r="BM50" i="24"/>
  <c r="BN50" i="24"/>
  <c r="BQ50" i="24"/>
  <c r="BR50" i="24"/>
  <c r="BS50" i="24"/>
  <c r="BT50" i="24"/>
  <c r="BU50" i="24"/>
  <c r="A51" i="24"/>
  <c r="B51" i="24"/>
  <c r="C51" i="24"/>
  <c r="E51" i="24"/>
  <c r="F51" i="24"/>
  <c r="G51" i="24"/>
  <c r="H51" i="24"/>
  <c r="I51" i="24"/>
  <c r="J51" i="24"/>
  <c r="K51" i="24"/>
  <c r="L51" i="24"/>
  <c r="O51" i="24"/>
  <c r="P51" i="24"/>
  <c r="R51" i="24"/>
  <c r="S51" i="24"/>
  <c r="T51" i="24"/>
  <c r="U51" i="24"/>
  <c r="V51" i="24"/>
  <c r="W51" i="24"/>
  <c r="X51" i="24"/>
  <c r="Y51" i="24"/>
  <c r="Z51" i="24"/>
  <c r="AA51" i="24"/>
  <c r="AC51" i="24"/>
  <c r="AD51" i="24"/>
  <c r="AE51" i="24"/>
  <c r="AF51" i="24"/>
  <c r="AG51" i="24"/>
  <c r="AH51" i="24"/>
  <c r="AI51" i="24"/>
  <c r="AJ51" i="24"/>
  <c r="AK51" i="24"/>
  <c r="AM51" i="24"/>
  <c r="AN51" i="24"/>
  <c r="AO51" i="24"/>
  <c r="AP51" i="24"/>
  <c r="AQ51" i="24"/>
  <c r="AR51" i="24"/>
  <c r="AS51" i="24"/>
  <c r="AT51" i="24"/>
  <c r="AU51" i="24"/>
  <c r="AW51" i="24"/>
  <c r="AX51" i="24"/>
  <c r="AY51" i="24"/>
  <c r="AZ51" i="24"/>
  <c r="BA51" i="24"/>
  <c r="BB51" i="24"/>
  <c r="BC51" i="24"/>
  <c r="BD51" i="24"/>
  <c r="BE51" i="24"/>
  <c r="BH51" i="24"/>
  <c r="BI51" i="24"/>
  <c r="BJ51" i="24"/>
  <c r="BK51" i="24"/>
  <c r="BL51" i="24"/>
  <c r="BM51" i="24"/>
  <c r="BN51" i="24"/>
  <c r="BQ51" i="24"/>
  <c r="BR51" i="24"/>
  <c r="BS51" i="24"/>
  <c r="BT51" i="24"/>
  <c r="BU51" i="24"/>
  <c r="A52" i="24"/>
  <c r="B52" i="24"/>
  <c r="C52" i="24"/>
  <c r="E52" i="24"/>
  <c r="F52" i="24"/>
  <c r="G52" i="24"/>
  <c r="H52" i="24"/>
  <c r="I52" i="24"/>
  <c r="J52" i="24"/>
  <c r="K52" i="24"/>
  <c r="L52" i="24"/>
  <c r="O52" i="24"/>
  <c r="P52" i="24"/>
  <c r="R52" i="24"/>
  <c r="S52" i="24"/>
  <c r="T52" i="24"/>
  <c r="U52" i="24"/>
  <c r="V52" i="24"/>
  <c r="W52" i="24"/>
  <c r="X52" i="24"/>
  <c r="Y52" i="24"/>
  <c r="Z52" i="24"/>
  <c r="AA52" i="24"/>
  <c r="AC52" i="24"/>
  <c r="AD52" i="24"/>
  <c r="AE52" i="24"/>
  <c r="AF52" i="24"/>
  <c r="AG52" i="24"/>
  <c r="AH52" i="24"/>
  <c r="AI52" i="24"/>
  <c r="AJ52" i="24"/>
  <c r="AK52" i="24"/>
  <c r="AM52" i="24"/>
  <c r="AN52" i="24"/>
  <c r="AO52" i="24"/>
  <c r="AP52" i="24"/>
  <c r="AQ52" i="24"/>
  <c r="AR52" i="24"/>
  <c r="AS52" i="24"/>
  <c r="AT52" i="24"/>
  <c r="AU52" i="24"/>
  <c r="AW52" i="24"/>
  <c r="AX52" i="24"/>
  <c r="AY52" i="24"/>
  <c r="AZ52" i="24"/>
  <c r="BA52" i="24"/>
  <c r="BB52" i="24"/>
  <c r="BC52" i="24"/>
  <c r="BD52" i="24"/>
  <c r="BE52" i="24"/>
  <c r="BH52" i="24"/>
  <c r="BI52" i="24"/>
  <c r="BJ52" i="24"/>
  <c r="BK52" i="24"/>
  <c r="BL52" i="24"/>
  <c r="BM52" i="24"/>
  <c r="BN52" i="24"/>
  <c r="BQ52" i="24"/>
  <c r="BR52" i="24"/>
  <c r="BS52" i="24"/>
  <c r="BT52" i="24"/>
  <c r="BU52" i="24"/>
  <c r="A53" i="24"/>
  <c r="B53" i="24"/>
  <c r="C53" i="24"/>
  <c r="E53" i="24"/>
  <c r="F53" i="24"/>
  <c r="G53" i="24"/>
  <c r="H53" i="24"/>
  <c r="I53" i="24"/>
  <c r="J53" i="24"/>
  <c r="K53" i="24"/>
  <c r="L53" i="24"/>
  <c r="O53" i="24"/>
  <c r="P53" i="24"/>
  <c r="R53" i="24"/>
  <c r="S53" i="24"/>
  <c r="T53" i="24"/>
  <c r="U53" i="24"/>
  <c r="V53" i="24"/>
  <c r="W53" i="24"/>
  <c r="X53" i="24"/>
  <c r="Y53" i="24"/>
  <c r="Z53" i="24"/>
  <c r="AA53" i="24"/>
  <c r="AC53" i="24"/>
  <c r="AD53" i="24"/>
  <c r="AE53" i="24"/>
  <c r="AF53" i="24"/>
  <c r="AG53" i="24"/>
  <c r="AH53" i="24"/>
  <c r="AI53" i="24"/>
  <c r="AJ53" i="24"/>
  <c r="AK53" i="24"/>
  <c r="AM53" i="24"/>
  <c r="AN53" i="24"/>
  <c r="AO53" i="24"/>
  <c r="AP53" i="24"/>
  <c r="AQ53" i="24"/>
  <c r="AR53" i="24"/>
  <c r="AS53" i="24"/>
  <c r="AT53" i="24"/>
  <c r="AU53" i="24"/>
  <c r="AW53" i="24"/>
  <c r="AX53" i="24"/>
  <c r="AY53" i="24"/>
  <c r="AZ53" i="24"/>
  <c r="BA53" i="24"/>
  <c r="BB53" i="24"/>
  <c r="BC53" i="24"/>
  <c r="BD53" i="24"/>
  <c r="BE53" i="24"/>
  <c r="BH53" i="24"/>
  <c r="BI53" i="24"/>
  <c r="BJ53" i="24"/>
  <c r="BK53" i="24"/>
  <c r="BL53" i="24"/>
  <c r="BM53" i="24"/>
  <c r="BN53" i="24"/>
  <c r="BQ53" i="24"/>
  <c r="BR53" i="24"/>
  <c r="BS53" i="24"/>
  <c r="BT53" i="24"/>
  <c r="BU53" i="24"/>
  <c r="A54" i="24"/>
  <c r="B54" i="24"/>
  <c r="C54" i="24"/>
  <c r="E54" i="24"/>
  <c r="F54" i="24"/>
  <c r="G54" i="24"/>
  <c r="H54" i="24"/>
  <c r="I54" i="24"/>
  <c r="J54" i="24"/>
  <c r="K54" i="24"/>
  <c r="L54" i="24"/>
  <c r="O54" i="24"/>
  <c r="P54" i="24"/>
  <c r="R54" i="24"/>
  <c r="S54" i="24"/>
  <c r="T54" i="24"/>
  <c r="U54" i="24"/>
  <c r="V54" i="24"/>
  <c r="W54" i="24"/>
  <c r="X54" i="24"/>
  <c r="Y54" i="24"/>
  <c r="Z54" i="24"/>
  <c r="AA54" i="24"/>
  <c r="AC54" i="24"/>
  <c r="AD54" i="24"/>
  <c r="AE54" i="24"/>
  <c r="AF54" i="24"/>
  <c r="AG54" i="24"/>
  <c r="AH54" i="24"/>
  <c r="AI54" i="24"/>
  <c r="AJ54" i="24"/>
  <c r="AK54" i="24"/>
  <c r="AM54" i="24"/>
  <c r="AN54" i="24"/>
  <c r="AO54" i="24"/>
  <c r="AP54" i="24"/>
  <c r="AQ54" i="24"/>
  <c r="AR54" i="24"/>
  <c r="AS54" i="24"/>
  <c r="AT54" i="24"/>
  <c r="AU54" i="24"/>
  <c r="AW54" i="24"/>
  <c r="AX54" i="24"/>
  <c r="AY54" i="24"/>
  <c r="AZ54" i="24"/>
  <c r="BA54" i="24"/>
  <c r="BB54" i="24"/>
  <c r="BC54" i="24"/>
  <c r="BD54" i="24"/>
  <c r="BE54" i="24"/>
  <c r="BH54" i="24"/>
  <c r="BI54" i="24"/>
  <c r="BJ54" i="24"/>
  <c r="BK54" i="24"/>
  <c r="BL54" i="24"/>
  <c r="BM54" i="24"/>
  <c r="BN54" i="24"/>
  <c r="BQ54" i="24"/>
  <c r="BR54" i="24"/>
  <c r="BS54" i="24"/>
  <c r="BT54" i="24"/>
  <c r="BU54" i="24"/>
  <c r="A55" i="24"/>
  <c r="B55" i="24"/>
  <c r="C55" i="24"/>
  <c r="E55" i="24"/>
  <c r="F55" i="24"/>
  <c r="G55" i="24"/>
  <c r="H55" i="24"/>
  <c r="I55" i="24"/>
  <c r="J55" i="24"/>
  <c r="K55" i="24"/>
  <c r="L55" i="24"/>
  <c r="O55" i="24"/>
  <c r="P55" i="24"/>
  <c r="R55" i="24"/>
  <c r="S55" i="24"/>
  <c r="T55" i="24"/>
  <c r="U55" i="24"/>
  <c r="V55" i="24"/>
  <c r="W55" i="24"/>
  <c r="X55" i="24"/>
  <c r="Y55" i="24"/>
  <c r="Z55" i="24"/>
  <c r="AA55" i="24"/>
  <c r="AC55" i="24"/>
  <c r="AD55" i="24"/>
  <c r="AE55" i="24"/>
  <c r="AF55" i="24"/>
  <c r="AG55" i="24"/>
  <c r="AH55" i="24"/>
  <c r="AI55" i="24"/>
  <c r="AJ55" i="24"/>
  <c r="AK55" i="24"/>
  <c r="AM55" i="24"/>
  <c r="AN55" i="24"/>
  <c r="AO55" i="24"/>
  <c r="AP55" i="24"/>
  <c r="AQ55" i="24"/>
  <c r="AR55" i="24"/>
  <c r="AS55" i="24"/>
  <c r="AT55" i="24"/>
  <c r="AU55" i="24"/>
  <c r="AW55" i="24"/>
  <c r="AX55" i="24"/>
  <c r="AY55" i="24"/>
  <c r="AZ55" i="24"/>
  <c r="BA55" i="24"/>
  <c r="BB55" i="24"/>
  <c r="BC55" i="24"/>
  <c r="BD55" i="24"/>
  <c r="BE55" i="24"/>
  <c r="BH55" i="24"/>
  <c r="BI55" i="24"/>
  <c r="BJ55" i="24"/>
  <c r="BK55" i="24"/>
  <c r="BL55" i="24"/>
  <c r="BM55" i="24"/>
  <c r="BN55" i="24"/>
  <c r="BQ55" i="24"/>
  <c r="BR55" i="24"/>
  <c r="BS55" i="24"/>
  <c r="BT55" i="24"/>
  <c r="BU55" i="24"/>
  <c r="A56" i="24"/>
  <c r="B56" i="24"/>
  <c r="C56" i="24"/>
  <c r="E56" i="24"/>
  <c r="F56" i="24"/>
  <c r="G56" i="24"/>
  <c r="H56" i="24"/>
  <c r="I56" i="24"/>
  <c r="J56" i="24"/>
  <c r="K56" i="24"/>
  <c r="L56" i="24"/>
  <c r="O56" i="24"/>
  <c r="P56" i="24"/>
  <c r="R56" i="24"/>
  <c r="S56" i="24"/>
  <c r="T56" i="24"/>
  <c r="U56" i="24"/>
  <c r="V56" i="24"/>
  <c r="W56" i="24"/>
  <c r="X56" i="24"/>
  <c r="Y56" i="24"/>
  <c r="Z56" i="24"/>
  <c r="AA56" i="24"/>
  <c r="AC56" i="24"/>
  <c r="AD56" i="24"/>
  <c r="AE56" i="24"/>
  <c r="AF56" i="24"/>
  <c r="AG56" i="24"/>
  <c r="AH56" i="24"/>
  <c r="AI56" i="24"/>
  <c r="AJ56" i="24"/>
  <c r="AK56" i="24"/>
  <c r="AM56" i="24"/>
  <c r="AN56" i="24"/>
  <c r="AO56" i="24"/>
  <c r="AP56" i="24"/>
  <c r="AQ56" i="24"/>
  <c r="AR56" i="24"/>
  <c r="AS56" i="24"/>
  <c r="AT56" i="24"/>
  <c r="AU56" i="24"/>
  <c r="AW56" i="24"/>
  <c r="AX56" i="24"/>
  <c r="AY56" i="24"/>
  <c r="AZ56" i="24"/>
  <c r="BA56" i="24"/>
  <c r="BB56" i="24"/>
  <c r="BC56" i="24"/>
  <c r="BD56" i="24"/>
  <c r="BE56" i="24"/>
  <c r="BH56" i="24"/>
  <c r="BI56" i="24"/>
  <c r="BJ56" i="24"/>
  <c r="BK56" i="24"/>
  <c r="BL56" i="24"/>
  <c r="BM56" i="24"/>
  <c r="BN56" i="24"/>
  <c r="BQ56" i="24"/>
  <c r="BR56" i="24"/>
  <c r="BS56" i="24"/>
  <c r="BT56" i="24"/>
  <c r="BU56" i="24"/>
  <c r="A57" i="24"/>
  <c r="B57" i="24"/>
  <c r="C57" i="24"/>
  <c r="E57" i="24"/>
  <c r="F57" i="24"/>
  <c r="G57" i="24"/>
  <c r="H57" i="24"/>
  <c r="I57" i="24"/>
  <c r="J57" i="24"/>
  <c r="K57" i="24"/>
  <c r="L57" i="24"/>
  <c r="O57" i="24"/>
  <c r="P57" i="24"/>
  <c r="R57" i="24"/>
  <c r="S57" i="24"/>
  <c r="T57" i="24"/>
  <c r="U57" i="24"/>
  <c r="V57" i="24"/>
  <c r="W57" i="24"/>
  <c r="X57" i="24"/>
  <c r="Y57" i="24"/>
  <c r="Z57" i="24"/>
  <c r="AA57" i="24"/>
  <c r="AC57" i="24"/>
  <c r="AD57" i="24"/>
  <c r="AE57" i="24"/>
  <c r="AF57" i="24"/>
  <c r="AG57" i="24"/>
  <c r="AH57" i="24"/>
  <c r="AI57" i="24"/>
  <c r="AJ57" i="24"/>
  <c r="AK57" i="24"/>
  <c r="AM57" i="24"/>
  <c r="AN57" i="24"/>
  <c r="AO57" i="24"/>
  <c r="AP57" i="24"/>
  <c r="AQ57" i="24"/>
  <c r="AR57" i="24"/>
  <c r="AS57" i="24"/>
  <c r="AT57" i="24"/>
  <c r="AU57" i="24"/>
  <c r="AW57" i="24"/>
  <c r="AX57" i="24"/>
  <c r="AY57" i="24"/>
  <c r="AZ57" i="24"/>
  <c r="BA57" i="24"/>
  <c r="BB57" i="24"/>
  <c r="BC57" i="24"/>
  <c r="BD57" i="24"/>
  <c r="BE57" i="24"/>
  <c r="BH57" i="24"/>
  <c r="BI57" i="24"/>
  <c r="BJ57" i="24"/>
  <c r="BK57" i="24"/>
  <c r="BL57" i="24"/>
  <c r="BM57" i="24"/>
  <c r="BN57" i="24"/>
  <c r="BQ57" i="24"/>
  <c r="BR57" i="24"/>
  <c r="BS57" i="24"/>
  <c r="BT57" i="24"/>
  <c r="BU57" i="24"/>
  <c r="A58" i="24"/>
  <c r="B58" i="24"/>
  <c r="C58" i="24"/>
  <c r="E58" i="24"/>
  <c r="F58" i="24"/>
  <c r="G58" i="24"/>
  <c r="H58" i="24"/>
  <c r="I58" i="24"/>
  <c r="J58" i="24"/>
  <c r="K58" i="24"/>
  <c r="L58" i="24"/>
  <c r="O58" i="24"/>
  <c r="P58" i="24"/>
  <c r="R58" i="24"/>
  <c r="S58" i="24"/>
  <c r="T58" i="24"/>
  <c r="U58" i="24"/>
  <c r="V58" i="24"/>
  <c r="W58" i="24"/>
  <c r="X58" i="24"/>
  <c r="Y58" i="24"/>
  <c r="Z58" i="24"/>
  <c r="AA58" i="24"/>
  <c r="AC58" i="24"/>
  <c r="AD58" i="24"/>
  <c r="AE58" i="24"/>
  <c r="AF58" i="24"/>
  <c r="AG58" i="24"/>
  <c r="AH58" i="24"/>
  <c r="AI58" i="24"/>
  <c r="AJ58" i="24"/>
  <c r="AK58" i="24"/>
  <c r="AM58" i="24"/>
  <c r="AN58" i="24"/>
  <c r="AO58" i="24"/>
  <c r="AP58" i="24"/>
  <c r="AQ58" i="24"/>
  <c r="AR58" i="24"/>
  <c r="AS58" i="24"/>
  <c r="AT58" i="24"/>
  <c r="AU58" i="24"/>
  <c r="AW58" i="24"/>
  <c r="AX58" i="24"/>
  <c r="AY58" i="24"/>
  <c r="AZ58" i="24"/>
  <c r="BA58" i="24"/>
  <c r="BB58" i="24"/>
  <c r="BC58" i="24"/>
  <c r="BD58" i="24"/>
  <c r="BE58" i="24"/>
  <c r="BH58" i="24"/>
  <c r="BI58" i="24"/>
  <c r="BJ58" i="24"/>
  <c r="BK58" i="24"/>
  <c r="BL58" i="24"/>
  <c r="BM58" i="24"/>
  <c r="BN58" i="24"/>
  <c r="BQ58" i="24"/>
  <c r="BR58" i="24"/>
  <c r="BS58" i="24"/>
  <c r="BT58" i="24"/>
  <c r="BU58" i="24"/>
  <c r="A59" i="24"/>
  <c r="B59" i="24"/>
  <c r="C59" i="24"/>
  <c r="E59" i="24"/>
  <c r="F59" i="24"/>
  <c r="G59" i="24"/>
  <c r="H59" i="24"/>
  <c r="I59" i="24"/>
  <c r="J59" i="24"/>
  <c r="K59" i="24"/>
  <c r="L59" i="24"/>
  <c r="O59" i="24"/>
  <c r="P59" i="24"/>
  <c r="R59" i="24"/>
  <c r="S59" i="24"/>
  <c r="T59" i="24"/>
  <c r="U59" i="24"/>
  <c r="V59" i="24"/>
  <c r="W59" i="24"/>
  <c r="X59" i="24"/>
  <c r="Y59" i="24"/>
  <c r="Z59" i="24"/>
  <c r="AA59" i="24"/>
  <c r="AC59" i="24"/>
  <c r="AD59" i="24"/>
  <c r="AE59" i="24"/>
  <c r="AF59" i="24"/>
  <c r="AG59" i="24"/>
  <c r="AH59" i="24"/>
  <c r="AI59" i="24"/>
  <c r="AJ59" i="24"/>
  <c r="AK59" i="24"/>
  <c r="AM59" i="24"/>
  <c r="AN59" i="24"/>
  <c r="AO59" i="24"/>
  <c r="AP59" i="24"/>
  <c r="AQ59" i="24"/>
  <c r="AR59" i="24"/>
  <c r="AS59" i="24"/>
  <c r="AT59" i="24"/>
  <c r="AU59" i="24"/>
  <c r="AW59" i="24"/>
  <c r="AX59" i="24"/>
  <c r="AY59" i="24"/>
  <c r="AZ59" i="24"/>
  <c r="BA59" i="24"/>
  <c r="BB59" i="24"/>
  <c r="BC59" i="24"/>
  <c r="BD59" i="24"/>
  <c r="BE59" i="24"/>
  <c r="BH59" i="24"/>
  <c r="BI59" i="24"/>
  <c r="BJ59" i="24"/>
  <c r="BK59" i="24"/>
  <c r="BL59" i="24"/>
  <c r="BM59" i="24"/>
  <c r="BN59" i="24"/>
  <c r="BQ59" i="24"/>
  <c r="BR59" i="24"/>
  <c r="BS59" i="24"/>
  <c r="BT59" i="24"/>
  <c r="BU59" i="24"/>
  <c r="A60" i="24"/>
  <c r="B60" i="24"/>
  <c r="C60" i="24"/>
  <c r="E60" i="24"/>
  <c r="F60" i="24"/>
  <c r="G60" i="24"/>
  <c r="H60" i="24"/>
  <c r="I60" i="24"/>
  <c r="J60" i="24"/>
  <c r="K60" i="24"/>
  <c r="L60" i="24"/>
  <c r="O60" i="24"/>
  <c r="P60" i="24"/>
  <c r="R60" i="24"/>
  <c r="S60" i="24"/>
  <c r="T60" i="24"/>
  <c r="U60" i="24"/>
  <c r="V60" i="24"/>
  <c r="W60" i="24"/>
  <c r="X60" i="24"/>
  <c r="Y60" i="24"/>
  <c r="Z60" i="24"/>
  <c r="AA60" i="24"/>
  <c r="AC60" i="24"/>
  <c r="AD60" i="24"/>
  <c r="AE60" i="24"/>
  <c r="AF60" i="24"/>
  <c r="AG60" i="24"/>
  <c r="AH60" i="24"/>
  <c r="AI60" i="24"/>
  <c r="AJ60" i="24"/>
  <c r="AK60" i="24"/>
  <c r="AM60" i="24"/>
  <c r="AN60" i="24"/>
  <c r="AO60" i="24"/>
  <c r="AP60" i="24"/>
  <c r="AQ60" i="24"/>
  <c r="AR60" i="24"/>
  <c r="AS60" i="24"/>
  <c r="AT60" i="24"/>
  <c r="AU60" i="24"/>
  <c r="AW60" i="24"/>
  <c r="AX60" i="24"/>
  <c r="AY60" i="24"/>
  <c r="AZ60" i="24"/>
  <c r="BA60" i="24"/>
  <c r="BB60" i="24"/>
  <c r="BC60" i="24"/>
  <c r="BD60" i="24"/>
  <c r="BE60" i="24"/>
  <c r="BH60" i="24"/>
  <c r="BI60" i="24"/>
  <c r="BJ60" i="24"/>
  <c r="BK60" i="24"/>
  <c r="BL60" i="24"/>
  <c r="BM60" i="24"/>
  <c r="BN60" i="24"/>
  <c r="BQ60" i="24"/>
  <c r="BR60" i="24"/>
  <c r="BS60" i="24"/>
  <c r="BT60" i="24"/>
  <c r="BU60" i="24"/>
  <c r="A61" i="24"/>
  <c r="B61" i="24"/>
  <c r="C61" i="24"/>
  <c r="E61" i="24"/>
  <c r="F61" i="24"/>
  <c r="G61" i="24"/>
  <c r="H61" i="24"/>
  <c r="I61" i="24"/>
  <c r="J61" i="24"/>
  <c r="K61" i="24"/>
  <c r="L61" i="24"/>
  <c r="O61" i="24"/>
  <c r="P61" i="24"/>
  <c r="R61" i="24"/>
  <c r="S61" i="24"/>
  <c r="T61" i="24"/>
  <c r="U61" i="24"/>
  <c r="V61" i="24"/>
  <c r="W61" i="24"/>
  <c r="X61" i="24"/>
  <c r="Y61" i="24"/>
  <c r="Z61" i="24"/>
  <c r="AA61" i="24"/>
  <c r="AC61" i="24"/>
  <c r="AD61" i="24"/>
  <c r="AE61" i="24"/>
  <c r="AF61" i="24"/>
  <c r="AG61" i="24"/>
  <c r="AH61" i="24"/>
  <c r="AI61" i="24"/>
  <c r="AJ61" i="24"/>
  <c r="AK61" i="24"/>
  <c r="AM61" i="24"/>
  <c r="AN61" i="24"/>
  <c r="AO61" i="24"/>
  <c r="AP61" i="24"/>
  <c r="AQ61" i="24"/>
  <c r="AR61" i="24"/>
  <c r="AS61" i="24"/>
  <c r="AT61" i="24"/>
  <c r="AU61" i="24"/>
  <c r="AW61" i="24"/>
  <c r="AX61" i="24"/>
  <c r="AY61" i="24"/>
  <c r="AZ61" i="24"/>
  <c r="BA61" i="24"/>
  <c r="BB61" i="24"/>
  <c r="BC61" i="24"/>
  <c r="BD61" i="24"/>
  <c r="BE61" i="24"/>
  <c r="BH61" i="24"/>
  <c r="BI61" i="24"/>
  <c r="BJ61" i="24"/>
  <c r="BK61" i="24"/>
  <c r="BL61" i="24"/>
  <c r="BM61" i="24"/>
  <c r="BN61" i="24"/>
  <c r="BQ61" i="24"/>
  <c r="BR61" i="24"/>
  <c r="BS61" i="24"/>
  <c r="BT61" i="24"/>
  <c r="BU61" i="24"/>
  <c r="A62" i="24"/>
  <c r="B62" i="24"/>
  <c r="C62" i="24"/>
  <c r="E62" i="24"/>
  <c r="F62" i="24"/>
  <c r="G62" i="24"/>
  <c r="H62" i="24"/>
  <c r="I62" i="24"/>
  <c r="J62" i="24"/>
  <c r="K62" i="24"/>
  <c r="L62" i="24"/>
  <c r="O62" i="24"/>
  <c r="P62" i="24"/>
  <c r="R62" i="24"/>
  <c r="S62" i="24"/>
  <c r="T62" i="24"/>
  <c r="U62" i="24"/>
  <c r="V62" i="24"/>
  <c r="W62" i="24"/>
  <c r="X62" i="24"/>
  <c r="Y62" i="24"/>
  <c r="Z62" i="24"/>
  <c r="AA62" i="24"/>
  <c r="AC62" i="24"/>
  <c r="AD62" i="24"/>
  <c r="AE62" i="24"/>
  <c r="AF62" i="24"/>
  <c r="AG62" i="24"/>
  <c r="AH62" i="24"/>
  <c r="AI62" i="24"/>
  <c r="AJ62" i="24"/>
  <c r="AK62" i="24"/>
  <c r="AM62" i="24"/>
  <c r="AN62" i="24"/>
  <c r="AO62" i="24"/>
  <c r="AP62" i="24"/>
  <c r="AQ62" i="24"/>
  <c r="AR62" i="24"/>
  <c r="AS62" i="24"/>
  <c r="AT62" i="24"/>
  <c r="AU62" i="24"/>
  <c r="AW62" i="24"/>
  <c r="AX62" i="24"/>
  <c r="AY62" i="24"/>
  <c r="AZ62" i="24"/>
  <c r="BA62" i="24"/>
  <c r="BB62" i="24"/>
  <c r="BC62" i="24"/>
  <c r="BD62" i="24"/>
  <c r="BE62" i="24"/>
  <c r="BH62" i="24"/>
  <c r="BI62" i="24"/>
  <c r="BJ62" i="24"/>
  <c r="BK62" i="24"/>
  <c r="BL62" i="24"/>
  <c r="BM62" i="24"/>
  <c r="BN62" i="24"/>
  <c r="BQ62" i="24"/>
  <c r="BR62" i="24"/>
  <c r="BS62" i="24"/>
  <c r="BT62" i="24"/>
  <c r="BU62" i="24"/>
  <c r="A63" i="24"/>
  <c r="B63" i="24"/>
  <c r="C63" i="24"/>
  <c r="E63" i="24"/>
  <c r="F63" i="24"/>
  <c r="G63" i="24"/>
  <c r="H63" i="24"/>
  <c r="I63" i="24"/>
  <c r="J63" i="24"/>
  <c r="K63" i="24"/>
  <c r="L63" i="24"/>
  <c r="O63" i="24"/>
  <c r="P63" i="24"/>
  <c r="R63" i="24"/>
  <c r="S63" i="24"/>
  <c r="T63" i="24"/>
  <c r="U63" i="24"/>
  <c r="V63" i="24"/>
  <c r="W63" i="24"/>
  <c r="X63" i="24"/>
  <c r="Y63" i="24"/>
  <c r="Z63" i="24"/>
  <c r="AA63" i="24"/>
  <c r="AC63" i="24"/>
  <c r="AD63" i="24"/>
  <c r="AE63" i="24"/>
  <c r="AF63" i="24"/>
  <c r="AG63" i="24"/>
  <c r="AH63" i="24"/>
  <c r="AI63" i="24"/>
  <c r="AJ63" i="24"/>
  <c r="AK63" i="24"/>
  <c r="AM63" i="24"/>
  <c r="AN63" i="24"/>
  <c r="AO63" i="24"/>
  <c r="AP63" i="24"/>
  <c r="AQ63" i="24"/>
  <c r="AR63" i="24"/>
  <c r="AS63" i="24"/>
  <c r="AT63" i="24"/>
  <c r="AU63" i="24"/>
  <c r="AW63" i="24"/>
  <c r="AX63" i="24"/>
  <c r="AY63" i="24"/>
  <c r="AZ63" i="24"/>
  <c r="BA63" i="24"/>
  <c r="BB63" i="24"/>
  <c r="BC63" i="24"/>
  <c r="BD63" i="24"/>
  <c r="BE63" i="24"/>
  <c r="BH63" i="24"/>
  <c r="BI63" i="24"/>
  <c r="BJ63" i="24"/>
  <c r="BK63" i="24"/>
  <c r="BL63" i="24"/>
  <c r="BM63" i="24"/>
  <c r="BN63" i="24"/>
  <c r="BQ63" i="24"/>
  <c r="BR63" i="24"/>
  <c r="BS63" i="24"/>
  <c r="BT63" i="24"/>
  <c r="BU63" i="24"/>
  <c r="A64" i="24"/>
  <c r="B64" i="24"/>
  <c r="C64" i="24"/>
  <c r="E64" i="24"/>
  <c r="F64" i="24"/>
  <c r="G64" i="24"/>
  <c r="H64" i="24"/>
  <c r="I64" i="24"/>
  <c r="J64" i="24"/>
  <c r="K64" i="24"/>
  <c r="L64" i="24"/>
  <c r="O64" i="24"/>
  <c r="P64" i="24"/>
  <c r="R64" i="24"/>
  <c r="S64" i="24"/>
  <c r="T64" i="24"/>
  <c r="U64" i="24"/>
  <c r="V64" i="24"/>
  <c r="W64" i="24"/>
  <c r="X64" i="24"/>
  <c r="Y64" i="24"/>
  <c r="Z64" i="24"/>
  <c r="AA64" i="24"/>
  <c r="AC64" i="24"/>
  <c r="AD64" i="24"/>
  <c r="AE64" i="24"/>
  <c r="AF64" i="24"/>
  <c r="AG64" i="24"/>
  <c r="AH64" i="24"/>
  <c r="AI64" i="24"/>
  <c r="AJ64" i="24"/>
  <c r="AK64" i="24"/>
  <c r="AM64" i="24"/>
  <c r="AN64" i="24"/>
  <c r="AO64" i="24"/>
  <c r="AP64" i="24"/>
  <c r="AQ64" i="24"/>
  <c r="AR64" i="24"/>
  <c r="AS64" i="24"/>
  <c r="AT64" i="24"/>
  <c r="AU64" i="24"/>
  <c r="AW64" i="24"/>
  <c r="AX64" i="24"/>
  <c r="AY64" i="24"/>
  <c r="AZ64" i="24"/>
  <c r="BA64" i="24"/>
  <c r="BB64" i="24"/>
  <c r="BC64" i="24"/>
  <c r="BD64" i="24"/>
  <c r="BE64" i="24"/>
  <c r="BH64" i="24"/>
  <c r="BI64" i="24"/>
  <c r="BJ64" i="24"/>
  <c r="BK64" i="24"/>
  <c r="BL64" i="24"/>
  <c r="BM64" i="24"/>
  <c r="BN64" i="24"/>
  <c r="BQ64" i="24"/>
  <c r="BR64" i="24"/>
  <c r="BS64" i="24"/>
  <c r="BT64" i="24"/>
  <c r="BU64" i="24"/>
  <c r="A65" i="24"/>
  <c r="B65" i="24"/>
  <c r="C65" i="24"/>
  <c r="E65" i="24"/>
  <c r="F65" i="24"/>
  <c r="G65" i="24"/>
  <c r="H65" i="24"/>
  <c r="I65" i="24"/>
  <c r="J65" i="24"/>
  <c r="K65" i="24"/>
  <c r="L65" i="24"/>
  <c r="O65" i="24"/>
  <c r="P65" i="24"/>
  <c r="R65" i="24"/>
  <c r="S65" i="24"/>
  <c r="T65" i="24"/>
  <c r="U65" i="24"/>
  <c r="V65" i="24"/>
  <c r="W65" i="24"/>
  <c r="X65" i="24"/>
  <c r="Y65" i="24"/>
  <c r="Z65" i="24"/>
  <c r="AA65" i="24"/>
  <c r="AC65" i="24"/>
  <c r="AD65" i="24"/>
  <c r="AE65" i="24"/>
  <c r="AF65" i="24"/>
  <c r="AG65" i="24"/>
  <c r="AH65" i="24"/>
  <c r="AI65" i="24"/>
  <c r="AJ65" i="24"/>
  <c r="AK65" i="24"/>
  <c r="AM65" i="24"/>
  <c r="AN65" i="24"/>
  <c r="AO65" i="24"/>
  <c r="AP65" i="24"/>
  <c r="AQ65" i="24"/>
  <c r="AR65" i="24"/>
  <c r="AS65" i="24"/>
  <c r="AT65" i="24"/>
  <c r="AU65" i="24"/>
  <c r="AW65" i="24"/>
  <c r="AX65" i="24"/>
  <c r="AY65" i="24"/>
  <c r="AZ65" i="24"/>
  <c r="BA65" i="24"/>
  <c r="BB65" i="24"/>
  <c r="BC65" i="24"/>
  <c r="BD65" i="24"/>
  <c r="BE65" i="24"/>
  <c r="BH65" i="24"/>
  <c r="BI65" i="24"/>
  <c r="BJ65" i="24"/>
  <c r="BK65" i="24"/>
  <c r="BL65" i="24"/>
  <c r="BM65" i="24"/>
  <c r="BN65" i="24"/>
  <c r="BQ65" i="24"/>
  <c r="BR65" i="24"/>
  <c r="BS65" i="24"/>
  <c r="BT65" i="24"/>
  <c r="BU65" i="24"/>
  <c r="A66" i="24"/>
  <c r="B66" i="24"/>
  <c r="C66" i="24"/>
  <c r="E66" i="24"/>
  <c r="F66" i="24"/>
  <c r="G66" i="24"/>
  <c r="H66" i="24"/>
  <c r="I66" i="24"/>
  <c r="J66" i="24"/>
  <c r="K66" i="24"/>
  <c r="L66" i="24"/>
  <c r="O66" i="24"/>
  <c r="P66" i="24"/>
  <c r="R66" i="24"/>
  <c r="S66" i="24"/>
  <c r="T66" i="24"/>
  <c r="U66" i="24"/>
  <c r="V66" i="24"/>
  <c r="W66" i="24"/>
  <c r="X66" i="24"/>
  <c r="Y66" i="24"/>
  <c r="Z66" i="24"/>
  <c r="AA66" i="24"/>
  <c r="AC66" i="24"/>
  <c r="AD66" i="24"/>
  <c r="AE66" i="24"/>
  <c r="AF66" i="24"/>
  <c r="AG66" i="24"/>
  <c r="AH66" i="24"/>
  <c r="AI66" i="24"/>
  <c r="AJ66" i="24"/>
  <c r="AK66" i="24"/>
  <c r="AM66" i="24"/>
  <c r="AN66" i="24"/>
  <c r="AO66" i="24"/>
  <c r="AP66" i="24"/>
  <c r="AQ66" i="24"/>
  <c r="AR66" i="24"/>
  <c r="AS66" i="24"/>
  <c r="AT66" i="24"/>
  <c r="AU66" i="24"/>
  <c r="AW66" i="24"/>
  <c r="AX66" i="24"/>
  <c r="AY66" i="24"/>
  <c r="AZ66" i="24"/>
  <c r="BA66" i="24"/>
  <c r="BB66" i="24"/>
  <c r="BC66" i="24"/>
  <c r="BD66" i="24"/>
  <c r="BE66" i="24"/>
  <c r="BH66" i="24"/>
  <c r="BI66" i="24"/>
  <c r="BJ66" i="24"/>
  <c r="BK66" i="24"/>
  <c r="BL66" i="24"/>
  <c r="BM66" i="24"/>
  <c r="BN66" i="24"/>
  <c r="BQ66" i="24"/>
  <c r="BR66" i="24"/>
  <c r="BS66" i="24"/>
  <c r="BT66" i="24"/>
  <c r="BU66" i="24"/>
  <c r="A67" i="24"/>
  <c r="B67" i="24"/>
  <c r="C67" i="24"/>
  <c r="E67" i="24"/>
  <c r="F67" i="24"/>
  <c r="G67" i="24"/>
  <c r="H67" i="24"/>
  <c r="I67" i="24"/>
  <c r="J67" i="24"/>
  <c r="K67" i="24"/>
  <c r="L67" i="24"/>
  <c r="O67" i="24"/>
  <c r="P67" i="24"/>
  <c r="R67" i="24"/>
  <c r="S67" i="24"/>
  <c r="T67" i="24"/>
  <c r="U67" i="24"/>
  <c r="V67" i="24"/>
  <c r="W67" i="24"/>
  <c r="X67" i="24"/>
  <c r="Y67" i="24"/>
  <c r="Z67" i="24"/>
  <c r="AA67" i="24"/>
  <c r="AC67" i="24"/>
  <c r="AD67" i="24"/>
  <c r="AE67" i="24"/>
  <c r="AF67" i="24"/>
  <c r="AG67" i="24"/>
  <c r="AH67" i="24"/>
  <c r="AI67" i="24"/>
  <c r="AJ67" i="24"/>
  <c r="AK67" i="24"/>
  <c r="AM67" i="24"/>
  <c r="AN67" i="24"/>
  <c r="AO67" i="24"/>
  <c r="AP67" i="24"/>
  <c r="AQ67" i="24"/>
  <c r="AR67" i="24"/>
  <c r="AS67" i="24"/>
  <c r="AT67" i="24"/>
  <c r="AU67" i="24"/>
  <c r="AW67" i="24"/>
  <c r="AX67" i="24"/>
  <c r="AY67" i="24"/>
  <c r="AZ67" i="24"/>
  <c r="BA67" i="24"/>
  <c r="BB67" i="24"/>
  <c r="BC67" i="24"/>
  <c r="BD67" i="24"/>
  <c r="BE67" i="24"/>
  <c r="BH67" i="24"/>
  <c r="BI67" i="24"/>
  <c r="BJ67" i="24"/>
  <c r="BK67" i="24"/>
  <c r="BL67" i="24"/>
  <c r="BM67" i="24"/>
  <c r="BN67" i="24"/>
  <c r="BQ67" i="24"/>
  <c r="BR67" i="24"/>
  <c r="BS67" i="24"/>
  <c r="BT67" i="24"/>
  <c r="BU67" i="24"/>
  <c r="A68" i="24"/>
  <c r="AC68" i="24"/>
  <c r="AM68" i="24"/>
  <c r="AW68" i="24"/>
  <c r="B1" i="32"/>
  <c r="C1" i="32"/>
  <c r="D1" i="32"/>
  <c r="E1" i="32"/>
  <c r="F1" i="32"/>
  <c r="G1" i="32"/>
  <c r="H1" i="32"/>
  <c r="I1" i="32"/>
  <c r="J1" i="32"/>
  <c r="K1" i="32"/>
  <c r="L1" i="32"/>
  <c r="M1" i="32"/>
  <c r="N1" i="32"/>
  <c r="O1" i="32"/>
  <c r="P1" i="32"/>
  <c r="Q1" i="32"/>
  <c r="R1" i="32"/>
  <c r="S1" i="32"/>
  <c r="T1" i="32"/>
  <c r="U1" i="32"/>
  <c r="V1" i="32"/>
  <c r="W1" i="32"/>
  <c r="X1" i="32"/>
  <c r="Y1" i="32"/>
  <c r="Z1" i="32"/>
  <c r="AA1" i="32"/>
  <c r="AB1" i="32"/>
  <c r="AC1" i="32"/>
  <c r="AD1" i="32"/>
  <c r="AE1" i="32"/>
  <c r="AF1" i="32"/>
  <c r="AG1" i="32"/>
  <c r="AH1" i="32"/>
  <c r="AI1" i="32"/>
  <c r="AJ1" i="32"/>
  <c r="AK1" i="32"/>
  <c r="AL1" i="32"/>
  <c r="AM1" i="32"/>
  <c r="AN1" i="32"/>
  <c r="AO1" i="32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Z2" i="32"/>
  <c r="AA2" i="32"/>
  <c r="AB2" i="32"/>
  <c r="AC2" i="32"/>
  <c r="AD2" i="32"/>
  <c r="AE2" i="32"/>
  <c r="AF2" i="32"/>
  <c r="AG2" i="32"/>
  <c r="AH2" i="32"/>
  <c r="AI2" i="32"/>
  <c r="AJ2" i="32"/>
  <c r="AK2" i="32"/>
  <c r="AL2" i="32"/>
  <c r="AM2" i="32"/>
  <c r="AN2" i="32"/>
  <c r="AO2" i="32"/>
</calcChain>
</file>

<file path=xl/sharedStrings.xml><?xml version="1.0" encoding="utf-8"?>
<sst xmlns="http://schemas.openxmlformats.org/spreadsheetml/2006/main" count="1255" uniqueCount="242">
  <si>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</si>
  <si>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</si>
  <si>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</si>
  <si>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</si>
  <si>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</si>
  <si>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</si>
  <si>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</si>
  <si>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</si>
  <si>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</si>
  <si>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</si>
  <si>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</si>
  <si>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</si>
  <si>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</si>
  <si>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</si>
  <si>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</si>
  <si>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</si>
  <si>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</si>
  <si>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</si>
  <si>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</si>
  <si>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</si>
  <si>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</si>
  <si>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</si>
  <si>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</si>
  <si>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</si>
  <si>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</si>
  <si>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</si>
  <si>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adj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</si>
  <si>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</si>
  <si>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</si>
  <si>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</si>
  <si>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</si>
  <si>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</si>
  <si>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</si>
  <si>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</si>
  <si>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</si>
  <si>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</si>
  <si>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</si>
  <si>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</si>
  <si>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</si>
  <si>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</si>
  <si>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</si>
  <si>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</si>
  <si>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</si>
  <si>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</si>
  <si>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0=NO, 1=YES</t>
  </si>
  <si>
    <t>CUSTOM</t>
  </si>
  <si>
    <t>VOLUME</t>
  </si>
  <si>
    <t>basis on off</t>
  </si>
  <si>
    <t>month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</si>
  <si>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</si>
  <si>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</si>
  <si>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</si>
  <si>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</si>
  <si>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</si>
  <si>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</si>
  <si>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</si>
  <si>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</si>
  <si>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</si>
  <si>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XH</t>
  </si>
  <si>
    <t>telerate settle</t>
  </si>
  <si>
    <t>SWAPTION VOL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</si>
  <si>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</si>
  <si>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</si>
  <si>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</si>
  <si>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</si>
  <si>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</si>
  <si>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</si>
  <si>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</si>
  <si>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</si>
  <si>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</si>
  <si>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</si>
  <si>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</si>
  <si>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</si>
  <si>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</si>
  <si>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</si>
  <si>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</si>
  <si>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</si>
  <si>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</si>
  <si>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</si>
  <si>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</si>
  <si>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</si>
  <si>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</si>
  <si>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</si>
  <si>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</si>
  <si>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</si>
  <si>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</si>
  <si>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</si>
  <si>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</si>
  <si>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</si>
  <si>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</si>
  <si>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</si>
  <si>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</si>
  <si>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</si>
  <si>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</si>
  <si>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</si>
  <si>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</si>
  <si>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</si>
  <si>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</si>
  <si>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</si>
  <si>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</si>
  <si>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</si>
  <si>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</si>
  <si>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</si>
  <si>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</si>
  <si>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</si>
  <si>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IF-WAHA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</si>
  <si>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</si>
  <si>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</si>
  <si>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</si>
  <si>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</si>
  <si>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</si>
  <si>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</si>
  <si>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</si>
  <si>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</si>
  <si>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</si>
  <si>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</si>
  <si>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CORRELATION</t>
  </si>
  <si>
    <t>VOL1</t>
  </si>
  <si>
    <t>VOL2</t>
  </si>
  <si>
    <t>STRIKE</t>
  </si>
  <si>
    <t>VOL PERCENTAGE 1</t>
  </si>
  <si>
    <t>BASIS ADJ</t>
  </si>
  <si>
    <t>DAYS ADJ</t>
  </si>
  <si>
    <t>NYMEX SWAP</t>
  </si>
  <si>
    <t>SKEW 1</t>
  </si>
  <si>
    <t>SKEW 2</t>
  </si>
  <si>
    <t>OPT TYPE</t>
  </si>
  <si>
    <t>CAL 1</t>
  </si>
  <si>
    <t>CAL 2</t>
  </si>
  <si>
    <t>SKEW</t>
  </si>
  <si>
    <t>CAL 3</t>
  </si>
  <si>
    <t>CAL 4</t>
  </si>
  <si>
    <t>J-V</t>
  </si>
  <si>
    <t>ADJ</t>
  </si>
  <si>
    <t>STRADDLE</t>
  </si>
  <si>
    <t>BASIS SWAP</t>
  </si>
  <si>
    <t>AVG. EURO VOL</t>
  </si>
  <si>
    <t>NYMEX OPT EXP</t>
  </si>
  <si>
    <t>NYMEX EXP</t>
  </si>
  <si>
    <t>ACTUAL EXP</t>
  </si>
  <si>
    <t>ADJ VOL</t>
  </si>
  <si>
    <t>SWAP VOL MULTIPLE</t>
  </si>
  <si>
    <t>0PT 3</t>
  </si>
  <si>
    <t>INT RATE</t>
  </si>
  <si>
    <t>nymex</t>
  </si>
  <si>
    <t>xh</t>
  </si>
  <si>
    <t>MV</t>
  </si>
  <si>
    <t>JV01</t>
  </si>
  <si>
    <t>XH02</t>
  </si>
  <si>
    <t>CAL2</t>
  </si>
  <si>
    <t>CAL3</t>
  </si>
  <si>
    <t>CAL4</t>
  </si>
  <si>
    <t>Risk Type</t>
  </si>
  <si>
    <t>NGI/CHI.GATE</t>
  </si>
  <si>
    <t>IF-HPL/HSC</t>
  </si>
  <si>
    <t>DJ/BASIN/WEST</t>
  </si>
  <si>
    <t>KNX1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</si>
  <si>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</si>
  <si>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</si>
  <si>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</si>
  <si>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</si>
  <si>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</si>
  <si>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</si>
  <si>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</si>
  <si>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</si>
  <si>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</si>
  <si>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</si>
  <si>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</si>
  <si>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</si>
  <si>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</si>
  <si>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</si>
  <si>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</si>
  <si>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</si>
  <si>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</si>
  <si>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last</t>
  </si>
  <si>
    <t>\</t>
  </si>
  <si>
    <t>OPT2</t>
  </si>
  <si>
    <t>OPT3</t>
  </si>
  <si>
    <t>OPT4</t>
  </si>
  <si>
    <t>SWAP1</t>
  </si>
  <si>
    <t>SWAP2</t>
  </si>
  <si>
    <t>CORE ADJ</t>
  </si>
  <si>
    <t>CORRE</t>
  </si>
  <si>
    <t>IF-TETCO/M3</t>
  </si>
  <si>
    <t>FIRST DAY</t>
  </si>
  <si>
    <t>LAST DAY</t>
  </si>
  <si>
    <t>PRICING DAY</t>
  </si>
  <si>
    <t>vol1</t>
  </si>
  <si>
    <t>vol2</t>
  </si>
  <si>
    <t>NGI-MALIN</t>
  </si>
  <si>
    <t>x1h2</t>
  </si>
  <si>
    <t>vega</t>
  </si>
  <si>
    <t>if-hehub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</si>
  <si>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</si>
  <si>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</si>
  <si>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</si>
  <si>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</si>
  <si>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</si>
  <si>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</si>
  <si>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</si>
  <si>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</si>
  <si>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</si>
  <si>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SWAP B(NYMEX)</t>
  </si>
  <si>
    <t>SWAP B ADJ(NYMEX)</t>
  </si>
  <si>
    <t>VOL A ADJ</t>
  </si>
  <si>
    <t>VOL B ADJ</t>
  </si>
  <si>
    <t>DELTA A</t>
  </si>
  <si>
    <t>DELTA B</t>
  </si>
  <si>
    <t>GAMMA A</t>
  </si>
  <si>
    <t>GAMMA B</t>
  </si>
  <si>
    <t>VEGA A</t>
  </si>
  <si>
    <t>VEGA B</t>
  </si>
  <si>
    <t>ETA</t>
  </si>
  <si>
    <t>jv</t>
  </si>
  <si>
    <t>NG DELTA</t>
  </si>
  <si>
    <t>NG GAMMA</t>
  </si>
  <si>
    <t>NG VEGA</t>
  </si>
  <si>
    <t>IF-WAHA-TX</t>
  </si>
  <si>
    <t>GDM-DAWN</t>
  </si>
  <si>
    <t>MICH/CONS</t>
  </si>
  <si>
    <t>if-waha-tx</t>
  </si>
  <si>
    <t>u</t>
  </si>
  <si>
    <t>v</t>
  </si>
  <si>
    <t>PIPE</t>
  </si>
  <si>
    <t>MONTH1</t>
  </si>
  <si>
    <t>MONTH2</t>
  </si>
  <si>
    <t>VOL CHANGE</t>
  </si>
  <si>
    <t>ANR/ML7-GDM</t>
  </si>
  <si>
    <t>EXT</t>
  </si>
  <si>
    <t>Swap  1</t>
  </si>
  <si>
    <t>Swap  2</t>
  </si>
  <si>
    <t>Months x</t>
  </si>
  <si>
    <t xml:space="preserve">Months </t>
  </si>
  <si>
    <t>Strike</t>
  </si>
  <si>
    <t>EXP</t>
  </si>
  <si>
    <t>PC</t>
  </si>
  <si>
    <t>VALUE</t>
  </si>
  <si>
    <t>interest y/n</t>
  </si>
  <si>
    <t>disc1</t>
  </si>
  <si>
    <t>disc2</t>
  </si>
  <si>
    <t>yes</t>
  </si>
  <si>
    <t>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</si>
</sst>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7" formatCode="0.000"/>
    <numFmt numFmtId="169" formatCode="0.000%"/>
    <numFmt numFmtId="170" formatCode="&quot;$&quot;#,##0"/>
    <numFmt numFmtId="172" formatCode="0.0000"/>
    <numFmt numFmtId="179" formatCode="_(* #,##0.000_);_(* \(#,##0.000\);_(* &quot;-&quot;??_);_(@_)"/>
    <numFmt numFmtId="186" formatCode="0.00000"/>
    <numFmt numFmtId="191" formatCode="0.0000_);[Red]\(0.0000\)"/>
    <numFmt numFmtId="192" formatCode="0.0000%"/>
    <numFmt numFmtId="193" formatCode="mmm\-yyyy"/>
    <numFmt numFmtId="194" formatCode="mmm\-yy_)"/>
    <numFmt numFmtId="195" formatCode="0.00_)"/>
    <numFmt numFmtId="196" formatCode="dd\-mmm\-yy"/>
    <numFmt numFmtId="200" formatCode="0.000_);[Red]\(0.000\)"/>
    <numFmt numFmtId="201" formatCode="0.00_);[Red]\(0.00\)"/>
    <numFmt numFmtId="202" formatCode="#,##0.000_);[Red]\(#,##0.000\)"/>
    <numFmt numFmtId="204" formatCode="0.00000_);[Red]\(0.00000\)"/>
  </numFmts>
  <fonts count="48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sz val="10"/>
      <name val="Arial"/>
      <family val="2"/>
    </font>
    <font>
      <sz val="10"/>
      <color indexed="56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8.5"/>
      <name val="MS Sans Serif"/>
      <family val="2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name val="MS Sans Serif"/>
    </font>
    <font>
      <b/>
      <sz val="10"/>
      <color indexed="10"/>
      <name val="MS Sans Serif"/>
      <family val="2"/>
    </font>
    <font>
      <b/>
      <sz val="10"/>
      <color indexed="10"/>
      <name val="MS Sans Serif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sz val="11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</cellStyleXfs>
  <cellXfs count="260">
    <xf numFmtId="0" fontId="0" fillId="0" borderId="0" xfId="0"/>
    <xf numFmtId="37" fontId="4" fillId="0" borderId="0" xfId="2" applyNumberFormat="1" applyFont="1" applyFill="1" applyBorder="1" applyProtection="1"/>
    <xf numFmtId="0" fontId="6" fillId="0" borderId="0" xfId="2" applyFont="1"/>
    <xf numFmtId="0" fontId="7" fillId="0" borderId="0" xfId="0" applyFont="1"/>
    <xf numFmtId="0" fontId="6" fillId="0" borderId="1" xfId="2" applyFont="1" applyBorder="1" applyAlignment="1">
      <alignment horizontal="centerContinuous"/>
    </xf>
    <xf numFmtId="0" fontId="6" fillId="0" borderId="2" xfId="2" applyFont="1" applyBorder="1" applyAlignment="1">
      <alignment horizontal="centerContinuous"/>
    </xf>
    <xf numFmtId="0" fontId="6" fillId="0" borderId="0" xfId="2" applyFont="1" applyBorder="1" applyAlignment="1">
      <alignment horizontal="centerContinuous"/>
    </xf>
    <xf numFmtId="0" fontId="6" fillId="0" borderId="3" xfId="2" applyFont="1" applyBorder="1" applyAlignment="1">
      <alignment horizontal="centerContinuous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6" fillId="0" borderId="0" xfId="2" applyFont="1" applyFill="1" applyBorder="1" applyAlignment="1">
      <alignment horizontal="right"/>
    </xf>
    <xf numFmtId="17" fontId="6" fillId="0" borderId="10" xfId="2" applyNumberFormat="1" applyFont="1" applyBorder="1"/>
    <xf numFmtId="17" fontId="6" fillId="0" borderId="11" xfId="2" applyNumberFormat="1" applyFont="1" applyBorder="1"/>
    <xf numFmtId="15" fontId="6" fillId="0" borderId="12" xfId="2" applyNumberFormat="1" applyFont="1" applyBorder="1"/>
    <xf numFmtId="15" fontId="6" fillId="0" borderId="2" xfId="2" applyNumberFormat="1" applyFont="1" applyBorder="1"/>
    <xf numFmtId="15" fontId="6" fillId="0" borderId="6" xfId="2" applyNumberFormat="1" applyFont="1" applyBorder="1"/>
    <xf numFmtId="15" fontId="6" fillId="0" borderId="3" xfId="2" applyNumberFormat="1" applyFont="1" applyBorder="1"/>
    <xf numFmtId="15" fontId="6" fillId="0" borderId="8" xfId="2" applyNumberFormat="1" applyFont="1" applyBorder="1"/>
    <xf numFmtId="15" fontId="6" fillId="0" borderId="13" xfId="2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2" applyNumberFormat="1" applyFont="1" applyBorder="1" applyAlignment="1">
      <alignment horizontal="centerContinuous"/>
    </xf>
    <xf numFmtId="17" fontId="6" fillId="0" borderId="0" xfId="2" applyNumberFormat="1" applyFont="1" applyBorder="1" applyAlignment="1">
      <alignment horizontal="centerContinuous"/>
    </xf>
    <xf numFmtId="17" fontId="9" fillId="0" borderId="14" xfId="2" applyNumberFormat="1" applyFont="1" applyBorder="1" applyAlignment="1">
      <alignment horizontal="center"/>
    </xf>
    <xf numFmtId="17" fontId="9" fillId="0" borderId="15" xfId="2" applyNumberFormat="1" applyFont="1" applyBorder="1" applyAlignment="1">
      <alignment horizontal="center"/>
    </xf>
    <xf numFmtId="17" fontId="9" fillId="0" borderId="16" xfId="2" applyNumberFormat="1" applyFont="1" applyBorder="1" applyAlignment="1">
      <alignment horizontal="center"/>
    </xf>
    <xf numFmtId="17" fontId="6" fillId="0" borderId="1" xfId="2" applyNumberFormat="1" applyFont="1" applyBorder="1"/>
    <xf numFmtId="17" fontId="6" fillId="0" borderId="0" xfId="2" applyNumberFormat="1" applyFont="1" applyBorder="1"/>
    <xf numFmtId="17" fontId="5" fillId="0" borderId="0" xfId="2" applyNumberFormat="1" applyFont="1" applyBorder="1"/>
    <xf numFmtId="0" fontId="6" fillId="0" borderId="0" xfId="2" applyFont="1" applyBorder="1"/>
    <xf numFmtId="0" fontId="6" fillId="0" borderId="0" xfId="2" applyFont="1" applyBorder="1" applyAlignment="1">
      <alignment horizontal="right"/>
    </xf>
    <xf numFmtId="14" fontId="6" fillId="0" borderId="0" xfId="2" applyNumberFormat="1" applyFont="1" applyBorder="1"/>
    <xf numFmtId="17" fontId="6" fillId="0" borderId="0" xfId="2" applyNumberFormat="1" applyFont="1" applyBorder="1" applyProtection="1"/>
    <xf numFmtId="17" fontId="10" fillId="0" borderId="0" xfId="2" applyNumberFormat="1" applyFont="1" applyBorder="1"/>
    <xf numFmtId="167" fontId="10" fillId="0" borderId="0" xfId="2" applyNumberFormat="1" applyFont="1" applyBorder="1"/>
    <xf numFmtId="10" fontId="10" fillId="0" borderId="0" xfId="2" applyNumberFormat="1" applyFont="1" applyBorder="1"/>
    <xf numFmtId="0" fontId="10" fillId="0" borderId="0" xfId="2" applyFont="1" applyBorder="1"/>
    <xf numFmtId="0" fontId="7" fillId="0" borderId="0" xfId="0" applyFont="1" applyBorder="1"/>
    <xf numFmtId="0" fontId="6" fillId="0" borderId="0" xfId="2" applyFont="1" applyFill="1" applyBorder="1"/>
    <xf numFmtId="17" fontId="5" fillId="0" borderId="0" xfId="2" applyNumberFormat="1" applyFont="1" applyFill="1" applyBorder="1"/>
    <xf numFmtId="17" fontId="8" fillId="0" borderId="0" xfId="2" applyNumberFormat="1" applyFont="1" applyFill="1" applyBorder="1" applyAlignment="1">
      <alignment horizontal="right"/>
    </xf>
    <xf numFmtId="14" fontId="6" fillId="0" borderId="0" xfId="2" applyNumberFormat="1" applyFont="1" applyFill="1" applyBorder="1"/>
    <xf numFmtId="17" fontId="6" fillId="0" borderId="0" xfId="2" applyNumberFormat="1" applyFont="1" applyFill="1" applyBorder="1" applyProtection="1"/>
    <xf numFmtId="17" fontId="10" fillId="0" borderId="0" xfId="2" applyNumberFormat="1" applyFont="1" applyFill="1" applyBorder="1"/>
    <xf numFmtId="167" fontId="10" fillId="0" borderId="0" xfId="2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7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7" fontId="13" fillId="2" borderId="0" xfId="0" applyNumberFormat="1" applyFont="1" applyFill="1" applyBorder="1" applyProtection="1">
      <protection locked="0"/>
    </xf>
    <xf numFmtId="167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17" fontId="15" fillId="0" borderId="0" xfId="0" applyNumberFormat="1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167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6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7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7" fontId="17" fillId="0" borderId="22" xfId="0" applyNumberFormat="1" applyFont="1" applyFill="1" applyBorder="1" applyAlignment="1" applyProtection="1">
      <alignment horizontal="center"/>
      <protection locked="0"/>
    </xf>
    <xf numFmtId="172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72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7" fontId="16" fillId="0" borderId="22" xfId="0" applyNumberFormat="1" applyFont="1" applyBorder="1"/>
    <xf numFmtId="0" fontId="16" fillId="2" borderId="22" xfId="0" applyFont="1" applyFill="1" applyBorder="1" applyProtection="1">
      <protection locked="0"/>
    </xf>
    <xf numFmtId="167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7" fontId="16" fillId="2" borderId="0" xfId="0" applyNumberFormat="1" applyFont="1" applyFill="1" applyBorder="1" applyProtection="1">
      <protection locked="0"/>
    </xf>
    <xf numFmtId="186" fontId="15" fillId="0" borderId="0" xfId="0" applyNumberFormat="1" applyFont="1"/>
    <xf numFmtId="167" fontId="15" fillId="0" borderId="0" xfId="0" applyNumberFormat="1" applyFont="1" applyBorder="1"/>
    <xf numFmtId="17" fontId="18" fillId="0" borderId="19" xfId="0" applyNumberFormat="1" applyFont="1" applyBorder="1"/>
    <xf numFmtId="167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7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70" fontId="15" fillId="0" borderId="0" xfId="0" applyNumberFormat="1" applyFont="1"/>
    <xf numFmtId="0" fontId="16" fillId="0" borderId="0" xfId="0" quotePrefix="1" applyFont="1" applyBorder="1"/>
    <xf numFmtId="172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92" fontId="13" fillId="0" borderId="0" xfId="0" applyNumberFormat="1" applyFont="1" applyBorder="1"/>
    <xf numFmtId="192" fontId="13" fillId="0" borderId="0" xfId="0" applyNumberFormat="1" applyFont="1" applyBorder="1" applyProtection="1"/>
    <xf numFmtId="192" fontId="13" fillId="0" borderId="18" xfId="0" applyNumberFormat="1" applyFont="1" applyBorder="1"/>
    <xf numFmtId="192" fontId="14" fillId="0" borderId="0" xfId="0" applyNumberFormat="1" applyFont="1" applyBorder="1"/>
    <xf numFmtId="193" fontId="3" fillId="0" borderId="24" xfId="0" applyNumberFormat="1" applyFont="1" applyBorder="1" applyAlignment="1">
      <alignment vertical="top" wrapText="1"/>
    </xf>
    <xf numFmtId="172" fontId="19" fillId="0" borderId="22" xfId="0" applyNumberFormat="1" applyFont="1" applyFill="1" applyBorder="1" applyAlignment="1" applyProtection="1">
      <alignment horizontal="center"/>
      <protection locked="0"/>
    </xf>
    <xf numFmtId="0" fontId="20" fillId="0" borderId="0" xfId="3" applyFont="1"/>
    <xf numFmtId="2" fontId="20" fillId="4" borderId="0" xfId="3" applyNumberFormat="1" applyFont="1" applyFill="1"/>
    <xf numFmtId="194" fontId="20" fillId="0" borderId="0" xfId="3" applyNumberFormat="1" applyFont="1" applyFill="1" applyProtection="1"/>
    <xf numFmtId="195" fontId="20" fillId="0" borderId="0" xfId="3" applyNumberFormat="1" applyFont="1" applyFill="1" applyProtection="1"/>
    <xf numFmtId="195" fontId="21" fillId="0" borderId="0" xfId="3" applyNumberFormat="1" applyFont="1" applyFill="1" applyProtection="1"/>
    <xf numFmtId="17" fontId="22" fillId="0" borderId="0" xfId="0" applyNumberFormat="1" applyFont="1"/>
    <xf numFmtId="17" fontId="14" fillId="0" borderId="0" xfId="0" applyNumberFormat="1" applyFont="1"/>
    <xf numFmtId="167" fontId="19" fillId="0" borderId="22" xfId="0" applyNumberFormat="1" applyFont="1" applyFill="1" applyBorder="1" applyAlignment="1" applyProtection="1">
      <alignment horizontal="center"/>
      <protection locked="0"/>
    </xf>
    <xf numFmtId="167" fontId="14" fillId="0" borderId="0" xfId="0" applyNumberFormat="1" applyFont="1"/>
    <xf numFmtId="0" fontId="23" fillId="2" borderId="22" xfId="0" applyFont="1" applyFill="1" applyBorder="1"/>
    <xf numFmtId="10" fontId="24" fillId="2" borderId="22" xfId="0" applyNumberFormat="1" applyFont="1" applyFill="1" applyBorder="1" applyProtection="1">
      <protection locked="0"/>
    </xf>
    <xf numFmtId="0" fontId="24" fillId="2" borderId="22" xfId="0" applyFont="1" applyFill="1" applyBorder="1"/>
    <xf numFmtId="14" fontId="25" fillId="2" borderId="22" xfId="0" applyNumberFormat="1" applyFont="1" applyFill="1" applyBorder="1"/>
    <xf numFmtId="0" fontId="26" fillId="0" borderId="0" xfId="0" applyFont="1"/>
    <xf numFmtId="0" fontId="13" fillId="0" borderId="22" xfId="0" applyFont="1" applyBorder="1"/>
    <xf numFmtId="0" fontId="26" fillId="0" borderId="22" xfId="0" applyFont="1" applyBorder="1"/>
    <xf numFmtId="0" fontId="23" fillId="0" borderId="22" xfId="0" quotePrefix="1" applyFont="1" applyBorder="1"/>
    <xf numFmtId="10" fontId="23" fillId="2" borderId="22" xfId="0" applyNumberFormat="1" applyFont="1" applyFill="1" applyBorder="1" applyProtection="1">
      <protection locked="0"/>
    </xf>
    <xf numFmtId="167" fontId="16" fillId="0" borderId="0" xfId="0" applyNumberFormat="1" applyFont="1" applyBorder="1"/>
    <xf numFmtId="196" fontId="14" fillId="0" borderId="0" xfId="0" applyNumberFormat="1" applyFont="1"/>
    <xf numFmtId="10" fontId="24" fillId="2" borderId="0" xfId="0" applyNumberFormat="1" applyFont="1" applyFill="1" applyBorder="1" applyProtection="1">
      <protection locked="0"/>
    </xf>
    <xf numFmtId="167" fontId="27" fillId="2" borderId="0" xfId="0" applyNumberFormat="1" applyFont="1" applyFill="1" applyBorder="1" applyProtection="1">
      <protection locked="0"/>
    </xf>
    <xf numFmtId="1" fontId="22" fillId="0" borderId="0" xfId="0" applyNumberFormat="1" applyFont="1"/>
    <xf numFmtId="1" fontId="16" fillId="2" borderId="22" xfId="0" applyNumberFormat="1" applyFont="1" applyFill="1" applyBorder="1"/>
    <xf numFmtId="17" fontId="28" fillId="5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8" fillId="5" borderId="0" xfId="0" applyNumberFormat="1" applyFont="1" applyFill="1" applyBorder="1" applyAlignment="1">
      <alignment horizontal="right"/>
    </xf>
    <xf numFmtId="1" fontId="29" fillId="0" borderId="0" xfId="0" applyNumberFormat="1" applyFont="1" applyAlignment="1">
      <alignment horizontal="center"/>
    </xf>
    <xf numFmtId="17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172" fontId="11" fillId="0" borderId="0" xfId="0" applyNumberFormat="1" applyFont="1"/>
    <xf numFmtId="172" fontId="11" fillId="0" borderId="0" xfId="1" applyNumberFormat="1" applyFont="1"/>
    <xf numFmtId="179" fontId="11" fillId="0" borderId="0" xfId="1" applyNumberFormat="1" applyFont="1"/>
    <xf numFmtId="1" fontId="16" fillId="2" borderId="0" xfId="0" applyNumberFormat="1" applyFont="1" applyFill="1" applyBorder="1" applyProtection="1">
      <protection locked="0"/>
    </xf>
    <xf numFmtId="9" fontId="29" fillId="0" borderId="0" xfId="0" applyNumberFormat="1" applyFont="1" applyAlignment="1">
      <alignment horizontal="center"/>
    </xf>
    <xf numFmtId="17" fontId="30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15" fillId="0" borderId="26" xfId="0" applyFont="1" applyBorder="1"/>
    <xf numFmtId="0" fontId="31" fillId="0" borderId="0" xfId="0" applyFont="1" applyBorder="1"/>
    <xf numFmtId="200" fontId="13" fillId="0" borderId="0" xfId="0" applyNumberFormat="1" applyFont="1"/>
    <xf numFmtId="191" fontId="14" fillId="0" borderId="0" xfId="0" applyNumberFormat="1" applyFont="1"/>
    <xf numFmtId="191" fontId="14" fillId="0" borderId="27" xfId="0" applyNumberFormat="1" applyFont="1" applyBorder="1"/>
    <xf numFmtId="167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91" fontId="12" fillId="0" borderId="0" xfId="0" applyNumberFormat="1" applyFont="1" applyBorder="1"/>
    <xf numFmtId="0" fontId="33" fillId="0" borderId="0" xfId="0" applyFont="1"/>
    <xf numFmtId="200" fontId="12" fillId="0" borderId="0" xfId="0" applyNumberFormat="1" applyFont="1"/>
    <xf numFmtId="17" fontId="33" fillId="0" borderId="0" xfId="0" applyNumberFormat="1" applyFont="1"/>
    <xf numFmtId="200" fontId="33" fillId="0" borderId="0" xfId="0" applyNumberFormat="1" applyFont="1"/>
    <xf numFmtId="0" fontId="32" fillId="0" borderId="0" xfId="0" applyFont="1" applyBorder="1"/>
    <xf numFmtId="0" fontId="35" fillId="0" borderId="0" xfId="0" quotePrefix="1" applyFont="1" applyBorder="1"/>
    <xf numFmtId="0" fontId="35" fillId="2" borderId="0" xfId="0" applyFont="1" applyFill="1" applyBorder="1"/>
    <xf numFmtId="10" fontId="36" fillId="2" borderId="0" xfId="0" applyNumberFormat="1" applyFont="1" applyFill="1" applyBorder="1" applyProtection="1">
      <protection locked="0"/>
    </xf>
    <xf numFmtId="0" fontId="33" fillId="0" borderId="0" xfId="0" applyFont="1" applyBorder="1"/>
    <xf numFmtId="0" fontId="34" fillId="0" borderId="0" xfId="0" quotePrefix="1" applyFont="1" applyBorder="1"/>
    <xf numFmtId="0" fontId="32" fillId="0" borderId="0" xfId="0" applyFont="1" applyBorder="1" applyProtection="1">
      <protection locked="0"/>
    </xf>
    <xf numFmtId="167" fontId="16" fillId="2" borderId="0" xfId="0" quotePrefix="1" applyNumberFormat="1" applyFont="1" applyFill="1" applyBorder="1" applyProtection="1">
      <protection locked="0"/>
    </xf>
    <xf numFmtId="10" fontId="15" fillId="0" borderId="0" xfId="0" applyNumberFormat="1" applyFont="1"/>
    <xf numFmtId="191" fontId="15" fillId="0" borderId="0" xfId="0" applyNumberFormat="1" applyFont="1" applyBorder="1"/>
    <xf numFmtId="38" fontId="12" fillId="0" borderId="0" xfId="0" applyNumberFormat="1" applyFont="1" applyBorder="1"/>
    <xf numFmtId="0" fontId="35" fillId="0" borderId="0" xfId="0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3" fillId="2" borderId="0" xfId="0" applyNumberFormat="1" applyFont="1" applyFill="1" applyBorder="1" applyProtection="1">
      <protection locked="0"/>
    </xf>
    <xf numFmtId="202" fontId="15" fillId="0" borderId="0" xfId="0" applyNumberFormat="1" applyFont="1" applyBorder="1"/>
    <xf numFmtId="200" fontId="15" fillId="0" borderId="0" xfId="0" applyNumberFormat="1" applyFont="1" applyBorder="1"/>
    <xf numFmtId="0" fontId="12" fillId="0" borderId="0" xfId="0" applyFont="1" applyBorder="1"/>
    <xf numFmtId="169" fontId="16" fillId="2" borderId="22" xfId="0" applyNumberFormat="1" applyFont="1" applyFill="1" applyBorder="1" applyProtection="1">
      <protection locked="0"/>
    </xf>
    <xf numFmtId="0" fontId="20" fillId="4" borderId="0" xfId="3" applyFont="1" applyFill="1"/>
    <xf numFmtId="195" fontId="37" fillId="0" borderId="0" xfId="3" applyNumberFormat="1" applyFont="1" applyFill="1" applyProtection="1"/>
    <xf numFmtId="195" fontId="38" fillId="0" borderId="0" xfId="3" applyNumberFormat="1" applyFont="1" applyFill="1" applyProtection="1">
      <protection locked="0"/>
    </xf>
    <xf numFmtId="195" fontId="37" fillId="0" borderId="0" xfId="3" applyNumberFormat="1" applyFont="1" applyFill="1" applyProtection="1">
      <protection locked="0"/>
    </xf>
    <xf numFmtId="200" fontId="39" fillId="0" borderId="0" xfId="0" applyNumberFormat="1" applyFont="1"/>
    <xf numFmtId="17" fontId="39" fillId="0" borderId="0" xfId="0" applyNumberFormat="1" applyFont="1"/>
    <xf numFmtId="10" fontId="40" fillId="2" borderId="0" xfId="0" applyNumberFormat="1" applyFont="1" applyFill="1" applyBorder="1" applyProtection="1">
      <protection locked="0"/>
    </xf>
    <xf numFmtId="0" fontId="39" fillId="0" borderId="0" xfId="0" applyFont="1" applyBorder="1"/>
    <xf numFmtId="0" fontId="40" fillId="0" borderId="0" xfId="0" quotePrefix="1" applyFont="1" applyBorder="1"/>
    <xf numFmtId="0" fontId="41" fillId="0" borderId="0" xfId="0" applyFont="1" applyBorder="1"/>
    <xf numFmtId="0" fontId="42" fillId="0" borderId="0" xfId="0" quotePrefix="1" applyFont="1" applyBorder="1"/>
    <xf numFmtId="0" fontId="42" fillId="2" borderId="0" xfId="0" applyFont="1" applyFill="1" applyBorder="1"/>
    <xf numFmtId="17" fontId="43" fillId="0" borderId="0" xfId="0" applyNumberFormat="1" applyFont="1"/>
    <xf numFmtId="0" fontId="44" fillId="0" borderId="0" xfId="0" applyFont="1"/>
    <xf numFmtId="191" fontId="15" fillId="0" borderId="0" xfId="0" applyNumberFormat="1" applyFont="1"/>
    <xf numFmtId="167" fontId="23" fillId="0" borderId="22" xfId="0" quotePrefix="1" applyNumberFormat="1" applyFont="1" applyBorder="1"/>
    <xf numFmtId="167" fontId="16" fillId="2" borderId="0" xfId="0" applyNumberFormat="1" applyFont="1" applyFill="1" applyBorder="1"/>
    <xf numFmtId="169" fontId="15" fillId="0" borderId="0" xfId="0" applyNumberFormat="1" applyFont="1"/>
    <xf numFmtId="2" fontId="16" fillId="2" borderId="0" xfId="0" applyNumberFormat="1" applyFont="1" applyFill="1" applyBorder="1" applyProtection="1">
      <protection locked="0"/>
    </xf>
    <xf numFmtId="204" fontId="16" fillId="2" borderId="0" xfId="0" quotePrefix="1" applyNumberFormat="1" applyFont="1" applyFill="1" applyBorder="1" applyProtection="1">
      <protection locked="0"/>
    </xf>
    <xf numFmtId="0" fontId="45" fillId="6" borderId="19" xfId="0" applyFont="1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191" fontId="14" fillId="0" borderId="0" xfId="0" applyNumberFormat="1" applyFont="1" applyBorder="1"/>
    <xf numFmtId="10" fontId="46" fillId="2" borderId="0" xfId="0" applyNumberFormat="1" applyFont="1" applyFill="1" applyBorder="1" applyProtection="1">
      <protection locked="0"/>
    </xf>
    <xf numFmtId="200" fontId="14" fillId="0" borderId="0" xfId="0" applyNumberFormat="1" applyFont="1" applyBorder="1"/>
    <xf numFmtId="201" fontId="14" fillId="0" borderId="0" xfId="0" applyNumberFormat="1" applyFont="1"/>
    <xf numFmtId="200" fontId="43" fillId="0" borderId="30" xfId="0" applyNumberFormat="1" applyFont="1" applyBorder="1"/>
    <xf numFmtId="167" fontId="14" fillId="0" borderId="30" xfId="0" applyNumberFormat="1" applyFont="1" applyBorder="1"/>
    <xf numFmtId="170" fontId="13" fillId="0" borderId="0" xfId="0" applyNumberFormat="1" applyFont="1" applyBorder="1"/>
    <xf numFmtId="0" fontId="47" fillId="0" borderId="0" xfId="0" applyFont="1" applyFill="1"/>
    <xf numFmtId="167" fontId="47" fillId="8" borderId="0" xfId="0" applyNumberFormat="1" applyFont="1" applyFill="1"/>
    <xf numFmtId="0" fontId="0" fillId="2" borderId="0" xfId="0" applyFill="1"/>
    <xf numFmtId="0" fontId="12" fillId="2" borderId="0" xfId="0" applyFont="1" applyFill="1" applyAlignment="1">
      <alignment horizontal="center"/>
    </xf>
    <xf numFmtId="194" fontId="37" fillId="0" borderId="0" xfId="3" applyNumberFormat="1" applyFont="1" applyFill="1" applyProtection="1"/>
    <xf numFmtId="167" fontId="42" fillId="0" borderId="31" xfId="0" quotePrefix="1" applyNumberFormat="1" applyFont="1" applyBorder="1"/>
    <xf numFmtId="200" fontId="42" fillId="0" borderId="0" xfId="0" quotePrefix="1" applyNumberFormat="1" applyFont="1" applyBorder="1"/>
    <xf numFmtId="167" fontId="0" fillId="0" borderId="0" xfId="0" applyNumberFormat="1"/>
    <xf numFmtId="15" fontId="0" fillId="0" borderId="0" xfId="0" applyNumberFormat="1"/>
    <xf numFmtId="0" fontId="42" fillId="0" borderId="0" xfId="0" applyFont="1" applyBorder="1"/>
  </cellXfs>
  <cellStyles count="4">
    <cellStyle name="Comma" xfId="1" builtinId="3"/>
    <cellStyle name="Normal" xfId="0" builtinId="0"/>
    <cellStyle name="Normal_Curves" xfId="2"/>
    <cellStyle name="Normal_modelmark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NGc1 cls" advise="1">
        <values>
          <value>
            <val>4.8010000000000002</val>
          </value>
        </values>
      </ddeItem>
      <ddeItem name="NGc1 LAST" advise="1">
        <values>
          <value>
            <val>4.8449999999999998</val>
          </value>
        </values>
      </ddeItem>
      <ddeItem name="NGc10 cls">
        <values>
          <value>
            <val>3.9</val>
          </value>
        </values>
      </ddeItem>
      <ddeItem name="NGc10 LAST" advise="1">
        <values>
          <value>
            <val>3.9550000000000001</val>
          </value>
        </values>
      </ddeItem>
      <ddeItem name="NGc11 cls">
        <values>
          <value>
            <val>3.9049999999999998</val>
          </value>
        </values>
      </ddeItem>
      <ddeItem name="NGc11 LAST" advise="1">
        <values>
          <value>
            <val>3.96</val>
          </value>
        </values>
      </ddeItem>
      <ddeItem name="NGc12 cls">
        <values>
          <value>
            <val>3.8849999999999998</val>
          </value>
        </values>
      </ddeItem>
      <ddeItem name="NGc12 LAST" advise="1">
        <values>
          <value>
            <val>3.94</val>
          </value>
        </values>
      </ddeItem>
      <ddeItem name="NGc13 cls">
        <values>
          <value>
            <val>3.87</val>
          </value>
        </values>
      </ddeItem>
      <ddeItem name="NGc13 LAST" advise="1">
        <values>
          <value>
            <val>3.9249999999999998</val>
          </value>
        </values>
      </ddeItem>
      <ddeItem name="NGc14 cls">
        <values>
          <value>
            <val>3.9750000000000001</val>
          </value>
        </values>
      </ddeItem>
      <ddeItem name="NGc14 LAST" advise="1">
        <values>
          <value>
            <val>0</val>
          </value>
        </values>
      </ddeItem>
      <ddeItem name="NGc15 cls">
        <values>
          <value>
            <val>4.0599999999999996</val>
          </value>
        </values>
      </ddeItem>
      <ddeItem name="NGc15 LAST" advise="1">
        <values>
          <value>
            <val>4.08</val>
          </value>
        </values>
      </ddeItem>
      <ddeItem name="NGc16 cls">
        <values>
          <value>
            <val>4.03</val>
          </value>
        </values>
      </ddeItem>
      <ddeItem name="NGc16 LAST" advise="1">
        <values>
          <value>
            <val>4.05</val>
          </value>
        </values>
      </ddeItem>
      <ddeItem name="NGc17 cls">
        <values>
          <value>
            <val>3.86</val>
          </value>
        </values>
      </ddeItem>
      <ddeItem name="NGc17 LAST" advise="1">
        <values>
          <value>
            <val>0</val>
          </value>
        </values>
      </ddeItem>
      <ddeItem name="NGc18 cls">
        <values>
          <value>
            <val>3.6949999999999998</val>
          </value>
        </values>
      </ddeItem>
      <ddeItem name="NGc18 LAST" advise="1">
        <values>
          <value>
            <val>0</val>
          </value>
        </values>
      </ddeItem>
      <ddeItem name="NGc19 cls">
        <values>
          <value>
            <val>3.52</val>
          </value>
        </values>
      </ddeItem>
      <ddeItem name="NGc19 LAST" advise="1">
        <values>
          <value>
            <val>0</val>
          </value>
        </values>
      </ddeItem>
      <ddeItem name="NGc2 cls">
        <values>
          <value>
            <val>4.8499999999999996</val>
          </value>
        </values>
      </ddeItem>
      <ddeItem name="NGc2 LAST" advise="1">
        <values>
          <value>
            <val>4.9000000000000004</val>
          </value>
        </values>
      </ddeItem>
      <ddeItem name="NGc20 cls">
        <values>
          <value>
            <val>3.4249999999999998</val>
          </value>
        </values>
      </ddeItem>
      <ddeItem name="NGc20 LAST" advise="1">
        <values>
          <value>
            <val>3.43</val>
          </value>
        </values>
      </ddeItem>
      <ddeItem name="NGc21 cls">
        <values>
          <value>
            <val>3.4119999999999999</val>
          </value>
        </values>
      </ddeItem>
      <ddeItem name="NGc21 LAST" advise="1">
        <values>
          <value>
            <val>3.44</val>
          </value>
        </values>
      </ddeItem>
      <ddeItem name="NGc22 cls">
        <values>
          <value>
            <val>3.4049999999999998</val>
          </value>
        </values>
      </ddeItem>
      <ddeItem name="NGc22 LAST" advise="1">
        <values>
          <value>
            <val>3.42</val>
          </value>
        </values>
      </ddeItem>
      <ddeItem name="NGc23 cls">
        <values>
          <value>
            <val>3.41</val>
          </value>
        </values>
      </ddeItem>
      <ddeItem name="NGc23 LAST" advise="1">
        <values>
          <value>
            <val>3.43</val>
          </value>
        </values>
      </ddeItem>
      <ddeItem name="NGc24 cls">
        <values>
          <value>
            <val>3.4049999999999998</val>
          </value>
        </values>
      </ddeItem>
      <ddeItem name="NGc24 LAST" advise="1">
        <values>
          <value>
            <val>0</val>
          </value>
        </values>
      </ddeItem>
      <ddeItem name="NGc25 cls">
        <values>
          <value>
            <val>3.42</val>
          </value>
        </values>
      </ddeItem>
      <ddeItem name="NGc25 LAST" advise="1">
        <values>
          <value>
            <val>0</val>
          </value>
        </values>
      </ddeItem>
      <ddeItem name="NGc26 cls">
        <values>
          <value>
            <val>3.512</val>
          </value>
        </values>
      </ddeItem>
      <ddeItem name="NGc26 LAST" advise="1">
        <values>
          <value>
            <val>0</val>
          </value>
        </values>
      </ddeItem>
      <ddeItem name="NGc27 cls">
        <values>
          <value>
            <val>3.5979999999999999</val>
          </value>
        </values>
      </ddeItem>
      <ddeItem name="NGc27 LAST" advise="1">
        <values>
          <value>
            <val>0</val>
          </value>
        </values>
      </ddeItem>
      <ddeItem name="NGc28 cls">
        <values>
          <value>
            <val>3.5910000000000002</val>
          </value>
        </values>
      </ddeItem>
      <ddeItem name="NGc28 LAST" advise="1">
        <values>
          <value>
            <val>0</val>
          </value>
        </values>
      </ddeItem>
      <ddeItem name="NGc29 cls">
        <values>
          <value>
            <val>3.4489999999999998</val>
          </value>
        </values>
      </ddeItem>
      <ddeItem name="NGc29 LAST" advise="1">
        <values>
          <value>
            <val>3.4950000000000001</val>
          </value>
        </values>
      </ddeItem>
      <ddeItem name="NGc3 cls">
        <values>
          <value>
            <val>4.92</val>
          </value>
        </values>
      </ddeItem>
      <ddeItem name="NGc3 LAST" advise="1">
        <values>
          <value>
            <val>4.96</val>
          </value>
        </values>
      </ddeItem>
      <ddeItem name="NGc30 cls">
        <values>
          <value>
            <val>3.2789999999999999</val>
          </value>
        </values>
      </ddeItem>
      <ddeItem name="NGc30 LAST" advise="1">
        <values>
          <value>
            <val>0</val>
          </value>
        </values>
      </ddeItem>
      <ddeItem name="NGc31 cls">
        <values>
          <value>
            <val>3.101</val>
          </value>
        </values>
      </ddeItem>
      <ddeItem name="NGc31 LAST" advise="1">
        <values>
          <value>
            <val>3.11</val>
          </value>
        </values>
      </ddeItem>
      <ddeItem name="NGc32 cls">
        <values>
          <value>
            <val>3.0859999999999999</val>
          </value>
        </values>
      </ddeItem>
      <ddeItem name="NGc32 LAST" advise="1">
        <values>
          <value>
            <val>3.125</val>
          </value>
        </values>
      </ddeItem>
      <ddeItem name="NGc33 cls">
        <values>
          <value>
            <val>3.1059999999999999</val>
          </value>
        </values>
      </ddeItem>
      <ddeItem name="NGc33 LAST" advise="1">
        <values>
          <value>
            <val>3.13</val>
          </value>
        </values>
      </ddeItem>
      <ddeItem name="NGc34 cls">
        <values>
          <value>
            <val>3.1280000000000001</val>
          </value>
        </values>
      </ddeItem>
      <ddeItem name="NGc34 LAST" advise="1">
        <values>
          <value>
            <val>3.15</val>
          </value>
        </values>
      </ddeItem>
      <ddeItem name="NGc35 cls">
        <values>
          <value>
            <val>3.149</val>
          </value>
        </values>
      </ddeItem>
      <ddeItem name="NGc35 LAST" advise="1">
        <values>
          <value>
            <val>0</val>
          </value>
        </values>
      </ddeItem>
      <ddeItem name="NGc36 cls">
        <values>
          <value>
            <val>3.1389999999999998</val>
          </value>
        </values>
      </ddeItem>
      <ddeItem name="NGc36 LAST" advise="1">
        <values>
          <value>
            <val>0</val>
          </value>
        </values>
      </ddeItem>
      <ddeItem name="NGc4 cls">
        <values>
          <value>
            <val>4.8609999999999998</val>
          </value>
        </values>
      </ddeItem>
      <ddeItem name="NGc4 LAST" advise="1">
        <values>
          <value>
            <val>4.9000000000000004</val>
          </value>
        </values>
      </ddeItem>
      <ddeItem name="NGc5 cls">
        <values>
          <value>
            <val>4.59</val>
          </value>
        </values>
      </ddeItem>
      <ddeItem name="NGc5 LAST" advise="1">
        <values>
          <value>
            <val>4.6150000000000002</val>
          </value>
        </values>
      </ddeItem>
      <ddeItem name="NGc6 cls">
        <values>
          <value>
            <val>4.3230000000000004</val>
          </value>
        </values>
      </ddeItem>
      <ddeItem name="NGc6 LAST" advise="1">
        <values>
          <value>
            <val>4.3650000000000002</val>
          </value>
        </values>
      </ddeItem>
      <ddeItem name="NGc7 cls">
        <values>
          <value>
            <val>4.0579999999999998</val>
          </value>
        </values>
      </ddeItem>
      <ddeItem name="NGc7 LAST" advise="1">
        <values>
          <value>
            <val>4.0949999999999998</val>
          </value>
        </values>
      </ddeItem>
      <ddeItem name="NGc8 cls">
        <values>
          <value>
            <val>3.948</val>
          </value>
        </values>
      </ddeItem>
      <ddeItem name="NGc8 LAST" advise="1">
        <values>
          <value>
            <val>3.97</val>
          </value>
        </values>
      </ddeItem>
      <ddeItem name="NGc9 cls">
        <values>
          <value>
            <val>3.9249999999999998</val>
          </value>
        </values>
      </ddeItem>
      <ddeItem name="NGc9 LAST" advise="1">
        <values>
          <value>
            <val>3.96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B25" sqref="B25"/>
    </sheetView>
  </sheetViews>
  <sheetFormatPr defaultRowHeight="13.2" x14ac:dyDescent="0.25"/>
  <cols>
    <col min="1" max="1" width="16.6640625" style="77" customWidth="1"/>
    <col min="2" max="4" width="9.109375" style="77" customWidth="1"/>
    <col min="5" max="5" width="10.109375" style="77" customWidth="1"/>
    <col min="6" max="13" width="9.109375" style="77" customWidth="1"/>
    <col min="14" max="14" width="10.109375" style="77" customWidth="1"/>
    <col min="15" max="34" width="9.109375" style="77" customWidth="1"/>
  </cols>
  <sheetData>
    <row r="1" spans="1:50" x14ac:dyDescent="0.25">
      <c r="A1" s="57"/>
      <c r="B1" s="169"/>
      <c r="C1" s="57"/>
      <c r="D1" s="57" t="s">
        <v>24</v>
      </c>
      <c r="E1" s="57"/>
      <c r="F1" s="57"/>
      <c r="H1" s="80" t="s">
        <v>38</v>
      </c>
      <c r="I1" s="80" t="s">
        <v>29</v>
      </c>
      <c r="J1" s="80" t="s">
        <v>30</v>
      </c>
      <c r="K1" s="80" t="s">
        <v>34</v>
      </c>
      <c r="L1" s="80" t="s">
        <v>33</v>
      </c>
      <c r="AQ1" s="77"/>
      <c r="AR1" s="77"/>
      <c r="AS1" s="77"/>
      <c r="AT1" s="77"/>
      <c r="AU1" s="77"/>
      <c r="AV1" s="77"/>
      <c r="AW1" s="77"/>
      <c r="AX1" s="77"/>
    </row>
    <row r="2" spans="1:50" x14ac:dyDescent="0.25">
      <c r="A2" s="76"/>
      <c r="B2" s="169"/>
      <c r="C2" s="153"/>
      <c r="D2" s="58">
        <v>36892</v>
      </c>
      <c r="E2" s="57"/>
      <c r="F2" s="57"/>
      <c r="H2" s="146">
        <f>AE20</f>
        <v>0.20705123094149627</v>
      </c>
      <c r="I2" s="146">
        <f>AF20</f>
        <v>0.34649373402507638</v>
      </c>
      <c r="J2" s="146">
        <f>AG20</f>
        <v>3.2554418888540881E-2</v>
      </c>
      <c r="K2" s="146">
        <f>AH20</f>
        <v>3.4874746022626685E-3</v>
      </c>
      <c r="L2" s="146">
        <f>AI20</f>
        <v>2.1631284820929884E-2</v>
      </c>
      <c r="O2" s="82"/>
      <c r="P2" s="80"/>
      <c r="Q2" s="83"/>
      <c r="R2" s="77" t="e">
        <f>IF(#REF!=3,IF(B7=1,"CALL","PUT"),"STRADDLE")</f>
        <v>#REF!</v>
      </c>
      <c r="S2" s="83"/>
      <c r="T2" s="83"/>
      <c r="U2" s="83"/>
      <c r="V2" s="83"/>
      <c r="W2" s="83"/>
      <c r="X2" s="83"/>
      <c r="Y2" s="84"/>
      <c r="Z2" s="83"/>
      <c r="AA2" s="84"/>
      <c r="AB2" s="83"/>
      <c r="AQ2" s="77"/>
      <c r="AR2" s="77"/>
      <c r="AS2" s="77"/>
      <c r="AT2" s="77"/>
      <c r="AU2" s="77"/>
      <c r="AV2" s="77"/>
      <c r="AW2" s="77"/>
      <c r="AX2" s="77"/>
    </row>
    <row r="3" spans="1:50" x14ac:dyDescent="0.25">
      <c r="A3" s="154" t="s">
        <v>37</v>
      </c>
      <c r="B3" s="163">
        <v>4.46</v>
      </c>
      <c r="D3" s="57"/>
      <c r="E3" s="57"/>
      <c r="F3" s="57"/>
      <c r="H3" s="137"/>
      <c r="I3" s="140"/>
      <c r="J3" s="140"/>
      <c r="K3" s="137"/>
      <c r="L3" s="137"/>
      <c r="O3" s="82"/>
      <c r="P3" s="80"/>
      <c r="Q3" s="83"/>
      <c r="R3" s="77" t="e">
        <f>IF(#REF!=3,IF(C7=1,"CALL","PUT"),"STRADDLE")</f>
        <v>#REF!</v>
      </c>
      <c r="S3" s="83"/>
      <c r="T3" s="83"/>
      <c r="U3" s="83"/>
      <c r="V3" s="83"/>
      <c r="W3" s="83"/>
      <c r="X3" s="83"/>
      <c r="Y3" s="84"/>
      <c r="Z3" s="83"/>
      <c r="AA3" s="84"/>
      <c r="AB3" s="83"/>
      <c r="AQ3" s="77"/>
      <c r="AR3" s="77"/>
      <c r="AS3" s="77"/>
      <c r="AT3" s="77"/>
      <c r="AU3" s="77"/>
      <c r="AV3" s="77"/>
      <c r="AW3" s="77"/>
      <c r="AX3" s="77"/>
    </row>
    <row r="4" spans="1:50" x14ac:dyDescent="0.25">
      <c r="A4" s="153"/>
      <c r="B4" s="155"/>
      <c r="C4" s="57"/>
      <c r="D4" s="57"/>
      <c r="E4" s="57"/>
      <c r="F4" s="57"/>
      <c r="H4" s="137"/>
      <c r="I4" s="137"/>
      <c r="J4" s="137"/>
      <c r="K4" s="137"/>
      <c r="L4" s="137"/>
      <c r="O4" s="82"/>
      <c r="P4" s="80"/>
      <c r="Q4" s="83"/>
      <c r="R4" s="83"/>
      <c r="S4" s="83"/>
      <c r="T4" s="83"/>
      <c r="U4" s="83"/>
      <c r="V4" s="83"/>
      <c r="W4" s="83"/>
      <c r="X4" s="83"/>
      <c r="Y4" s="84"/>
      <c r="Z4" s="83"/>
      <c r="AA4" s="84"/>
      <c r="AB4" s="83"/>
      <c r="AQ4" s="77"/>
      <c r="AR4" s="77"/>
      <c r="AS4" s="77"/>
      <c r="AT4" s="77"/>
      <c r="AU4" s="77"/>
      <c r="AV4" s="77"/>
      <c r="AW4" s="77"/>
      <c r="AX4" s="77"/>
    </row>
    <row r="5" spans="1:50" x14ac:dyDescent="0.25">
      <c r="A5" s="57"/>
      <c r="B5" s="57" t="s">
        <v>51</v>
      </c>
      <c r="C5" s="57" t="s">
        <v>52</v>
      </c>
      <c r="D5" s="57"/>
      <c r="E5" s="57"/>
      <c r="F5" s="57"/>
      <c r="H5" s="80" t="s">
        <v>38</v>
      </c>
      <c r="I5" s="80" t="s">
        <v>29</v>
      </c>
      <c r="J5" s="80" t="s">
        <v>30</v>
      </c>
      <c r="K5" s="80" t="s">
        <v>34</v>
      </c>
      <c r="L5" s="80" t="s">
        <v>33</v>
      </c>
      <c r="O5" s="82"/>
      <c r="P5" s="80"/>
      <c r="Q5" s="83"/>
      <c r="R5" s="83"/>
      <c r="S5" s="83"/>
      <c r="T5" s="83"/>
      <c r="U5" s="83"/>
      <c r="V5" s="83"/>
      <c r="W5" s="83"/>
      <c r="X5" s="83"/>
      <c r="Y5" s="84"/>
      <c r="Z5" s="83"/>
      <c r="AA5" s="84"/>
      <c r="AB5" s="83"/>
      <c r="AQ5" s="77"/>
      <c r="AR5" s="77"/>
      <c r="AS5" s="77"/>
      <c r="AT5" s="77"/>
      <c r="AU5" s="77"/>
      <c r="AV5" s="77"/>
      <c r="AW5" s="77"/>
      <c r="AX5" s="77"/>
    </row>
    <row r="6" spans="1:50" x14ac:dyDescent="0.25">
      <c r="A6" s="57" t="s">
        <v>119</v>
      </c>
      <c r="B6" s="163">
        <v>4.37</v>
      </c>
      <c r="C6" s="163">
        <v>4.3899999999999997</v>
      </c>
      <c r="D6" s="57"/>
      <c r="E6" s="57"/>
      <c r="F6" s="57"/>
      <c r="H6" s="146">
        <f>AL20</f>
        <v>6.045595568579655E-2</v>
      </c>
      <c r="I6" s="146">
        <f>AM20</f>
        <v>-0.35345249894883474</v>
      </c>
      <c r="J6" s="146">
        <f>AN20</f>
        <v>1.8068622880732219E-2</v>
      </c>
      <c r="K6" s="146">
        <f>AO20</f>
        <v>1.7903786633617852E-3</v>
      </c>
      <c r="L6" s="146">
        <f>AP20</f>
        <v>1.0535522086795337E-2</v>
      </c>
      <c r="O6" s="82"/>
      <c r="P6" s="80"/>
      <c r="Q6" s="83"/>
      <c r="R6" s="83"/>
      <c r="S6" s="83"/>
      <c r="T6" s="83"/>
      <c r="U6" s="83"/>
      <c r="V6" s="83"/>
      <c r="W6" s="83"/>
      <c r="X6" s="83"/>
      <c r="Y6" s="84"/>
      <c r="Z6" s="83"/>
      <c r="AA6" s="84"/>
      <c r="AB6" s="83"/>
      <c r="AQ6" s="77"/>
      <c r="AR6" s="77"/>
      <c r="AS6" s="77"/>
      <c r="AT6" s="77"/>
      <c r="AU6" s="77"/>
      <c r="AV6" s="77"/>
      <c r="AW6" s="77"/>
      <c r="AX6" s="77"/>
    </row>
    <row r="7" spans="1:50" x14ac:dyDescent="0.25">
      <c r="A7" s="57" t="s">
        <v>126</v>
      </c>
      <c r="B7" s="156">
        <v>3</v>
      </c>
      <c r="C7" s="156">
        <v>2</v>
      </c>
      <c r="D7" s="57"/>
      <c r="E7" s="57"/>
      <c r="F7" s="57"/>
      <c r="H7" s="137"/>
      <c r="I7" s="140"/>
      <c r="J7" s="140"/>
      <c r="K7" s="137"/>
      <c r="L7" s="137"/>
      <c r="O7" s="82"/>
      <c r="P7" s="80"/>
      <c r="Q7" s="83"/>
      <c r="R7" s="83"/>
      <c r="S7" s="83"/>
      <c r="T7" s="83"/>
      <c r="U7" s="83"/>
      <c r="W7" s="83"/>
      <c r="X7" s="83"/>
      <c r="Y7" s="84"/>
      <c r="Z7" s="83"/>
      <c r="AA7" s="84"/>
      <c r="AB7" s="83"/>
      <c r="AQ7" s="95"/>
      <c r="AR7" s="95"/>
      <c r="AS7" s="77"/>
      <c r="AT7" s="77"/>
      <c r="AU7" s="77"/>
      <c r="AV7" s="77"/>
      <c r="AW7" s="77"/>
      <c r="AX7" s="77"/>
    </row>
    <row r="8" spans="1:50" x14ac:dyDescent="0.25">
      <c r="A8" s="57" t="s">
        <v>57</v>
      </c>
      <c r="B8" s="164">
        <v>0.51</v>
      </c>
      <c r="C8" s="164">
        <v>0.48</v>
      </c>
      <c r="D8" s="57"/>
      <c r="E8" s="57"/>
      <c r="F8" s="57"/>
      <c r="G8" s="57"/>
      <c r="O8" s="82"/>
      <c r="P8" s="80"/>
      <c r="Q8" s="83"/>
      <c r="R8" s="83"/>
      <c r="S8" s="83"/>
      <c r="T8" s="83"/>
      <c r="U8" s="83"/>
      <c r="W8" s="83"/>
      <c r="X8" s="83"/>
      <c r="Y8" s="84"/>
      <c r="Z8" s="83"/>
      <c r="AA8" s="84"/>
      <c r="AB8" s="83"/>
      <c r="AQ8" s="95"/>
      <c r="AR8" s="95"/>
      <c r="AS8" s="77"/>
      <c r="AT8" s="77"/>
      <c r="AU8" s="77"/>
      <c r="AV8" s="77"/>
      <c r="AW8" s="77"/>
      <c r="AX8" s="77"/>
    </row>
    <row r="9" spans="1:50" x14ac:dyDescent="0.25">
      <c r="A9" s="57"/>
      <c r="B9" s="213"/>
      <c r="C9" s="213"/>
      <c r="D9" s="57"/>
      <c r="E9" s="57"/>
      <c r="F9" s="57"/>
      <c r="G9" s="57"/>
      <c r="O9" s="82"/>
      <c r="P9" s="80"/>
      <c r="Q9" s="83"/>
      <c r="R9" s="83"/>
      <c r="S9" s="83"/>
      <c r="T9" s="83"/>
      <c r="U9" s="83"/>
      <c r="W9" s="83"/>
      <c r="X9" s="83"/>
      <c r="Y9" s="84"/>
      <c r="Z9" s="83"/>
      <c r="AA9" s="84"/>
      <c r="AB9" s="83"/>
      <c r="AQ9" s="95"/>
      <c r="AR9" s="95"/>
      <c r="AS9" s="77"/>
      <c r="AT9" s="77"/>
      <c r="AU9" s="77"/>
      <c r="AV9" s="77"/>
      <c r="AW9" s="77"/>
      <c r="AX9" s="77"/>
    </row>
    <row r="10" spans="1:50" x14ac:dyDescent="0.25">
      <c r="A10" s="77" t="s">
        <v>184</v>
      </c>
      <c r="B10" s="211">
        <v>36678</v>
      </c>
      <c r="C10" s="138"/>
      <c r="D10" s="57"/>
      <c r="E10" s="57"/>
      <c r="F10" s="57"/>
      <c r="G10" s="57"/>
      <c r="I10" s="77">
        <f>3*L22*I2</f>
        <v>9.3553308186770625</v>
      </c>
      <c r="O10" s="82"/>
      <c r="P10" s="80"/>
      <c r="Q10" s="83"/>
      <c r="R10" s="83"/>
      <c r="S10" s="83"/>
      <c r="T10" s="83"/>
      <c r="U10" s="83"/>
      <c r="W10" s="83"/>
      <c r="X10" s="83"/>
      <c r="Y10" s="84"/>
      <c r="Z10" s="83"/>
      <c r="AA10" s="84"/>
      <c r="AB10" s="83"/>
      <c r="AQ10" s="95"/>
      <c r="AR10" s="95"/>
      <c r="AS10" s="77"/>
      <c r="AT10" s="77"/>
      <c r="AU10" s="77"/>
      <c r="AV10" s="77"/>
      <c r="AW10" s="77"/>
      <c r="AX10" s="77"/>
    </row>
    <row r="11" spans="1:50" x14ac:dyDescent="0.25">
      <c r="A11" s="77" t="s">
        <v>185</v>
      </c>
      <c r="B11" s="211">
        <v>36707</v>
      </c>
      <c r="C11" s="96"/>
      <c r="D11" s="57"/>
      <c r="E11" s="57"/>
      <c r="F11" s="57"/>
      <c r="G11" s="57"/>
      <c r="O11" s="82"/>
      <c r="P11" s="80"/>
      <c r="Q11" s="83"/>
      <c r="R11" s="83"/>
      <c r="S11" s="83"/>
      <c r="T11" s="83"/>
      <c r="U11" s="83"/>
      <c r="W11" s="83"/>
      <c r="X11" s="83"/>
      <c r="Y11" s="84"/>
      <c r="Z11" s="83"/>
      <c r="AA11" s="84"/>
      <c r="AB11" s="83"/>
      <c r="AQ11" s="95"/>
      <c r="AR11" s="95"/>
      <c r="AS11" s="77"/>
      <c r="AT11" s="77"/>
      <c r="AU11" s="77"/>
      <c r="AV11" s="77"/>
      <c r="AW11" s="77"/>
      <c r="AX11" s="77"/>
    </row>
    <row r="12" spans="1:50" x14ac:dyDescent="0.25">
      <c r="A12" s="77" t="s">
        <v>186</v>
      </c>
      <c r="B12" s="211">
        <v>36698</v>
      </c>
      <c r="C12" s="97"/>
      <c r="D12" s="57"/>
      <c r="E12" s="57"/>
      <c r="F12" s="57"/>
      <c r="G12" s="57"/>
      <c r="O12" s="82"/>
      <c r="P12" s="80"/>
      <c r="Q12" s="83"/>
      <c r="R12" s="83"/>
      <c r="S12" s="83"/>
      <c r="T12" s="83"/>
      <c r="U12" s="83"/>
      <c r="W12" s="83"/>
      <c r="X12" s="83"/>
      <c r="Y12" s="84"/>
      <c r="Z12" s="83"/>
      <c r="AA12" s="84"/>
      <c r="AB12" s="83"/>
      <c r="AQ12" s="95"/>
      <c r="AR12" s="95"/>
      <c r="AS12" s="77"/>
      <c r="AT12" s="77"/>
      <c r="AU12" s="77"/>
      <c r="AV12" s="77"/>
      <c r="AW12" s="77"/>
      <c r="AX12" s="77"/>
    </row>
    <row r="13" spans="1:50" x14ac:dyDescent="0.25">
      <c r="A13" s="161"/>
      <c r="B13" s="162"/>
      <c r="C13" s="131"/>
      <c r="D13" s="57"/>
      <c r="E13" s="57"/>
      <c r="F13" s="57"/>
      <c r="G13" s="57"/>
      <c r="O13" s="82"/>
      <c r="P13" s="80"/>
      <c r="Q13" s="83"/>
      <c r="R13" s="83"/>
      <c r="S13" s="83"/>
      <c r="T13" s="83"/>
      <c r="U13" s="83"/>
      <c r="W13" s="83"/>
      <c r="X13" s="83"/>
      <c r="Y13" s="84"/>
      <c r="Z13" s="83"/>
      <c r="AA13" s="84"/>
      <c r="AB13" s="83"/>
      <c r="AD13" s="77" t="e">
        <f>AD20/Z22</f>
        <v>#DIV/0!</v>
      </c>
      <c r="AQ13" s="95"/>
      <c r="AR13" s="95"/>
      <c r="AS13" s="77"/>
      <c r="AT13" s="77"/>
      <c r="AU13" s="77"/>
      <c r="AV13" s="77"/>
      <c r="AW13" s="77"/>
      <c r="AX13" s="77"/>
    </row>
    <row r="14" spans="1:50" x14ac:dyDescent="0.25">
      <c r="A14" s="57"/>
      <c r="B14" s="57"/>
      <c r="C14" s="57"/>
      <c r="D14" s="57"/>
      <c r="E14" s="57"/>
      <c r="F14" s="57"/>
      <c r="G14" s="57"/>
      <c r="H14" s="77">
        <f>((62.5/25)*24)-(1.5*24)</f>
        <v>24</v>
      </c>
      <c r="K14" s="77">
        <f>L22*3*I2</f>
        <v>9.3553308186770625</v>
      </c>
      <c r="O14" s="92"/>
      <c r="P14" s="89"/>
      <c r="Q14" s="83"/>
      <c r="R14" s="83"/>
      <c r="S14" s="83"/>
      <c r="T14" s="83"/>
      <c r="U14" s="83"/>
      <c r="W14" s="83"/>
      <c r="X14" s="83"/>
      <c r="Y14" s="84"/>
      <c r="Z14" s="83"/>
      <c r="AA14" s="84"/>
      <c r="AB14" s="83"/>
      <c r="AQ14" s="95"/>
      <c r="AR14" s="95"/>
      <c r="AS14" s="77"/>
      <c r="AT14" s="77"/>
      <c r="AU14" s="77"/>
      <c r="AV14" s="77"/>
      <c r="AW14" s="77"/>
      <c r="AX14" s="77"/>
    </row>
    <row r="15" spans="1:50" x14ac:dyDescent="0.25">
      <c r="G15" s="57"/>
      <c r="H15" s="137"/>
      <c r="I15" s="137"/>
      <c r="J15" s="137"/>
      <c r="K15" s="137"/>
      <c r="O15" s="93"/>
      <c r="P15" s="89"/>
      <c r="Q15" s="83"/>
      <c r="R15" s="83"/>
      <c r="S15" s="83"/>
      <c r="T15" s="83"/>
      <c r="U15" s="83"/>
      <c r="W15" s="83"/>
      <c r="X15" s="83"/>
      <c r="Y15" s="84"/>
      <c r="Z15" s="83"/>
      <c r="AA15" s="84"/>
      <c r="AB15" s="83"/>
      <c r="AE15" s="77">
        <f>AE20/31</f>
        <v>6.6790719658547182E-3</v>
      </c>
      <c r="AL15">
        <f>AL20/AE20</f>
        <v>0.29198549272512553</v>
      </c>
      <c r="AQ15" s="95"/>
      <c r="AR15" s="95"/>
      <c r="AS15" s="77"/>
      <c r="AT15" s="77"/>
      <c r="AU15" s="77"/>
      <c r="AV15" s="77"/>
      <c r="AW15" s="77"/>
      <c r="AX15" s="77"/>
    </row>
    <row r="16" spans="1:50" x14ac:dyDescent="0.25">
      <c r="G16" s="57"/>
      <c r="O16" s="93"/>
      <c r="P16" s="89"/>
      <c r="Q16" s="83"/>
      <c r="R16" s="83"/>
      <c r="S16" s="83"/>
      <c r="T16" s="83"/>
      <c r="U16" s="83"/>
      <c r="W16" s="83"/>
      <c r="X16" s="83"/>
      <c r="Y16" s="84"/>
      <c r="Z16" s="83"/>
      <c r="AA16" s="84"/>
      <c r="AB16" s="83"/>
      <c r="AQ16" s="95"/>
      <c r="AR16" s="95"/>
      <c r="AS16" s="77"/>
      <c r="AT16" s="77"/>
      <c r="AU16" s="77"/>
      <c r="AV16" s="77"/>
      <c r="AW16" s="77"/>
      <c r="AX16" s="77"/>
    </row>
    <row r="17" spans="1:48" x14ac:dyDescent="0.25">
      <c r="G17" s="57"/>
      <c r="L17" s="93"/>
      <c r="M17" s="93"/>
      <c r="N17" s="89"/>
      <c r="O17" s="83"/>
      <c r="P17" s="83"/>
      <c r="Q17" s="83"/>
      <c r="R17" s="83"/>
      <c r="S17" s="83"/>
      <c r="U17" s="83"/>
      <c r="V17" s="83"/>
      <c r="W17" s="84"/>
      <c r="X17" s="83"/>
      <c r="Y17" s="84"/>
      <c r="Z17" s="83"/>
      <c r="AG17"/>
      <c r="AH17"/>
      <c r="AO17" s="95"/>
      <c r="AP17" s="95"/>
      <c r="AQ17" s="77"/>
      <c r="AR17" s="77"/>
      <c r="AS17" s="77"/>
      <c r="AT17" s="77"/>
      <c r="AU17" s="77"/>
      <c r="AV17" s="77"/>
    </row>
    <row r="18" spans="1:48" x14ac:dyDescent="0.25">
      <c r="G18" s="57"/>
      <c r="L18" s="93"/>
      <c r="M18" s="93"/>
      <c r="N18" s="89"/>
      <c r="O18" s="83"/>
      <c r="P18" s="83"/>
      <c r="Q18" s="83"/>
      <c r="R18" s="83"/>
      <c r="S18" s="83"/>
      <c r="U18" s="83"/>
      <c r="V18" s="83"/>
      <c r="W18" s="84"/>
      <c r="X18" s="83"/>
      <c r="Y18" s="84"/>
      <c r="Z18" s="83"/>
      <c r="AG18"/>
      <c r="AH18"/>
      <c r="AO18" s="95"/>
      <c r="AP18" s="95"/>
      <c r="AQ18" s="77"/>
      <c r="AR18" s="77"/>
      <c r="AS18" s="77"/>
      <c r="AT18" s="77"/>
      <c r="AU18" s="77"/>
      <c r="AV18" s="77"/>
    </row>
    <row r="19" spans="1:48" x14ac:dyDescent="0.25">
      <c r="G19" s="57"/>
      <c r="L19" s="93"/>
      <c r="M19" s="93"/>
      <c r="N19" s="89"/>
      <c r="O19" s="83"/>
      <c r="P19" s="83"/>
      <c r="Q19" s="83"/>
      <c r="R19" s="83"/>
      <c r="S19" s="83"/>
      <c r="U19" s="83"/>
      <c r="V19" s="83"/>
      <c r="W19" s="83"/>
      <c r="X19" s="83"/>
      <c r="Y19" s="84"/>
      <c r="Z19" s="83"/>
      <c r="AG19"/>
      <c r="AH19"/>
      <c r="AO19" s="95"/>
      <c r="AP19" s="95"/>
      <c r="AQ19" s="77"/>
      <c r="AR19" s="77"/>
      <c r="AS19" s="77"/>
      <c r="AT19" s="77"/>
      <c r="AU19" s="77"/>
      <c r="AV19" s="77"/>
    </row>
    <row r="20" spans="1:48" x14ac:dyDescent="0.25">
      <c r="H20" s="91"/>
      <c r="I20" s="192"/>
      <c r="J20" s="192"/>
      <c r="K20" s="192"/>
      <c r="L20" s="94"/>
      <c r="M20" s="94"/>
      <c r="N20" s="80" t="s">
        <v>51</v>
      </c>
      <c r="O20" s="83" t="s">
        <v>52</v>
      </c>
      <c r="P20" s="80" t="s">
        <v>51</v>
      </c>
      <c r="Q20" s="83" t="s">
        <v>52</v>
      </c>
      <c r="R20" s="80" t="s">
        <v>51</v>
      </c>
      <c r="S20" s="83" t="s">
        <v>52</v>
      </c>
      <c r="T20" s="80" t="s">
        <v>51</v>
      </c>
      <c r="U20" s="83" t="s">
        <v>52</v>
      </c>
      <c r="V20" s="80" t="s">
        <v>51</v>
      </c>
      <c r="W20" s="83" t="s">
        <v>52</v>
      </c>
      <c r="X20" s="83"/>
      <c r="Y20" s="84"/>
      <c r="Z20" s="83"/>
      <c r="AC20" s="108"/>
      <c r="AD20" s="108"/>
      <c r="AE20" s="108">
        <f>SUM(AE25:AE55)/$L22</f>
        <v>0.20705123094149627</v>
      </c>
      <c r="AF20" s="108">
        <f>SUM(AF25:AF55)/$L22</f>
        <v>0.34649373402507638</v>
      </c>
      <c r="AG20" s="108">
        <f>SUM(AG25:AG55)/$L22</f>
        <v>3.2554418888540881E-2</v>
      </c>
      <c r="AH20" s="108">
        <f>SUM(AH25:AH55)/$L22</f>
        <v>3.4874746022626685E-3</v>
      </c>
      <c r="AI20" s="108">
        <f>SUM(AI25:AI55)/$L22</f>
        <v>2.1631284820929884E-2</v>
      </c>
      <c r="AK20" s="108"/>
      <c r="AL20" s="108">
        <f>SUM(AL25:AL55)/$L22</f>
        <v>6.045595568579655E-2</v>
      </c>
      <c r="AM20" s="108">
        <f>SUM(AM25:AM55)/$L22</f>
        <v>-0.35345249894883474</v>
      </c>
      <c r="AN20" s="108">
        <f>SUM(AN25:AN55)/$L22</f>
        <v>1.8068622880732219E-2</v>
      </c>
      <c r="AO20" s="108">
        <f>SUM(AO25:AO55)/$L22</f>
        <v>1.7903786633617852E-3</v>
      </c>
      <c r="AP20" s="108">
        <f>SUM(AP25:AP55)/$L22</f>
        <v>1.0535522086795337E-2</v>
      </c>
      <c r="AQ20" s="77"/>
      <c r="AR20" s="77"/>
      <c r="AS20" s="77"/>
      <c r="AT20" s="77"/>
      <c r="AU20" s="77"/>
      <c r="AV20" s="77"/>
    </row>
    <row r="21" spans="1:48" x14ac:dyDescent="0.25">
      <c r="G21" s="80"/>
      <c r="N21" s="83" t="s">
        <v>39</v>
      </c>
      <c r="O21" s="83" t="s">
        <v>39</v>
      </c>
      <c r="P21" s="83" t="s">
        <v>29</v>
      </c>
      <c r="Q21" s="83" t="s">
        <v>29</v>
      </c>
      <c r="R21" s="84" t="s">
        <v>30</v>
      </c>
      <c r="S21" s="84" t="s">
        <v>30</v>
      </c>
      <c r="T21" s="83" t="s">
        <v>33</v>
      </c>
      <c r="U21" s="83" t="s">
        <v>33</v>
      </c>
      <c r="V21" s="84" t="s">
        <v>34</v>
      </c>
      <c r="W21" s="84" t="s">
        <v>34</v>
      </c>
      <c r="X21" s="83"/>
      <c r="Y21" s="84"/>
      <c r="Z21" s="83"/>
      <c r="AG21"/>
      <c r="AH21"/>
      <c r="AK21" s="77"/>
      <c r="AL21" s="77"/>
      <c r="AM21" s="77"/>
      <c r="AQ21" s="77"/>
      <c r="AR21" s="77"/>
      <c r="AS21" s="77"/>
      <c r="AT21" s="77"/>
      <c r="AU21" s="77"/>
      <c r="AV21" s="77"/>
    </row>
    <row r="22" spans="1:48" x14ac:dyDescent="0.25">
      <c r="D22" s="98"/>
      <c r="E22" s="97"/>
      <c r="F22" s="98"/>
      <c r="G22" s="98"/>
      <c r="L22" s="94">
        <f>SUM(L25:L55)</f>
        <v>9</v>
      </c>
      <c r="M22" s="94"/>
      <c r="N22" s="83">
        <f>$B7</f>
        <v>3</v>
      </c>
      <c r="O22" s="83">
        <f>$C7</f>
        <v>2</v>
      </c>
      <c r="P22" s="83">
        <f>$B7</f>
        <v>3</v>
      </c>
      <c r="Q22" s="83">
        <f>$C7</f>
        <v>2</v>
      </c>
      <c r="R22" s="83">
        <f>$B7</f>
        <v>3</v>
      </c>
      <c r="S22" s="83">
        <f>$C7</f>
        <v>2</v>
      </c>
      <c r="T22" s="83">
        <f>$B7</f>
        <v>3</v>
      </c>
      <c r="U22" s="83">
        <f>$C7</f>
        <v>2</v>
      </c>
      <c r="V22" s="83">
        <f>$B7</f>
        <v>3</v>
      </c>
      <c r="W22" s="83">
        <f>$C7</f>
        <v>2</v>
      </c>
      <c r="Y22" s="84"/>
      <c r="Z22" s="136"/>
      <c r="AG22"/>
      <c r="AH22"/>
      <c r="AK22" s="77"/>
      <c r="AL22" s="77"/>
      <c r="AM22" s="77"/>
      <c r="AQ22" s="80"/>
      <c r="AR22" s="80"/>
      <c r="AS22" s="80"/>
      <c r="AT22" s="80"/>
      <c r="AU22" s="80"/>
      <c r="AV22" s="80"/>
    </row>
    <row r="23" spans="1:48" ht="13.8" thickBot="1" x14ac:dyDescent="0.3">
      <c r="B23" s="87"/>
      <c r="C23" s="87"/>
      <c r="D23" s="87"/>
      <c r="E23" s="87"/>
      <c r="F23" s="87"/>
      <c r="G23" s="87"/>
      <c r="H23" s="83"/>
      <c r="I23" s="83"/>
      <c r="J23" s="83"/>
      <c r="K23" s="83"/>
      <c r="L23" s="83"/>
      <c r="M23" s="83"/>
      <c r="N23" s="77">
        <v>1</v>
      </c>
      <c r="O23" s="77">
        <v>1</v>
      </c>
      <c r="P23" s="77">
        <v>2</v>
      </c>
      <c r="Q23" s="77">
        <v>2</v>
      </c>
      <c r="R23" s="77">
        <v>3</v>
      </c>
      <c r="S23" s="77">
        <v>3</v>
      </c>
      <c r="T23" s="77">
        <v>5</v>
      </c>
      <c r="U23" s="77">
        <v>5</v>
      </c>
      <c r="V23" s="77">
        <v>4</v>
      </c>
      <c r="W23" s="77">
        <v>4</v>
      </c>
      <c r="AD23" s="96"/>
      <c r="AE23" s="80" t="s">
        <v>38</v>
      </c>
      <c r="AF23" s="80" t="s">
        <v>29</v>
      </c>
      <c r="AG23" s="80" t="s">
        <v>30</v>
      </c>
      <c r="AH23" s="80" t="s">
        <v>34</v>
      </c>
      <c r="AI23" s="80" t="s">
        <v>33</v>
      </c>
      <c r="AK23" s="96"/>
      <c r="AL23" s="80" t="s">
        <v>38</v>
      </c>
      <c r="AM23" s="80" t="s">
        <v>29</v>
      </c>
      <c r="AN23" s="80" t="s">
        <v>30</v>
      </c>
      <c r="AO23" s="80" t="s">
        <v>34</v>
      </c>
      <c r="AP23" s="80" t="s">
        <v>33</v>
      </c>
      <c r="AQ23" s="83"/>
      <c r="AR23" s="83"/>
      <c r="AS23" s="84"/>
      <c r="AT23" s="77"/>
      <c r="AU23" s="77"/>
      <c r="AV23" s="77"/>
    </row>
    <row r="24" spans="1:48" ht="14.4" thickTop="1" thickBot="1" x14ac:dyDescent="0.3">
      <c r="A24" s="100" t="s">
        <v>24</v>
      </c>
      <c r="B24" s="100" t="s">
        <v>40</v>
      </c>
      <c r="C24" s="100" t="s">
        <v>49</v>
      </c>
      <c r="D24" s="100" t="s">
        <v>50</v>
      </c>
      <c r="E24" s="100" t="s">
        <v>187</v>
      </c>
      <c r="F24" s="100" t="s">
        <v>188</v>
      </c>
      <c r="H24" s="100" t="s">
        <v>27</v>
      </c>
      <c r="I24" s="193"/>
      <c r="J24" s="193"/>
      <c r="K24" s="193"/>
      <c r="L24" s="83"/>
      <c r="M24" s="83" t="s">
        <v>25</v>
      </c>
      <c r="N24" s="83"/>
      <c r="O24" s="83"/>
      <c r="P24" s="83"/>
      <c r="Q24" s="83"/>
      <c r="R24" s="83"/>
      <c r="S24" s="83"/>
      <c r="T24" s="83"/>
      <c r="U24" s="83"/>
      <c r="V24" s="83"/>
      <c r="W24" s="83"/>
      <c r="AD24" s="84"/>
      <c r="AG24"/>
      <c r="AH24"/>
      <c r="AK24" s="84"/>
      <c r="AL24" s="77"/>
      <c r="AM24" s="77"/>
      <c r="AQ24" s="83"/>
      <c r="AR24" s="83"/>
      <c r="AS24" s="84"/>
      <c r="AT24" s="83"/>
      <c r="AU24" s="77"/>
      <c r="AV24" s="84"/>
    </row>
    <row r="25" spans="1:48" ht="13.8" thickTop="1" x14ac:dyDescent="0.25">
      <c r="A25" s="170">
        <v>1</v>
      </c>
      <c r="B25" s="102">
        <f>B3</f>
        <v>4.46</v>
      </c>
      <c r="C25" s="104">
        <f t="shared" ref="C25:D55" si="0">B$6</f>
        <v>4.37</v>
      </c>
      <c r="D25" s="104">
        <f t="shared" si="0"/>
        <v>4.3899999999999997</v>
      </c>
      <c r="E25" s="80">
        <f t="shared" ref="E25:E55" si="1">B$8</f>
        <v>0.51</v>
      </c>
      <c r="F25" s="80">
        <f t="shared" ref="F25:F55" si="2">C$8</f>
        <v>0.48</v>
      </c>
      <c r="H25" s="80">
        <f>VLOOKUP(D2,STRADDLE,12,FALSE)</f>
        <v>6.8245902043498008E-2</v>
      </c>
      <c r="I25" s="212">
        <f>B10</f>
        <v>36678</v>
      </c>
      <c r="J25" s="212">
        <f>IF(K25=6,I25-1,IF(K25=7,I25-2,I25))</f>
        <v>36678</v>
      </c>
      <c r="K25" s="182">
        <f>WEEKDAY(B10,2)</f>
        <v>4</v>
      </c>
      <c r="L25" s="182">
        <f t="shared" ref="L25:L55" si="3">IF(I25&gt;B$11,0,IF(M25&lt;1,0,1))</f>
        <v>0</v>
      </c>
      <c r="M25" s="182">
        <f t="shared" ref="M25:M55" si="4">J25-B$12</f>
        <v>-20</v>
      </c>
      <c r="N25" s="107">
        <f t="shared" ref="N25:N55" si="5">IF($L25=0,0,bsd(N$23,N$22,$B25,$C25,$M25,$E25,$H25,0.1))</f>
        <v>0</v>
      </c>
      <c r="O25" s="107">
        <f t="shared" ref="O25:O55" si="6">IF($L25=0,0,bsd(O$23,O$22,$B25,$D25,$M25,$F25,$H25,0.1))</f>
        <v>0</v>
      </c>
      <c r="P25" s="107">
        <f t="shared" ref="P25:P55" si="7">IF($L25=0,0,bsd(P$23,P$22,$B25,$C25,$M25,$E25,$H25,0.1))</f>
        <v>0</v>
      </c>
      <c r="Q25" s="107">
        <f t="shared" ref="Q25:Q55" si="8">IF($L25=0,0,bsd(Q$23,Q$22,$B25,$D25,$M25,$F25,$H25,0.1))</f>
        <v>0</v>
      </c>
      <c r="R25" s="107">
        <f t="shared" ref="R25:R55" si="9">IF($L25=0,0,bsd(R$23,R$22,$B25,$C25,$M25,$E25,$H25,0.1))</f>
        <v>0</v>
      </c>
      <c r="S25" s="107">
        <f t="shared" ref="S25:S55" si="10">IF($L25=0,0,bsd(S$23,S$22,$B25,$D25,$M25,$F25,$H25,0.1))</f>
        <v>0</v>
      </c>
      <c r="T25" s="107">
        <f t="shared" ref="T25:T55" si="11">IF($L25=0,0,bsd(T$23,T$22,$B25,$C25,$M25,$E25,$H25,0.1))</f>
        <v>0</v>
      </c>
      <c r="U25" s="107">
        <f t="shared" ref="U25:U55" si="12">IF($L25=0,0,bsd(U$23,U$22,$B25,$D25,$M25,$F25,$H25,0.1))</f>
        <v>0</v>
      </c>
      <c r="V25" s="107">
        <f t="shared" ref="V25:V55" si="13">IF($L25=0,0,bsd(V$23,V$22,$B25,$C25,$M25,$E25,$H25,0.1))</f>
        <v>0</v>
      </c>
      <c r="W25" s="107">
        <f t="shared" ref="W25:W55" si="14">IF($L25=0,0,bsd(W$23,W$22,$B25,$D25,$M25,$F25,$H25,0.1))</f>
        <v>0</v>
      </c>
      <c r="Y25" s="82"/>
      <c r="Z25" s="82"/>
      <c r="AA25" s="170"/>
      <c r="AD25" s="108"/>
      <c r="AE25" s="109">
        <f>$L25*N25</f>
        <v>0</v>
      </c>
      <c r="AF25" s="109">
        <f>$L25*P25</f>
        <v>0</v>
      </c>
      <c r="AG25" s="109">
        <f>$L25*R25</f>
        <v>0</v>
      </c>
      <c r="AH25" s="109">
        <f>$L25*T25</f>
        <v>0</v>
      </c>
      <c r="AI25" s="109">
        <f>$L25*V25</f>
        <v>0</v>
      </c>
      <c r="AK25" s="108"/>
      <c r="AL25" s="109">
        <f t="shared" ref="AL25:AL55" si="15">$L25*O25</f>
        <v>0</v>
      </c>
      <c r="AM25" s="109">
        <f t="shared" ref="AM25:AM55" si="16">$L25*Q25</f>
        <v>0</v>
      </c>
      <c r="AN25" s="109">
        <f t="shared" ref="AN25:AN55" si="17">$L25*S25</f>
        <v>0</v>
      </c>
      <c r="AO25" s="109">
        <f t="shared" ref="AO25:AO55" si="18">$L25*U25</f>
        <v>0</v>
      </c>
      <c r="AP25" s="109">
        <f t="shared" ref="AP25:AP55" si="19">$L25*W25</f>
        <v>0</v>
      </c>
      <c r="AQ25" s="128"/>
      <c r="AR25" s="109"/>
      <c r="AS25" s="128"/>
      <c r="AT25" s="99"/>
      <c r="AU25" s="99"/>
      <c r="AV25" s="99"/>
    </row>
    <row r="26" spans="1:48" x14ac:dyDescent="0.25">
      <c r="A26" s="170">
        <f>A25+1</f>
        <v>2</v>
      </c>
      <c r="B26" s="102">
        <f>B25</f>
        <v>4.46</v>
      </c>
      <c r="C26" s="104">
        <f t="shared" si="0"/>
        <v>4.37</v>
      </c>
      <c r="D26" s="104">
        <f t="shared" si="0"/>
        <v>4.3899999999999997</v>
      </c>
      <c r="E26" s="80">
        <f t="shared" si="1"/>
        <v>0.51</v>
      </c>
      <c r="F26" s="80">
        <f t="shared" si="2"/>
        <v>0.48</v>
      </c>
      <c r="H26" s="80">
        <f>H25</f>
        <v>6.8245902043498008E-2</v>
      </c>
      <c r="I26" s="212">
        <f>I25+1</f>
        <v>36679</v>
      </c>
      <c r="J26" s="212">
        <f t="shared" ref="J26:J55" si="20">IF(K26=6,I26-1,IF(K26=7,I26-2,I26))</f>
        <v>36679</v>
      </c>
      <c r="K26" s="182">
        <f>WEEKDAY(I26,2)</f>
        <v>5</v>
      </c>
      <c r="L26" s="182">
        <f t="shared" si="3"/>
        <v>0</v>
      </c>
      <c r="M26" s="182">
        <f t="shared" si="4"/>
        <v>-19</v>
      </c>
      <c r="N26" s="107">
        <f>IF($L26=0,0,bsd(N$23,N$22,$B26,$C26,$M26,$E26,$H26,0.1))</f>
        <v>0</v>
      </c>
      <c r="O26" s="107">
        <f t="shared" si="6"/>
        <v>0</v>
      </c>
      <c r="P26" s="107">
        <f t="shared" si="7"/>
        <v>0</v>
      </c>
      <c r="Q26" s="107">
        <f t="shared" si="8"/>
        <v>0</v>
      </c>
      <c r="R26" s="107">
        <f t="shared" si="9"/>
        <v>0</v>
      </c>
      <c r="S26" s="107">
        <f t="shared" si="10"/>
        <v>0</v>
      </c>
      <c r="T26" s="107">
        <f t="shared" si="11"/>
        <v>0</v>
      </c>
      <c r="U26" s="107">
        <f t="shared" si="12"/>
        <v>0</v>
      </c>
      <c r="V26" s="107">
        <f t="shared" si="13"/>
        <v>0</v>
      </c>
      <c r="W26" s="107">
        <f t="shared" si="14"/>
        <v>0</v>
      </c>
      <c r="Y26" s="82"/>
      <c r="Z26" s="82"/>
      <c r="AA26" s="170"/>
      <c r="AD26" s="108"/>
      <c r="AE26" s="109">
        <f t="shared" ref="AE26:AE55" si="21">$L26*N26</f>
        <v>0</v>
      </c>
      <c r="AF26" s="109">
        <f t="shared" ref="AF26:AF55" si="22">$L26*P26</f>
        <v>0</v>
      </c>
      <c r="AG26" s="109">
        <f t="shared" ref="AG26:AG55" si="23">$L26*R26</f>
        <v>0</v>
      </c>
      <c r="AH26" s="109">
        <f t="shared" ref="AH26:AH55" si="24">$L26*T26</f>
        <v>0</v>
      </c>
      <c r="AI26" s="109">
        <f t="shared" ref="AI26:AI55" si="25">$L26*V26</f>
        <v>0</v>
      </c>
      <c r="AK26" s="108"/>
      <c r="AL26" s="109">
        <f t="shared" si="15"/>
        <v>0</v>
      </c>
      <c r="AM26" s="109">
        <f t="shared" si="16"/>
        <v>0</v>
      </c>
      <c r="AN26" s="109">
        <f t="shared" si="17"/>
        <v>0</v>
      </c>
      <c r="AO26" s="109">
        <f t="shared" si="18"/>
        <v>0</v>
      </c>
      <c r="AP26" s="109">
        <f t="shared" si="19"/>
        <v>0</v>
      </c>
      <c r="AQ26" s="128"/>
      <c r="AR26" s="109"/>
      <c r="AS26" s="128"/>
      <c r="AT26" s="99"/>
      <c r="AU26" s="99"/>
      <c r="AV26" s="99"/>
    </row>
    <row r="27" spans="1:48" x14ac:dyDescent="0.25">
      <c r="A27" s="170">
        <f t="shared" ref="A27:A55" si="26">A26+1</f>
        <v>3</v>
      </c>
      <c r="B27" s="102">
        <f t="shared" ref="B27:B55" si="27">B26</f>
        <v>4.46</v>
      </c>
      <c r="C27" s="104">
        <f t="shared" si="0"/>
        <v>4.37</v>
      </c>
      <c r="D27" s="104">
        <f t="shared" si="0"/>
        <v>4.3899999999999997</v>
      </c>
      <c r="E27" s="80">
        <f t="shared" si="1"/>
        <v>0.51</v>
      </c>
      <c r="F27" s="80">
        <f t="shared" si="2"/>
        <v>0.48</v>
      </c>
      <c r="H27" s="80">
        <f t="shared" ref="H27:H55" si="28">H26</f>
        <v>6.8245902043498008E-2</v>
      </c>
      <c r="I27" s="212">
        <f t="shared" ref="I27:I55" si="29">I26+1</f>
        <v>36680</v>
      </c>
      <c r="J27" s="212">
        <f t="shared" si="20"/>
        <v>36679</v>
      </c>
      <c r="K27" s="182">
        <f t="shared" ref="K27:K55" si="30">WEEKDAY(I27,2)</f>
        <v>6</v>
      </c>
      <c r="L27" s="182">
        <f t="shared" si="3"/>
        <v>0</v>
      </c>
      <c r="M27" s="182">
        <f t="shared" si="4"/>
        <v>-19</v>
      </c>
      <c r="N27" s="107">
        <f t="shared" si="5"/>
        <v>0</v>
      </c>
      <c r="O27" s="107">
        <f t="shared" si="6"/>
        <v>0</v>
      </c>
      <c r="P27" s="107">
        <f t="shared" si="7"/>
        <v>0</v>
      </c>
      <c r="Q27" s="107">
        <f t="shared" si="8"/>
        <v>0</v>
      </c>
      <c r="R27" s="107">
        <f t="shared" si="9"/>
        <v>0</v>
      </c>
      <c r="S27" s="107">
        <f t="shared" si="10"/>
        <v>0</v>
      </c>
      <c r="T27" s="107">
        <f t="shared" si="11"/>
        <v>0</v>
      </c>
      <c r="U27" s="107">
        <f t="shared" si="12"/>
        <v>0</v>
      </c>
      <c r="V27" s="107">
        <f t="shared" si="13"/>
        <v>0</v>
      </c>
      <c r="W27" s="107">
        <f t="shared" si="14"/>
        <v>0</v>
      </c>
      <c r="Y27" s="82"/>
      <c r="Z27" s="82"/>
      <c r="AA27" s="170"/>
      <c r="AD27" s="108"/>
      <c r="AE27" s="109">
        <f t="shared" si="21"/>
        <v>0</v>
      </c>
      <c r="AF27" s="109">
        <f t="shared" si="22"/>
        <v>0</v>
      </c>
      <c r="AG27" s="109">
        <f t="shared" si="23"/>
        <v>0</v>
      </c>
      <c r="AH27" s="109">
        <f t="shared" si="24"/>
        <v>0</v>
      </c>
      <c r="AI27" s="109">
        <f t="shared" si="25"/>
        <v>0</v>
      </c>
      <c r="AK27" s="108"/>
      <c r="AL27" s="109">
        <f t="shared" si="15"/>
        <v>0</v>
      </c>
      <c r="AM27" s="109">
        <f t="shared" si="16"/>
        <v>0</v>
      </c>
      <c r="AN27" s="109">
        <f t="shared" si="17"/>
        <v>0</v>
      </c>
      <c r="AO27" s="109">
        <f t="shared" si="18"/>
        <v>0</v>
      </c>
      <c r="AP27" s="109">
        <f t="shared" si="19"/>
        <v>0</v>
      </c>
      <c r="AQ27" s="128"/>
      <c r="AR27" s="109"/>
      <c r="AS27" s="128"/>
      <c r="AT27" s="99"/>
      <c r="AU27" s="99"/>
      <c r="AV27" s="99"/>
    </row>
    <row r="28" spans="1:48" x14ac:dyDescent="0.25">
      <c r="A28" s="170">
        <f t="shared" si="26"/>
        <v>4</v>
      </c>
      <c r="B28" s="102">
        <f t="shared" si="27"/>
        <v>4.46</v>
      </c>
      <c r="C28" s="104">
        <f t="shared" si="0"/>
        <v>4.37</v>
      </c>
      <c r="D28" s="104">
        <f t="shared" si="0"/>
        <v>4.3899999999999997</v>
      </c>
      <c r="E28" s="80">
        <f t="shared" si="1"/>
        <v>0.51</v>
      </c>
      <c r="F28" s="80">
        <f t="shared" si="2"/>
        <v>0.48</v>
      </c>
      <c r="H28" s="80">
        <f t="shared" si="28"/>
        <v>6.8245902043498008E-2</v>
      </c>
      <c r="I28" s="212">
        <f t="shared" si="29"/>
        <v>36681</v>
      </c>
      <c r="J28" s="212">
        <f t="shared" si="20"/>
        <v>36679</v>
      </c>
      <c r="K28" s="182">
        <f t="shared" si="30"/>
        <v>7</v>
      </c>
      <c r="L28" s="182">
        <f t="shared" si="3"/>
        <v>0</v>
      </c>
      <c r="M28" s="182">
        <f t="shared" si="4"/>
        <v>-19</v>
      </c>
      <c r="N28" s="107">
        <f t="shared" si="5"/>
        <v>0</v>
      </c>
      <c r="O28" s="107">
        <f t="shared" si="6"/>
        <v>0</v>
      </c>
      <c r="P28" s="107">
        <f t="shared" si="7"/>
        <v>0</v>
      </c>
      <c r="Q28" s="107">
        <f t="shared" si="8"/>
        <v>0</v>
      </c>
      <c r="R28" s="107">
        <f t="shared" si="9"/>
        <v>0</v>
      </c>
      <c r="S28" s="107">
        <f t="shared" si="10"/>
        <v>0</v>
      </c>
      <c r="T28" s="107">
        <f t="shared" si="11"/>
        <v>0</v>
      </c>
      <c r="U28" s="107">
        <f t="shared" si="12"/>
        <v>0</v>
      </c>
      <c r="V28" s="107">
        <f t="shared" si="13"/>
        <v>0</v>
      </c>
      <c r="W28" s="107">
        <f t="shared" si="14"/>
        <v>0</v>
      </c>
      <c r="Y28" s="82"/>
      <c r="Z28" s="82"/>
      <c r="AA28" s="170"/>
      <c r="AD28" s="108"/>
      <c r="AE28" s="109">
        <f t="shared" si="21"/>
        <v>0</v>
      </c>
      <c r="AF28" s="109">
        <f t="shared" si="22"/>
        <v>0</v>
      </c>
      <c r="AG28" s="109">
        <f t="shared" si="23"/>
        <v>0</v>
      </c>
      <c r="AH28" s="109">
        <f t="shared" si="24"/>
        <v>0</v>
      </c>
      <c r="AI28" s="109">
        <f t="shared" si="25"/>
        <v>0</v>
      </c>
      <c r="AK28" s="108"/>
      <c r="AL28" s="109">
        <f t="shared" si="15"/>
        <v>0</v>
      </c>
      <c r="AM28" s="109">
        <f t="shared" si="16"/>
        <v>0</v>
      </c>
      <c r="AN28" s="109">
        <f t="shared" si="17"/>
        <v>0</v>
      </c>
      <c r="AO28" s="109">
        <f t="shared" si="18"/>
        <v>0</v>
      </c>
      <c r="AP28" s="109">
        <f t="shared" si="19"/>
        <v>0</v>
      </c>
      <c r="AQ28" s="128"/>
      <c r="AR28" s="109"/>
      <c r="AS28" s="128"/>
      <c r="AT28" s="99"/>
      <c r="AU28" s="99"/>
      <c r="AV28" s="99"/>
    </row>
    <row r="29" spans="1:48" x14ac:dyDescent="0.25">
      <c r="A29" s="170">
        <f t="shared" si="26"/>
        <v>5</v>
      </c>
      <c r="B29" s="102">
        <f t="shared" si="27"/>
        <v>4.46</v>
      </c>
      <c r="C29" s="104">
        <f t="shared" si="0"/>
        <v>4.37</v>
      </c>
      <c r="D29" s="104">
        <f t="shared" si="0"/>
        <v>4.3899999999999997</v>
      </c>
      <c r="E29" s="80">
        <f t="shared" si="1"/>
        <v>0.51</v>
      </c>
      <c r="F29" s="80">
        <f t="shared" si="2"/>
        <v>0.48</v>
      </c>
      <c r="H29" s="80">
        <f t="shared" si="28"/>
        <v>6.8245902043498008E-2</v>
      </c>
      <c r="I29" s="212">
        <f t="shared" si="29"/>
        <v>36682</v>
      </c>
      <c r="J29" s="212">
        <f t="shared" si="20"/>
        <v>36682</v>
      </c>
      <c r="K29" s="182">
        <f t="shared" si="30"/>
        <v>1</v>
      </c>
      <c r="L29" s="182">
        <f t="shared" si="3"/>
        <v>0</v>
      </c>
      <c r="M29" s="182">
        <f t="shared" si="4"/>
        <v>-16</v>
      </c>
      <c r="N29" s="107">
        <f t="shared" si="5"/>
        <v>0</v>
      </c>
      <c r="O29" s="107">
        <f t="shared" si="6"/>
        <v>0</v>
      </c>
      <c r="P29" s="107">
        <f t="shared" si="7"/>
        <v>0</v>
      </c>
      <c r="Q29" s="107">
        <f t="shared" si="8"/>
        <v>0</v>
      </c>
      <c r="R29" s="107">
        <f t="shared" si="9"/>
        <v>0</v>
      </c>
      <c r="S29" s="107">
        <f t="shared" si="10"/>
        <v>0</v>
      </c>
      <c r="T29" s="107">
        <f t="shared" si="11"/>
        <v>0</v>
      </c>
      <c r="U29" s="107">
        <f t="shared" si="12"/>
        <v>0</v>
      </c>
      <c r="V29" s="107">
        <f t="shared" si="13"/>
        <v>0</v>
      </c>
      <c r="W29" s="107">
        <f t="shared" si="14"/>
        <v>0</v>
      </c>
      <c r="Y29" s="82"/>
      <c r="Z29" s="82"/>
      <c r="AA29" s="170"/>
      <c r="AD29" s="108"/>
      <c r="AE29" s="109">
        <f t="shared" si="21"/>
        <v>0</v>
      </c>
      <c r="AF29" s="109">
        <f t="shared" si="22"/>
        <v>0</v>
      </c>
      <c r="AG29" s="109">
        <f t="shared" si="23"/>
        <v>0</v>
      </c>
      <c r="AH29" s="109">
        <f t="shared" si="24"/>
        <v>0</v>
      </c>
      <c r="AI29" s="109">
        <f t="shared" si="25"/>
        <v>0</v>
      </c>
      <c r="AK29" s="108"/>
      <c r="AL29" s="109">
        <f t="shared" si="15"/>
        <v>0</v>
      </c>
      <c r="AM29" s="109">
        <f t="shared" si="16"/>
        <v>0</v>
      </c>
      <c r="AN29" s="109">
        <f t="shared" si="17"/>
        <v>0</v>
      </c>
      <c r="AO29" s="109">
        <f t="shared" si="18"/>
        <v>0</v>
      </c>
      <c r="AP29" s="109">
        <f t="shared" si="19"/>
        <v>0</v>
      </c>
      <c r="AQ29" s="128"/>
      <c r="AR29" s="109"/>
      <c r="AS29" s="128"/>
      <c r="AT29" s="99"/>
      <c r="AU29" s="99"/>
      <c r="AV29" s="99"/>
    </row>
    <row r="30" spans="1:48" x14ac:dyDescent="0.25">
      <c r="A30" s="170">
        <f t="shared" si="26"/>
        <v>6</v>
      </c>
      <c r="B30" s="102">
        <f t="shared" si="27"/>
        <v>4.46</v>
      </c>
      <c r="C30" s="104">
        <f t="shared" si="0"/>
        <v>4.37</v>
      </c>
      <c r="D30" s="104">
        <f t="shared" si="0"/>
        <v>4.3899999999999997</v>
      </c>
      <c r="E30" s="80">
        <f t="shared" si="1"/>
        <v>0.51</v>
      </c>
      <c r="F30" s="80">
        <f t="shared" si="2"/>
        <v>0.48</v>
      </c>
      <c r="H30" s="80">
        <f t="shared" si="28"/>
        <v>6.8245902043498008E-2</v>
      </c>
      <c r="I30" s="212">
        <f t="shared" si="29"/>
        <v>36683</v>
      </c>
      <c r="J30" s="212">
        <f t="shared" si="20"/>
        <v>36683</v>
      </c>
      <c r="K30" s="182">
        <f t="shared" si="30"/>
        <v>2</v>
      </c>
      <c r="L30" s="182">
        <f t="shared" si="3"/>
        <v>0</v>
      </c>
      <c r="M30" s="182">
        <f t="shared" si="4"/>
        <v>-15</v>
      </c>
      <c r="N30" s="107">
        <f t="shared" si="5"/>
        <v>0</v>
      </c>
      <c r="O30" s="107">
        <f t="shared" si="6"/>
        <v>0</v>
      </c>
      <c r="P30" s="107">
        <f t="shared" si="7"/>
        <v>0</v>
      </c>
      <c r="Q30" s="107">
        <f t="shared" si="8"/>
        <v>0</v>
      </c>
      <c r="R30" s="107">
        <f t="shared" si="9"/>
        <v>0</v>
      </c>
      <c r="S30" s="107">
        <f t="shared" si="10"/>
        <v>0</v>
      </c>
      <c r="T30" s="107">
        <f t="shared" si="11"/>
        <v>0</v>
      </c>
      <c r="U30" s="107">
        <f t="shared" si="12"/>
        <v>0</v>
      </c>
      <c r="V30" s="107">
        <f t="shared" si="13"/>
        <v>0</v>
      </c>
      <c r="W30" s="107">
        <f t="shared" si="14"/>
        <v>0</v>
      </c>
      <c r="Y30" s="82"/>
      <c r="Z30" s="82"/>
      <c r="AA30" s="170"/>
      <c r="AD30" s="108"/>
      <c r="AE30" s="109">
        <f t="shared" si="21"/>
        <v>0</v>
      </c>
      <c r="AF30" s="109">
        <f t="shared" si="22"/>
        <v>0</v>
      </c>
      <c r="AG30" s="109">
        <f t="shared" si="23"/>
        <v>0</v>
      </c>
      <c r="AH30" s="109">
        <f t="shared" si="24"/>
        <v>0</v>
      </c>
      <c r="AI30" s="109">
        <f t="shared" si="25"/>
        <v>0</v>
      </c>
      <c r="AK30" s="108"/>
      <c r="AL30" s="109">
        <f t="shared" si="15"/>
        <v>0</v>
      </c>
      <c r="AM30" s="109">
        <f t="shared" si="16"/>
        <v>0</v>
      </c>
      <c r="AN30" s="109">
        <f t="shared" si="17"/>
        <v>0</v>
      </c>
      <c r="AO30" s="109">
        <f t="shared" si="18"/>
        <v>0</v>
      </c>
      <c r="AP30" s="109">
        <f t="shared" si="19"/>
        <v>0</v>
      </c>
      <c r="AQ30" s="128"/>
      <c r="AR30" s="109"/>
      <c r="AS30" s="128"/>
      <c r="AT30" s="99"/>
      <c r="AU30" s="99"/>
      <c r="AV30" s="99"/>
    </row>
    <row r="31" spans="1:48" x14ac:dyDescent="0.25">
      <c r="A31" s="170">
        <f t="shared" si="26"/>
        <v>7</v>
      </c>
      <c r="B31" s="102">
        <f t="shared" si="27"/>
        <v>4.46</v>
      </c>
      <c r="C31" s="104">
        <f t="shared" si="0"/>
        <v>4.37</v>
      </c>
      <c r="D31" s="104">
        <f t="shared" si="0"/>
        <v>4.3899999999999997</v>
      </c>
      <c r="E31" s="80">
        <f t="shared" si="1"/>
        <v>0.51</v>
      </c>
      <c r="F31" s="80">
        <f t="shared" si="2"/>
        <v>0.48</v>
      </c>
      <c r="H31" s="80">
        <f t="shared" si="28"/>
        <v>6.8245902043498008E-2</v>
      </c>
      <c r="I31" s="212">
        <f t="shared" si="29"/>
        <v>36684</v>
      </c>
      <c r="J31" s="212">
        <f t="shared" si="20"/>
        <v>36684</v>
      </c>
      <c r="K31" s="182">
        <f t="shared" si="30"/>
        <v>3</v>
      </c>
      <c r="L31" s="182">
        <f t="shared" si="3"/>
        <v>0</v>
      </c>
      <c r="M31" s="182">
        <f t="shared" si="4"/>
        <v>-14</v>
      </c>
      <c r="N31" s="107">
        <f t="shared" si="5"/>
        <v>0</v>
      </c>
      <c r="O31" s="107">
        <f t="shared" si="6"/>
        <v>0</v>
      </c>
      <c r="P31" s="107">
        <f t="shared" si="7"/>
        <v>0</v>
      </c>
      <c r="Q31" s="107">
        <f t="shared" si="8"/>
        <v>0</v>
      </c>
      <c r="R31" s="107">
        <f t="shared" si="9"/>
        <v>0</v>
      </c>
      <c r="S31" s="107">
        <f t="shared" si="10"/>
        <v>0</v>
      </c>
      <c r="T31" s="107">
        <f t="shared" si="11"/>
        <v>0</v>
      </c>
      <c r="U31" s="107">
        <f t="shared" si="12"/>
        <v>0</v>
      </c>
      <c r="V31" s="107">
        <f t="shared" si="13"/>
        <v>0</v>
      </c>
      <c r="W31" s="107">
        <f t="shared" si="14"/>
        <v>0</v>
      </c>
      <c r="Y31" s="82"/>
      <c r="Z31" s="82"/>
      <c r="AA31" s="170"/>
      <c r="AD31" s="108"/>
      <c r="AE31" s="109">
        <f t="shared" si="21"/>
        <v>0</v>
      </c>
      <c r="AF31" s="109">
        <f t="shared" si="22"/>
        <v>0</v>
      </c>
      <c r="AG31" s="109">
        <f t="shared" si="23"/>
        <v>0</v>
      </c>
      <c r="AH31" s="109">
        <f t="shared" si="24"/>
        <v>0</v>
      </c>
      <c r="AI31" s="109">
        <f t="shared" si="25"/>
        <v>0</v>
      </c>
      <c r="AK31" s="108"/>
      <c r="AL31" s="109">
        <f t="shared" si="15"/>
        <v>0</v>
      </c>
      <c r="AM31" s="109">
        <f t="shared" si="16"/>
        <v>0</v>
      </c>
      <c r="AN31" s="109">
        <f t="shared" si="17"/>
        <v>0</v>
      </c>
      <c r="AO31" s="109">
        <f t="shared" si="18"/>
        <v>0</v>
      </c>
      <c r="AP31" s="109">
        <f t="shared" si="19"/>
        <v>0</v>
      </c>
      <c r="AQ31" s="128"/>
      <c r="AR31" s="109"/>
      <c r="AS31" s="128"/>
      <c r="AT31" s="99"/>
      <c r="AU31" s="99"/>
      <c r="AV31" s="99"/>
    </row>
    <row r="32" spans="1:48" x14ac:dyDescent="0.25">
      <c r="A32" s="170">
        <f t="shared" si="26"/>
        <v>8</v>
      </c>
      <c r="B32" s="102">
        <f t="shared" si="27"/>
        <v>4.46</v>
      </c>
      <c r="C32" s="104">
        <f t="shared" si="0"/>
        <v>4.37</v>
      </c>
      <c r="D32" s="104">
        <f t="shared" si="0"/>
        <v>4.3899999999999997</v>
      </c>
      <c r="E32" s="80">
        <f t="shared" si="1"/>
        <v>0.51</v>
      </c>
      <c r="F32" s="80">
        <f t="shared" si="2"/>
        <v>0.48</v>
      </c>
      <c r="H32" s="80">
        <f t="shared" si="28"/>
        <v>6.8245902043498008E-2</v>
      </c>
      <c r="I32" s="212">
        <f t="shared" si="29"/>
        <v>36685</v>
      </c>
      <c r="J32" s="212">
        <f t="shared" si="20"/>
        <v>36685</v>
      </c>
      <c r="K32" s="182">
        <f t="shared" si="30"/>
        <v>4</v>
      </c>
      <c r="L32" s="182">
        <f t="shared" si="3"/>
        <v>0</v>
      </c>
      <c r="M32" s="182">
        <f t="shared" si="4"/>
        <v>-13</v>
      </c>
      <c r="N32" s="107">
        <f t="shared" si="5"/>
        <v>0</v>
      </c>
      <c r="O32" s="107">
        <f t="shared" si="6"/>
        <v>0</v>
      </c>
      <c r="P32" s="107">
        <f t="shared" si="7"/>
        <v>0</v>
      </c>
      <c r="Q32" s="107">
        <f t="shared" si="8"/>
        <v>0</v>
      </c>
      <c r="R32" s="107">
        <f t="shared" si="9"/>
        <v>0</v>
      </c>
      <c r="S32" s="107">
        <f t="shared" si="10"/>
        <v>0</v>
      </c>
      <c r="T32" s="107">
        <f t="shared" si="11"/>
        <v>0</v>
      </c>
      <c r="U32" s="107">
        <f t="shared" si="12"/>
        <v>0</v>
      </c>
      <c r="V32" s="107">
        <f t="shared" si="13"/>
        <v>0</v>
      </c>
      <c r="W32" s="107">
        <f t="shared" si="14"/>
        <v>0</v>
      </c>
      <c r="Y32" s="82"/>
      <c r="Z32" s="82"/>
      <c r="AA32" s="170"/>
      <c r="AD32" s="108"/>
      <c r="AE32" s="109">
        <f t="shared" si="21"/>
        <v>0</v>
      </c>
      <c r="AF32" s="109">
        <f t="shared" si="22"/>
        <v>0</v>
      </c>
      <c r="AG32" s="109">
        <f t="shared" si="23"/>
        <v>0</v>
      </c>
      <c r="AH32" s="109">
        <f t="shared" si="24"/>
        <v>0</v>
      </c>
      <c r="AI32" s="109">
        <f t="shared" si="25"/>
        <v>0</v>
      </c>
      <c r="AK32" s="108"/>
      <c r="AL32" s="109">
        <f t="shared" si="15"/>
        <v>0</v>
      </c>
      <c r="AM32" s="109">
        <f t="shared" si="16"/>
        <v>0</v>
      </c>
      <c r="AN32" s="109">
        <f t="shared" si="17"/>
        <v>0</v>
      </c>
      <c r="AO32" s="109">
        <f t="shared" si="18"/>
        <v>0</v>
      </c>
      <c r="AP32" s="109">
        <f t="shared" si="19"/>
        <v>0</v>
      </c>
      <c r="AQ32" s="128"/>
      <c r="AR32" s="109"/>
      <c r="AS32" s="128"/>
      <c r="AT32" s="99"/>
      <c r="AU32" s="99"/>
      <c r="AV32" s="99"/>
    </row>
    <row r="33" spans="1:48" x14ac:dyDescent="0.25">
      <c r="A33" s="170">
        <f t="shared" si="26"/>
        <v>9</v>
      </c>
      <c r="B33" s="102">
        <f t="shared" si="27"/>
        <v>4.46</v>
      </c>
      <c r="C33" s="104">
        <f t="shared" si="0"/>
        <v>4.37</v>
      </c>
      <c r="D33" s="104">
        <f t="shared" si="0"/>
        <v>4.3899999999999997</v>
      </c>
      <c r="E33" s="80">
        <f t="shared" si="1"/>
        <v>0.51</v>
      </c>
      <c r="F33" s="80">
        <f t="shared" si="2"/>
        <v>0.48</v>
      </c>
      <c r="H33" s="80">
        <f t="shared" si="28"/>
        <v>6.8245902043498008E-2</v>
      </c>
      <c r="I33" s="212">
        <f t="shared" si="29"/>
        <v>36686</v>
      </c>
      <c r="J33" s="212">
        <f t="shared" si="20"/>
        <v>36686</v>
      </c>
      <c r="K33" s="182">
        <f t="shared" si="30"/>
        <v>5</v>
      </c>
      <c r="L33" s="182">
        <f t="shared" si="3"/>
        <v>0</v>
      </c>
      <c r="M33" s="182">
        <f t="shared" si="4"/>
        <v>-12</v>
      </c>
      <c r="N33" s="107">
        <f>IF($L33=0,0,bsd(N$23,N$22,$B33,$C33,$M33,$E33,$H33,0.1))</f>
        <v>0</v>
      </c>
      <c r="O33" s="107">
        <f t="shared" si="6"/>
        <v>0</v>
      </c>
      <c r="P33" s="107">
        <f t="shared" si="7"/>
        <v>0</v>
      </c>
      <c r="Q33" s="107">
        <f t="shared" si="8"/>
        <v>0</v>
      </c>
      <c r="R33" s="107">
        <f>IF($L33=0,0,bsd(R$23,R$22,$B33,$C33,$M33,$E33,$H33,0.1))</f>
        <v>0</v>
      </c>
      <c r="S33" s="107">
        <f t="shared" si="10"/>
        <v>0</v>
      </c>
      <c r="T33" s="107">
        <f t="shared" si="11"/>
        <v>0</v>
      </c>
      <c r="U33" s="107">
        <f t="shared" si="12"/>
        <v>0</v>
      </c>
      <c r="V33" s="107">
        <f t="shared" si="13"/>
        <v>0</v>
      </c>
      <c r="W33" s="107">
        <f t="shared" si="14"/>
        <v>0</v>
      </c>
      <c r="Y33" s="82"/>
      <c r="Z33" s="82"/>
      <c r="AA33" s="170"/>
      <c r="AD33" s="108"/>
      <c r="AE33" s="109">
        <f t="shared" si="21"/>
        <v>0</v>
      </c>
      <c r="AF33" s="109">
        <f t="shared" si="22"/>
        <v>0</v>
      </c>
      <c r="AG33" s="109">
        <f t="shared" si="23"/>
        <v>0</v>
      </c>
      <c r="AH33" s="109">
        <f t="shared" si="24"/>
        <v>0</v>
      </c>
      <c r="AI33" s="109">
        <f t="shared" si="25"/>
        <v>0</v>
      </c>
      <c r="AK33" s="108"/>
      <c r="AL33" s="109">
        <f t="shared" si="15"/>
        <v>0</v>
      </c>
      <c r="AM33" s="109">
        <f t="shared" si="16"/>
        <v>0</v>
      </c>
      <c r="AN33" s="109">
        <f t="shared" si="17"/>
        <v>0</v>
      </c>
      <c r="AO33" s="109">
        <f t="shared" si="18"/>
        <v>0</v>
      </c>
      <c r="AP33" s="109">
        <f t="shared" si="19"/>
        <v>0</v>
      </c>
      <c r="AQ33" s="128"/>
      <c r="AR33" s="109"/>
      <c r="AS33" s="128"/>
      <c r="AT33" s="99"/>
      <c r="AU33" s="99"/>
      <c r="AV33" s="99"/>
    </row>
    <row r="34" spans="1:48" x14ac:dyDescent="0.25">
      <c r="A34" s="170">
        <f t="shared" si="26"/>
        <v>10</v>
      </c>
      <c r="B34" s="102">
        <f t="shared" si="27"/>
        <v>4.46</v>
      </c>
      <c r="C34" s="104">
        <f t="shared" si="0"/>
        <v>4.37</v>
      </c>
      <c r="D34" s="104">
        <f t="shared" si="0"/>
        <v>4.3899999999999997</v>
      </c>
      <c r="E34" s="80">
        <f t="shared" si="1"/>
        <v>0.51</v>
      </c>
      <c r="F34" s="80">
        <f t="shared" si="2"/>
        <v>0.48</v>
      </c>
      <c r="H34" s="80">
        <f t="shared" si="28"/>
        <v>6.8245902043498008E-2</v>
      </c>
      <c r="I34" s="212">
        <f t="shared" si="29"/>
        <v>36687</v>
      </c>
      <c r="J34" s="212">
        <f t="shared" si="20"/>
        <v>36686</v>
      </c>
      <c r="K34" s="182">
        <f t="shared" si="30"/>
        <v>6</v>
      </c>
      <c r="L34" s="182">
        <f t="shared" si="3"/>
        <v>0</v>
      </c>
      <c r="M34" s="182">
        <f t="shared" si="4"/>
        <v>-12</v>
      </c>
      <c r="N34" s="107">
        <f t="shared" si="5"/>
        <v>0</v>
      </c>
      <c r="O34" s="107">
        <f t="shared" si="6"/>
        <v>0</v>
      </c>
      <c r="P34" s="107">
        <f t="shared" si="7"/>
        <v>0</v>
      </c>
      <c r="Q34" s="107">
        <f t="shared" si="8"/>
        <v>0</v>
      </c>
      <c r="R34" s="107">
        <f t="shared" si="9"/>
        <v>0</v>
      </c>
      <c r="S34" s="107">
        <f t="shared" si="10"/>
        <v>0</v>
      </c>
      <c r="T34" s="107">
        <f t="shared" si="11"/>
        <v>0</v>
      </c>
      <c r="U34" s="107">
        <f t="shared" si="12"/>
        <v>0</v>
      </c>
      <c r="V34" s="107">
        <f t="shared" si="13"/>
        <v>0</v>
      </c>
      <c r="W34" s="107">
        <f t="shared" si="14"/>
        <v>0</v>
      </c>
      <c r="Y34" s="82"/>
      <c r="Z34" s="82"/>
      <c r="AA34" s="170"/>
      <c r="AD34" s="108"/>
      <c r="AE34" s="109">
        <f t="shared" si="21"/>
        <v>0</v>
      </c>
      <c r="AF34" s="109">
        <f t="shared" si="22"/>
        <v>0</v>
      </c>
      <c r="AG34" s="109">
        <f t="shared" si="23"/>
        <v>0</v>
      </c>
      <c r="AH34" s="109">
        <f t="shared" si="24"/>
        <v>0</v>
      </c>
      <c r="AI34" s="109">
        <f t="shared" si="25"/>
        <v>0</v>
      </c>
      <c r="AK34" s="108"/>
      <c r="AL34" s="109">
        <f t="shared" si="15"/>
        <v>0</v>
      </c>
      <c r="AM34" s="109">
        <f t="shared" si="16"/>
        <v>0</v>
      </c>
      <c r="AN34" s="109">
        <f t="shared" si="17"/>
        <v>0</v>
      </c>
      <c r="AO34" s="109">
        <f t="shared" si="18"/>
        <v>0</v>
      </c>
      <c r="AP34" s="109">
        <f t="shared" si="19"/>
        <v>0</v>
      </c>
      <c r="AQ34" s="128"/>
      <c r="AR34" s="109"/>
      <c r="AS34" s="128"/>
      <c r="AT34" s="99"/>
      <c r="AU34" s="99"/>
      <c r="AV34" s="99"/>
    </row>
    <row r="35" spans="1:48" x14ac:dyDescent="0.25">
      <c r="A35" s="170">
        <f t="shared" si="26"/>
        <v>11</v>
      </c>
      <c r="B35" s="102">
        <f t="shared" si="27"/>
        <v>4.46</v>
      </c>
      <c r="C35" s="104">
        <f t="shared" si="0"/>
        <v>4.37</v>
      </c>
      <c r="D35" s="104">
        <f t="shared" si="0"/>
        <v>4.3899999999999997</v>
      </c>
      <c r="E35" s="80">
        <f t="shared" si="1"/>
        <v>0.51</v>
      </c>
      <c r="F35" s="80">
        <f t="shared" si="2"/>
        <v>0.48</v>
      </c>
      <c r="H35" s="80">
        <f t="shared" si="28"/>
        <v>6.8245902043498008E-2</v>
      </c>
      <c r="I35" s="212">
        <f t="shared" si="29"/>
        <v>36688</v>
      </c>
      <c r="J35" s="212">
        <f t="shared" si="20"/>
        <v>36686</v>
      </c>
      <c r="K35" s="182">
        <f t="shared" si="30"/>
        <v>7</v>
      </c>
      <c r="L35" s="182">
        <f t="shared" si="3"/>
        <v>0</v>
      </c>
      <c r="M35" s="182">
        <f t="shared" si="4"/>
        <v>-12</v>
      </c>
      <c r="N35" s="107">
        <f t="shared" si="5"/>
        <v>0</v>
      </c>
      <c r="O35" s="107">
        <f t="shared" si="6"/>
        <v>0</v>
      </c>
      <c r="P35" s="107">
        <f t="shared" si="7"/>
        <v>0</v>
      </c>
      <c r="Q35" s="107">
        <f t="shared" si="8"/>
        <v>0</v>
      </c>
      <c r="R35" s="107">
        <f t="shared" si="9"/>
        <v>0</v>
      </c>
      <c r="S35" s="107">
        <f t="shared" si="10"/>
        <v>0</v>
      </c>
      <c r="T35" s="107">
        <f t="shared" si="11"/>
        <v>0</v>
      </c>
      <c r="U35" s="107">
        <f t="shared" si="12"/>
        <v>0</v>
      </c>
      <c r="V35" s="107">
        <f t="shared" si="13"/>
        <v>0</v>
      </c>
      <c r="W35" s="107">
        <f t="shared" si="14"/>
        <v>0</v>
      </c>
      <c r="Y35" s="82"/>
      <c r="Z35" s="82"/>
      <c r="AA35" s="170"/>
      <c r="AD35" s="108"/>
      <c r="AE35" s="109">
        <f t="shared" si="21"/>
        <v>0</v>
      </c>
      <c r="AF35" s="109">
        <f t="shared" si="22"/>
        <v>0</v>
      </c>
      <c r="AG35" s="109">
        <f t="shared" si="23"/>
        <v>0</v>
      </c>
      <c r="AH35" s="109">
        <f t="shared" si="24"/>
        <v>0</v>
      </c>
      <c r="AI35" s="109">
        <f t="shared" si="25"/>
        <v>0</v>
      </c>
      <c r="AK35" s="108"/>
      <c r="AL35" s="109">
        <f t="shared" si="15"/>
        <v>0</v>
      </c>
      <c r="AM35" s="109">
        <f t="shared" si="16"/>
        <v>0</v>
      </c>
      <c r="AN35" s="109">
        <f t="shared" si="17"/>
        <v>0</v>
      </c>
      <c r="AO35" s="109">
        <f t="shared" si="18"/>
        <v>0</v>
      </c>
      <c r="AP35" s="109">
        <f t="shared" si="19"/>
        <v>0</v>
      </c>
      <c r="AQ35" s="128"/>
      <c r="AR35" s="109"/>
      <c r="AS35" s="128"/>
      <c r="AT35" s="99"/>
      <c r="AU35" s="99"/>
      <c r="AV35" s="99"/>
    </row>
    <row r="36" spans="1:48" x14ac:dyDescent="0.25">
      <c r="A36" s="170">
        <f t="shared" si="26"/>
        <v>12</v>
      </c>
      <c r="B36" s="102">
        <f t="shared" si="27"/>
        <v>4.46</v>
      </c>
      <c r="C36" s="104">
        <f t="shared" si="0"/>
        <v>4.37</v>
      </c>
      <c r="D36" s="104">
        <f t="shared" si="0"/>
        <v>4.3899999999999997</v>
      </c>
      <c r="E36" s="80">
        <f t="shared" si="1"/>
        <v>0.51</v>
      </c>
      <c r="F36" s="80">
        <f t="shared" si="2"/>
        <v>0.48</v>
      </c>
      <c r="H36" s="80">
        <f t="shared" si="28"/>
        <v>6.8245902043498008E-2</v>
      </c>
      <c r="I36" s="212">
        <f t="shared" si="29"/>
        <v>36689</v>
      </c>
      <c r="J36" s="212">
        <f t="shared" si="20"/>
        <v>36689</v>
      </c>
      <c r="K36" s="182">
        <f t="shared" si="30"/>
        <v>1</v>
      </c>
      <c r="L36" s="182">
        <f t="shared" si="3"/>
        <v>0</v>
      </c>
      <c r="M36" s="182">
        <f t="shared" si="4"/>
        <v>-9</v>
      </c>
      <c r="N36" s="107">
        <f t="shared" si="5"/>
        <v>0</v>
      </c>
      <c r="O36" s="107">
        <f t="shared" si="6"/>
        <v>0</v>
      </c>
      <c r="P36" s="107">
        <f t="shared" si="7"/>
        <v>0</v>
      </c>
      <c r="Q36" s="107">
        <f t="shared" si="8"/>
        <v>0</v>
      </c>
      <c r="R36" s="107">
        <f t="shared" si="9"/>
        <v>0</v>
      </c>
      <c r="S36" s="107">
        <f t="shared" si="10"/>
        <v>0</v>
      </c>
      <c r="T36" s="107">
        <f t="shared" si="11"/>
        <v>0</v>
      </c>
      <c r="U36" s="107">
        <f t="shared" si="12"/>
        <v>0</v>
      </c>
      <c r="V36" s="107">
        <f t="shared" si="13"/>
        <v>0</v>
      </c>
      <c r="W36" s="107">
        <f t="shared" si="14"/>
        <v>0</v>
      </c>
      <c r="Y36" s="82"/>
      <c r="Z36" s="82"/>
      <c r="AA36" s="170"/>
      <c r="AD36" s="108"/>
      <c r="AE36" s="109">
        <f t="shared" si="21"/>
        <v>0</v>
      </c>
      <c r="AF36" s="109">
        <f t="shared" si="22"/>
        <v>0</v>
      </c>
      <c r="AG36" s="109">
        <f t="shared" si="23"/>
        <v>0</v>
      </c>
      <c r="AH36" s="109">
        <f t="shared" si="24"/>
        <v>0</v>
      </c>
      <c r="AI36" s="109">
        <f t="shared" si="25"/>
        <v>0</v>
      </c>
      <c r="AK36" s="108"/>
      <c r="AL36" s="109">
        <f t="shared" si="15"/>
        <v>0</v>
      </c>
      <c r="AM36" s="109">
        <f t="shared" si="16"/>
        <v>0</v>
      </c>
      <c r="AN36" s="109">
        <f t="shared" si="17"/>
        <v>0</v>
      </c>
      <c r="AO36" s="109">
        <f t="shared" si="18"/>
        <v>0</v>
      </c>
      <c r="AP36" s="109">
        <f t="shared" si="19"/>
        <v>0</v>
      </c>
      <c r="AQ36" s="128"/>
      <c r="AR36" s="109"/>
      <c r="AS36" s="128"/>
      <c r="AT36" s="99"/>
      <c r="AU36" s="99"/>
      <c r="AV36" s="99"/>
    </row>
    <row r="37" spans="1:48" x14ac:dyDescent="0.25">
      <c r="A37" s="170">
        <f t="shared" si="26"/>
        <v>13</v>
      </c>
      <c r="B37" s="102">
        <f t="shared" si="27"/>
        <v>4.46</v>
      </c>
      <c r="C37" s="104">
        <f t="shared" si="0"/>
        <v>4.37</v>
      </c>
      <c r="D37" s="104">
        <f t="shared" si="0"/>
        <v>4.3899999999999997</v>
      </c>
      <c r="E37" s="80">
        <f t="shared" si="1"/>
        <v>0.51</v>
      </c>
      <c r="F37" s="80">
        <f t="shared" si="2"/>
        <v>0.48</v>
      </c>
      <c r="H37" s="80">
        <f t="shared" si="28"/>
        <v>6.8245902043498008E-2</v>
      </c>
      <c r="I37" s="212">
        <f t="shared" si="29"/>
        <v>36690</v>
      </c>
      <c r="J37" s="212">
        <f t="shared" si="20"/>
        <v>36690</v>
      </c>
      <c r="K37" s="182">
        <f t="shared" si="30"/>
        <v>2</v>
      </c>
      <c r="L37" s="182">
        <f t="shared" si="3"/>
        <v>0</v>
      </c>
      <c r="M37" s="182">
        <f t="shared" si="4"/>
        <v>-8</v>
      </c>
      <c r="N37" s="107">
        <f t="shared" si="5"/>
        <v>0</v>
      </c>
      <c r="O37" s="107">
        <f t="shared" si="6"/>
        <v>0</v>
      </c>
      <c r="P37" s="107">
        <f t="shared" si="7"/>
        <v>0</v>
      </c>
      <c r="Q37" s="107">
        <f t="shared" si="8"/>
        <v>0</v>
      </c>
      <c r="R37" s="107">
        <f t="shared" si="9"/>
        <v>0</v>
      </c>
      <c r="S37" s="107">
        <f t="shared" si="10"/>
        <v>0</v>
      </c>
      <c r="T37" s="107">
        <f t="shared" si="11"/>
        <v>0</v>
      </c>
      <c r="U37" s="107">
        <f t="shared" si="12"/>
        <v>0</v>
      </c>
      <c r="V37" s="107">
        <f t="shared" si="13"/>
        <v>0</v>
      </c>
      <c r="W37" s="107">
        <f t="shared" si="14"/>
        <v>0</v>
      </c>
      <c r="Y37" s="82"/>
      <c r="Z37" s="82"/>
      <c r="AA37" s="170"/>
      <c r="AD37" s="108"/>
      <c r="AE37" s="109">
        <f t="shared" si="21"/>
        <v>0</v>
      </c>
      <c r="AF37" s="109">
        <f t="shared" si="22"/>
        <v>0</v>
      </c>
      <c r="AG37" s="109">
        <f t="shared" si="23"/>
        <v>0</v>
      </c>
      <c r="AH37" s="109">
        <f t="shared" si="24"/>
        <v>0</v>
      </c>
      <c r="AI37" s="109">
        <f t="shared" si="25"/>
        <v>0</v>
      </c>
      <c r="AK37" s="108"/>
      <c r="AL37" s="109">
        <f t="shared" si="15"/>
        <v>0</v>
      </c>
      <c r="AM37" s="109">
        <f t="shared" si="16"/>
        <v>0</v>
      </c>
      <c r="AN37" s="109">
        <f t="shared" si="17"/>
        <v>0</v>
      </c>
      <c r="AO37" s="109">
        <f t="shared" si="18"/>
        <v>0</v>
      </c>
      <c r="AP37" s="109">
        <f t="shared" si="19"/>
        <v>0</v>
      </c>
      <c r="AQ37" s="128"/>
      <c r="AR37" s="109"/>
      <c r="AS37" s="128"/>
      <c r="AT37" s="99"/>
      <c r="AU37" s="99"/>
      <c r="AV37" s="99"/>
    </row>
    <row r="38" spans="1:48" x14ac:dyDescent="0.25">
      <c r="A38" s="170">
        <f t="shared" si="26"/>
        <v>14</v>
      </c>
      <c r="B38" s="102">
        <f t="shared" si="27"/>
        <v>4.46</v>
      </c>
      <c r="C38" s="104">
        <f t="shared" si="0"/>
        <v>4.37</v>
      </c>
      <c r="D38" s="104">
        <f t="shared" si="0"/>
        <v>4.3899999999999997</v>
      </c>
      <c r="E38" s="80">
        <f t="shared" si="1"/>
        <v>0.51</v>
      </c>
      <c r="F38" s="80">
        <f t="shared" si="2"/>
        <v>0.48</v>
      </c>
      <c r="H38" s="80">
        <f t="shared" si="28"/>
        <v>6.8245902043498008E-2</v>
      </c>
      <c r="I38" s="212">
        <f t="shared" si="29"/>
        <v>36691</v>
      </c>
      <c r="J38" s="212">
        <f t="shared" si="20"/>
        <v>36691</v>
      </c>
      <c r="K38" s="182">
        <f t="shared" si="30"/>
        <v>3</v>
      </c>
      <c r="L38" s="182">
        <f t="shared" si="3"/>
        <v>0</v>
      </c>
      <c r="M38" s="182">
        <f t="shared" si="4"/>
        <v>-7</v>
      </c>
      <c r="N38" s="107">
        <f t="shared" si="5"/>
        <v>0</v>
      </c>
      <c r="O38" s="107">
        <f t="shared" si="6"/>
        <v>0</v>
      </c>
      <c r="P38" s="107">
        <f t="shared" si="7"/>
        <v>0</v>
      </c>
      <c r="Q38" s="107">
        <f t="shared" si="8"/>
        <v>0</v>
      </c>
      <c r="R38" s="107">
        <f t="shared" si="9"/>
        <v>0</v>
      </c>
      <c r="S38" s="107">
        <f t="shared" si="10"/>
        <v>0</v>
      </c>
      <c r="T38" s="107">
        <f t="shared" si="11"/>
        <v>0</v>
      </c>
      <c r="U38" s="107">
        <f t="shared" si="12"/>
        <v>0</v>
      </c>
      <c r="V38" s="107">
        <f t="shared" si="13"/>
        <v>0</v>
      </c>
      <c r="W38" s="107">
        <f t="shared" si="14"/>
        <v>0</v>
      </c>
      <c r="Y38" s="82"/>
      <c r="Z38" s="82"/>
      <c r="AA38" s="170"/>
      <c r="AD38" s="108"/>
      <c r="AE38" s="109">
        <f t="shared" si="21"/>
        <v>0</v>
      </c>
      <c r="AF38" s="109">
        <f t="shared" si="22"/>
        <v>0</v>
      </c>
      <c r="AG38" s="109">
        <f t="shared" si="23"/>
        <v>0</v>
      </c>
      <c r="AH38" s="109">
        <f t="shared" si="24"/>
        <v>0</v>
      </c>
      <c r="AI38" s="109">
        <f t="shared" si="25"/>
        <v>0</v>
      </c>
      <c r="AK38" s="108"/>
      <c r="AL38" s="109">
        <f t="shared" si="15"/>
        <v>0</v>
      </c>
      <c r="AM38" s="109">
        <f t="shared" si="16"/>
        <v>0</v>
      </c>
      <c r="AN38" s="109">
        <f t="shared" si="17"/>
        <v>0</v>
      </c>
      <c r="AO38" s="109">
        <f t="shared" si="18"/>
        <v>0</v>
      </c>
      <c r="AP38" s="109">
        <f t="shared" si="19"/>
        <v>0</v>
      </c>
      <c r="AQ38" s="128"/>
      <c r="AR38" s="109"/>
      <c r="AS38" s="128"/>
      <c r="AT38" s="99"/>
      <c r="AU38" s="99"/>
      <c r="AV38" s="99"/>
    </row>
    <row r="39" spans="1:48" x14ac:dyDescent="0.25">
      <c r="A39" s="170">
        <f t="shared" si="26"/>
        <v>15</v>
      </c>
      <c r="B39" s="102">
        <f t="shared" si="27"/>
        <v>4.46</v>
      </c>
      <c r="C39" s="104">
        <f t="shared" si="0"/>
        <v>4.37</v>
      </c>
      <c r="D39" s="104">
        <f t="shared" si="0"/>
        <v>4.3899999999999997</v>
      </c>
      <c r="E39" s="80">
        <f t="shared" si="1"/>
        <v>0.51</v>
      </c>
      <c r="F39" s="80">
        <f t="shared" si="2"/>
        <v>0.48</v>
      </c>
      <c r="H39" s="80">
        <f t="shared" si="28"/>
        <v>6.8245902043498008E-2</v>
      </c>
      <c r="I39" s="212">
        <f t="shared" si="29"/>
        <v>36692</v>
      </c>
      <c r="J39" s="212">
        <f t="shared" si="20"/>
        <v>36692</v>
      </c>
      <c r="K39" s="182">
        <f t="shared" si="30"/>
        <v>4</v>
      </c>
      <c r="L39" s="182">
        <f t="shared" si="3"/>
        <v>0</v>
      </c>
      <c r="M39" s="182">
        <f t="shared" si="4"/>
        <v>-6</v>
      </c>
      <c r="N39" s="107">
        <f t="shared" si="5"/>
        <v>0</v>
      </c>
      <c r="O39" s="107">
        <f t="shared" si="6"/>
        <v>0</v>
      </c>
      <c r="P39" s="107">
        <f t="shared" si="7"/>
        <v>0</v>
      </c>
      <c r="Q39" s="107">
        <f t="shared" si="8"/>
        <v>0</v>
      </c>
      <c r="R39" s="107">
        <f t="shared" si="9"/>
        <v>0</v>
      </c>
      <c r="S39" s="107">
        <f t="shared" si="10"/>
        <v>0</v>
      </c>
      <c r="T39" s="107">
        <f t="shared" si="11"/>
        <v>0</v>
      </c>
      <c r="U39" s="107">
        <f t="shared" si="12"/>
        <v>0</v>
      </c>
      <c r="V39" s="107">
        <f t="shared" si="13"/>
        <v>0</v>
      </c>
      <c r="W39" s="107">
        <f t="shared" si="14"/>
        <v>0</v>
      </c>
      <c r="Y39" s="82"/>
      <c r="Z39" s="82"/>
      <c r="AA39" s="170"/>
      <c r="AD39" s="108"/>
      <c r="AE39" s="109">
        <f t="shared" si="21"/>
        <v>0</v>
      </c>
      <c r="AF39" s="109">
        <f t="shared" si="22"/>
        <v>0</v>
      </c>
      <c r="AG39" s="109">
        <f t="shared" si="23"/>
        <v>0</v>
      </c>
      <c r="AH39" s="109">
        <f t="shared" si="24"/>
        <v>0</v>
      </c>
      <c r="AI39" s="109">
        <f t="shared" si="25"/>
        <v>0</v>
      </c>
      <c r="AK39" s="108"/>
      <c r="AL39" s="109">
        <f t="shared" si="15"/>
        <v>0</v>
      </c>
      <c r="AM39" s="109">
        <f t="shared" si="16"/>
        <v>0</v>
      </c>
      <c r="AN39" s="109">
        <f t="shared" si="17"/>
        <v>0</v>
      </c>
      <c r="AO39" s="109">
        <f t="shared" si="18"/>
        <v>0</v>
      </c>
      <c r="AP39" s="109">
        <f t="shared" si="19"/>
        <v>0</v>
      </c>
      <c r="AQ39" s="128"/>
      <c r="AR39" s="109"/>
      <c r="AS39" s="128"/>
      <c r="AT39" s="99"/>
      <c r="AU39" s="99"/>
      <c r="AV39" s="99"/>
    </row>
    <row r="40" spans="1:48" x14ac:dyDescent="0.25">
      <c r="A40" s="170">
        <f t="shared" si="26"/>
        <v>16</v>
      </c>
      <c r="B40" s="102">
        <f t="shared" si="27"/>
        <v>4.46</v>
      </c>
      <c r="C40" s="104">
        <f t="shared" si="0"/>
        <v>4.37</v>
      </c>
      <c r="D40" s="104">
        <f t="shared" si="0"/>
        <v>4.3899999999999997</v>
      </c>
      <c r="E40" s="80">
        <f t="shared" si="1"/>
        <v>0.51</v>
      </c>
      <c r="F40" s="80">
        <f t="shared" si="2"/>
        <v>0.48</v>
      </c>
      <c r="H40" s="80">
        <f t="shared" si="28"/>
        <v>6.8245902043498008E-2</v>
      </c>
      <c r="I40" s="212">
        <f t="shared" si="29"/>
        <v>36693</v>
      </c>
      <c r="J40" s="212">
        <f t="shared" si="20"/>
        <v>36693</v>
      </c>
      <c r="K40" s="182">
        <f t="shared" si="30"/>
        <v>5</v>
      </c>
      <c r="L40" s="182">
        <f t="shared" si="3"/>
        <v>0</v>
      </c>
      <c r="M40" s="182">
        <f t="shared" si="4"/>
        <v>-5</v>
      </c>
      <c r="N40" s="107">
        <f t="shared" si="5"/>
        <v>0</v>
      </c>
      <c r="O40" s="107">
        <f t="shared" si="6"/>
        <v>0</v>
      </c>
      <c r="P40" s="107">
        <f t="shared" si="7"/>
        <v>0</v>
      </c>
      <c r="Q40" s="107">
        <f t="shared" si="8"/>
        <v>0</v>
      </c>
      <c r="R40" s="107">
        <f t="shared" si="9"/>
        <v>0</v>
      </c>
      <c r="S40" s="107">
        <f t="shared" si="10"/>
        <v>0</v>
      </c>
      <c r="T40" s="107">
        <f t="shared" si="11"/>
        <v>0</v>
      </c>
      <c r="U40" s="107">
        <f t="shared" si="12"/>
        <v>0</v>
      </c>
      <c r="V40" s="107">
        <f t="shared" si="13"/>
        <v>0</v>
      </c>
      <c r="W40" s="107">
        <f t="shared" si="14"/>
        <v>0</v>
      </c>
      <c r="Y40" s="82"/>
      <c r="Z40" s="82"/>
      <c r="AA40" s="170"/>
      <c r="AD40" s="108"/>
      <c r="AE40" s="109">
        <f t="shared" si="21"/>
        <v>0</v>
      </c>
      <c r="AF40" s="109">
        <f t="shared" si="22"/>
        <v>0</v>
      </c>
      <c r="AG40" s="109">
        <f t="shared" si="23"/>
        <v>0</v>
      </c>
      <c r="AH40" s="109">
        <f t="shared" si="24"/>
        <v>0</v>
      </c>
      <c r="AI40" s="109">
        <f t="shared" si="25"/>
        <v>0</v>
      </c>
      <c r="AK40" s="108"/>
      <c r="AL40" s="109">
        <f t="shared" si="15"/>
        <v>0</v>
      </c>
      <c r="AM40" s="109">
        <f t="shared" si="16"/>
        <v>0</v>
      </c>
      <c r="AN40" s="109">
        <f t="shared" si="17"/>
        <v>0</v>
      </c>
      <c r="AO40" s="109">
        <f t="shared" si="18"/>
        <v>0</v>
      </c>
      <c r="AP40" s="109">
        <f t="shared" si="19"/>
        <v>0</v>
      </c>
      <c r="AQ40" s="128"/>
      <c r="AR40" s="109"/>
      <c r="AS40" s="128"/>
      <c r="AT40" s="99"/>
      <c r="AU40" s="99"/>
      <c r="AV40" s="99"/>
    </row>
    <row r="41" spans="1:48" x14ac:dyDescent="0.25">
      <c r="A41" s="170">
        <f t="shared" si="26"/>
        <v>17</v>
      </c>
      <c r="B41" s="102">
        <f t="shared" si="27"/>
        <v>4.46</v>
      </c>
      <c r="C41" s="104">
        <f t="shared" si="0"/>
        <v>4.37</v>
      </c>
      <c r="D41" s="104">
        <f t="shared" si="0"/>
        <v>4.3899999999999997</v>
      </c>
      <c r="E41" s="80">
        <f t="shared" si="1"/>
        <v>0.51</v>
      </c>
      <c r="F41" s="80">
        <f t="shared" si="2"/>
        <v>0.48</v>
      </c>
      <c r="H41" s="80">
        <f t="shared" si="28"/>
        <v>6.8245902043498008E-2</v>
      </c>
      <c r="I41" s="212">
        <f t="shared" si="29"/>
        <v>36694</v>
      </c>
      <c r="J41" s="212">
        <f t="shared" si="20"/>
        <v>36693</v>
      </c>
      <c r="K41" s="182">
        <f t="shared" si="30"/>
        <v>6</v>
      </c>
      <c r="L41" s="182">
        <f t="shared" si="3"/>
        <v>0</v>
      </c>
      <c r="M41" s="182">
        <f t="shared" si="4"/>
        <v>-5</v>
      </c>
      <c r="N41" s="107">
        <f t="shared" si="5"/>
        <v>0</v>
      </c>
      <c r="O41" s="107">
        <f t="shared" si="6"/>
        <v>0</v>
      </c>
      <c r="P41" s="107">
        <f t="shared" si="7"/>
        <v>0</v>
      </c>
      <c r="Q41" s="107">
        <f t="shared" si="8"/>
        <v>0</v>
      </c>
      <c r="R41" s="107">
        <f t="shared" si="9"/>
        <v>0</v>
      </c>
      <c r="S41" s="107">
        <f t="shared" si="10"/>
        <v>0</v>
      </c>
      <c r="T41" s="107">
        <f t="shared" si="11"/>
        <v>0</v>
      </c>
      <c r="U41" s="107">
        <f t="shared" si="12"/>
        <v>0</v>
      </c>
      <c r="V41" s="107">
        <f t="shared" si="13"/>
        <v>0</v>
      </c>
      <c r="W41" s="107">
        <f t="shared" si="14"/>
        <v>0</v>
      </c>
      <c r="Y41" s="82"/>
      <c r="Z41" s="82"/>
      <c r="AA41" s="170"/>
      <c r="AD41" s="108"/>
      <c r="AE41" s="109">
        <f t="shared" si="21"/>
        <v>0</v>
      </c>
      <c r="AF41" s="109">
        <f t="shared" si="22"/>
        <v>0</v>
      </c>
      <c r="AG41" s="109">
        <f t="shared" si="23"/>
        <v>0</v>
      </c>
      <c r="AH41" s="109">
        <f t="shared" si="24"/>
        <v>0</v>
      </c>
      <c r="AI41" s="109">
        <f t="shared" si="25"/>
        <v>0</v>
      </c>
      <c r="AK41" s="108"/>
      <c r="AL41" s="109">
        <f t="shared" si="15"/>
        <v>0</v>
      </c>
      <c r="AM41" s="109">
        <f t="shared" si="16"/>
        <v>0</v>
      </c>
      <c r="AN41" s="109">
        <f t="shared" si="17"/>
        <v>0</v>
      </c>
      <c r="AO41" s="109">
        <f t="shared" si="18"/>
        <v>0</v>
      </c>
      <c r="AP41" s="109">
        <f t="shared" si="19"/>
        <v>0</v>
      </c>
      <c r="AQ41" s="128"/>
      <c r="AR41" s="109"/>
      <c r="AS41" s="128"/>
      <c r="AT41" s="99"/>
      <c r="AU41" s="99"/>
      <c r="AV41" s="99"/>
    </row>
    <row r="42" spans="1:48" x14ac:dyDescent="0.25">
      <c r="A42" s="170">
        <f t="shared" si="26"/>
        <v>18</v>
      </c>
      <c r="B42" s="102">
        <f t="shared" si="27"/>
        <v>4.46</v>
      </c>
      <c r="C42" s="104">
        <f t="shared" si="0"/>
        <v>4.37</v>
      </c>
      <c r="D42" s="104">
        <f t="shared" si="0"/>
        <v>4.3899999999999997</v>
      </c>
      <c r="E42" s="80">
        <f t="shared" si="1"/>
        <v>0.51</v>
      </c>
      <c r="F42" s="80">
        <f t="shared" si="2"/>
        <v>0.48</v>
      </c>
      <c r="H42" s="80">
        <f t="shared" si="28"/>
        <v>6.8245902043498008E-2</v>
      </c>
      <c r="I42" s="212">
        <f t="shared" si="29"/>
        <v>36695</v>
      </c>
      <c r="J42" s="212">
        <f t="shared" si="20"/>
        <v>36693</v>
      </c>
      <c r="K42" s="182">
        <f t="shared" si="30"/>
        <v>7</v>
      </c>
      <c r="L42" s="182">
        <f t="shared" si="3"/>
        <v>0</v>
      </c>
      <c r="M42" s="182">
        <f t="shared" si="4"/>
        <v>-5</v>
      </c>
      <c r="N42" s="107">
        <f t="shared" si="5"/>
        <v>0</v>
      </c>
      <c r="O42" s="107">
        <f t="shared" si="6"/>
        <v>0</v>
      </c>
      <c r="P42" s="107">
        <f t="shared" si="7"/>
        <v>0</v>
      </c>
      <c r="Q42" s="107">
        <f t="shared" si="8"/>
        <v>0</v>
      </c>
      <c r="R42" s="107">
        <f t="shared" si="9"/>
        <v>0</v>
      </c>
      <c r="S42" s="107">
        <f t="shared" si="10"/>
        <v>0</v>
      </c>
      <c r="T42" s="107">
        <f t="shared" si="11"/>
        <v>0</v>
      </c>
      <c r="U42" s="107">
        <f t="shared" si="12"/>
        <v>0</v>
      </c>
      <c r="V42" s="107">
        <f t="shared" si="13"/>
        <v>0</v>
      </c>
      <c r="W42" s="107">
        <f t="shared" si="14"/>
        <v>0</v>
      </c>
      <c r="Y42" s="82"/>
      <c r="Z42" s="82"/>
      <c r="AA42" s="170"/>
      <c r="AD42" s="108"/>
      <c r="AE42" s="109">
        <f t="shared" si="21"/>
        <v>0</v>
      </c>
      <c r="AF42" s="109">
        <f t="shared" si="22"/>
        <v>0</v>
      </c>
      <c r="AG42" s="109">
        <f t="shared" si="23"/>
        <v>0</v>
      </c>
      <c r="AH42" s="109">
        <f t="shared" si="24"/>
        <v>0</v>
      </c>
      <c r="AI42" s="109">
        <f t="shared" si="25"/>
        <v>0</v>
      </c>
      <c r="AK42" s="108"/>
      <c r="AL42" s="109">
        <f t="shared" si="15"/>
        <v>0</v>
      </c>
      <c r="AM42" s="109">
        <f t="shared" si="16"/>
        <v>0</v>
      </c>
      <c r="AN42" s="109">
        <f t="shared" si="17"/>
        <v>0</v>
      </c>
      <c r="AO42" s="109">
        <f t="shared" si="18"/>
        <v>0</v>
      </c>
      <c r="AP42" s="109">
        <f t="shared" si="19"/>
        <v>0</v>
      </c>
      <c r="AQ42" s="128"/>
      <c r="AR42" s="109"/>
      <c r="AS42" s="128"/>
      <c r="AT42" s="99"/>
      <c r="AU42" s="99"/>
      <c r="AV42" s="99"/>
    </row>
    <row r="43" spans="1:48" x14ac:dyDescent="0.25">
      <c r="A43" s="170">
        <f t="shared" si="26"/>
        <v>19</v>
      </c>
      <c r="B43" s="102">
        <f t="shared" si="27"/>
        <v>4.46</v>
      </c>
      <c r="C43" s="104">
        <f t="shared" si="0"/>
        <v>4.37</v>
      </c>
      <c r="D43" s="104">
        <f t="shared" si="0"/>
        <v>4.3899999999999997</v>
      </c>
      <c r="E43" s="80">
        <f t="shared" si="1"/>
        <v>0.51</v>
      </c>
      <c r="F43" s="80">
        <f t="shared" si="2"/>
        <v>0.48</v>
      </c>
      <c r="H43" s="80">
        <f t="shared" si="28"/>
        <v>6.8245902043498008E-2</v>
      </c>
      <c r="I43" s="212">
        <f t="shared" si="29"/>
        <v>36696</v>
      </c>
      <c r="J43" s="212">
        <f t="shared" si="20"/>
        <v>36696</v>
      </c>
      <c r="K43" s="182">
        <f t="shared" si="30"/>
        <v>1</v>
      </c>
      <c r="L43" s="182">
        <f t="shared" si="3"/>
        <v>0</v>
      </c>
      <c r="M43" s="182">
        <f t="shared" si="4"/>
        <v>-2</v>
      </c>
      <c r="N43" s="107">
        <f t="shared" si="5"/>
        <v>0</v>
      </c>
      <c r="O43" s="107">
        <f t="shared" si="6"/>
        <v>0</v>
      </c>
      <c r="P43" s="107">
        <f t="shared" si="7"/>
        <v>0</v>
      </c>
      <c r="Q43" s="107">
        <f t="shared" si="8"/>
        <v>0</v>
      </c>
      <c r="R43" s="107">
        <f t="shared" si="9"/>
        <v>0</v>
      </c>
      <c r="S43" s="107">
        <f t="shared" si="10"/>
        <v>0</v>
      </c>
      <c r="T43" s="107">
        <f t="shared" si="11"/>
        <v>0</v>
      </c>
      <c r="U43" s="107">
        <f>IF($L43=0,0,bsd(U$23,U$22,$B43,$D43,$M43,$F43,$H43,0.1))</f>
        <v>0</v>
      </c>
      <c r="V43" s="107">
        <f t="shared" si="13"/>
        <v>0</v>
      </c>
      <c r="W43" s="107">
        <f t="shared" si="14"/>
        <v>0</v>
      </c>
      <c r="Y43" s="82"/>
      <c r="Z43" s="82"/>
      <c r="AA43" s="170"/>
      <c r="AD43" s="108"/>
      <c r="AE43" s="109">
        <f t="shared" si="21"/>
        <v>0</v>
      </c>
      <c r="AF43" s="109">
        <f t="shared" si="22"/>
        <v>0</v>
      </c>
      <c r="AG43" s="109">
        <f t="shared" si="23"/>
        <v>0</v>
      </c>
      <c r="AH43" s="109">
        <f t="shared" si="24"/>
        <v>0</v>
      </c>
      <c r="AI43" s="109">
        <f t="shared" si="25"/>
        <v>0</v>
      </c>
      <c r="AK43" s="108"/>
      <c r="AL43" s="109">
        <f t="shared" si="15"/>
        <v>0</v>
      </c>
      <c r="AM43" s="109">
        <f t="shared" si="16"/>
        <v>0</v>
      </c>
      <c r="AN43" s="109">
        <f t="shared" si="17"/>
        <v>0</v>
      </c>
      <c r="AO43" s="109">
        <f t="shared" si="18"/>
        <v>0</v>
      </c>
      <c r="AP43" s="109">
        <f t="shared" si="19"/>
        <v>0</v>
      </c>
      <c r="AQ43" s="128"/>
      <c r="AR43" s="109"/>
      <c r="AS43" s="128"/>
      <c r="AT43" s="99"/>
      <c r="AU43" s="99"/>
      <c r="AV43" s="99"/>
    </row>
    <row r="44" spans="1:48" x14ac:dyDescent="0.25">
      <c r="A44" s="170">
        <f t="shared" si="26"/>
        <v>20</v>
      </c>
      <c r="B44" s="102">
        <f t="shared" si="27"/>
        <v>4.46</v>
      </c>
      <c r="C44" s="104">
        <f t="shared" si="0"/>
        <v>4.37</v>
      </c>
      <c r="D44" s="104">
        <f t="shared" si="0"/>
        <v>4.3899999999999997</v>
      </c>
      <c r="E44" s="80">
        <f t="shared" si="1"/>
        <v>0.51</v>
      </c>
      <c r="F44" s="80">
        <f t="shared" si="2"/>
        <v>0.48</v>
      </c>
      <c r="H44" s="80">
        <f t="shared" si="28"/>
        <v>6.8245902043498008E-2</v>
      </c>
      <c r="I44" s="212">
        <f t="shared" si="29"/>
        <v>36697</v>
      </c>
      <c r="J44" s="212">
        <f t="shared" si="20"/>
        <v>36697</v>
      </c>
      <c r="K44" s="182">
        <f t="shared" si="30"/>
        <v>2</v>
      </c>
      <c r="L44" s="182">
        <f t="shared" si="3"/>
        <v>0</v>
      </c>
      <c r="M44" s="182">
        <f t="shared" si="4"/>
        <v>-1</v>
      </c>
      <c r="N44" s="107">
        <f t="shared" si="5"/>
        <v>0</v>
      </c>
      <c r="O44" s="107">
        <f t="shared" si="6"/>
        <v>0</v>
      </c>
      <c r="P44" s="107">
        <f t="shared" si="7"/>
        <v>0</v>
      </c>
      <c r="Q44" s="107">
        <f t="shared" si="8"/>
        <v>0</v>
      </c>
      <c r="R44" s="107">
        <f t="shared" si="9"/>
        <v>0</v>
      </c>
      <c r="S44" s="107">
        <f t="shared" si="10"/>
        <v>0</v>
      </c>
      <c r="T44" s="107">
        <f t="shared" si="11"/>
        <v>0</v>
      </c>
      <c r="U44" s="107">
        <f t="shared" si="12"/>
        <v>0</v>
      </c>
      <c r="V44" s="107">
        <f t="shared" si="13"/>
        <v>0</v>
      </c>
      <c r="W44" s="107">
        <f t="shared" si="14"/>
        <v>0</v>
      </c>
      <c r="Y44" s="82"/>
      <c r="Z44" s="82"/>
      <c r="AA44" s="170"/>
      <c r="AD44" s="108"/>
      <c r="AE44" s="109">
        <f t="shared" si="21"/>
        <v>0</v>
      </c>
      <c r="AF44" s="109">
        <f t="shared" si="22"/>
        <v>0</v>
      </c>
      <c r="AG44" s="109">
        <f t="shared" si="23"/>
        <v>0</v>
      </c>
      <c r="AH44" s="109">
        <f t="shared" si="24"/>
        <v>0</v>
      </c>
      <c r="AI44" s="109">
        <f t="shared" si="25"/>
        <v>0</v>
      </c>
      <c r="AK44" s="108"/>
      <c r="AL44" s="109">
        <f t="shared" si="15"/>
        <v>0</v>
      </c>
      <c r="AM44" s="109">
        <f t="shared" si="16"/>
        <v>0</v>
      </c>
      <c r="AN44" s="109">
        <f t="shared" si="17"/>
        <v>0</v>
      </c>
      <c r="AO44" s="109">
        <f t="shared" si="18"/>
        <v>0</v>
      </c>
      <c r="AP44" s="109">
        <f t="shared" si="19"/>
        <v>0</v>
      </c>
      <c r="AQ44" s="128"/>
      <c r="AR44" s="109"/>
      <c r="AS44" s="128"/>
      <c r="AT44" s="99"/>
      <c r="AU44" s="99"/>
      <c r="AV44" s="99"/>
    </row>
    <row r="45" spans="1:48" x14ac:dyDescent="0.25">
      <c r="A45" s="170">
        <f t="shared" si="26"/>
        <v>21</v>
      </c>
      <c r="B45" s="102">
        <f t="shared" si="27"/>
        <v>4.46</v>
      </c>
      <c r="C45" s="104">
        <f t="shared" si="0"/>
        <v>4.37</v>
      </c>
      <c r="D45" s="104">
        <f t="shared" si="0"/>
        <v>4.3899999999999997</v>
      </c>
      <c r="E45" s="80">
        <f t="shared" si="1"/>
        <v>0.51</v>
      </c>
      <c r="F45" s="80">
        <f t="shared" si="2"/>
        <v>0.48</v>
      </c>
      <c r="H45" s="80">
        <f t="shared" si="28"/>
        <v>6.8245902043498008E-2</v>
      </c>
      <c r="I45" s="212">
        <f t="shared" si="29"/>
        <v>36698</v>
      </c>
      <c r="J45" s="212">
        <f t="shared" si="20"/>
        <v>36698</v>
      </c>
      <c r="K45" s="182">
        <f t="shared" si="30"/>
        <v>3</v>
      </c>
      <c r="L45" s="182">
        <f t="shared" si="3"/>
        <v>0</v>
      </c>
      <c r="M45" s="182">
        <f t="shared" si="4"/>
        <v>0</v>
      </c>
      <c r="N45" s="107">
        <f t="shared" si="5"/>
        <v>0</v>
      </c>
      <c r="O45" s="107">
        <f t="shared" si="6"/>
        <v>0</v>
      </c>
      <c r="P45" s="107">
        <f t="shared" si="7"/>
        <v>0</v>
      </c>
      <c r="Q45" s="107">
        <f t="shared" si="8"/>
        <v>0</v>
      </c>
      <c r="R45" s="107">
        <f t="shared" si="9"/>
        <v>0</v>
      </c>
      <c r="S45" s="107">
        <f t="shared" si="10"/>
        <v>0</v>
      </c>
      <c r="T45" s="107">
        <f t="shared" si="11"/>
        <v>0</v>
      </c>
      <c r="U45" s="107">
        <f t="shared" si="12"/>
        <v>0</v>
      </c>
      <c r="V45" s="107">
        <f t="shared" si="13"/>
        <v>0</v>
      </c>
      <c r="W45" s="107">
        <f t="shared" si="14"/>
        <v>0</v>
      </c>
      <c r="Y45" s="82"/>
      <c r="Z45" s="82"/>
      <c r="AA45" s="170"/>
      <c r="AD45" s="108"/>
      <c r="AE45" s="109">
        <f t="shared" si="21"/>
        <v>0</v>
      </c>
      <c r="AF45" s="109">
        <f t="shared" si="22"/>
        <v>0</v>
      </c>
      <c r="AG45" s="109">
        <f t="shared" si="23"/>
        <v>0</v>
      </c>
      <c r="AH45" s="109">
        <f t="shared" si="24"/>
        <v>0</v>
      </c>
      <c r="AI45" s="109">
        <f t="shared" si="25"/>
        <v>0</v>
      </c>
      <c r="AK45" s="108"/>
      <c r="AL45" s="109">
        <f t="shared" si="15"/>
        <v>0</v>
      </c>
      <c r="AM45" s="109">
        <f t="shared" si="16"/>
        <v>0</v>
      </c>
      <c r="AN45" s="109">
        <f t="shared" si="17"/>
        <v>0</v>
      </c>
      <c r="AO45" s="109">
        <f t="shared" si="18"/>
        <v>0</v>
      </c>
      <c r="AP45" s="109">
        <f t="shared" si="19"/>
        <v>0</v>
      </c>
      <c r="AQ45" s="128"/>
      <c r="AR45" s="109"/>
      <c r="AS45" s="128"/>
      <c r="AT45" s="99"/>
      <c r="AU45" s="99"/>
      <c r="AV45" s="99"/>
    </row>
    <row r="46" spans="1:48" x14ac:dyDescent="0.25">
      <c r="A46" s="170">
        <f t="shared" si="26"/>
        <v>22</v>
      </c>
      <c r="B46" s="102">
        <f t="shared" si="27"/>
        <v>4.46</v>
      </c>
      <c r="C46" s="104">
        <f t="shared" si="0"/>
        <v>4.37</v>
      </c>
      <c r="D46" s="104">
        <f t="shared" si="0"/>
        <v>4.3899999999999997</v>
      </c>
      <c r="E46" s="80">
        <f t="shared" si="1"/>
        <v>0.51</v>
      </c>
      <c r="F46" s="80">
        <f t="shared" si="2"/>
        <v>0.48</v>
      </c>
      <c r="H46" s="80">
        <f t="shared" si="28"/>
        <v>6.8245902043498008E-2</v>
      </c>
      <c r="I46" s="212">
        <f t="shared" si="29"/>
        <v>36699</v>
      </c>
      <c r="J46" s="212">
        <f t="shared" si="20"/>
        <v>36699</v>
      </c>
      <c r="K46" s="182">
        <f t="shared" si="30"/>
        <v>4</v>
      </c>
      <c r="L46" s="182">
        <f t="shared" si="3"/>
        <v>1</v>
      </c>
      <c r="M46" s="182">
        <f t="shared" si="4"/>
        <v>1</v>
      </c>
      <c r="N46" s="107">
        <f t="shared" si="5"/>
        <v>0.12016880751832315</v>
      </c>
      <c r="O46" s="107">
        <f t="shared" si="6"/>
        <v>1.7859759621471349E-2</v>
      </c>
      <c r="P46" s="107">
        <f t="shared" si="7"/>
        <v>0.56274363149149498</v>
      </c>
      <c r="Q46" s="107">
        <f t="shared" si="8"/>
        <v>-0.26031906649677461</v>
      </c>
      <c r="R46" s="107">
        <f t="shared" si="9"/>
        <v>4.9562763797735679E-2</v>
      </c>
      <c r="S46" s="107">
        <f t="shared" si="10"/>
        <v>2.8972979020410537E-2</v>
      </c>
      <c r="T46" s="107">
        <f t="shared" si="11"/>
        <v>1.3847922840346527E-3</v>
      </c>
      <c r="U46" s="107">
        <f t="shared" si="12"/>
        <v>7.6070799891692076E-4</v>
      </c>
      <c r="V46" s="107">
        <f t="shared" si="13"/>
        <v>3.1709238068763135E-2</v>
      </c>
      <c r="W46" s="107">
        <f t="shared" si="14"/>
        <v>1.5969649298592348E-2</v>
      </c>
      <c r="Y46" s="82"/>
      <c r="Z46" s="82"/>
      <c r="AA46" s="170"/>
      <c r="AD46" s="108"/>
      <c r="AE46" s="109">
        <f t="shared" si="21"/>
        <v>0.12016880751832315</v>
      </c>
      <c r="AF46" s="109">
        <f t="shared" si="22"/>
        <v>0.56274363149149498</v>
      </c>
      <c r="AG46" s="109">
        <f t="shared" si="23"/>
        <v>4.9562763797735679E-2</v>
      </c>
      <c r="AH46" s="109">
        <f t="shared" si="24"/>
        <v>1.3847922840346527E-3</v>
      </c>
      <c r="AI46" s="109">
        <f t="shared" si="25"/>
        <v>3.1709238068763135E-2</v>
      </c>
      <c r="AK46" s="108"/>
      <c r="AL46" s="109">
        <f t="shared" si="15"/>
        <v>1.7859759621471349E-2</v>
      </c>
      <c r="AM46" s="109">
        <f t="shared" si="16"/>
        <v>-0.26031906649677461</v>
      </c>
      <c r="AN46" s="109">
        <f t="shared" si="17"/>
        <v>2.8972979020410537E-2</v>
      </c>
      <c r="AO46" s="109">
        <f t="shared" si="18"/>
        <v>7.6070799891692076E-4</v>
      </c>
      <c r="AP46" s="109">
        <f t="shared" si="19"/>
        <v>1.5969649298592348E-2</v>
      </c>
      <c r="AQ46" s="128"/>
      <c r="AR46" s="109"/>
      <c r="AS46" s="128"/>
      <c r="AT46" s="99"/>
      <c r="AU46" s="99"/>
      <c r="AV46" s="99"/>
    </row>
    <row r="47" spans="1:48" x14ac:dyDescent="0.25">
      <c r="A47" s="170">
        <f t="shared" si="26"/>
        <v>23</v>
      </c>
      <c r="B47" s="102">
        <f t="shared" si="27"/>
        <v>4.46</v>
      </c>
      <c r="C47" s="104">
        <f t="shared" si="0"/>
        <v>4.37</v>
      </c>
      <c r="D47" s="104">
        <f t="shared" si="0"/>
        <v>4.3899999999999997</v>
      </c>
      <c r="E47" s="80">
        <f t="shared" si="1"/>
        <v>0.51</v>
      </c>
      <c r="F47" s="80">
        <f t="shared" si="2"/>
        <v>0.48</v>
      </c>
      <c r="H47" s="80">
        <f t="shared" si="28"/>
        <v>6.8245902043498008E-2</v>
      </c>
      <c r="I47" s="212">
        <f t="shared" si="29"/>
        <v>36700</v>
      </c>
      <c r="J47" s="212">
        <f t="shared" si="20"/>
        <v>36700</v>
      </c>
      <c r="K47" s="182">
        <f t="shared" si="30"/>
        <v>5</v>
      </c>
      <c r="L47" s="182">
        <f t="shared" si="3"/>
        <v>1</v>
      </c>
      <c r="M47" s="182">
        <f t="shared" si="4"/>
        <v>2</v>
      </c>
      <c r="N47" s="107">
        <f t="shared" si="5"/>
        <v>0.15184965377671245</v>
      </c>
      <c r="O47" s="107">
        <f t="shared" si="6"/>
        <v>3.3823084910827195E-2</v>
      </c>
      <c r="P47" s="107">
        <f t="shared" si="7"/>
        <v>0.42359046748815593</v>
      </c>
      <c r="Q47" s="107">
        <f t="shared" si="8"/>
        <v>-0.32156366402050335</v>
      </c>
      <c r="R47" s="107">
        <f t="shared" si="9"/>
        <v>4.0542801711686227E-2</v>
      </c>
      <c r="S47" s="107">
        <f t="shared" si="10"/>
        <v>2.2619572433783403E-2</v>
      </c>
      <c r="T47" s="107">
        <f t="shared" si="11"/>
        <v>2.2587943728096249E-3</v>
      </c>
      <c r="U47" s="107">
        <f t="shared" si="12"/>
        <v>1.1851667052500403E-3</v>
      </c>
      <c r="V47" s="107">
        <f t="shared" si="13"/>
        <v>2.6519275067850678E-2</v>
      </c>
      <c r="W47" s="107">
        <f t="shared" si="14"/>
        <v>1.2993741122130142E-2</v>
      </c>
      <c r="Y47" s="82"/>
      <c r="Z47" s="82"/>
      <c r="AA47" s="170"/>
      <c r="AD47" s="108"/>
      <c r="AE47" s="109">
        <f t="shared" si="21"/>
        <v>0.15184965377671245</v>
      </c>
      <c r="AF47" s="109">
        <f t="shared" si="22"/>
        <v>0.42359046748815593</v>
      </c>
      <c r="AG47" s="109">
        <f t="shared" si="23"/>
        <v>4.0542801711686227E-2</v>
      </c>
      <c r="AH47" s="109">
        <f t="shared" si="24"/>
        <v>2.2587943728096249E-3</v>
      </c>
      <c r="AI47" s="109">
        <f t="shared" si="25"/>
        <v>2.6519275067850678E-2</v>
      </c>
      <c r="AK47" s="108"/>
      <c r="AL47" s="109">
        <f t="shared" si="15"/>
        <v>3.3823084910827195E-2</v>
      </c>
      <c r="AM47" s="109">
        <f t="shared" si="16"/>
        <v>-0.32156366402050335</v>
      </c>
      <c r="AN47" s="109">
        <f t="shared" si="17"/>
        <v>2.2619572433783403E-2</v>
      </c>
      <c r="AO47" s="109">
        <f t="shared" si="18"/>
        <v>1.1851667052500403E-3</v>
      </c>
      <c r="AP47" s="109">
        <f t="shared" si="19"/>
        <v>1.2993741122130142E-2</v>
      </c>
      <c r="AQ47" s="128"/>
      <c r="AR47" s="109"/>
      <c r="AS47" s="128"/>
      <c r="AT47" s="99"/>
      <c r="AU47" s="99"/>
      <c r="AV47" s="99"/>
    </row>
    <row r="48" spans="1:48" x14ac:dyDescent="0.25">
      <c r="A48" s="170">
        <f t="shared" si="26"/>
        <v>24</v>
      </c>
      <c r="B48" s="102">
        <f t="shared" si="27"/>
        <v>4.46</v>
      </c>
      <c r="C48" s="104">
        <f t="shared" si="0"/>
        <v>4.37</v>
      </c>
      <c r="D48" s="104">
        <f t="shared" si="0"/>
        <v>4.3899999999999997</v>
      </c>
      <c r="E48" s="80">
        <f t="shared" si="1"/>
        <v>0.51</v>
      </c>
      <c r="F48" s="80">
        <f t="shared" si="2"/>
        <v>0.48</v>
      </c>
      <c r="H48" s="80">
        <f t="shared" si="28"/>
        <v>6.8245902043498008E-2</v>
      </c>
      <c r="I48" s="212">
        <f t="shared" si="29"/>
        <v>36701</v>
      </c>
      <c r="J48" s="212">
        <f t="shared" si="20"/>
        <v>36700</v>
      </c>
      <c r="K48" s="182">
        <f t="shared" si="30"/>
        <v>6</v>
      </c>
      <c r="L48" s="182">
        <f t="shared" si="3"/>
        <v>1</v>
      </c>
      <c r="M48" s="182">
        <f t="shared" si="4"/>
        <v>2</v>
      </c>
      <c r="N48" s="107">
        <f t="shared" si="5"/>
        <v>0.15184965377671245</v>
      </c>
      <c r="O48" s="107">
        <f t="shared" si="6"/>
        <v>3.3823084910827195E-2</v>
      </c>
      <c r="P48" s="107">
        <f t="shared" si="7"/>
        <v>0.42359046748815593</v>
      </c>
      <c r="Q48" s="107">
        <f t="shared" si="8"/>
        <v>-0.32156366402050335</v>
      </c>
      <c r="R48" s="107">
        <f t="shared" si="9"/>
        <v>4.0542801711686227E-2</v>
      </c>
      <c r="S48" s="107">
        <f t="shared" si="10"/>
        <v>2.2619572433783403E-2</v>
      </c>
      <c r="T48" s="107">
        <f t="shared" si="11"/>
        <v>2.2587943728096249E-3</v>
      </c>
      <c r="U48" s="107">
        <f t="shared" si="12"/>
        <v>1.1851667052500403E-3</v>
      </c>
      <c r="V48" s="107">
        <f t="shared" si="13"/>
        <v>2.6519275067850678E-2</v>
      </c>
      <c r="W48" s="107">
        <f t="shared" si="14"/>
        <v>1.2993741122130142E-2</v>
      </c>
      <c r="Y48" s="82"/>
      <c r="Z48" s="82"/>
      <c r="AA48" s="170"/>
      <c r="AD48" s="108"/>
      <c r="AE48" s="109">
        <f t="shared" si="21"/>
        <v>0.15184965377671245</v>
      </c>
      <c r="AF48" s="109">
        <f t="shared" si="22"/>
        <v>0.42359046748815593</v>
      </c>
      <c r="AG48" s="109">
        <f t="shared" si="23"/>
        <v>4.0542801711686227E-2</v>
      </c>
      <c r="AH48" s="109">
        <f t="shared" si="24"/>
        <v>2.2587943728096249E-3</v>
      </c>
      <c r="AI48" s="109">
        <f t="shared" si="25"/>
        <v>2.6519275067850678E-2</v>
      </c>
      <c r="AK48" s="108"/>
      <c r="AL48" s="109">
        <f t="shared" si="15"/>
        <v>3.3823084910827195E-2</v>
      </c>
      <c r="AM48" s="109">
        <f t="shared" si="16"/>
        <v>-0.32156366402050335</v>
      </c>
      <c r="AN48" s="109">
        <f t="shared" si="17"/>
        <v>2.2619572433783403E-2</v>
      </c>
      <c r="AO48" s="109">
        <f t="shared" si="18"/>
        <v>1.1851667052500403E-3</v>
      </c>
      <c r="AP48" s="109">
        <f t="shared" si="19"/>
        <v>1.2993741122130142E-2</v>
      </c>
      <c r="AQ48" s="128"/>
      <c r="AR48" s="109"/>
      <c r="AS48" s="128"/>
      <c r="AT48" s="99"/>
      <c r="AU48" s="99"/>
      <c r="AV48" s="99"/>
    </row>
    <row r="49" spans="1:48" x14ac:dyDescent="0.25">
      <c r="A49" s="170">
        <f t="shared" si="26"/>
        <v>25</v>
      </c>
      <c r="B49" s="102">
        <f t="shared" si="27"/>
        <v>4.46</v>
      </c>
      <c r="C49" s="104">
        <f t="shared" si="0"/>
        <v>4.37</v>
      </c>
      <c r="D49" s="104">
        <f t="shared" si="0"/>
        <v>4.3899999999999997</v>
      </c>
      <c r="E49" s="80">
        <f t="shared" si="1"/>
        <v>0.51</v>
      </c>
      <c r="F49" s="80">
        <f t="shared" si="2"/>
        <v>0.48</v>
      </c>
      <c r="H49" s="80">
        <f t="shared" si="28"/>
        <v>6.8245902043498008E-2</v>
      </c>
      <c r="I49" s="212">
        <f t="shared" si="29"/>
        <v>36702</v>
      </c>
      <c r="J49" s="212">
        <f t="shared" si="20"/>
        <v>36700</v>
      </c>
      <c r="K49" s="182">
        <f t="shared" si="30"/>
        <v>7</v>
      </c>
      <c r="L49" s="182">
        <f t="shared" si="3"/>
        <v>1</v>
      </c>
      <c r="M49" s="182">
        <f t="shared" si="4"/>
        <v>2</v>
      </c>
      <c r="N49" s="107">
        <f t="shared" si="5"/>
        <v>0.15184965377671245</v>
      </c>
      <c r="O49" s="107">
        <f t="shared" si="6"/>
        <v>3.3823084910827195E-2</v>
      </c>
      <c r="P49" s="107">
        <f t="shared" si="7"/>
        <v>0.42359046748815593</v>
      </c>
      <c r="Q49" s="107">
        <f t="shared" si="8"/>
        <v>-0.32156366402050335</v>
      </c>
      <c r="R49" s="107">
        <f t="shared" si="9"/>
        <v>4.0542801711686227E-2</v>
      </c>
      <c r="S49" s="107">
        <f t="shared" si="10"/>
        <v>2.2619572433783403E-2</v>
      </c>
      <c r="T49" s="107">
        <f t="shared" si="11"/>
        <v>2.2587943728096249E-3</v>
      </c>
      <c r="U49" s="107">
        <f t="shared" si="12"/>
        <v>1.1851667052500403E-3</v>
      </c>
      <c r="V49" s="107">
        <f t="shared" si="13"/>
        <v>2.6519275067850678E-2</v>
      </c>
      <c r="W49" s="107">
        <f t="shared" si="14"/>
        <v>1.2993741122130142E-2</v>
      </c>
      <c r="Y49" s="82"/>
      <c r="Z49" s="82"/>
      <c r="AA49" s="170"/>
      <c r="AD49" s="108"/>
      <c r="AE49" s="109">
        <f t="shared" si="21"/>
        <v>0.15184965377671245</v>
      </c>
      <c r="AF49" s="109">
        <f t="shared" si="22"/>
        <v>0.42359046748815593</v>
      </c>
      <c r="AG49" s="109">
        <f t="shared" si="23"/>
        <v>4.0542801711686227E-2</v>
      </c>
      <c r="AH49" s="109">
        <f t="shared" si="24"/>
        <v>2.2587943728096249E-3</v>
      </c>
      <c r="AI49" s="109">
        <f t="shared" si="25"/>
        <v>2.6519275067850678E-2</v>
      </c>
      <c r="AK49" s="108"/>
      <c r="AL49" s="109">
        <f t="shared" si="15"/>
        <v>3.3823084910827195E-2</v>
      </c>
      <c r="AM49" s="109">
        <f t="shared" si="16"/>
        <v>-0.32156366402050335</v>
      </c>
      <c r="AN49" s="109">
        <f t="shared" si="17"/>
        <v>2.2619572433783403E-2</v>
      </c>
      <c r="AO49" s="109">
        <f t="shared" si="18"/>
        <v>1.1851667052500403E-3</v>
      </c>
      <c r="AP49" s="109">
        <f t="shared" si="19"/>
        <v>1.2993741122130142E-2</v>
      </c>
      <c r="AQ49" s="128"/>
      <c r="AR49" s="109"/>
      <c r="AS49" s="128"/>
      <c r="AT49" s="99"/>
      <c r="AU49" s="99"/>
      <c r="AV49" s="99"/>
    </row>
    <row r="50" spans="1:48" x14ac:dyDescent="0.25">
      <c r="A50" s="170">
        <f t="shared" si="26"/>
        <v>26</v>
      </c>
      <c r="B50" s="102">
        <f t="shared" si="27"/>
        <v>4.46</v>
      </c>
      <c r="C50" s="104">
        <f t="shared" si="0"/>
        <v>4.37</v>
      </c>
      <c r="D50" s="104">
        <f t="shared" si="0"/>
        <v>4.3899999999999997</v>
      </c>
      <c r="E50" s="80">
        <f t="shared" si="1"/>
        <v>0.51</v>
      </c>
      <c r="F50" s="80">
        <f t="shared" si="2"/>
        <v>0.48</v>
      </c>
      <c r="H50" s="80">
        <f t="shared" si="28"/>
        <v>6.8245902043498008E-2</v>
      </c>
      <c r="I50" s="212">
        <f t="shared" si="29"/>
        <v>36703</v>
      </c>
      <c r="J50" s="212">
        <f t="shared" si="20"/>
        <v>36703</v>
      </c>
      <c r="K50" s="182">
        <f t="shared" si="30"/>
        <v>1</v>
      </c>
      <c r="L50" s="182">
        <f t="shared" si="3"/>
        <v>1</v>
      </c>
      <c r="M50" s="182">
        <f t="shared" si="4"/>
        <v>5</v>
      </c>
      <c r="N50" s="107">
        <f t="shared" si="5"/>
        <v>0.22217109155181203</v>
      </c>
      <c r="O50" s="107">
        <f t="shared" si="6"/>
        <v>6.8002989625075339E-2</v>
      </c>
      <c r="P50" s="107">
        <f t="shared" si="7"/>
        <v>0.28936509042254865</v>
      </c>
      <c r="Q50" s="107">
        <f t="shared" si="8"/>
        <v>-0.37804950375943114</v>
      </c>
      <c r="R50" s="107">
        <f t="shared" si="9"/>
        <v>2.7977883804495902E-2</v>
      </c>
      <c r="S50" s="107">
        <f t="shared" si="10"/>
        <v>1.5178746074670109E-2</v>
      </c>
      <c r="T50" s="107">
        <f t="shared" si="11"/>
        <v>3.8881348345016775E-3</v>
      </c>
      <c r="U50" s="107">
        <f t="shared" si="12"/>
        <v>1.9847164363846481E-3</v>
      </c>
      <c r="V50" s="107">
        <f t="shared" si="13"/>
        <v>1.9000766489658538E-2</v>
      </c>
      <c r="W50" s="107">
        <f t="shared" si="14"/>
        <v>9.1165319621957508E-3</v>
      </c>
      <c r="Y50" s="82"/>
      <c r="Z50" s="82"/>
      <c r="AA50" s="170"/>
      <c r="AD50" s="108"/>
      <c r="AE50" s="109">
        <f t="shared" si="21"/>
        <v>0.22217109155181203</v>
      </c>
      <c r="AF50" s="109">
        <f t="shared" si="22"/>
        <v>0.28936509042254865</v>
      </c>
      <c r="AG50" s="109">
        <f t="shared" si="23"/>
        <v>2.7977883804495902E-2</v>
      </c>
      <c r="AH50" s="109">
        <f t="shared" si="24"/>
        <v>3.8881348345016775E-3</v>
      </c>
      <c r="AI50" s="109">
        <f t="shared" si="25"/>
        <v>1.9000766489658538E-2</v>
      </c>
      <c r="AK50" s="108"/>
      <c r="AL50" s="109">
        <f t="shared" si="15"/>
        <v>6.8002989625075339E-2</v>
      </c>
      <c r="AM50" s="109">
        <f t="shared" si="16"/>
        <v>-0.37804950375943114</v>
      </c>
      <c r="AN50" s="109">
        <f t="shared" si="17"/>
        <v>1.5178746074670109E-2</v>
      </c>
      <c r="AO50" s="109">
        <f t="shared" si="18"/>
        <v>1.9847164363846481E-3</v>
      </c>
      <c r="AP50" s="109">
        <f t="shared" si="19"/>
        <v>9.1165319621957508E-3</v>
      </c>
      <c r="AQ50" s="128"/>
      <c r="AR50" s="109"/>
      <c r="AS50" s="128"/>
      <c r="AT50" s="99"/>
      <c r="AU50" s="99"/>
      <c r="AV50" s="99"/>
    </row>
    <row r="51" spans="1:48" x14ac:dyDescent="0.25">
      <c r="A51" s="170">
        <f t="shared" si="26"/>
        <v>27</v>
      </c>
      <c r="B51" s="102">
        <f t="shared" si="27"/>
        <v>4.46</v>
      </c>
      <c r="C51" s="104">
        <f t="shared" si="0"/>
        <v>4.37</v>
      </c>
      <c r="D51" s="104">
        <f t="shared" si="0"/>
        <v>4.3899999999999997</v>
      </c>
      <c r="E51" s="80">
        <f t="shared" si="1"/>
        <v>0.51</v>
      </c>
      <c r="F51" s="80">
        <f t="shared" si="2"/>
        <v>0.48</v>
      </c>
      <c r="H51" s="80">
        <f t="shared" si="28"/>
        <v>6.8245902043498008E-2</v>
      </c>
      <c r="I51" s="212">
        <f t="shared" si="29"/>
        <v>36704</v>
      </c>
      <c r="J51" s="212">
        <f t="shared" si="20"/>
        <v>36704</v>
      </c>
      <c r="K51" s="182">
        <f t="shared" si="30"/>
        <v>2</v>
      </c>
      <c r="L51" s="182">
        <f t="shared" si="3"/>
        <v>1</v>
      </c>
      <c r="M51" s="182">
        <f t="shared" si="4"/>
        <v>6</v>
      </c>
      <c r="N51" s="107">
        <f t="shared" si="5"/>
        <v>0.24112677380540015</v>
      </c>
      <c r="O51" s="107">
        <f t="shared" si="6"/>
        <v>7.7105105001749941E-2</v>
      </c>
      <c r="P51" s="107">
        <f t="shared" si="7"/>
        <v>0.26919675019122885</v>
      </c>
      <c r="Q51" s="107">
        <f t="shared" si="8"/>
        <v>-0.38630708866340424</v>
      </c>
      <c r="R51" s="107">
        <f t="shared" si="9"/>
        <v>2.5787328511208515E-2</v>
      </c>
      <c r="S51" s="107">
        <f t="shared" si="10"/>
        <v>1.3946986334760885E-2</v>
      </c>
      <c r="T51" s="107">
        <f t="shared" si="11"/>
        <v>4.2988377894008778E-3</v>
      </c>
      <c r="U51" s="107">
        <f t="shared" si="12"/>
        <v>2.1876811932100004E-3</v>
      </c>
      <c r="V51" s="107">
        <f t="shared" si="13"/>
        <v>1.7612737670260614E-2</v>
      </c>
      <c r="W51" s="107">
        <f t="shared" si="14"/>
        <v>8.4283826070170598E-3</v>
      </c>
      <c r="Y51" s="82"/>
      <c r="Z51" s="82"/>
      <c r="AA51" s="170"/>
      <c r="AD51" s="108"/>
      <c r="AE51" s="109">
        <f t="shared" si="21"/>
        <v>0.24112677380540015</v>
      </c>
      <c r="AF51" s="109">
        <f t="shared" si="22"/>
        <v>0.26919675019122885</v>
      </c>
      <c r="AG51" s="109">
        <f t="shared" si="23"/>
        <v>2.5787328511208515E-2</v>
      </c>
      <c r="AH51" s="109">
        <f t="shared" si="24"/>
        <v>4.2988377894008778E-3</v>
      </c>
      <c r="AI51" s="109">
        <f t="shared" si="25"/>
        <v>1.7612737670260614E-2</v>
      </c>
      <c r="AK51" s="108"/>
      <c r="AL51" s="109">
        <f t="shared" si="15"/>
        <v>7.7105105001749941E-2</v>
      </c>
      <c r="AM51" s="109">
        <f t="shared" si="16"/>
        <v>-0.38630708866340424</v>
      </c>
      <c r="AN51" s="109">
        <f t="shared" si="17"/>
        <v>1.3946986334760885E-2</v>
      </c>
      <c r="AO51" s="109">
        <f t="shared" si="18"/>
        <v>2.1876811932100004E-3</v>
      </c>
      <c r="AP51" s="109">
        <f t="shared" si="19"/>
        <v>8.4283826070170598E-3</v>
      </c>
      <c r="AQ51" s="128"/>
      <c r="AR51" s="109"/>
      <c r="AS51" s="128"/>
      <c r="AT51" s="99"/>
      <c r="AU51" s="99"/>
      <c r="AV51" s="99"/>
    </row>
    <row r="52" spans="1:48" x14ac:dyDescent="0.25">
      <c r="A52" s="170">
        <f t="shared" si="26"/>
        <v>28</v>
      </c>
      <c r="B52" s="102">
        <f t="shared" si="27"/>
        <v>4.46</v>
      </c>
      <c r="C52" s="104">
        <f t="shared" si="0"/>
        <v>4.37</v>
      </c>
      <c r="D52" s="104">
        <f t="shared" si="0"/>
        <v>4.3899999999999997</v>
      </c>
      <c r="E52" s="80">
        <f t="shared" si="1"/>
        <v>0.51</v>
      </c>
      <c r="F52" s="80">
        <f t="shared" si="2"/>
        <v>0.48</v>
      </c>
      <c r="H52" s="80">
        <f t="shared" si="28"/>
        <v>6.8245902043498008E-2</v>
      </c>
      <c r="I52" s="212">
        <f t="shared" si="29"/>
        <v>36705</v>
      </c>
      <c r="J52" s="212">
        <f t="shared" si="20"/>
        <v>36705</v>
      </c>
      <c r="K52" s="182">
        <f t="shared" si="30"/>
        <v>3</v>
      </c>
      <c r="L52" s="182">
        <f t="shared" si="3"/>
        <v>1</v>
      </c>
      <c r="M52" s="182">
        <f t="shared" si="4"/>
        <v>7</v>
      </c>
      <c r="N52" s="107">
        <f t="shared" si="5"/>
        <v>0.25869114317385833</v>
      </c>
      <c r="O52" s="107">
        <f t="shared" si="6"/>
        <v>8.5517498131476799E-2</v>
      </c>
      <c r="P52" s="107">
        <f t="shared" si="7"/>
        <v>0.2536933045574411</v>
      </c>
      <c r="Q52" s="107">
        <f t="shared" si="8"/>
        <v>-0.39259623133573418</v>
      </c>
      <c r="R52" s="107">
        <f t="shared" si="9"/>
        <v>2.4038597762294174E-2</v>
      </c>
      <c r="S52" s="107">
        <f t="shared" si="10"/>
        <v>1.2972457728176134E-2</v>
      </c>
      <c r="T52" s="107">
        <f t="shared" si="11"/>
        <v>4.6737004604020527E-3</v>
      </c>
      <c r="U52" s="107">
        <f t="shared" si="12"/>
        <v>2.3732817098025549E-3</v>
      </c>
      <c r="V52" s="107">
        <f t="shared" si="13"/>
        <v>1.6488085698409982E-2</v>
      </c>
      <c r="W52" s="107">
        <f t="shared" si="14"/>
        <v>7.8750662595394871E-3</v>
      </c>
      <c r="Y52" s="82"/>
      <c r="Z52" s="82"/>
      <c r="AA52" s="170"/>
      <c r="AD52" s="108"/>
      <c r="AE52" s="109">
        <f t="shared" si="21"/>
        <v>0.25869114317385833</v>
      </c>
      <c r="AF52" s="109">
        <f t="shared" si="22"/>
        <v>0.2536933045574411</v>
      </c>
      <c r="AG52" s="109">
        <f t="shared" si="23"/>
        <v>2.4038597762294174E-2</v>
      </c>
      <c r="AH52" s="109">
        <f t="shared" si="24"/>
        <v>4.6737004604020527E-3</v>
      </c>
      <c r="AI52" s="109">
        <f t="shared" si="25"/>
        <v>1.6488085698409982E-2</v>
      </c>
      <c r="AK52" s="108"/>
      <c r="AL52" s="109">
        <f t="shared" si="15"/>
        <v>8.5517498131476799E-2</v>
      </c>
      <c r="AM52" s="109">
        <f t="shared" si="16"/>
        <v>-0.39259623133573418</v>
      </c>
      <c r="AN52" s="109">
        <f t="shared" si="17"/>
        <v>1.2972457728176134E-2</v>
      </c>
      <c r="AO52" s="109">
        <f t="shared" si="18"/>
        <v>2.3732817098025549E-3</v>
      </c>
      <c r="AP52" s="109">
        <f t="shared" si="19"/>
        <v>7.8750662595394871E-3</v>
      </c>
      <c r="AQ52" s="128"/>
      <c r="AR52" s="109"/>
      <c r="AS52" s="128"/>
      <c r="AT52" s="99"/>
      <c r="AU52" s="99"/>
      <c r="AV52" s="99"/>
    </row>
    <row r="53" spans="1:48" x14ac:dyDescent="0.25">
      <c r="A53" s="170">
        <f t="shared" si="26"/>
        <v>29</v>
      </c>
      <c r="B53" s="102">
        <f t="shared" si="27"/>
        <v>4.46</v>
      </c>
      <c r="C53" s="104">
        <f t="shared" si="0"/>
        <v>4.37</v>
      </c>
      <c r="D53" s="104">
        <f t="shared" si="0"/>
        <v>4.3899999999999997</v>
      </c>
      <c r="E53" s="80">
        <f t="shared" si="1"/>
        <v>0.51</v>
      </c>
      <c r="F53" s="80">
        <f t="shared" si="2"/>
        <v>0.48</v>
      </c>
      <c r="H53" s="80">
        <f t="shared" si="28"/>
        <v>6.8245902043498008E-2</v>
      </c>
      <c r="I53" s="212">
        <f t="shared" si="29"/>
        <v>36706</v>
      </c>
      <c r="J53" s="212">
        <f t="shared" si="20"/>
        <v>36706</v>
      </c>
      <c r="K53" s="182">
        <f t="shared" si="30"/>
        <v>4</v>
      </c>
      <c r="L53" s="182">
        <f t="shared" si="3"/>
        <v>1</v>
      </c>
      <c r="M53" s="182">
        <f t="shared" si="4"/>
        <v>8</v>
      </c>
      <c r="N53" s="107">
        <f t="shared" si="5"/>
        <v>0.27512778735908028</v>
      </c>
      <c r="O53" s="107">
        <f t="shared" si="6"/>
        <v>9.3375105751959619E-2</v>
      </c>
      <c r="P53" s="107">
        <f t="shared" si="7"/>
        <v>0.24136479633870611</v>
      </c>
      <c r="Q53" s="107">
        <f t="shared" si="8"/>
        <v>-0.39755213334981887</v>
      </c>
      <c r="R53" s="107">
        <f t="shared" si="9"/>
        <v>2.2601414288074561E-2</v>
      </c>
      <c r="S53" s="107">
        <f t="shared" si="10"/>
        <v>1.2176688253023643E-2</v>
      </c>
      <c r="T53" s="107">
        <f t="shared" si="11"/>
        <v>5.0205821692870245E-3</v>
      </c>
      <c r="U53" s="107">
        <f t="shared" si="12"/>
        <v>2.5452778106385132E-3</v>
      </c>
      <c r="V53" s="107">
        <f t="shared" si="13"/>
        <v>1.5553065734886573E-2</v>
      </c>
      <c r="W53" s="107">
        <f t="shared" si="14"/>
        <v>7.4176245688426512E-3</v>
      </c>
      <c r="Y53" s="82"/>
      <c r="Z53" s="82"/>
      <c r="AA53" s="170"/>
      <c r="AD53" s="108"/>
      <c r="AE53" s="109">
        <f t="shared" si="21"/>
        <v>0.27512778735908028</v>
      </c>
      <c r="AF53" s="109">
        <f t="shared" si="22"/>
        <v>0.24136479633870611</v>
      </c>
      <c r="AG53" s="109">
        <f t="shared" si="23"/>
        <v>2.2601414288074561E-2</v>
      </c>
      <c r="AH53" s="109">
        <f t="shared" si="24"/>
        <v>5.0205821692870245E-3</v>
      </c>
      <c r="AI53" s="109">
        <f t="shared" si="25"/>
        <v>1.5553065734886573E-2</v>
      </c>
      <c r="AK53" s="108"/>
      <c r="AL53" s="109">
        <f t="shared" si="15"/>
        <v>9.3375105751959619E-2</v>
      </c>
      <c r="AM53" s="109">
        <f t="shared" si="16"/>
        <v>-0.39755213334981887</v>
      </c>
      <c r="AN53" s="109">
        <f t="shared" si="17"/>
        <v>1.2176688253023643E-2</v>
      </c>
      <c r="AO53" s="109">
        <f t="shared" si="18"/>
        <v>2.5452778106385132E-3</v>
      </c>
      <c r="AP53" s="109">
        <f t="shared" si="19"/>
        <v>7.4176245688426512E-3</v>
      </c>
      <c r="AQ53" s="128"/>
      <c r="AR53" s="109"/>
      <c r="AS53" s="128"/>
      <c r="AT53" s="99"/>
      <c r="AU53" s="99"/>
      <c r="AV53" s="99"/>
    </row>
    <row r="54" spans="1:48" x14ac:dyDescent="0.25">
      <c r="A54" s="170">
        <f t="shared" si="26"/>
        <v>30</v>
      </c>
      <c r="B54" s="102">
        <f t="shared" si="27"/>
        <v>4.46</v>
      </c>
      <c r="C54" s="104">
        <f t="shared" si="0"/>
        <v>4.37</v>
      </c>
      <c r="D54" s="104">
        <f t="shared" si="0"/>
        <v>4.3899999999999997</v>
      </c>
      <c r="E54" s="80">
        <f t="shared" si="1"/>
        <v>0.51</v>
      </c>
      <c r="F54" s="80">
        <f t="shared" si="2"/>
        <v>0.48</v>
      </c>
      <c r="H54" s="80">
        <f t="shared" si="28"/>
        <v>6.8245902043498008E-2</v>
      </c>
      <c r="I54" s="212">
        <f t="shared" si="29"/>
        <v>36707</v>
      </c>
      <c r="J54" s="212">
        <f t="shared" si="20"/>
        <v>36707</v>
      </c>
      <c r="K54" s="182">
        <f t="shared" si="30"/>
        <v>5</v>
      </c>
      <c r="L54" s="182">
        <f t="shared" si="3"/>
        <v>1</v>
      </c>
      <c r="M54" s="182">
        <f t="shared" si="4"/>
        <v>9</v>
      </c>
      <c r="N54" s="107">
        <f t="shared" si="5"/>
        <v>0.29062651373485515</v>
      </c>
      <c r="O54" s="107">
        <f t="shared" si="6"/>
        <v>0.10077388830795431</v>
      </c>
      <c r="P54" s="107">
        <f t="shared" si="7"/>
        <v>0.23130863075980046</v>
      </c>
      <c r="Q54" s="107">
        <f t="shared" si="8"/>
        <v>-0.40155747487283927</v>
      </c>
      <c r="R54" s="107">
        <f t="shared" si="9"/>
        <v>2.1393376698000455E-2</v>
      </c>
      <c r="S54" s="107">
        <f t="shared" si="10"/>
        <v>1.1511031214198447E-2</v>
      </c>
      <c r="T54" s="107">
        <f t="shared" si="11"/>
        <v>5.3448407643088558E-3</v>
      </c>
      <c r="U54" s="107">
        <f t="shared" si="12"/>
        <v>2.7062427055533078E-3</v>
      </c>
      <c r="V54" s="107">
        <f t="shared" si="13"/>
        <v>1.4759844522838073E-2</v>
      </c>
      <c r="W54" s="107">
        <f t="shared" si="14"/>
        <v>7.0312207185803111E-3</v>
      </c>
      <c r="Y54" s="82"/>
      <c r="Z54" s="82"/>
      <c r="AA54" s="170"/>
      <c r="AD54" s="108"/>
      <c r="AE54" s="109">
        <f t="shared" si="21"/>
        <v>0.29062651373485515</v>
      </c>
      <c r="AF54" s="109">
        <f t="shared" si="22"/>
        <v>0.23130863075980046</v>
      </c>
      <c r="AG54" s="109">
        <f t="shared" si="23"/>
        <v>2.1393376698000455E-2</v>
      </c>
      <c r="AH54" s="109">
        <f t="shared" si="24"/>
        <v>5.3448407643088558E-3</v>
      </c>
      <c r="AI54" s="109">
        <f t="shared" si="25"/>
        <v>1.4759844522838073E-2</v>
      </c>
      <c r="AK54" s="108"/>
      <c r="AL54" s="109">
        <f t="shared" si="15"/>
        <v>0.10077388830795431</v>
      </c>
      <c r="AM54" s="109">
        <f t="shared" si="16"/>
        <v>-0.40155747487283927</v>
      </c>
      <c r="AN54" s="109">
        <f t="shared" si="17"/>
        <v>1.1511031214198447E-2</v>
      </c>
      <c r="AO54" s="109">
        <f t="shared" si="18"/>
        <v>2.7062427055533078E-3</v>
      </c>
      <c r="AP54" s="109">
        <f t="shared" si="19"/>
        <v>7.0312207185803111E-3</v>
      </c>
      <c r="AQ54" s="128"/>
      <c r="AR54" s="109"/>
      <c r="AS54" s="128"/>
      <c r="AT54" s="99"/>
      <c r="AU54" s="99"/>
      <c r="AV54" s="99"/>
    </row>
    <row r="55" spans="1:48" x14ac:dyDescent="0.25">
      <c r="A55" s="170">
        <f t="shared" si="26"/>
        <v>31</v>
      </c>
      <c r="B55" s="102">
        <f t="shared" si="27"/>
        <v>4.46</v>
      </c>
      <c r="C55" s="104">
        <f t="shared" si="0"/>
        <v>4.37</v>
      </c>
      <c r="D55" s="104">
        <f t="shared" si="0"/>
        <v>4.3899999999999997</v>
      </c>
      <c r="E55" s="80">
        <f t="shared" si="1"/>
        <v>0.51</v>
      </c>
      <c r="F55" s="80">
        <f t="shared" si="2"/>
        <v>0.48</v>
      </c>
      <c r="H55" s="80">
        <f t="shared" si="28"/>
        <v>6.8245902043498008E-2</v>
      </c>
      <c r="I55" s="212">
        <f t="shared" si="29"/>
        <v>36708</v>
      </c>
      <c r="J55" s="212">
        <f t="shared" si="20"/>
        <v>36707</v>
      </c>
      <c r="K55" s="182">
        <f t="shared" si="30"/>
        <v>6</v>
      </c>
      <c r="L55" s="182">
        <f t="shared" si="3"/>
        <v>0</v>
      </c>
      <c r="M55" s="182">
        <f t="shared" si="4"/>
        <v>9</v>
      </c>
      <c r="N55" s="107">
        <f t="shared" si="5"/>
        <v>0</v>
      </c>
      <c r="O55" s="107">
        <f t="shared" si="6"/>
        <v>0</v>
      </c>
      <c r="P55" s="107">
        <f t="shared" si="7"/>
        <v>0</v>
      </c>
      <c r="Q55" s="107">
        <f t="shared" si="8"/>
        <v>0</v>
      </c>
      <c r="R55" s="107">
        <f t="shared" si="9"/>
        <v>0</v>
      </c>
      <c r="S55" s="107">
        <f t="shared" si="10"/>
        <v>0</v>
      </c>
      <c r="T55" s="107">
        <f t="shared" si="11"/>
        <v>0</v>
      </c>
      <c r="U55" s="107">
        <f t="shared" si="12"/>
        <v>0</v>
      </c>
      <c r="V55" s="107">
        <f t="shared" si="13"/>
        <v>0</v>
      </c>
      <c r="W55" s="107">
        <f t="shared" si="14"/>
        <v>0</v>
      </c>
      <c r="Y55" s="82"/>
      <c r="Z55" s="82"/>
      <c r="AA55" s="170"/>
      <c r="AD55" s="108"/>
      <c r="AE55" s="109">
        <f t="shared" si="21"/>
        <v>0</v>
      </c>
      <c r="AF55" s="109">
        <f t="shared" si="22"/>
        <v>0</v>
      </c>
      <c r="AG55" s="109">
        <f t="shared" si="23"/>
        <v>0</v>
      </c>
      <c r="AH55" s="109">
        <f t="shared" si="24"/>
        <v>0</v>
      </c>
      <c r="AI55" s="109">
        <f t="shared" si="25"/>
        <v>0</v>
      </c>
      <c r="AK55" s="108"/>
      <c r="AL55" s="109">
        <f t="shared" si="15"/>
        <v>0</v>
      </c>
      <c r="AM55" s="109">
        <f t="shared" si="16"/>
        <v>0</v>
      </c>
      <c r="AN55" s="109">
        <f t="shared" si="17"/>
        <v>0</v>
      </c>
      <c r="AO55" s="109">
        <f t="shared" si="18"/>
        <v>0</v>
      </c>
      <c r="AP55" s="109">
        <f t="shared" si="19"/>
        <v>0</v>
      </c>
      <c r="AQ55" s="128"/>
      <c r="AR55" s="109"/>
      <c r="AS55" s="128"/>
      <c r="AT55" s="99"/>
      <c r="AU55" s="99"/>
      <c r="AV55" s="99"/>
    </row>
    <row r="56" spans="1:48" x14ac:dyDescent="0.25">
      <c r="A56" s="101">
        <f>DATE(YEAR(A55),MONTH(A55)+1,1)</f>
        <v>32</v>
      </c>
      <c r="B56" s="115"/>
      <c r="C56" s="134"/>
      <c r="E56" s="112"/>
      <c r="F56" s="112"/>
      <c r="G56" s="112"/>
      <c r="H56" s="114"/>
      <c r="I56" s="114"/>
      <c r="J56" s="114"/>
      <c r="K56" s="114"/>
      <c r="L56" s="114"/>
      <c r="M56" s="114"/>
      <c r="N56" s="114"/>
      <c r="O56" s="114"/>
      <c r="P56" s="83"/>
      <c r="Q56" s="83"/>
      <c r="R56" s="83"/>
      <c r="S56" s="83"/>
      <c r="T56" s="83"/>
      <c r="U56" s="83"/>
      <c r="V56" s="83"/>
      <c r="W56" s="83"/>
      <c r="X56" s="83"/>
      <c r="Y56" s="84"/>
      <c r="Z56" s="83"/>
      <c r="AA56" s="84"/>
      <c r="AB56" s="83"/>
    </row>
    <row r="57" spans="1:48" x14ac:dyDescent="0.25">
      <c r="A57" s="110"/>
      <c r="B57" s="115"/>
      <c r="C57" s="134"/>
      <c r="E57" s="112"/>
      <c r="F57" s="112"/>
      <c r="G57" s="112"/>
      <c r="H57" s="114"/>
      <c r="I57" s="114"/>
      <c r="J57" s="114"/>
      <c r="K57" s="114"/>
      <c r="L57" s="114"/>
      <c r="M57" s="114"/>
      <c r="N57" s="114"/>
      <c r="O57" s="114"/>
      <c r="P57" s="83"/>
      <c r="Q57" s="83"/>
      <c r="R57" s="83"/>
      <c r="S57" s="83"/>
      <c r="T57" s="83"/>
      <c r="U57" s="83"/>
      <c r="V57" s="83"/>
      <c r="W57" s="83"/>
      <c r="X57" s="83"/>
      <c r="Y57" s="84"/>
      <c r="Z57" s="83"/>
      <c r="AA57" s="84"/>
      <c r="AB57" s="83"/>
    </row>
    <row r="58" spans="1:48" x14ac:dyDescent="0.25">
      <c r="A58" s="110"/>
      <c r="B58" s="115"/>
      <c r="C58" s="134"/>
      <c r="E58" s="112"/>
      <c r="F58" s="112"/>
      <c r="G58" s="112"/>
      <c r="H58" s="114"/>
      <c r="I58" s="114"/>
      <c r="J58" s="114"/>
      <c r="K58" s="114"/>
      <c r="L58" s="114"/>
      <c r="M58" s="114"/>
      <c r="N58" s="114"/>
      <c r="O58" s="114"/>
      <c r="P58" s="83"/>
      <c r="Q58" s="83"/>
      <c r="R58" s="83"/>
      <c r="S58" s="83"/>
      <c r="T58" s="83"/>
      <c r="U58" s="83"/>
      <c r="V58" s="83"/>
      <c r="W58" s="83"/>
      <c r="X58" s="83"/>
      <c r="Y58" s="84"/>
      <c r="Z58" s="83"/>
      <c r="AA58" s="84"/>
      <c r="AB58" s="83"/>
    </row>
    <row r="59" spans="1:48" x14ac:dyDescent="0.25">
      <c r="A59" s="110"/>
      <c r="B59" s="115"/>
      <c r="C59" s="134"/>
      <c r="E59" s="112"/>
      <c r="F59" s="112"/>
      <c r="G59" s="112"/>
      <c r="H59" s="114"/>
      <c r="I59" s="114"/>
      <c r="J59" s="114"/>
      <c r="K59" s="114"/>
      <c r="L59" s="114"/>
      <c r="M59" s="114"/>
      <c r="N59" s="114"/>
      <c r="O59" s="114"/>
      <c r="P59" s="83"/>
      <c r="Q59" s="83"/>
      <c r="R59" s="83"/>
      <c r="S59" s="83"/>
      <c r="T59" s="83"/>
      <c r="U59" s="83"/>
      <c r="V59" s="83"/>
      <c r="W59" s="83"/>
      <c r="X59" s="83"/>
      <c r="Y59" s="84"/>
      <c r="Z59" s="83"/>
      <c r="AA59" s="84"/>
      <c r="AB59" s="83"/>
    </row>
    <row r="60" spans="1:48" x14ac:dyDescent="0.25">
      <c r="A60" s="110"/>
      <c r="B60" s="115"/>
      <c r="C60" s="134"/>
      <c r="E60" s="112"/>
      <c r="F60" s="112"/>
      <c r="G60" s="112"/>
      <c r="H60" s="114"/>
      <c r="I60" s="114"/>
      <c r="J60" s="114"/>
      <c r="K60" s="114"/>
      <c r="L60" s="114"/>
      <c r="M60" s="114"/>
      <c r="N60" s="114"/>
      <c r="O60" s="114"/>
      <c r="P60" s="83"/>
      <c r="Q60" s="83"/>
      <c r="R60" s="83"/>
      <c r="S60" s="83"/>
      <c r="T60" s="83"/>
      <c r="U60" s="83"/>
      <c r="V60" s="83"/>
      <c r="W60" s="83"/>
      <c r="X60" s="83"/>
      <c r="Y60" s="84"/>
      <c r="Z60" s="83"/>
      <c r="AA60" s="84"/>
      <c r="AB60" s="83"/>
    </row>
    <row r="61" spans="1:48" x14ac:dyDescent="0.25">
      <c r="A61" s="110"/>
      <c r="B61" s="115"/>
      <c r="C61" s="134"/>
      <c r="E61" s="112"/>
      <c r="F61" s="112"/>
      <c r="G61" s="112"/>
      <c r="H61" s="114"/>
      <c r="I61" s="114"/>
      <c r="J61" s="114"/>
      <c r="K61" s="114"/>
      <c r="L61" s="114"/>
      <c r="M61" s="114"/>
      <c r="N61" s="114"/>
      <c r="O61" s="114"/>
      <c r="P61" s="83"/>
      <c r="Q61" s="83"/>
      <c r="R61" s="83"/>
      <c r="S61" s="83"/>
      <c r="T61" s="83"/>
      <c r="U61" s="83"/>
      <c r="V61" s="83"/>
      <c r="W61" s="83"/>
      <c r="X61" s="83"/>
      <c r="Y61" s="84"/>
      <c r="Z61" s="83"/>
      <c r="AA61" s="84"/>
      <c r="AB61" s="83"/>
    </row>
    <row r="62" spans="1:48" x14ac:dyDescent="0.25">
      <c r="A62" s="110"/>
      <c r="B62" s="115"/>
      <c r="C62" s="134"/>
      <c r="E62" s="112"/>
      <c r="F62" s="112"/>
      <c r="G62" s="112"/>
      <c r="H62" s="114"/>
      <c r="I62" s="114"/>
      <c r="J62" s="114"/>
      <c r="K62" s="114"/>
      <c r="L62" s="114"/>
      <c r="M62" s="114"/>
      <c r="N62" s="114"/>
      <c r="O62" s="114"/>
      <c r="P62" s="83"/>
      <c r="Q62" s="83"/>
      <c r="R62" s="83"/>
      <c r="S62" s="83"/>
      <c r="T62" s="83"/>
      <c r="U62" s="83"/>
      <c r="V62" s="83"/>
      <c r="W62" s="83"/>
      <c r="X62" s="83"/>
      <c r="Y62" s="84"/>
      <c r="Z62" s="83"/>
      <c r="AA62" s="84"/>
      <c r="AB62" s="83"/>
    </row>
    <row r="63" spans="1:48" x14ac:dyDescent="0.25">
      <c r="A63" s="110"/>
      <c r="B63" s="115"/>
      <c r="C63" s="134"/>
      <c r="E63" s="112"/>
      <c r="F63" s="112"/>
      <c r="G63" s="112"/>
      <c r="H63" s="114"/>
      <c r="I63" s="114"/>
      <c r="J63" s="114"/>
      <c r="K63" s="114"/>
      <c r="L63" s="114"/>
      <c r="M63" s="114"/>
      <c r="N63" s="114"/>
      <c r="O63" s="114"/>
      <c r="P63" s="83"/>
      <c r="Q63" s="83"/>
      <c r="R63" s="83"/>
      <c r="S63" s="83"/>
      <c r="T63" s="83"/>
      <c r="U63" s="83"/>
      <c r="V63" s="83"/>
      <c r="W63" s="83"/>
      <c r="X63" s="83"/>
      <c r="Y63" s="84"/>
      <c r="Z63" s="83"/>
      <c r="AA63" s="84"/>
      <c r="AB63" s="83"/>
    </row>
    <row r="64" spans="1:48" x14ac:dyDescent="0.25">
      <c r="A64" s="110"/>
      <c r="B64" s="115"/>
      <c r="C64" s="134"/>
      <c r="E64" s="112"/>
      <c r="F64" s="112"/>
      <c r="G64" s="112"/>
      <c r="H64" s="114"/>
      <c r="I64" s="114"/>
      <c r="J64" s="114"/>
      <c r="K64" s="114"/>
      <c r="L64" s="114"/>
      <c r="M64" s="114"/>
      <c r="N64" s="114"/>
      <c r="O64" s="114"/>
      <c r="P64" s="83"/>
      <c r="Q64" s="83"/>
      <c r="R64" s="83"/>
      <c r="S64" s="83"/>
      <c r="T64" s="83"/>
      <c r="U64" s="83"/>
      <c r="V64" s="83"/>
      <c r="W64" s="83"/>
      <c r="X64" s="83"/>
      <c r="Y64" s="84"/>
      <c r="Z64" s="83"/>
      <c r="AA64" s="84"/>
      <c r="AB64" s="83"/>
    </row>
    <row r="65" spans="1:28" x14ac:dyDescent="0.25">
      <c r="A65" s="110"/>
      <c r="B65" s="115"/>
      <c r="C65" s="134"/>
      <c r="E65" s="112"/>
      <c r="F65" s="112"/>
      <c r="G65" s="112"/>
      <c r="H65" s="114"/>
      <c r="I65" s="114"/>
      <c r="J65" s="114"/>
      <c r="K65" s="114"/>
      <c r="L65" s="114"/>
      <c r="M65" s="114"/>
      <c r="N65" s="114"/>
      <c r="O65" s="114"/>
      <c r="P65" s="83"/>
      <c r="Q65" s="83"/>
      <c r="R65" s="83" t="s">
        <v>42</v>
      </c>
      <c r="S65" s="83"/>
      <c r="T65" s="83"/>
      <c r="U65" s="83"/>
      <c r="V65" s="83"/>
      <c r="W65" s="83"/>
      <c r="X65" s="83"/>
      <c r="Y65" s="84"/>
      <c r="Z65" s="83"/>
      <c r="AA65" s="84"/>
      <c r="AB65" s="83"/>
    </row>
    <row r="66" spans="1:28" x14ac:dyDescent="0.25">
      <c r="A66" s="110"/>
      <c r="B66" s="115"/>
      <c r="C66" s="134"/>
      <c r="E66" s="112"/>
      <c r="F66" s="112"/>
      <c r="G66" s="112"/>
      <c r="H66" s="114"/>
      <c r="I66" s="114"/>
      <c r="J66" s="114"/>
      <c r="K66" s="114"/>
      <c r="L66" s="114"/>
      <c r="M66" s="114"/>
      <c r="N66" s="114"/>
      <c r="O66" s="114"/>
      <c r="P66" s="83"/>
      <c r="Q66" s="83"/>
      <c r="R66" s="83" t="s">
        <v>43</v>
      </c>
      <c r="S66" s="83"/>
      <c r="T66" s="83"/>
      <c r="U66" s="83"/>
      <c r="V66" s="83"/>
      <c r="W66" s="83"/>
      <c r="X66" s="83"/>
      <c r="Y66" s="84"/>
      <c r="Z66" s="83"/>
      <c r="AA66" s="84"/>
      <c r="AB66" s="83"/>
    </row>
    <row r="67" spans="1:28" x14ac:dyDescent="0.25">
      <c r="A67" s="116"/>
      <c r="E67" s="79"/>
      <c r="F67" s="79"/>
      <c r="G67" s="79"/>
      <c r="H67" s="114"/>
      <c r="I67" s="114"/>
      <c r="J67" s="114"/>
      <c r="K67" s="114"/>
      <c r="L67" s="114"/>
      <c r="M67" s="114"/>
      <c r="N67" s="114"/>
      <c r="O67" s="114"/>
      <c r="P67" s="83"/>
      <c r="Q67" s="83"/>
      <c r="R67" s="83"/>
      <c r="S67" s="83"/>
      <c r="T67" s="83"/>
      <c r="U67" s="83"/>
      <c r="V67" s="83"/>
      <c r="W67" s="83"/>
      <c r="X67" s="83"/>
      <c r="Y67" s="84"/>
      <c r="Z67" s="83"/>
      <c r="AA67" s="84"/>
      <c r="AB67" s="83"/>
    </row>
    <row r="68" spans="1:28" x14ac:dyDescent="0.25">
      <c r="A68" s="110"/>
      <c r="B68" s="115"/>
      <c r="C68" s="134"/>
      <c r="E68" s="112"/>
      <c r="F68" s="112"/>
      <c r="G68" s="112"/>
      <c r="H68" s="114"/>
      <c r="I68" s="114"/>
      <c r="J68" s="114"/>
      <c r="K68" s="114"/>
      <c r="L68" s="114"/>
      <c r="M68" s="114"/>
      <c r="N68" s="114"/>
      <c r="O68" s="114"/>
      <c r="P68" s="83"/>
      <c r="Q68" s="83"/>
      <c r="R68" s="83"/>
      <c r="S68" s="83"/>
      <c r="T68" s="83"/>
      <c r="U68" s="83"/>
      <c r="V68" s="83"/>
      <c r="W68" s="83"/>
      <c r="X68" s="83"/>
      <c r="Y68" s="84"/>
      <c r="Z68" s="83"/>
      <c r="AA68" s="84"/>
      <c r="AB68" s="83"/>
    </row>
    <row r="69" spans="1:28" x14ac:dyDescent="0.25">
      <c r="B69" s="117"/>
      <c r="C69" s="120"/>
      <c r="D69" s="118"/>
      <c r="E69" s="111"/>
      <c r="F69" s="111"/>
      <c r="G69" s="111"/>
      <c r="H69" s="111"/>
      <c r="I69" s="111"/>
      <c r="J69" s="111"/>
      <c r="K69" s="111"/>
      <c r="L69" s="114"/>
      <c r="M69" s="114"/>
      <c r="N69" s="114"/>
      <c r="O69" s="114"/>
      <c r="P69" s="114"/>
      <c r="Q69" s="83"/>
      <c r="R69" s="83"/>
      <c r="S69" s="83"/>
      <c r="T69" s="83"/>
      <c r="U69" s="83"/>
      <c r="V69" s="83"/>
      <c r="W69" s="83"/>
      <c r="X69" s="83"/>
      <c r="Y69" s="84"/>
      <c r="Z69" s="83"/>
      <c r="AA69" s="84"/>
      <c r="AB69" s="83"/>
    </row>
    <row r="70" spans="1:28" x14ac:dyDescent="0.25">
      <c r="B70" s="117"/>
      <c r="C70" s="120"/>
      <c r="D70" s="118"/>
      <c r="E70" s="111"/>
      <c r="F70" s="111"/>
      <c r="G70" s="111"/>
      <c r="H70" s="111"/>
      <c r="I70" s="111"/>
      <c r="J70" s="111"/>
      <c r="K70" s="111"/>
      <c r="L70" s="114"/>
      <c r="M70" s="114"/>
      <c r="N70" s="114"/>
      <c r="O70" s="114"/>
      <c r="P70" s="114"/>
      <c r="Q70" s="83"/>
      <c r="R70" s="83"/>
      <c r="S70" s="83"/>
      <c r="T70" s="83"/>
      <c r="U70" s="83"/>
      <c r="V70" s="83"/>
      <c r="W70" s="83"/>
      <c r="X70" s="83"/>
      <c r="Y70" s="84"/>
      <c r="Z70" s="83"/>
      <c r="AA70" s="84"/>
      <c r="AB70" s="83"/>
    </row>
    <row r="71" spans="1:28" x14ac:dyDescent="0.25">
      <c r="B71" s="117"/>
      <c r="C71" s="120"/>
      <c r="D71" s="118"/>
      <c r="E71" s="111"/>
      <c r="F71" s="111"/>
      <c r="G71" s="111"/>
      <c r="H71" s="111"/>
      <c r="I71" s="111"/>
      <c r="J71" s="111"/>
      <c r="K71" s="111"/>
      <c r="L71" s="114"/>
      <c r="M71" s="114"/>
      <c r="N71" s="114"/>
      <c r="O71" s="114"/>
      <c r="P71" s="114"/>
      <c r="Q71" s="83"/>
      <c r="R71" s="83"/>
      <c r="S71" s="83"/>
      <c r="T71" s="83"/>
      <c r="U71" s="83"/>
      <c r="V71" s="83"/>
      <c r="W71" s="83"/>
      <c r="X71" s="83"/>
      <c r="Y71" s="84"/>
      <c r="Z71" s="83"/>
      <c r="AA71" s="84"/>
      <c r="AB71" s="83"/>
    </row>
    <row r="72" spans="1:28" x14ac:dyDescent="0.25">
      <c r="B72" s="117"/>
      <c r="C72" s="120"/>
      <c r="D72" s="118"/>
      <c r="E72" s="111"/>
      <c r="F72" s="111"/>
      <c r="G72" s="111"/>
      <c r="H72" s="111"/>
      <c r="I72" s="111"/>
      <c r="J72" s="111"/>
      <c r="K72" s="111"/>
      <c r="L72" s="114"/>
      <c r="M72" s="114"/>
      <c r="N72" s="114"/>
      <c r="O72" s="114"/>
      <c r="P72" s="114"/>
      <c r="Q72" s="83"/>
      <c r="R72" s="83"/>
      <c r="S72" s="83"/>
      <c r="T72" s="83"/>
      <c r="U72" s="83"/>
      <c r="V72" s="83"/>
      <c r="W72" s="83"/>
      <c r="X72" s="83"/>
      <c r="Y72" s="84"/>
      <c r="Z72" s="83"/>
      <c r="AA72" s="84"/>
      <c r="AB72" s="83"/>
    </row>
    <row r="73" spans="1:28" x14ac:dyDescent="0.25">
      <c r="B73" s="117"/>
      <c r="C73" s="120"/>
      <c r="D73" s="118"/>
      <c r="E73" s="111"/>
      <c r="F73" s="111"/>
      <c r="G73" s="111"/>
      <c r="H73" s="111"/>
      <c r="I73" s="111"/>
      <c r="J73" s="111"/>
      <c r="K73" s="111"/>
      <c r="L73" s="114"/>
      <c r="M73" s="114"/>
      <c r="N73" s="114"/>
      <c r="O73" s="114"/>
      <c r="P73" s="114"/>
      <c r="Q73" s="83"/>
      <c r="R73" s="83"/>
      <c r="S73" s="83"/>
      <c r="T73" s="83"/>
      <c r="U73" s="83"/>
      <c r="V73" s="83"/>
      <c r="W73" s="83"/>
      <c r="X73" s="83"/>
      <c r="Y73" s="84"/>
      <c r="Z73" s="83"/>
      <c r="AA73" s="84"/>
      <c r="AB73" s="83"/>
    </row>
    <row r="74" spans="1:28" x14ac:dyDescent="0.25">
      <c r="B74" s="117"/>
      <c r="C74" s="120"/>
      <c r="D74" s="118"/>
      <c r="E74" s="111"/>
      <c r="F74" s="111"/>
      <c r="G74" s="111"/>
      <c r="H74" s="111"/>
      <c r="I74" s="111"/>
      <c r="J74" s="111"/>
      <c r="K74" s="111"/>
      <c r="L74" s="114"/>
      <c r="M74" s="114"/>
      <c r="N74" s="114"/>
      <c r="O74" s="114"/>
      <c r="P74" s="114"/>
      <c r="Q74" s="83"/>
      <c r="R74" s="83"/>
      <c r="S74" s="83"/>
      <c r="T74" s="83"/>
      <c r="U74" s="83"/>
      <c r="V74" s="83"/>
      <c r="W74" s="83"/>
      <c r="X74" s="83"/>
      <c r="Y74" s="84"/>
      <c r="Z74" s="83"/>
      <c r="AA74" s="84"/>
      <c r="AB74" s="83"/>
    </row>
    <row r="75" spans="1:28" x14ac:dyDescent="0.25">
      <c r="B75" s="117"/>
      <c r="C75" s="120"/>
      <c r="D75" s="118"/>
      <c r="E75" s="111"/>
      <c r="F75" s="111"/>
      <c r="G75" s="111"/>
      <c r="H75" s="111"/>
      <c r="I75" s="111"/>
      <c r="J75" s="111"/>
      <c r="K75" s="111"/>
      <c r="L75" s="114"/>
      <c r="M75" s="114"/>
      <c r="N75" s="114"/>
      <c r="O75" s="114"/>
      <c r="P75" s="114"/>
      <c r="Q75" s="83"/>
      <c r="R75" s="83"/>
      <c r="S75" s="83"/>
      <c r="T75" s="83"/>
      <c r="U75" s="83"/>
      <c r="V75" s="83"/>
      <c r="W75" s="83"/>
      <c r="X75" s="83"/>
      <c r="Y75" s="84"/>
      <c r="Z75" s="83"/>
      <c r="AA75" s="84"/>
      <c r="AB75" s="83"/>
    </row>
    <row r="76" spans="1:28" x14ac:dyDescent="0.25">
      <c r="B76" s="117"/>
      <c r="C76" s="120"/>
      <c r="D76" s="118"/>
      <c r="E76" s="111"/>
      <c r="F76" s="111"/>
      <c r="G76" s="111"/>
      <c r="H76" s="111"/>
      <c r="I76" s="111"/>
      <c r="J76" s="111"/>
      <c r="K76" s="111"/>
      <c r="L76" s="114"/>
      <c r="M76" s="114"/>
      <c r="N76" s="114"/>
      <c r="O76" s="114"/>
      <c r="P76" s="114"/>
      <c r="Q76" s="83"/>
      <c r="R76" s="83"/>
      <c r="S76" s="83"/>
      <c r="T76" s="83"/>
      <c r="U76" s="83"/>
      <c r="V76" s="83"/>
      <c r="W76" s="83"/>
      <c r="X76" s="83"/>
      <c r="Y76" s="84"/>
      <c r="Z76" s="83"/>
      <c r="AA76" s="84"/>
      <c r="AB76" s="83"/>
    </row>
    <row r="77" spans="1:28" x14ac:dyDescent="0.25">
      <c r="B77" s="117"/>
      <c r="C77" s="120"/>
      <c r="D77" s="118"/>
      <c r="E77" s="111"/>
      <c r="F77" s="111"/>
      <c r="G77" s="111"/>
      <c r="H77" s="111"/>
      <c r="I77" s="111"/>
      <c r="J77" s="111"/>
      <c r="K77" s="111"/>
      <c r="L77" s="114"/>
      <c r="M77" s="114"/>
      <c r="N77" s="114"/>
      <c r="O77" s="114"/>
      <c r="P77" s="114"/>
      <c r="Q77" s="83"/>
      <c r="R77" s="83"/>
      <c r="S77" s="83"/>
      <c r="T77" s="83"/>
      <c r="U77" s="83"/>
      <c r="V77" s="83"/>
      <c r="W77" s="83"/>
      <c r="X77" s="83"/>
      <c r="Y77" s="84"/>
      <c r="Z77" s="83"/>
      <c r="AA77" s="84"/>
      <c r="AB77" s="83"/>
    </row>
    <row r="78" spans="1:28" x14ac:dyDescent="0.25">
      <c r="B78" s="117"/>
      <c r="C78" s="120"/>
      <c r="D78" s="118"/>
      <c r="E78" s="111"/>
      <c r="F78" s="111"/>
      <c r="G78" s="111"/>
      <c r="H78" s="111"/>
      <c r="I78" s="111"/>
      <c r="J78" s="111"/>
      <c r="K78" s="111"/>
      <c r="L78" s="114"/>
      <c r="M78" s="114"/>
      <c r="N78" s="114"/>
      <c r="O78" s="114"/>
      <c r="P78" s="114"/>
      <c r="Q78" s="83"/>
      <c r="R78" s="83"/>
      <c r="S78" s="83"/>
      <c r="T78" s="83"/>
      <c r="U78" s="83"/>
      <c r="V78" s="83"/>
      <c r="W78" s="83"/>
      <c r="X78" s="83"/>
      <c r="Y78" s="84"/>
      <c r="Z78" s="83"/>
      <c r="AA78" s="84"/>
      <c r="AB78" s="83"/>
    </row>
    <row r="79" spans="1:28" x14ac:dyDescent="0.25">
      <c r="B79" s="117"/>
      <c r="C79" s="120"/>
      <c r="D79" s="118"/>
      <c r="E79" s="111"/>
      <c r="F79" s="111"/>
      <c r="G79" s="111"/>
      <c r="H79" s="111"/>
      <c r="I79" s="111"/>
      <c r="J79" s="111"/>
      <c r="K79" s="111"/>
      <c r="L79" s="114"/>
      <c r="M79" s="114"/>
      <c r="N79" s="114"/>
      <c r="O79" s="114"/>
      <c r="P79" s="114"/>
      <c r="Q79" s="83"/>
      <c r="R79" s="83"/>
      <c r="S79" s="83"/>
      <c r="T79" s="83"/>
      <c r="U79" s="83"/>
      <c r="V79" s="83"/>
      <c r="W79" s="83"/>
      <c r="X79" s="83"/>
      <c r="Y79" s="84"/>
      <c r="Z79" s="83"/>
      <c r="AA79" s="84"/>
      <c r="AB79" s="83"/>
    </row>
    <row r="80" spans="1:28" x14ac:dyDescent="0.25">
      <c r="B80" s="117"/>
      <c r="C80" s="120"/>
      <c r="D80" s="118"/>
      <c r="E80" s="111"/>
      <c r="F80" s="111"/>
      <c r="G80" s="111"/>
      <c r="H80" s="111"/>
      <c r="I80" s="111"/>
      <c r="J80" s="111"/>
      <c r="K80" s="111"/>
      <c r="L80" s="114"/>
      <c r="M80" s="114"/>
      <c r="N80" s="114"/>
      <c r="O80" s="114"/>
      <c r="P80" s="114"/>
      <c r="Q80" s="83"/>
      <c r="R80" s="83"/>
      <c r="S80" s="83"/>
      <c r="T80" s="83"/>
      <c r="U80" s="83"/>
      <c r="V80" s="83"/>
      <c r="W80" s="83"/>
      <c r="X80" s="83"/>
      <c r="Y80" s="84"/>
      <c r="Z80" s="83"/>
      <c r="AA80" s="84"/>
      <c r="AB80" s="83"/>
    </row>
    <row r="81" spans="2:28" ht="13.8" thickBot="1" x14ac:dyDescent="0.3">
      <c r="B81" s="117"/>
      <c r="C81" s="120"/>
      <c r="D81" s="121"/>
      <c r="E81" s="111"/>
      <c r="F81" s="111"/>
      <c r="G81" s="111"/>
      <c r="H81" s="114"/>
      <c r="I81" s="114"/>
      <c r="J81" s="114"/>
      <c r="K81" s="114"/>
      <c r="L81" s="114"/>
      <c r="M81" s="114"/>
      <c r="N81" s="114"/>
      <c r="O81" s="114"/>
      <c r="P81" s="114"/>
      <c r="Q81" s="83"/>
      <c r="R81" s="83"/>
      <c r="S81" s="83"/>
      <c r="T81" s="83"/>
      <c r="U81" s="83"/>
      <c r="V81" s="83"/>
      <c r="W81" s="83"/>
      <c r="X81" s="83"/>
      <c r="Y81" s="84"/>
      <c r="Z81" s="83"/>
      <c r="AA81" s="84"/>
      <c r="AB81" s="83"/>
    </row>
    <row r="82" spans="2:28" x14ac:dyDescent="0.25">
      <c r="B82" s="117"/>
      <c r="C82" s="120"/>
      <c r="D82" s="122"/>
      <c r="E82" s="111"/>
      <c r="F82" s="111"/>
      <c r="G82" s="111"/>
      <c r="H82" s="114"/>
      <c r="I82" s="114"/>
      <c r="J82" s="114"/>
      <c r="K82" s="114"/>
      <c r="L82" s="114"/>
      <c r="M82" s="114"/>
      <c r="N82" s="114"/>
      <c r="O82" s="114"/>
      <c r="P82" s="114"/>
      <c r="Q82" s="83"/>
      <c r="R82" s="83"/>
      <c r="S82" s="83"/>
      <c r="T82" s="83"/>
      <c r="U82" s="83"/>
      <c r="V82" s="83"/>
      <c r="W82" s="83"/>
      <c r="X82" s="83"/>
      <c r="Y82" s="84"/>
      <c r="Z82" s="83"/>
      <c r="AA82" s="84"/>
      <c r="AB82" s="83"/>
    </row>
    <row r="83" spans="2:28" ht="13.8" thickBot="1" x14ac:dyDescent="0.3">
      <c r="B83" s="117"/>
      <c r="C83" s="120"/>
      <c r="D83" s="123"/>
      <c r="E83" s="111"/>
      <c r="F83" s="111"/>
      <c r="G83" s="111"/>
      <c r="H83" s="114"/>
      <c r="I83" s="114"/>
      <c r="J83" s="114"/>
      <c r="K83" s="114"/>
      <c r="L83" s="114"/>
      <c r="M83" s="114"/>
      <c r="N83" s="114"/>
      <c r="O83" s="114"/>
      <c r="P83" s="114"/>
      <c r="Q83" s="83"/>
      <c r="R83" s="83"/>
      <c r="S83" s="83"/>
      <c r="T83" s="83"/>
      <c r="U83" s="83"/>
      <c r="V83" s="83"/>
      <c r="W83" s="83"/>
      <c r="X83" s="83"/>
      <c r="Y83" s="84"/>
      <c r="Z83" s="83"/>
      <c r="AA83" s="84"/>
      <c r="AB83" s="83"/>
    </row>
    <row r="84" spans="2:28" ht="13.8" thickBot="1" x14ac:dyDescent="0.3">
      <c r="B84" s="124"/>
      <c r="C84" s="125"/>
      <c r="D84" s="123"/>
      <c r="E84" s="111"/>
      <c r="F84" s="111"/>
      <c r="G84" s="111"/>
      <c r="H84" s="114"/>
      <c r="I84" s="114"/>
      <c r="J84" s="114"/>
      <c r="K84" s="114"/>
      <c r="L84" s="114"/>
      <c r="M84" s="114"/>
      <c r="N84" s="114"/>
      <c r="O84" s="114"/>
      <c r="P84" s="114"/>
      <c r="Q84" s="83"/>
      <c r="R84" s="83"/>
      <c r="S84" s="83"/>
      <c r="T84" s="83"/>
      <c r="U84" s="83"/>
      <c r="V84" s="83"/>
      <c r="W84" s="83"/>
      <c r="X84" s="83"/>
      <c r="Y84" s="84"/>
      <c r="Z84" s="83"/>
      <c r="AA84" s="84"/>
      <c r="AB84" s="83"/>
    </row>
    <row r="85" spans="2:28" x14ac:dyDescent="0.25">
      <c r="B85" s="124"/>
      <c r="C85" s="125"/>
      <c r="D85" s="126"/>
      <c r="E85" s="111"/>
      <c r="F85" s="111"/>
      <c r="G85" s="111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4"/>
      <c r="Z85" s="83"/>
      <c r="AA85" s="84"/>
      <c r="AB85" s="83"/>
    </row>
    <row r="86" spans="2:28" x14ac:dyDescent="0.25">
      <c r="B86" s="124"/>
      <c r="C86" s="125"/>
      <c r="D86" s="126"/>
      <c r="E86" s="111"/>
      <c r="F86" s="111"/>
      <c r="G86" s="111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4"/>
      <c r="Z86" s="83"/>
      <c r="AA86" s="84"/>
      <c r="AB86" s="83"/>
    </row>
    <row r="87" spans="2:28" x14ac:dyDescent="0.25">
      <c r="B87" s="124"/>
      <c r="C87" s="125"/>
      <c r="D87" s="126"/>
      <c r="E87" s="111"/>
      <c r="F87" s="111"/>
      <c r="G87" s="111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4"/>
      <c r="Z87" s="83"/>
      <c r="AA87" s="84"/>
      <c r="AB87" s="83"/>
    </row>
    <row r="88" spans="2:28" x14ac:dyDescent="0.25">
      <c r="B88" s="124"/>
      <c r="C88" s="125"/>
      <c r="D88" s="126"/>
      <c r="E88" s="111"/>
      <c r="F88" s="111"/>
      <c r="G88" s="111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4"/>
      <c r="Z88" s="83"/>
      <c r="AA88" s="84"/>
      <c r="AB88" s="83"/>
    </row>
    <row r="89" spans="2:28" x14ac:dyDescent="0.25">
      <c r="B89" s="124"/>
      <c r="C89" s="125"/>
      <c r="D89" s="126"/>
      <c r="E89" s="111"/>
      <c r="F89" s="111"/>
      <c r="G89" s="111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4"/>
      <c r="Z89" s="83"/>
      <c r="AA89" s="84"/>
      <c r="AB89" s="83"/>
    </row>
    <row r="90" spans="2:28" x14ac:dyDescent="0.25">
      <c r="B90" s="124"/>
      <c r="C90" s="125"/>
      <c r="D90" s="126"/>
      <c r="E90" s="111"/>
      <c r="F90" s="111"/>
      <c r="G90" s="111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4"/>
      <c r="Z90" s="83"/>
      <c r="AA90" s="84"/>
      <c r="AB90" s="83"/>
    </row>
    <row r="91" spans="2:28" x14ac:dyDescent="0.25">
      <c r="B91" s="124"/>
      <c r="C91" s="125"/>
      <c r="D91" s="126"/>
      <c r="E91" s="111"/>
      <c r="F91" s="111"/>
      <c r="G91" s="111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4"/>
      <c r="Z91" s="83"/>
      <c r="AA91" s="84"/>
      <c r="AB91" s="83"/>
    </row>
    <row r="92" spans="2:28" x14ac:dyDescent="0.25">
      <c r="B92" s="124"/>
      <c r="C92" s="125"/>
      <c r="D92" s="126"/>
      <c r="E92" s="111"/>
      <c r="F92" s="111"/>
      <c r="G92" s="111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4"/>
      <c r="Z92" s="83"/>
      <c r="AA92" s="84"/>
      <c r="AB92" s="83"/>
    </row>
    <row r="93" spans="2:28" x14ac:dyDescent="0.25">
      <c r="B93" s="124"/>
      <c r="C93" s="125"/>
      <c r="D93" s="126"/>
      <c r="E93" s="111"/>
      <c r="F93" s="111"/>
      <c r="G93" s="111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4"/>
      <c r="Z93" s="83"/>
      <c r="AA93" s="84"/>
      <c r="AB93" s="83"/>
    </row>
    <row r="94" spans="2:28" x14ac:dyDescent="0.25">
      <c r="B94" s="124"/>
      <c r="C94" s="125"/>
      <c r="D94" s="126"/>
      <c r="E94" s="111"/>
      <c r="F94" s="111"/>
      <c r="G94" s="111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4"/>
      <c r="Z94" s="83"/>
      <c r="AA94" s="84"/>
      <c r="AB94" s="83"/>
    </row>
    <row r="95" spans="2:28" x14ac:dyDescent="0.25">
      <c r="B95" s="124"/>
      <c r="C95" s="125"/>
      <c r="D95" s="126"/>
      <c r="E95" s="111"/>
      <c r="F95" s="111"/>
      <c r="G95" s="111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4"/>
      <c r="Z95" s="83"/>
      <c r="AA95" s="84"/>
      <c r="AB95" s="83"/>
    </row>
    <row r="96" spans="2:28" x14ac:dyDescent="0.25">
      <c r="B96" s="124"/>
      <c r="C96" s="125"/>
      <c r="D96" s="126"/>
      <c r="E96" s="111"/>
      <c r="F96" s="111"/>
      <c r="G96" s="111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4"/>
      <c r="Z96" s="83"/>
      <c r="AA96" s="84"/>
      <c r="AB96" s="83"/>
    </row>
    <row r="97" spans="2:28" x14ac:dyDescent="0.25">
      <c r="B97" s="124"/>
      <c r="C97" s="125"/>
      <c r="D97" s="126"/>
      <c r="E97" s="111"/>
      <c r="F97" s="111"/>
      <c r="G97" s="111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4"/>
      <c r="Z97" s="83"/>
      <c r="AA97" s="84"/>
      <c r="AB97" s="83"/>
    </row>
    <row r="98" spans="2:28" x14ac:dyDescent="0.25">
      <c r="B98" s="124"/>
      <c r="C98" s="125"/>
      <c r="D98" s="126"/>
      <c r="E98" s="111"/>
      <c r="F98" s="111"/>
      <c r="G98" s="111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4"/>
      <c r="Z98" s="83"/>
      <c r="AA98" s="84"/>
      <c r="AB98" s="83"/>
    </row>
    <row r="99" spans="2:28" x14ac:dyDescent="0.25">
      <c r="B99" s="124"/>
      <c r="C99" s="125"/>
      <c r="D99" s="126"/>
      <c r="E99" s="111"/>
      <c r="F99" s="111"/>
      <c r="G99" s="111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4"/>
      <c r="Z99" s="83"/>
      <c r="AA99" s="84"/>
      <c r="AB99" s="83"/>
    </row>
    <row r="100" spans="2:28" x14ac:dyDescent="0.25">
      <c r="B100" s="124"/>
      <c r="C100" s="125"/>
      <c r="D100" s="126"/>
      <c r="E100" s="111"/>
      <c r="F100" s="111"/>
      <c r="G100" s="111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4"/>
      <c r="Z100" s="83"/>
      <c r="AA100" s="84"/>
      <c r="AB100" s="83"/>
    </row>
    <row r="101" spans="2:28" x14ac:dyDescent="0.25">
      <c r="B101" s="124"/>
      <c r="C101" s="125"/>
      <c r="D101" s="126"/>
      <c r="E101" s="111"/>
      <c r="F101" s="111"/>
      <c r="G101" s="111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4"/>
      <c r="Z101" s="83"/>
      <c r="AA101" s="84"/>
      <c r="AB101" s="83"/>
    </row>
    <row r="102" spans="2:28" x14ac:dyDescent="0.25">
      <c r="B102" s="124"/>
      <c r="C102" s="125"/>
      <c r="D102" s="126"/>
      <c r="E102" s="111"/>
      <c r="F102" s="111"/>
      <c r="G102" s="111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4"/>
      <c r="Z102" s="83"/>
      <c r="AA102" s="84"/>
      <c r="AB102" s="83"/>
    </row>
    <row r="103" spans="2:28" x14ac:dyDescent="0.25">
      <c r="B103" s="124"/>
      <c r="C103" s="125"/>
      <c r="D103" s="126"/>
      <c r="E103" s="111"/>
      <c r="F103" s="111"/>
      <c r="G103" s="111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4"/>
      <c r="Z103" s="83"/>
      <c r="AA103" s="84"/>
      <c r="AB103" s="83"/>
    </row>
    <row r="104" spans="2:28" x14ac:dyDescent="0.25">
      <c r="B104" s="124"/>
      <c r="C104" s="125"/>
      <c r="D104" s="126"/>
      <c r="E104" s="111"/>
      <c r="F104" s="111"/>
      <c r="G104" s="111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4"/>
      <c r="Z104" s="83"/>
      <c r="AA104" s="84"/>
      <c r="AB104" s="83"/>
    </row>
    <row r="105" spans="2:28" x14ac:dyDescent="0.25">
      <c r="B105" s="124"/>
      <c r="C105" s="125"/>
      <c r="D105" s="126"/>
      <c r="E105" s="111"/>
      <c r="F105" s="111"/>
      <c r="G105" s="111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4"/>
      <c r="Z105" s="83"/>
      <c r="AA105" s="84"/>
      <c r="AB105" s="83"/>
    </row>
    <row r="106" spans="2:28" x14ac:dyDescent="0.25">
      <c r="B106" s="124"/>
      <c r="C106" s="125"/>
      <c r="D106" s="126"/>
      <c r="E106" s="111"/>
      <c r="F106" s="111"/>
      <c r="G106" s="111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4"/>
      <c r="Z106" s="83"/>
      <c r="AA106" s="84"/>
      <c r="AB106" s="83"/>
    </row>
    <row r="107" spans="2:28" x14ac:dyDescent="0.25">
      <c r="B107" s="124"/>
      <c r="C107" s="125"/>
      <c r="D107" s="126"/>
      <c r="E107" s="111"/>
      <c r="F107" s="111"/>
      <c r="G107" s="111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4"/>
      <c r="Z107" s="83"/>
      <c r="AA107" s="84"/>
      <c r="AB107" s="83"/>
    </row>
    <row r="108" spans="2:28" x14ac:dyDescent="0.25">
      <c r="B108" s="124"/>
      <c r="C108" s="125"/>
      <c r="D108" s="126"/>
      <c r="E108" s="111"/>
      <c r="F108" s="111"/>
      <c r="G108" s="111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4"/>
      <c r="Z108" s="83"/>
      <c r="AA108" s="84"/>
      <c r="AB108" s="83"/>
    </row>
    <row r="109" spans="2:28" x14ac:dyDescent="0.25">
      <c r="B109" s="124"/>
      <c r="C109" s="125"/>
      <c r="D109" s="126"/>
      <c r="E109" s="111"/>
      <c r="F109" s="111"/>
      <c r="G109" s="111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4"/>
      <c r="Z109" s="83"/>
      <c r="AA109" s="84"/>
      <c r="AB109" s="83"/>
    </row>
    <row r="110" spans="2:28" x14ac:dyDescent="0.25">
      <c r="B110" s="124"/>
      <c r="C110" s="125"/>
      <c r="D110" s="126"/>
      <c r="E110" s="111"/>
      <c r="F110" s="111"/>
      <c r="G110" s="111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4"/>
      <c r="Z110" s="83"/>
      <c r="AA110" s="84"/>
      <c r="AB110" s="83"/>
    </row>
    <row r="111" spans="2:28" x14ac:dyDescent="0.25">
      <c r="B111" s="124"/>
      <c r="C111" s="125"/>
      <c r="D111" s="126"/>
      <c r="E111" s="111"/>
      <c r="F111" s="111"/>
      <c r="G111" s="111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4"/>
      <c r="Z111" s="83"/>
      <c r="AA111" s="84"/>
      <c r="AB111" s="83"/>
    </row>
    <row r="112" spans="2:28" x14ac:dyDescent="0.25">
      <c r="B112" s="124"/>
      <c r="C112" s="125"/>
      <c r="D112" s="126"/>
      <c r="E112" s="111"/>
      <c r="F112" s="111"/>
      <c r="G112" s="111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4"/>
      <c r="Z112" s="83"/>
      <c r="AA112" s="84"/>
      <c r="AB112" s="83"/>
    </row>
    <row r="113" spans="2:28" x14ac:dyDescent="0.25">
      <c r="B113" s="124"/>
      <c r="C113" s="125"/>
      <c r="D113" s="126"/>
      <c r="E113" s="111"/>
      <c r="F113" s="111"/>
      <c r="G113" s="111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4"/>
      <c r="Z113" s="83"/>
      <c r="AA113" s="84"/>
      <c r="AB113" s="83"/>
    </row>
    <row r="114" spans="2:28" x14ac:dyDescent="0.25">
      <c r="B114" s="124"/>
      <c r="C114" s="125"/>
      <c r="D114" s="126"/>
      <c r="E114" s="111"/>
      <c r="F114" s="111"/>
      <c r="G114" s="111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4"/>
      <c r="Z114" s="83"/>
      <c r="AA114" s="84"/>
      <c r="AB114" s="83"/>
    </row>
    <row r="115" spans="2:28" x14ac:dyDescent="0.25">
      <c r="B115" s="127"/>
      <c r="C115" s="135"/>
      <c r="D115" s="126"/>
      <c r="E115" s="111"/>
      <c r="F115" s="111"/>
      <c r="G115" s="111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4"/>
      <c r="Z115" s="83"/>
      <c r="AA115" s="84"/>
      <c r="AB115" s="83"/>
    </row>
    <row r="116" spans="2:28" x14ac:dyDescent="0.25">
      <c r="B116" s="127"/>
      <c r="C116" s="135"/>
      <c r="D116" s="126"/>
      <c r="E116" s="111"/>
      <c r="F116" s="111"/>
      <c r="G116" s="111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4"/>
      <c r="Z116" s="83"/>
      <c r="AA116" s="84"/>
      <c r="AB116" s="83"/>
    </row>
    <row r="117" spans="2:28" x14ac:dyDescent="0.25">
      <c r="B117" s="127"/>
      <c r="C117" s="135"/>
      <c r="D117" s="126"/>
      <c r="E117" s="111"/>
      <c r="F117" s="111"/>
      <c r="G117" s="111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4"/>
      <c r="Z117" s="83"/>
      <c r="AA117" s="84"/>
      <c r="AB117" s="83"/>
    </row>
    <row r="118" spans="2:28" x14ac:dyDescent="0.25">
      <c r="B118" s="127"/>
      <c r="C118" s="135"/>
      <c r="D118" s="126"/>
      <c r="E118" s="111"/>
      <c r="F118" s="111"/>
      <c r="G118" s="111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4"/>
      <c r="Z118" s="83"/>
      <c r="AA118" s="84"/>
      <c r="AB118" s="83"/>
    </row>
    <row r="119" spans="2:28" x14ac:dyDescent="0.25">
      <c r="B119" s="127"/>
      <c r="C119" s="135"/>
      <c r="D119" s="126"/>
      <c r="E119" s="111"/>
      <c r="F119" s="111"/>
      <c r="G119" s="111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4"/>
      <c r="Z119" s="83"/>
      <c r="AA119" s="84"/>
      <c r="AB119" s="83"/>
    </row>
    <row r="120" spans="2:28" x14ac:dyDescent="0.25">
      <c r="B120" s="127"/>
      <c r="C120" s="135"/>
      <c r="D120" s="126"/>
      <c r="E120" s="111"/>
      <c r="F120" s="111"/>
      <c r="G120" s="111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4"/>
      <c r="Z120" s="83"/>
      <c r="AA120" s="84"/>
      <c r="AB120" s="83"/>
    </row>
    <row r="121" spans="2:28" x14ac:dyDescent="0.25">
      <c r="B121" s="127"/>
      <c r="C121" s="135"/>
      <c r="D121" s="126"/>
      <c r="E121" s="111"/>
      <c r="F121" s="111"/>
      <c r="G121" s="111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4"/>
      <c r="Z121" s="83"/>
      <c r="AA121" s="84"/>
      <c r="AB121" s="83"/>
    </row>
    <row r="122" spans="2:28" x14ac:dyDescent="0.25">
      <c r="B122" s="127"/>
      <c r="C122" s="135"/>
      <c r="D122" s="126"/>
      <c r="E122" s="111"/>
      <c r="F122" s="111"/>
      <c r="G122" s="111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4"/>
      <c r="Z122" s="83"/>
      <c r="AA122" s="84"/>
      <c r="AB122" s="83"/>
    </row>
    <row r="123" spans="2:28" x14ac:dyDescent="0.25">
      <c r="B123" s="127"/>
      <c r="C123" s="135"/>
      <c r="D123" s="126"/>
      <c r="E123" s="111"/>
      <c r="F123" s="111"/>
      <c r="G123" s="111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4"/>
      <c r="Z123" s="83"/>
      <c r="AA123" s="84"/>
      <c r="AB123" s="83"/>
    </row>
    <row r="124" spans="2:28" x14ac:dyDescent="0.25">
      <c r="B124" s="127"/>
      <c r="C124" s="135"/>
      <c r="D124" s="126"/>
      <c r="E124" s="111"/>
      <c r="F124" s="111"/>
      <c r="G124" s="111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4"/>
      <c r="Z124" s="83"/>
      <c r="AA124" s="84"/>
      <c r="AB124" s="83"/>
    </row>
    <row r="125" spans="2:28" x14ac:dyDescent="0.25">
      <c r="B125" s="127"/>
      <c r="C125" s="135"/>
      <c r="D125" s="126"/>
      <c r="E125" s="111"/>
      <c r="F125" s="111"/>
      <c r="G125" s="111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4"/>
      <c r="Z125" s="83"/>
      <c r="AA125" s="84"/>
      <c r="AB125" s="83"/>
    </row>
    <row r="126" spans="2:28" x14ac:dyDescent="0.25">
      <c r="B126" s="127"/>
      <c r="C126" s="135"/>
      <c r="D126" s="126"/>
      <c r="E126" s="111"/>
      <c r="F126" s="111"/>
      <c r="G126" s="111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4"/>
      <c r="Z126" s="83"/>
      <c r="AA126" s="84"/>
      <c r="AB126" s="83"/>
    </row>
    <row r="127" spans="2:28" x14ac:dyDescent="0.25">
      <c r="B127" s="127"/>
      <c r="C127" s="135"/>
      <c r="D127" s="126"/>
      <c r="E127" s="111"/>
      <c r="F127" s="111"/>
      <c r="G127" s="111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4"/>
      <c r="Z127" s="83"/>
      <c r="AA127" s="84"/>
      <c r="AB127" s="8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B523"/>
  <sheetViews>
    <sheetView workbookViewId="0">
      <pane xSplit="2" ySplit="17" topLeftCell="C18" activePane="bottomRight" state="frozen"/>
      <selection pane="topRight" activeCell="C1" sqref="C1"/>
      <selection pane="bottomLeft" activeCell="A9" sqref="A9"/>
      <selection pane="bottomRight" activeCell="F11" sqref="F11"/>
    </sheetView>
  </sheetViews>
  <sheetFormatPr defaultRowHeight="13.2" x14ac:dyDescent="0.25"/>
  <cols>
    <col min="1" max="1" width="9.6640625" style="57" customWidth="1"/>
    <col min="2" max="3" width="8.6640625" style="57" customWidth="1"/>
    <col min="4" max="4" width="12.6640625" style="57" customWidth="1"/>
    <col min="5" max="5" width="8.6640625" style="57" customWidth="1"/>
    <col min="6" max="10" width="12.6640625" style="57" customWidth="1"/>
    <col min="11" max="11" width="7.6640625" style="57" customWidth="1"/>
    <col min="12" max="12" width="12" style="57" bestFit="1" customWidth="1"/>
    <col min="13" max="22" width="12.6640625" style="57" customWidth="1"/>
    <col min="23" max="23" width="8.6640625" style="57" customWidth="1"/>
    <col min="24" max="25" width="10.6640625" style="57" customWidth="1"/>
    <col min="26" max="26" width="8.6640625" style="57" customWidth="1"/>
    <col min="27" max="27" width="12" style="57" customWidth="1"/>
    <col min="28" max="54" width="9.109375" style="57" customWidth="1"/>
  </cols>
  <sheetData>
    <row r="1" spans="1:28" x14ac:dyDescent="0.25">
      <c r="A1" s="56" t="s">
        <v>200</v>
      </c>
      <c r="C1" s="57" t="s">
        <v>241</v>
      </c>
      <c r="D1" s="56"/>
      <c r="E1" s="62" t="s">
        <v>161</v>
      </c>
      <c r="F1" s="62" t="s">
        <v>176</v>
      </c>
      <c r="G1" s="144" t="s">
        <v>177</v>
      </c>
      <c r="H1" s="62" t="s">
        <v>178</v>
      </c>
      <c r="I1" s="160" t="s">
        <v>95</v>
      </c>
      <c r="J1" s="57" t="s">
        <v>237</v>
      </c>
      <c r="K1" s="57" t="s">
        <v>240</v>
      </c>
      <c r="X1" s="59"/>
      <c r="Y1" s="56" t="s">
        <v>18</v>
      </c>
      <c r="Z1" s="60"/>
      <c r="AA1" s="60"/>
      <c r="AB1" s="60"/>
    </row>
    <row r="2" spans="1:28" x14ac:dyDescent="0.25">
      <c r="A2" s="56"/>
      <c r="D2" s="62" t="s">
        <v>223</v>
      </c>
      <c r="E2" s="160" t="s">
        <v>98</v>
      </c>
      <c r="F2" s="160" t="s">
        <v>98</v>
      </c>
      <c r="G2" s="160" t="s">
        <v>74</v>
      </c>
      <c r="H2" s="160" t="s">
        <v>95</v>
      </c>
      <c r="I2" s="160" t="s">
        <v>78</v>
      </c>
      <c r="J2" s="61"/>
      <c r="W2" s="129">
        <v>1.5</v>
      </c>
      <c r="Z2" s="62"/>
      <c r="AA2" s="62"/>
      <c r="AB2" s="62"/>
    </row>
    <row r="3" spans="1:28" x14ac:dyDescent="0.25">
      <c r="A3" s="56" t="s">
        <v>59</v>
      </c>
      <c r="C3" s="57" t="s">
        <v>174</v>
      </c>
      <c r="D3" s="71" t="s">
        <v>224</v>
      </c>
      <c r="E3" s="230">
        <v>36982</v>
      </c>
      <c r="F3" s="230">
        <v>36982</v>
      </c>
      <c r="G3" s="230">
        <v>36831</v>
      </c>
      <c r="H3" s="230">
        <v>37196</v>
      </c>
      <c r="I3" s="160" t="s">
        <v>98</v>
      </c>
      <c r="K3" s="57" t="s">
        <v>133</v>
      </c>
      <c r="L3" s="61" t="s">
        <v>173</v>
      </c>
      <c r="W3" s="129"/>
      <c r="Z3" s="62"/>
      <c r="AA3" s="62"/>
      <c r="AB3" s="62"/>
    </row>
    <row r="4" spans="1:28" ht="13.8" thickBot="1" x14ac:dyDescent="0.3">
      <c r="A4" s="56" t="s">
        <v>146</v>
      </c>
      <c r="B4" s="155">
        <f>AVERAGE(F18:F19)</f>
        <v>4.8109999999999999</v>
      </c>
      <c r="C4" s="155">
        <f>D18</f>
        <v>4.782</v>
      </c>
      <c r="D4" s="71" t="s">
        <v>225</v>
      </c>
      <c r="E4" s="230">
        <v>37316</v>
      </c>
      <c r="F4" s="230">
        <v>37681</v>
      </c>
      <c r="G4" s="230">
        <v>36951</v>
      </c>
      <c r="H4" s="230">
        <v>37316</v>
      </c>
      <c r="I4" s="160" t="s">
        <v>70</v>
      </c>
      <c r="K4"/>
      <c r="L4"/>
      <c r="M4"/>
      <c r="N4"/>
      <c r="O4"/>
      <c r="W4" s="129"/>
      <c r="Z4" s="62"/>
      <c r="AA4" s="62"/>
      <c r="AB4" s="62"/>
    </row>
    <row r="5" spans="1:28" ht="13.8" thickTop="1" x14ac:dyDescent="0.25">
      <c r="A5" s="56" t="s">
        <v>58</v>
      </c>
      <c r="B5" s="155">
        <f>AVERAGE(F20:F24)</f>
        <v>4.5419999999999998</v>
      </c>
      <c r="C5" s="155">
        <f>AVERAGE(D19:D23)</f>
        <v>4.6989999999999998</v>
      </c>
      <c r="D5" s="71" t="s">
        <v>61</v>
      </c>
      <c r="E5" s="248">
        <f>'opt calc'!$B9</f>
        <v>3.9583452054794517</v>
      </c>
      <c r="F5" s="248">
        <f>'opt calc'!$D9</f>
        <v>3.7122246575342461</v>
      </c>
      <c r="G5" s="248">
        <f>'opt calc'!$F9</f>
        <v>4.7004304635761587</v>
      </c>
      <c r="H5" s="248">
        <f>'opt calc'!$H9</f>
        <v>3.9395430463576164</v>
      </c>
      <c r="I5" s="160" t="s">
        <v>100</v>
      </c>
      <c r="K5" s="57" t="s">
        <v>222</v>
      </c>
      <c r="L5" s="191">
        <v>4.8099999999999996</v>
      </c>
      <c r="M5" s="190">
        <f>D18</f>
        <v>4.782</v>
      </c>
      <c r="N5" s="190">
        <f t="shared" ref="N5:N11" si="0">IF(L5&gt;0,O5,0)</f>
        <v>2.7999999999999581E-2</v>
      </c>
      <c r="O5" s="190">
        <f>L5-M5</f>
        <v>2.7999999999999581E-2</v>
      </c>
      <c r="W5" s="129"/>
      <c r="Z5" s="62"/>
      <c r="AA5" s="62"/>
      <c r="AB5" s="62"/>
    </row>
    <row r="6" spans="1:28" ht="13.8" thickBot="1" x14ac:dyDescent="0.3">
      <c r="A6" s="57" t="s">
        <v>132</v>
      </c>
      <c r="B6" s="155">
        <f>AVERAGE(F26:F32)</f>
        <v>3.9464285714285721</v>
      </c>
      <c r="C6" s="155">
        <f>AVERAGE(D24:D30)</f>
        <v>3.9378571428571427</v>
      </c>
      <c r="D6" s="62" t="s">
        <v>36</v>
      </c>
      <c r="E6" s="245">
        <f>'opt calc'!$B11</f>
        <v>-0.3920890410958906</v>
      </c>
      <c r="F6" s="245">
        <f>'opt calc'!$D11</f>
        <v>-0.30863356164383626</v>
      </c>
      <c r="G6" s="245">
        <f>'opt calc'!$F11</f>
        <v>0.21718543046357563</v>
      </c>
      <c r="H6" s="245">
        <f>'opt calc'!$H11</f>
        <v>-5.2615894039735434E-2</v>
      </c>
      <c r="I6" s="160" t="s">
        <v>76</v>
      </c>
      <c r="K6" s="57" t="s">
        <v>58</v>
      </c>
      <c r="L6" s="191">
        <v>4.7350000000000003</v>
      </c>
      <c r="M6" s="190">
        <f>C5</f>
        <v>4.6989999999999998</v>
      </c>
      <c r="N6" s="190">
        <f t="shared" si="0"/>
        <v>3.6000000000000476E-2</v>
      </c>
      <c r="O6" s="190">
        <f t="shared" ref="O6:O11" si="1">L6-M6</f>
        <v>3.6000000000000476E-2</v>
      </c>
      <c r="W6" s="129"/>
      <c r="Z6" s="62"/>
      <c r="AA6" s="62"/>
      <c r="AB6" s="62"/>
    </row>
    <row r="7" spans="1:28" ht="13.8" thickTop="1" x14ac:dyDescent="0.25">
      <c r="A7" s="57" t="s">
        <v>190</v>
      </c>
      <c r="B7" s="155">
        <f>AVERAGE(F33:F37)</f>
        <v>3.7214</v>
      </c>
      <c r="C7" s="155">
        <f>AVERAGE(D31:D35)</f>
        <v>3.9386000000000001</v>
      </c>
      <c r="D7" s="155" t="s">
        <v>56</v>
      </c>
      <c r="E7" s="247">
        <v>0.02</v>
      </c>
      <c r="F7" s="247">
        <v>0.01</v>
      </c>
      <c r="G7" s="247">
        <v>0</v>
      </c>
      <c r="H7" s="247">
        <v>0</v>
      </c>
      <c r="I7" s="160" t="s">
        <v>106</v>
      </c>
      <c r="K7" s="56" t="s">
        <v>147</v>
      </c>
      <c r="L7" s="191">
        <v>3.97</v>
      </c>
      <c r="M7" s="190">
        <f>C6</f>
        <v>3.9378571428571427</v>
      </c>
      <c r="N7" s="190">
        <f t="shared" si="0"/>
        <v>3.2142857142857473E-2</v>
      </c>
      <c r="O7" s="190">
        <f t="shared" si="1"/>
        <v>3.2142857142857473E-2</v>
      </c>
      <c r="W7" s="129"/>
      <c r="Z7" s="62"/>
      <c r="AA7" s="62"/>
      <c r="AB7" s="62"/>
    </row>
    <row r="8" spans="1:28" x14ac:dyDescent="0.25">
      <c r="A8" s="56" t="s">
        <v>127</v>
      </c>
      <c r="B8" s="155">
        <f>AVERAGE(F22:F33)</f>
        <v>4.0475000000000003</v>
      </c>
      <c r="C8" s="155">
        <f>AVERAGE(D21:D32)</f>
        <v>4.114583333333333</v>
      </c>
      <c r="D8" s="57" t="s">
        <v>57</v>
      </c>
      <c r="E8" s="244">
        <v>0</v>
      </c>
      <c r="F8" s="244">
        <v>0</v>
      </c>
      <c r="G8" s="244">
        <v>0</v>
      </c>
      <c r="H8" s="244">
        <v>0</v>
      </c>
      <c r="I8" s="160" t="s">
        <v>74</v>
      </c>
      <c r="K8" s="56" t="s">
        <v>148</v>
      </c>
      <c r="L8" s="191">
        <f>L7-0.02</f>
        <v>3.95</v>
      </c>
      <c r="M8" s="190">
        <f>C7</f>
        <v>3.9386000000000001</v>
      </c>
      <c r="N8" s="190">
        <f t="shared" si="0"/>
        <v>1.1400000000000077E-2</v>
      </c>
      <c r="O8" s="190">
        <f t="shared" si="1"/>
        <v>1.1400000000000077E-2</v>
      </c>
      <c r="W8" s="129"/>
      <c r="Z8" s="62"/>
      <c r="AA8" s="62"/>
      <c r="AB8" s="62"/>
    </row>
    <row r="9" spans="1:28" x14ac:dyDescent="0.25">
      <c r="A9" s="56" t="s">
        <v>128</v>
      </c>
      <c r="B9" s="155">
        <f>AVERAGE(F35:F46)</f>
        <v>3.5010833333333333</v>
      </c>
      <c r="C9" s="155">
        <f>AVERAGE(D33:D44)</f>
        <v>3.5725000000000002</v>
      </c>
      <c r="D9" s="57" t="s">
        <v>129</v>
      </c>
      <c r="E9" s="225">
        <v>1</v>
      </c>
      <c r="F9" s="225">
        <v>1</v>
      </c>
      <c r="G9" s="225">
        <v>1</v>
      </c>
      <c r="H9" s="225">
        <v>1</v>
      </c>
      <c r="I9" s="160" t="s">
        <v>94</v>
      </c>
      <c r="K9" s="56" t="s">
        <v>149</v>
      </c>
      <c r="L9" s="191">
        <f>L8-0.3</f>
        <v>3.6500000000000004</v>
      </c>
      <c r="M9" s="190">
        <f>C9</f>
        <v>3.5725000000000002</v>
      </c>
      <c r="N9" s="190">
        <f t="shared" si="0"/>
        <v>7.7500000000000124E-2</v>
      </c>
      <c r="O9" s="190">
        <f t="shared" si="1"/>
        <v>7.7500000000000124E-2</v>
      </c>
      <c r="W9" s="129"/>
      <c r="Z9" s="62"/>
      <c r="AA9" s="62"/>
      <c r="AB9" s="62"/>
    </row>
    <row r="10" spans="1:28" x14ac:dyDescent="0.25">
      <c r="A10" s="56" t="s">
        <v>130</v>
      </c>
      <c r="B10" s="155">
        <f>AVERAGE(F47:F58)</f>
        <v>3.2171666666666661</v>
      </c>
      <c r="C10" s="155">
        <f>AVERAGE(D45:D56)</f>
        <v>3.2381666666666664</v>
      </c>
      <c r="D10" s="57" t="s">
        <v>126</v>
      </c>
      <c r="E10" s="225">
        <v>1</v>
      </c>
      <c r="F10" s="225">
        <v>1</v>
      </c>
      <c r="G10" s="225">
        <v>3</v>
      </c>
      <c r="H10" s="225">
        <v>2</v>
      </c>
      <c r="I10" s="160" t="s">
        <v>97</v>
      </c>
      <c r="K10" s="56" t="s">
        <v>150</v>
      </c>
      <c r="L10" s="191">
        <f>C10</f>
        <v>3.2381666666666664</v>
      </c>
      <c r="M10" s="190">
        <f>C10</f>
        <v>3.2381666666666664</v>
      </c>
      <c r="N10" s="190">
        <f t="shared" si="0"/>
        <v>0</v>
      </c>
      <c r="O10" s="190">
        <f t="shared" si="1"/>
        <v>0</v>
      </c>
      <c r="W10" s="129"/>
      <c r="Z10" s="62"/>
      <c r="AA10" s="62"/>
      <c r="AB10" s="62"/>
    </row>
    <row r="11" spans="1:28" ht="13.8" thickBot="1" x14ac:dyDescent="0.3">
      <c r="A11" s="56" t="s">
        <v>131</v>
      </c>
      <c r="B11" s="155">
        <f>AVERAGE(F59:F70)</f>
        <v>3.1088333333333331</v>
      </c>
      <c r="C11" s="155">
        <f>AVERAGE(D57:D68)</f>
        <v>3.1181666666666672</v>
      </c>
      <c r="D11" s="57" t="s">
        <v>119</v>
      </c>
      <c r="E11" s="255">
        <v>5</v>
      </c>
      <c r="F11" s="255">
        <v>5</v>
      </c>
      <c r="G11" s="255">
        <v>4.95</v>
      </c>
      <c r="H11" s="255">
        <v>3.98</v>
      </c>
      <c r="I11" s="160" t="s">
        <v>66</v>
      </c>
      <c r="K11" s="56" t="s">
        <v>151</v>
      </c>
      <c r="L11" s="191">
        <f>C11</f>
        <v>3.1181666666666672</v>
      </c>
      <c r="M11" s="190">
        <f>C11</f>
        <v>3.1181666666666672</v>
      </c>
      <c r="N11" s="190">
        <f t="shared" si="0"/>
        <v>0</v>
      </c>
      <c r="O11" s="190">
        <f t="shared" si="1"/>
        <v>0</v>
      </c>
      <c r="W11" s="129"/>
      <c r="Z11" s="62"/>
      <c r="AA11" s="62"/>
      <c r="AB11" s="62"/>
    </row>
    <row r="12" spans="1:28" ht="13.8" thickTop="1" x14ac:dyDescent="0.25">
      <c r="A12" s="56"/>
      <c r="B12" s="155"/>
      <c r="C12" s="155"/>
      <c r="D12" s="57" t="s">
        <v>38</v>
      </c>
      <c r="E12" s="155">
        <f ca="1">'opt calc'!$B21</f>
        <v>0.19826123091689571</v>
      </c>
      <c r="F12" s="155">
        <f ca="1">'opt calc'!$D21</f>
        <v>0.17278503206896567</v>
      </c>
      <c r="G12" s="155">
        <f ca="1">'opt calc'!$F21</f>
        <v>1.2343560791547181</v>
      </c>
      <c r="H12" s="155">
        <f ca="1">'opt calc'!$H21</f>
        <v>0.70165775045249656</v>
      </c>
      <c r="I12" s="160" t="s">
        <v>96</v>
      </c>
      <c r="K12" s="56"/>
      <c r="L12" s="243"/>
      <c r="M12" s="190"/>
      <c r="N12" s="190"/>
      <c r="O12" s="190"/>
      <c r="W12" s="129"/>
      <c r="Z12" s="62"/>
      <c r="AA12" s="62"/>
      <c r="AB12" s="62"/>
    </row>
    <row r="13" spans="1:28" x14ac:dyDescent="0.25">
      <c r="A13" s="56"/>
      <c r="B13" s="155"/>
      <c r="C13" s="155"/>
      <c r="D13" s="57" t="s">
        <v>29</v>
      </c>
      <c r="E13" s="246">
        <f ca="1">'opt calc'!$B22</f>
        <v>0.25122193858389774</v>
      </c>
      <c r="F13" s="246">
        <f ca="1">'opt calc'!$D22</f>
        <v>0.22808556351233444</v>
      </c>
      <c r="G13" s="246">
        <f ca="1">'opt calc'!$F22</f>
        <v>0.11894330699359927</v>
      </c>
      <c r="H13" s="246">
        <f ca="1">'opt calc'!$H22</f>
        <v>-0.39143531530385617</v>
      </c>
      <c r="I13" s="160" t="s">
        <v>87</v>
      </c>
      <c r="K13" s="56"/>
      <c r="L13" s="243"/>
      <c r="M13" s="190"/>
      <c r="N13" s="190"/>
      <c r="O13" s="190"/>
      <c r="W13" s="129"/>
      <c r="Z13" s="62"/>
      <c r="AA13" s="62"/>
      <c r="AB13" s="62"/>
    </row>
    <row r="14" spans="1:28" x14ac:dyDescent="0.25">
      <c r="A14" s="56"/>
      <c r="B14" s="155"/>
      <c r="C14" s="155"/>
      <c r="D14" s="57" t="s">
        <v>34</v>
      </c>
      <c r="E14" s="155">
        <f ca="1">'opt calc'!$B23</f>
        <v>1.1087525135971261E-2</v>
      </c>
      <c r="F14" s="155">
        <f ca="1">'opt calc'!$D23</f>
        <v>1.1790674840562763E-2</v>
      </c>
      <c r="G14" s="155">
        <f ca="1">'opt calc'!$F23</f>
        <v>2.0962088454868369E-2</v>
      </c>
      <c r="H14" s="155">
        <f ca="1">'opt calc'!$H23</f>
        <v>1.5948502284174468E-2</v>
      </c>
      <c r="I14" s="160" t="s">
        <v>86</v>
      </c>
      <c r="K14" s="56">
        <f>SQRT(255)</f>
        <v>15.968719422671311</v>
      </c>
      <c r="L14" s="243">
        <f>(I18/K14)*F18</f>
        <v>0.16170864623833597</v>
      </c>
      <c r="M14" s="190"/>
      <c r="N14" s="190"/>
      <c r="O14" s="190"/>
      <c r="W14" s="129"/>
      <c r="Z14" s="62"/>
      <c r="AA14" s="62"/>
      <c r="AB14" s="62"/>
    </row>
    <row r="15" spans="1:28" x14ac:dyDescent="0.25">
      <c r="A15" s="56"/>
      <c r="B15" s="155"/>
      <c r="C15" s="155"/>
      <c r="E15" s="155">
        <f ca="1">E12-F12</f>
        <v>2.5476198847930037E-2</v>
      </c>
      <c r="F15" s="249"/>
      <c r="G15" s="155">
        <f ca="1">G12-H12</f>
        <v>0.53269832870222156</v>
      </c>
      <c r="H15" s="141"/>
      <c r="I15" s="160" t="s">
        <v>217</v>
      </c>
      <c r="J15" s="160" t="s">
        <v>62</v>
      </c>
      <c r="K15" s="56"/>
      <c r="L15" s="243"/>
      <c r="M15" s="190"/>
      <c r="N15" s="190"/>
      <c r="O15" s="190"/>
      <c r="W15" s="129"/>
      <c r="Z15" s="62"/>
      <c r="AA15" s="62"/>
      <c r="AB15" s="62"/>
    </row>
    <row r="16" spans="1:28" x14ac:dyDescent="0.25">
      <c r="A16" s="55"/>
      <c r="B16" s="55"/>
      <c r="E16" s="57">
        <f ca="1">((E15*-30)+(G15*-9))/39</f>
        <v>-0.14252745958353577</v>
      </c>
      <c r="G16" s="63" t="s">
        <v>23</v>
      </c>
      <c r="H16" s="142"/>
      <c r="I16" s="160" t="s">
        <v>94</v>
      </c>
      <c r="J16" s="160" t="s">
        <v>102</v>
      </c>
      <c r="O16" s="57" t="s">
        <v>98</v>
      </c>
      <c r="W16" s="130">
        <f>W2</f>
        <v>1.5</v>
      </c>
      <c r="Z16" s="62"/>
      <c r="AA16" s="62"/>
      <c r="AB16" s="62"/>
    </row>
    <row r="17" spans="1:27" ht="13.8" thickBot="1" x14ac:dyDescent="0.3">
      <c r="A17" s="64"/>
      <c r="B17" s="65" t="s">
        <v>24</v>
      </c>
      <c r="C17" s="65" t="s">
        <v>19</v>
      </c>
      <c r="D17" s="65" t="s">
        <v>23</v>
      </c>
      <c r="E17" s="65" t="s">
        <v>32</v>
      </c>
      <c r="F17" s="65" t="s">
        <v>31</v>
      </c>
      <c r="G17" s="65" t="s">
        <v>22</v>
      </c>
      <c r="H17" s="143" t="s">
        <v>226</v>
      </c>
      <c r="I17" s="65" t="s">
        <v>22</v>
      </c>
      <c r="J17" s="56" t="s">
        <v>134</v>
      </c>
      <c r="L17" s="65" t="s">
        <v>20</v>
      </c>
      <c r="M17" s="59" t="s">
        <v>21</v>
      </c>
      <c r="O17" s="57" t="s">
        <v>36</v>
      </c>
      <c r="P17" s="57" t="s">
        <v>133</v>
      </c>
      <c r="Q17" s="57" t="s">
        <v>40</v>
      </c>
      <c r="S17" s="57" t="s">
        <v>57</v>
      </c>
      <c r="T17" s="57" t="s">
        <v>134</v>
      </c>
      <c r="Z17" s="62"/>
      <c r="AA17" s="62"/>
    </row>
    <row r="18" spans="1:27" x14ac:dyDescent="0.25">
      <c r="A18" s="55">
        <v>1</v>
      </c>
      <c r="B18" s="66">
        <v>36800</v>
      </c>
      <c r="C18" s="55">
        <f t="shared" ref="C18:C52" si="2">IF(TSETTLE="SETTLE",Z18,AA18)</f>
        <v>4.8449999999999998</v>
      </c>
      <c r="D18" s="55">
        <f t="shared" ref="D18:D81" si="3">VLOOKUP($B18,curvesettle,2,FALSE)</f>
        <v>4.782</v>
      </c>
      <c r="E18" s="189">
        <f>N$5</f>
        <v>2.7999999999999581E-2</v>
      </c>
      <c r="F18" s="55">
        <f>IF(C$1="settle",D18,IF(C$1="EOL",D18+E18,IF(C18=0,D18,C18)))</f>
        <v>4.782</v>
      </c>
      <c r="G18" s="68">
        <f t="shared" ref="G18:G81" si="4">VLOOKUP($B18,curvesettle,3,FALSE)</f>
        <v>0.54</v>
      </c>
      <c r="H18" s="68">
        <v>0</v>
      </c>
      <c r="I18" s="68">
        <f>G18+H18</f>
        <v>0.54</v>
      </c>
      <c r="J18" s="67">
        <f ca="1">bsd(1,3,$F18,$F18,$L18-TODAY()+2,$I18,$M18,W18/2)</f>
        <v>0.56716204075208942</v>
      </c>
      <c r="K18" s="57">
        <f t="shared" ref="K18:K49" si="5">A18</f>
        <v>1</v>
      </c>
      <c r="L18" s="69">
        <f t="shared" ref="L18:L49" si="6">VLOOKUP(B18,expiration,3,FALSE)</f>
        <v>36795</v>
      </c>
      <c r="M18" s="59">
        <f t="shared" ref="M18:M81" si="7">VLOOKUP($B18,curvesettle,4,FALSE)</f>
        <v>6.7998663678555019E-2</v>
      </c>
      <c r="O18" s="102">
        <f t="shared" ref="O18:O40" si="8">VLOOKUP(B18,curvesettle,HLOOKUP($O$16,curvesettle,2,FALSE))</f>
        <v>-0.91749999999999998</v>
      </c>
      <c r="P18" s="57">
        <v>-1.4999999999999999E-2</v>
      </c>
      <c r="Q18" s="155">
        <f t="shared" ref="Q18:Q28" si="9">P18+O18+F18</f>
        <v>3.8494999999999999</v>
      </c>
      <c r="R18" s="155">
        <v>2.87</v>
      </c>
      <c r="S18" s="68">
        <v>-0.01</v>
      </c>
      <c r="T18" s="67">
        <f t="shared" ref="T18:T28" ca="1" si="10">bsd(1,3,$Q18,$R18,$L18-TODAY()+1,$I18+S18,$M18,AD18/2)</f>
        <v>0.98189832387490539</v>
      </c>
      <c r="U18" s="67">
        <f t="shared" ref="U18:U28" ca="1" si="11">bsd(1,3,$Q18,$R18,$L18-TODAY()+1,$I18,$M18,AE18/2)</f>
        <v>0.98283280026712538</v>
      </c>
      <c r="V18" s="67">
        <f ca="1">bsd(2,3,$Q18,$Q18,$L18-TODAY()+1,$I18,$M18,AF18/2)</f>
        <v>5.8245962164638732E-2</v>
      </c>
      <c r="Z18" s="55">
        <f>[2]!'NGc1 cls'</f>
        <v>4.8010000000000002</v>
      </c>
      <c r="AA18" s="55">
        <f>[2]!'NGc1 LAST'</f>
        <v>4.8449999999999998</v>
      </c>
    </row>
    <row r="19" spans="1:27" x14ac:dyDescent="0.25">
      <c r="A19" s="55">
        <f t="shared" ref="A19:A82" si="12">A18+1</f>
        <v>2</v>
      </c>
      <c r="B19" s="66">
        <v>36831</v>
      </c>
      <c r="C19" s="55">
        <f t="shared" si="2"/>
        <v>4.9000000000000004</v>
      </c>
      <c r="D19" s="55">
        <f t="shared" si="3"/>
        <v>4.84</v>
      </c>
      <c r="E19" s="189">
        <f>N$6</f>
        <v>3.6000000000000476E-2</v>
      </c>
      <c r="F19" s="55">
        <f t="shared" ref="F19:F82" si="13">IF(C$1="settle",D19,IF(C$1="EOL",D19+E19,IF(C19=0,D19,C19)))</f>
        <v>4.84</v>
      </c>
      <c r="G19" s="68">
        <f t="shared" si="4"/>
        <v>0.56999999999999995</v>
      </c>
      <c r="H19" s="68">
        <v>-0.01</v>
      </c>
      <c r="I19" s="68">
        <f t="shared" ref="I19:I82" si="14">G19+H19</f>
        <v>0.55999999999999994</v>
      </c>
      <c r="J19" s="67">
        <f ca="1">bsd(1,3,$F19,$F19,$L19-TODAY(),$I19,$M19,W19/2)</f>
        <v>0.83660110449134351</v>
      </c>
      <c r="K19" s="57">
        <f t="shared" si="5"/>
        <v>2</v>
      </c>
      <c r="L19" s="69">
        <f t="shared" si="6"/>
        <v>36825</v>
      </c>
      <c r="M19" s="59">
        <f t="shared" si="7"/>
        <v>6.8040372818879022E-2</v>
      </c>
      <c r="O19" s="102">
        <f t="shared" si="8"/>
        <v>-0.46750000000000003</v>
      </c>
      <c r="P19" s="57">
        <v>-1.4999999999999999E-2</v>
      </c>
      <c r="Q19" s="155">
        <f t="shared" si="9"/>
        <v>4.3574999999999999</v>
      </c>
      <c r="R19" s="155">
        <v>2.87</v>
      </c>
      <c r="S19" s="68">
        <v>-0.01</v>
      </c>
      <c r="T19" s="67">
        <f t="shared" ca="1" si="10"/>
        <v>1.4876134150833458</v>
      </c>
      <c r="U19" s="67">
        <f t="shared" ca="1" si="11"/>
        <v>1.4894036105272468</v>
      </c>
      <c r="Z19" s="55">
        <f>[2]!'NGc2 cls'</f>
        <v>4.8499999999999996</v>
      </c>
      <c r="AA19" s="55">
        <f>[2]!'NGc2 LAST'</f>
        <v>4.9000000000000004</v>
      </c>
    </row>
    <row r="20" spans="1:27" x14ac:dyDescent="0.25">
      <c r="A20" s="55">
        <f t="shared" si="12"/>
        <v>3</v>
      </c>
      <c r="B20" s="66">
        <v>36861</v>
      </c>
      <c r="C20" s="55">
        <f t="shared" si="2"/>
        <v>4.96</v>
      </c>
      <c r="D20" s="55">
        <f t="shared" si="3"/>
        <v>4.91</v>
      </c>
      <c r="E20" s="189">
        <f>N$6</f>
        <v>3.6000000000000476E-2</v>
      </c>
      <c r="F20" s="55">
        <f t="shared" si="13"/>
        <v>4.91</v>
      </c>
      <c r="G20" s="68">
        <f t="shared" si="4"/>
        <v>0.59</v>
      </c>
      <c r="H20" s="68">
        <v>0</v>
      </c>
      <c r="I20" s="68">
        <f t="shared" si="14"/>
        <v>0.59</v>
      </c>
      <c r="J20" s="67">
        <f t="shared" ref="J20:J48" ca="1" si="15">bsd(1,3,$F20,$F20,$L20-TODAY(),$I20,$M20,W20/2)</f>
        <v>1.1125174291241748</v>
      </c>
      <c r="K20" s="57">
        <f t="shared" si="5"/>
        <v>3</v>
      </c>
      <c r="L20" s="69">
        <f t="shared" si="6"/>
        <v>36857</v>
      </c>
      <c r="M20" s="59">
        <f t="shared" si="7"/>
        <v>6.8247886953399006E-2</v>
      </c>
      <c r="O20" s="102">
        <f t="shared" si="8"/>
        <v>-0.42</v>
      </c>
      <c r="P20" s="57">
        <v>-1.4999999999999999E-2</v>
      </c>
      <c r="Q20" s="155">
        <f t="shared" si="9"/>
        <v>4.4750000000000005</v>
      </c>
      <c r="R20" s="155">
        <v>2.88</v>
      </c>
      <c r="S20" s="68">
        <v>-0.01</v>
      </c>
      <c r="T20" s="67">
        <f t="shared" ca="1" si="10"/>
        <v>1.6224982711883136</v>
      </c>
      <c r="U20" s="67">
        <f t="shared" ca="1" si="11"/>
        <v>1.6267973994970453</v>
      </c>
      <c r="Z20" s="55">
        <f>[2]!'NGc3 cls'</f>
        <v>4.92</v>
      </c>
      <c r="AA20" s="55">
        <f>[2]!'NGc3 LAST'</f>
        <v>4.96</v>
      </c>
    </row>
    <row r="21" spans="1:27" x14ac:dyDescent="0.25">
      <c r="A21" s="55">
        <f t="shared" si="12"/>
        <v>4</v>
      </c>
      <c r="B21" s="66">
        <v>36892</v>
      </c>
      <c r="C21" s="55">
        <f t="shared" si="2"/>
        <v>4.9000000000000004</v>
      </c>
      <c r="D21" s="55">
        <f t="shared" si="3"/>
        <v>4.8499999999999996</v>
      </c>
      <c r="E21" s="189">
        <f>N$6</f>
        <v>3.6000000000000476E-2</v>
      </c>
      <c r="F21" s="55">
        <f t="shared" si="13"/>
        <v>4.8499999999999996</v>
      </c>
      <c r="G21" s="68">
        <f t="shared" si="4"/>
        <v>0.6</v>
      </c>
      <c r="H21" s="68">
        <v>0</v>
      </c>
      <c r="I21" s="68">
        <f t="shared" si="14"/>
        <v>0.6</v>
      </c>
      <c r="J21" s="67">
        <f t="shared" ca="1" si="15"/>
        <v>1.2799579838814559</v>
      </c>
      <c r="K21" s="57">
        <f t="shared" si="5"/>
        <v>4</v>
      </c>
      <c r="L21" s="69">
        <f t="shared" si="6"/>
        <v>36886</v>
      </c>
      <c r="M21" s="59">
        <f t="shared" si="7"/>
        <v>6.8245902043498008E-2</v>
      </c>
      <c r="O21" s="102">
        <f t="shared" si="8"/>
        <v>-0.40500000000000003</v>
      </c>
      <c r="P21" s="57">
        <v>-1.4999999999999999E-2</v>
      </c>
      <c r="Q21" s="155">
        <f t="shared" si="9"/>
        <v>4.43</v>
      </c>
      <c r="R21" s="155">
        <v>2.88</v>
      </c>
      <c r="S21" s="68">
        <v>-0.03</v>
      </c>
      <c r="T21" s="67">
        <f t="shared" ca="1" si="10"/>
        <v>1.6122810961881959</v>
      </c>
      <c r="U21" s="67">
        <f t="shared" ca="1" si="11"/>
        <v>1.6325634699949405</v>
      </c>
      <c r="Z21" s="55">
        <f>[2]!'NGc4 cls'</f>
        <v>4.8609999999999998</v>
      </c>
      <c r="AA21" s="55">
        <f>[2]!'NGc4 LAST'</f>
        <v>4.9000000000000004</v>
      </c>
    </row>
    <row r="22" spans="1:27" x14ac:dyDescent="0.25">
      <c r="A22" s="55">
        <f t="shared" si="12"/>
        <v>5</v>
      </c>
      <c r="B22" s="66">
        <v>36923</v>
      </c>
      <c r="C22" s="55">
        <f t="shared" si="2"/>
        <v>4.6150000000000002</v>
      </c>
      <c r="D22" s="55">
        <f t="shared" si="3"/>
        <v>4.58</v>
      </c>
      <c r="E22" s="189">
        <f>N$6</f>
        <v>3.6000000000000476E-2</v>
      </c>
      <c r="F22" s="55">
        <f t="shared" si="13"/>
        <v>4.58</v>
      </c>
      <c r="G22" s="68">
        <f t="shared" si="4"/>
        <v>0.59250000000000003</v>
      </c>
      <c r="H22" s="68">
        <v>0</v>
      </c>
      <c r="I22" s="68">
        <f t="shared" si="14"/>
        <v>0.59250000000000003</v>
      </c>
      <c r="J22" s="67">
        <f t="shared" ca="1" si="15"/>
        <v>1.3330642104020676</v>
      </c>
      <c r="K22" s="57">
        <f t="shared" si="5"/>
        <v>5</v>
      </c>
      <c r="L22" s="69">
        <f t="shared" si="6"/>
        <v>36917</v>
      </c>
      <c r="M22" s="59">
        <f t="shared" si="7"/>
        <v>6.8477342037279024E-2</v>
      </c>
      <c r="O22" s="102">
        <f t="shared" si="8"/>
        <v>-0.41</v>
      </c>
      <c r="P22" s="57">
        <v>-1.4999999999999999E-2</v>
      </c>
      <c r="Q22" s="155">
        <f t="shared" si="9"/>
        <v>4.1550000000000002</v>
      </c>
      <c r="R22" s="155">
        <v>2.88</v>
      </c>
      <c r="S22" s="68">
        <v>-0.03</v>
      </c>
      <c r="T22" s="67">
        <f t="shared" ca="1" si="10"/>
        <v>1.4318208132729309</v>
      </c>
      <c r="U22" s="67">
        <f t="shared" ca="1" si="11"/>
        <v>1.4626945896553272</v>
      </c>
      <c r="Z22" s="55">
        <f>[2]!'NGc5 cls'</f>
        <v>4.59</v>
      </c>
      <c r="AA22" s="55">
        <f>[2]!'NGc5 LAST'</f>
        <v>4.6150000000000002</v>
      </c>
    </row>
    <row r="23" spans="1:27" x14ac:dyDescent="0.25">
      <c r="A23" s="55">
        <f t="shared" si="12"/>
        <v>6</v>
      </c>
      <c r="B23" s="66">
        <v>36951</v>
      </c>
      <c r="C23" s="55">
        <f t="shared" si="2"/>
        <v>4.3650000000000002</v>
      </c>
      <c r="D23" s="55">
        <f t="shared" si="3"/>
        <v>4.3150000000000004</v>
      </c>
      <c r="E23" s="189">
        <f>N$6</f>
        <v>3.6000000000000476E-2</v>
      </c>
      <c r="F23" s="55">
        <f t="shared" si="13"/>
        <v>4.3150000000000004</v>
      </c>
      <c r="G23" s="68">
        <f t="shared" si="4"/>
        <v>0.53</v>
      </c>
      <c r="H23" s="68">
        <v>0</v>
      </c>
      <c r="I23" s="68">
        <f t="shared" si="14"/>
        <v>0.53</v>
      </c>
      <c r="J23" s="67">
        <f t="shared" ca="1" si="15"/>
        <v>1.2189299486656253</v>
      </c>
      <c r="K23" s="57">
        <f t="shared" si="5"/>
        <v>6</v>
      </c>
      <c r="L23" s="69">
        <f t="shared" si="6"/>
        <v>36945</v>
      </c>
      <c r="M23" s="59">
        <f t="shared" si="7"/>
        <v>6.8686384627542008E-2</v>
      </c>
      <c r="O23" s="102">
        <f t="shared" si="8"/>
        <v>-0.48249999999999998</v>
      </c>
      <c r="Q23" s="155">
        <f t="shared" si="9"/>
        <v>3.8325000000000005</v>
      </c>
      <c r="R23" s="155">
        <v>3</v>
      </c>
      <c r="S23" s="68">
        <v>-0.01</v>
      </c>
      <c r="T23" s="67">
        <f t="shared" ca="1" si="10"/>
        <v>1.1552048913909423</v>
      </c>
      <c r="U23" s="67">
        <f t="shared" ca="1" si="11"/>
        <v>1.1695239097434915</v>
      </c>
      <c r="Z23" s="55">
        <f>[2]!'NGc6 cls'</f>
        <v>4.3230000000000004</v>
      </c>
      <c r="AA23" s="55">
        <f>[2]!'NGc6 LAST'</f>
        <v>4.3650000000000002</v>
      </c>
    </row>
    <row r="24" spans="1:27" x14ac:dyDescent="0.25">
      <c r="A24" s="55">
        <f t="shared" si="12"/>
        <v>7</v>
      </c>
      <c r="B24" s="66">
        <v>36982</v>
      </c>
      <c r="C24" s="55">
        <f t="shared" si="2"/>
        <v>4.0949999999999998</v>
      </c>
      <c r="D24" s="55">
        <f t="shared" si="3"/>
        <v>4.0549999999999997</v>
      </c>
      <c r="E24" s="189">
        <f t="shared" ref="E24:E30" si="16">N$7</f>
        <v>3.2142857142857473E-2</v>
      </c>
      <c r="F24" s="55">
        <f t="shared" si="13"/>
        <v>4.0549999999999997</v>
      </c>
      <c r="G24" s="68">
        <f t="shared" si="4"/>
        <v>0.435</v>
      </c>
      <c r="H24" s="68">
        <v>0</v>
      </c>
      <c r="I24" s="68">
        <f t="shared" si="14"/>
        <v>0.435</v>
      </c>
      <c r="J24" s="67">
        <f t="shared" ca="1" si="15"/>
        <v>1.0170061569841029</v>
      </c>
      <c r="K24" s="57">
        <f t="shared" si="5"/>
        <v>7</v>
      </c>
      <c r="L24" s="69">
        <f t="shared" si="6"/>
        <v>36977</v>
      </c>
      <c r="M24" s="59">
        <f t="shared" si="7"/>
        <v>6.8834971958648017E-2</v>
      </c>
      <c r="O24" s="102">
        <f t="shared" si="8"/>
        <v>-0.48</v>
      </c>
      <c r="Q24" s="155">
        <f t="shared" si="9"/>
        <v>3.5749999999999997</v>
      </c>
      <c r="R24" s="155">
        <v>3</v>
      </c>
      <c r="S24" s="68">
        <v>-0.01</v>
      </c>
      <c r="T24" s="67">
        <f t="shared" ca="1" si="10"/>
        <v>0.92326043687252701</v>
      </c>
      <c r="U24" s="67">
        <f t="shared" ca="1" si="11"/>
        <v>0.93948336762280849</v>
      </c>
      <c r="Z24" s="55">
        <f>[2]!'NGc7 cls'</f>
        <v>4.0579999999999998</v>
      </c>
      <c r="AA24" s="55">
        <f>[2]!'NGc7 LAST'</f>
        <v>4.0949999999999998</v>
      </c>
    </row>
    <row r="25" spans="1:27" x14ac:dyDescent="0.25">
      <c r="A25" s="55">
        <f t="shared" si="12"/>
        <v>8</v>
      </c>
      <c r="B25" s="66">
        <v>37012</v>
      </c>
      <c r="C25" s="55">
        <f t="shared" si="2"/>
        <v>3.97</v>
      </c>
      <c r="D25" s="55">
        <f t="shared" si="3"/>
        <v>3.95</v>
      </c>
      <c r="E25" s="189">
        <f t="shared" si="16"/>
        <v>3.2142857142857473E-2</v>
      </c>
      <c r="F25" s="55">
        <f t="shared" si="13"/>
        <v>3.95</v>
      </c>
      <c r="G25" s="68">
        <f t="shared" si="4"/>
        <v>0.4</v>
      </c>
      <c r="H25" s="68">
        <v>0</v>
      </c>
      <c r="I25" s="68">
        <f t="shared" si="14"/>
        <v>0.4</v>
      </c>
      <c r="J25" s="67">
        <f t="shared" ca="1" si="15"/>
        <v>0.96724529518399827</v>
      </c>
      <c r="K25" s="57">
        <f t="shared" si="5"/>
        <v>8</v>
      </c>
      <c r="L25" s="69">
        <f t="shared" si="6"/>
        <v>37006</v>
      </c>
      <c r="M25" s="59">
        <f t="shared" si="7"/>
        <v>6.8844146311537027E-2</v>
      </c>
      <c r="O25" s="102">
        <f t="shared" si="8"/>
        <v>-0.48</v>
      </c>
      <c r="Q25" s="155">
        <f t="shared" si="9"/>
        <v>3.47</v>
      </c>
      <c r="R25" s="155">
        <v>3</v>
      </c>
      <c r="S25" s="68">
        <v>-0.01</v>
      </c>
      <c r="T25" s="67">
        <f t="shared" ca="1" si="10"/>
        <v>0.85436055793778676</v>
      </c>
      <c r="U25" s="67">
        <f t="shared" ca="1" si="11"/>
        <v>0.87204417588065863</v>
      </c>
      <c r="Z25" s="55">
        <f>[2]!'NGc8 cls'</f>
        <v>3.948</v>
      </c>
      <c r="AA25" s="55">
        <f>[2]!'NGc8 LAST'</f>
        <v>3.97</v>
      </c>
    </row>
    <row r="26" spans="1:27" x14ac:dyDescent="0.25">
      <c r="A26" s="55">
        <f t="shared" si="12"/>
        <v>9</v>
      </c>
      <c r="B26" s="66">
        <v>37043</v>
      </c>
      <c r="C26" s="55">
        <f t="shared" si="2"/>
        <v>3.96</v>
      </c>
      <c r="D26" s="55">
        <f t="shared" si="3"/>
        <v>3.9350000000000001</v>
      </c>
      <c r="E26" s="189">
        <f t="shared" si="16"/>
        <v>3.2142857142857473E-2</v>
      </c>
      <c r="F26" s="55">
        <f t="shared" si="13"/>
        <v>3.9350000000000001</v>
      </c>
      <c r="G26" s="68">
        <f t="shared" si="4"/>
        <v>0.39500000000000002</v>
      </c>
      <c r="H26" s="68">
        <v>0</v>
      </c>
      <c r="I26" s="68">
        <f t="shared" si="14"/>
        <v>0.39500000000000002</v>
      </c>
      <c r="J26" s="67">
        <f ca="1">bsd(1,3,$F26,$F26,$L26-TODAY(),$I26,$M26,W26/2)</f>
        <v>1.0038248085499974</v>
      </c>
      <c r="K26" s="57">
        <f t="shared" si="5"/>
        <v>9</v>
      </c>
      <c r="L26" s="69">
        <f t="shared" si="6"/>
        <v>37036</v>
      </c>
      <c r="M26" s="59">
        <f t="shared" si="7"/>
        <v>6.8853626476217011E-2</v>
      </c>
      <c r="O26" s="102">
        <f t="shared" si="8"/>
        <v>-0.48</v>
      </c>
      <c r="Q26" s="155">
        <f t="shared" si="9"/>
        <v>3.4550000000000001</v>
      </c>
      <c r="R26" s="155">
        <v>3</v>
      </c>
      <c r="S26" s="68">
        <v>-0.01</v>
      </c>
      <c r="T26" s="67">
        <f t="shared" ca="1" si="10"/>
        <v>0.87577072009083434</v>
      </c>
      <c r="U26" s="67">
        <f t="shared" ca="1" si="11"/>
        <v>0.89464411177488268</v>
      </c>
      <c r="Z26" s="55">
        <f>[2]!'NGc9 cls'</f>
        <v>3.9249999999999998</v>
      </c>
      <c r="AA26" s="55">
        <f>[2]!'NGc9 LAST'</f>
        <v>3.96</v>
      </c>
    </row>
    <row r="27" spans="1:27" x14ac:dyDescent="0.25">
      <c r="A27" s="55">
        <f t="shared" si="12"/>
        <v>10</v>
      </c>
      <c r="B27" s="66">
        <v>37073</v>
      </c>
      <c r="C27" s="55">
        <f t="shared" si="2"/>
        <v>3.9550000000000001</v>
      </c>
      <c r="D27" s="55">
        <f t="shared" si="3"/>
        <v>3.92</v>
      </c>
      <c r="E27" s="189">
        <f t="shared" si="16"/>
        <v>3.2142857142857473E-2</v>
      </c>
      <c r="F27" s="55">
        <f t="shared" si="13"/>
        <v>3.92</v>
      </c>
      <c r="G27" s="68">
        <f t="shared" si="4"/>
        <v>0.39500000000000002</v>
      </c>
      <c r="H27" s="68">
        <v>0</v>
      </c>
      <c r="I27" s="68">
        <f t="shared" si="14"/>
        <v>0.39500000000000002</v>
      </c>
      <c r="J27" s="67">
        <f t="shared" ca="1" si="15"/>
        <v>1.0512540127132812</v>
      </c>
      <c r="K27" s="57">
        <f t="shared" si="5"/>
        <v>10</v>
      </c>
      <c r="L27" s="69">
        <f t="shared" si="6"/>
        <v>37068</v>
      </c>
      <c r="M27" s="59">
        <f t="shared" si="7"/>
        <v>6.8863830234299026E-2</v>
      </c>
      <c r="O27" s="102">
        <f t="shared" si="8"/>
        <v>-0.48</v>
      </c>
      <c r="Q27" s="155">
        <f t="shared" si="9"/>
        <v>3.44</v>
      </c>
      <c r="R27" s="155">
        <v>3</v>
      </c>
      <c r="S27" s="68">
        <v>-0.01</v>
      </c>
      <c r="T27" s="67">
        <f t="shared" ca="1" si="10"/>
        <v>0.90635031955490752</v>
      </c>
      <c r="U27" s="67">
        <f t="shared" ca="1" si="11"/>
        <v>0.92640829857649665</v>
      </c>
      <c r="Z27" s="55">
        <f>[2]!'NGc10 cls'</f>
        <v>3.9</v>
      </c>
      <c r="AA27" s="55">
        <f>[2]!'NGc10 LAST'</f>
        <v>3.9550000000000001</v>
      </c>
    </row>
    <row r="28" spans="1:27" x14ac:dyDescent="0.25">
      <c r="A28" s="55">
        <f t="shared" si="12"/>
        <v>11</v>
      </c>
      <c r="B28" s="66">
        <v>37104</v>
      </c>
      <c r="C28" s="55">
        <f t="shared" si="2"/>
        <v>3.96</v>
      </c>
      <c r="D28" s="55">
        <f t="shared" si="3"/>
        <v>3.92</v>
      </c>
      <c r="E28" s="189">
        <f t="shared" si="16"/>
        <v>3.2142857142857473E-2</v>
      </c>
      <c r="F28" s="55">
        <f t="shared" si="13"/>
        <v>3.92</v>
      </c>
      <c r="G28" s="68">
        <f t="shared" si="4"/>
        <v>0.39500000000000002</v>
      </c>
      <c r="H28" s="68">
        <v>0</v>
      </c>
      <c r="I28" s="68">
        <f t="shared" si="14"/>
        <v>0.39500000000000002</v>
      </c>
      <c r="J28" s="67">
        <f t="shared" ca="1" si="15"/>
        <v>1.095913327923062</v>
      </c>
      <c r="K28" s="57">
        <f t="shared" si="5"/>
        <v>11</v>
      </c>
      <c r="L28" s="69">
        <f t="shared" si="6"/>
        <v>37098</v>
      </c>
      <c r="M28" s="59">
        <f t="shared" si="7"/>
        <v>6.8876303277673023E-2</v>
      </c>
      <c r="O28" s="102">
        <f t="shared" si="8"/>
        <v>-0.48</v>
      </c>
      <c r="Q28" s="155">
        <f t="shared" si="9"/>
        <v>3.44</v>
      </c>
      <c r="R28" s="155">
        <v>3</v>
      </c>
      <c r="S28" s="68">
        <v>-0.01</v>
      </c>
      <c r="T28" s="67">
        <f t="shared" ca="1" si="10"/>
        <v>0.93875166743989391</v>
      </c>
      <c r="U28" s="67">
        <f t="shared" ca="1" si="11"/>
        <v>0.95977977055213393</v>
      </c>
      <c r="Z28" s="55">
        <f>[2]!'NGc11 cls'</f>
        <v>3.9049999999999998</v>
      </c>
      <c r="AA28" s="55">
        <f>[2]!'NGc11 LAST'</f>
        <v>3.96</v>
      </c>
    </row>
    <row r="29" spans="1:27" x14ac:dyDescent="0.25">
      <c r="A29" s="55">
        <f t="shared" si="12"/>
        <v>12</v>
      </c>
      <c r="B29" s="66">
        <v>37135</v>
      </c>
      <c r="C29" s="55">
        <f t="shared" si="2"/>
        <v>3.94</v>
      </c>
      <c r="D29" s="55">
        <f t="shared" si="3"/>
        <v>3.9</v>
      </c>
      <c r="E29" s="189">
        <f t="shared" si="16"/>
        <v>3.2142857142857473E-2</v>
      </c>
      <c r="F29" s="55">
        <f t="shared" si="13"/>
        <v>3.9</v>
      </c>
      <c r="G29" s="68">
        <f t="shared" si="4"/>
        <v>0.39500000000000002</v>
      </c>
      <c r="H29" s="68">
        <v>0</v>
      </c>
      <c r="I29" s="68">
        <f t="shared" si="14"/>
        <v>0.39500000000000002</v>
      </c>
      <c r="J29" s="67">
        <f t="shared" ca="1" si="15"/>
        <v>1.135919412588108</v>
      </c>
      <c r="K29" s="57">
        <f t="shared" si="5"/>
        <v>12</v>
      </c>
      <c r="L29" s="69">
        <f t="shared" si="6"/>
        <v>37131</v>
      </c>
      <c r="M29" s="59">
        <f t="shared" si="7"/>
        <v>6.8888776321097023E-2</v>
      </c>
      <c r="O29" s="102">
        <f t="shared" si="8"/>
        <v>-0.48</v>
      </c>
      <c r="Z29" s="55">
        <f>[2]!'NGc12 cls'</f>
        <v>3.8849999999999998</v>
      </c>
      <c r="AA29" s="55">
        <f>[2]!'NGc12 LAST'</f>
        <v>3.94</v>
      </c>
    </row>
    <row r="30" spans="1:27" x14ac:dyDescent="0.25">
      <c r="A30" s="55">
        <f t="shared" si="12"/>
        <v>13</v>
      </c>
      <c r="B30" s="66">
        <v>37165</v>
      </c>
      <c r="C30" s="55">
        <f t="shared" si="2"/>
        <v>3.9249999999999998</v>
      </c>
      <c r="D30" s="55">
        <f t="shared" si="3"/>
        <v>3.8849999999999998</v>
      </c>
      <c r="E30" s="189">
        <f t="shared" si="16"/>
        <v>3.2142857142857473E-2</v>
      </c>
      <c r="F30" s="55">
        <f t="shared" si="13"/>
        <v>3.8849999999999998</v>
      </c>
      <c r="G30" s="68">
        <f t="shared" si="4"/>
        <v>0.39750000000000002</v>
      </c>
      <c r="H30" s="68">
        <v>0</v>
      </c>
      <c r="I30" s="68">
        <f t="shared" si="14"/>
        <v>0.39750000000000002</v>
      </c>
      <c r="J30" s="67">
        <f t="shared" ca="1" si="15"/>
        <v>1.1749982555491374</v>
      </c>
      <c r="K30" s="57">
        <f t="shared" si="5"/>
        <v>13</v>
      </c>
      <c r="L30" s="69">
        <f t="shared" si="6"/>
        <v>37159</v>
      </c>
      <c r="M30" s="59">
        <f t="shared" si="7"/>
        <v>6.890251912361102E-2</v>
      </c>
      <c r="O30" s="102">
        <f t="shared" si="8"/>
        <v>-0.48</v>
      </c>
      <c r="Z30" s="55">
        <f>[2]!'NGc13 cls'</f>
        <v>3.87</v>
      </c>
      <c r="AA30" s="55">
        <f>[2]!'NGc13 LAST'</f>
        <v>3.9249999999999998</v>
      </c>
    </row>
    <row r="31" spans="1:27" x14ac:dyDescent="0.25">
      <c r="A31" s="55">
        <f t="shared" si="12"/>
        <v>14</v>
      </c>
      <c r="B31" s="66">
        <v>37196</v>
      </c>
      <c r="C31" s="55">
        <f t="shared" si="2"/>
        <v>0</v>
      </c>
      <c r="D31" s="55">
        <f t="shared" si="3"/>
        <v>3.99</v>
      </c>
      <c r="E31" s="189">
        <f>N$8</f>
        <v>1.1400000000000077E-2</v>
      </c>
      <c r="F31" s="55">
        <f t="shared" si="13"/>
        <v>3.99</v>
      </c>
      <c r="G31" s="68">
        <f t="shared" si="4"/>
        <v>0.40749999999999997</v>
      </c>
      <c r="H31" s="68">
        <v>0</v>
      </c>
      <c r="I31" s="68">
        <f t="shared" si="14"/>
        <v>0.40749999999999997</v>
      </c>
      <c r="J31" s="67">
        <f t="shared" ca="1" si="15"/>
        <v>1.276615696679541</v>
      </c>
      <c r="K31" s="57">
        <f t="shared" si="5"/>
        <v>14</v>
      </c>
      <c r="L31" s="69">
        <f t="shared" si="6"/>
        <v>37190</v>
      </c>
      <c r="M31" s="59">
        <f t="shared" si="7"/>
        <v>6.8919453955852014E-2</v>
      </c>
      <c r="O31" s="102">
        <f t="shared" si="8"/>
        <v>-0.26750000000000002</v>
      </c>
      <c r="Z31" s="55">
        <f>[2]!'NGc14 cls'</f>
        <v>3.9750000000000001</v>
      </c>
      <c r="AA31" s="55">
        <f>[2]!'NGc14 LAST'</f>
        <v>0</v>
      </c>
    </row>
    <row r="32" spans="1:27" x14ac:dyDescent="0.25">
      <c r="A32" s="55">
        <f t="shared" si="12"/>
        <v>15</v>
      </c>
      <c r="B32" s="66">
        <v>37226</v>
      </c>
      <c r="C32" s="55">
        <f t="shared" si="2"/>
        <v>4.08</v>
      </c>
      <c r="D32" s="55">
        <f t="shared" si="3"/>
        <v>4.0750000000000002</v>
      </c>
      <c r="E32" s="189">
        <f>N$8</f>
        <v>1.1400000000000077E-2</v>
      </c>
      <c r="F32" s="55">
        <f t="shared" si="13"/>
        <v>4.0750000000000002</v>
      </c>
      <c r="G32" s="68">
        <f t="shared" si="4"/>
        <v>0.41249999999999998</v>
      </c>
      <c r="H32" s="68">
        <v>0</v>
      </c>
      <c r="I32" s="68">
        <f t="shared" si="14"/>
        <v>0.41249999999999998</v>
      </c>
      <c r="J32" s="67">
        <f t="shared" ca="1" si="15"/>
        <v>1.3596697900031027</v>
      </c>
      <c r="K32" s="57">
        <f t="shared" si="5"/>
        <v>15</v>
      </c>
      <c r="L32" s="69">
        <f t="shared" si="6"/>
        <v>37222</v>
      </c>
      <c r="M32" s="59">
        <f t="shared" si="7"/>
        <v>6.8935842503271005E-2</v>
      </c>
      <c r="O32" s="102">
        <f t="shared" si="8"/>
        <v>-0.26750000000000002</v>
      </c>
      <c r="Z32" s="55">
        <f>[2]!'NGc15 cls'</f>
        <v>4.0599999999999996</v>
      </c>
      <c r="AA32" s="55">
        <f>[2]!'NGc15 LAST'</f>
        <v>4.08</v>
      </c>
    </row>
    <row r="33" spans="1:28" x14ac:dyDescent="0.25">
      <c r="A33" s="55">
        <f t="shared" si="12"/>
        <v>16</v>
      </c>
      <c r="B33" s="66">
        <v>37257</v>
      </c>
      <c r="C33" s="55">
        <f t="shared" si="2"/>
        <v>4.05</v>
      </c>
      <c r="D33" s="55">
        <f t="shared" si="3"/>
        <v>4.0449999999999999</v>
      </c>
      <c r="E33" s="189">
        <f>N$8</f>
        <v>1.1400000000000077E-2</v>
      </c>
      <c r="F33" s="55">
        <f t="shared" si="13"/>
        <v>4.0449999999999999</v>
      </c>
      <c r="G33" s="68">
        <f t="shared" si="4"/>
        <v>0.41749999999999998</v>
      </c>
      <c r="H33" s="68">
        <v>0</v>
      </c>
      <c r="I33" s="68">
        <f t="shared" si="14"/>
        <v>0.41749999999999998</v>
      </c>
      <c r="J33" s="67">
        <f t="shared" ca="1" si="15"/>
        <v>1.4002125487309862</v>
      </c>
      <c r="K33" s="57">
        <f t="shared" si="5"/>
        <v>16</v>
      </c>
      <c r="L33" s="69">
        <f t="shared" si="6"/>
        <v>37251</v>
      </c>
      <c r="M33" s="59">
        <f t="shared" si="7"/>
        <v>6.896655729440701E-2</v>
      </c>
      <c r="O33" s="102">
        <f t="shared" si="8"/>
        <v>-0.26750000000000002</v>
      </c>
      <c r="Z33" s="55">
        <f>[2]!'NGc16 cls'</f>
        <v>4.03</v>
      </c>
      <c r="AA33" s="55">
        <f>[2]!'NGc16 LAST'</f>
        <v>4.05</v>
      </c>
    </row>
    <row r="34" spans="1:28" x14ac:dyDescent="0.25">
      <c r="A34" s="55">
        <f t="shared" si="12"/>
        <v>17</v>
      </c>
      <c r="B34" s="66">
        <v>37288</v>
      </c>
      <c r="C34" s="55">
        <f t="shared" si="2"/>
        <v>0</v>
      </c>
      <c r="D34" s="55">
        <f t="shared" si="3"/>
        <v>3.8740000000000006</v>
      </c>
      <c r="E34" s="189">
        <f>N$8</f>
        <v>1.1400000000000077E-2</v>
      </c>
      <c r="F34" s="55">
        <f t="shared" si="13"/>
        <v>3.8740000000000006</v>
      </c>
      <c r="G34" s="68">
        <f t="shared" si="4"/>
        <v>0.4</v>
      </c>
      <c r="H34" s="68">
        <v>0</v>
      </c>
      <c r="I34" s="68">
        <f t="shared" si="14"/>
        <v>0.4</v>
      </c>
      <c r="J34" s="67">
        <f t="shared" ca="1" si="15"/>
        <v>1.3199575273819204</v>
      </c>
      <c r="K34" s="57">
        <f t="shared" si="5"/>
        <v>17</v>
      </c>
      <c r="L34" s="69">
        <f t="shared" si="6"/>
        <v>37284</v>
      </c>
      <c r="M34" s="59">
        <f t="shared" si="7"/>
        <v>6.9016352028977018E-2</v>
      </c>
      <c r="O34" s="102">
        <f t="shared" si="8"/>
        <v>-0.26750000000000002</v>
      </c>
      <c r="Z34" s="55">
        <f>[2]!'NGc17 cls'</f>
        <v>3.86</v>
      </c>
      <c r="AA34" s="55">
        <f>[2]!'NGc17 LAST'</f>
        <v>0</v>
      </c>
    </row>
    <row r="35" spans="1:28" x14ac:dyDescent="0.25">
      <c r="A35" s="55">
        <f t="shared" si="12"/>
        <v>18</v>
      </c>
      <c r="B35" s="66">
        <v>37316</v>
      </c>
      <c r="C35" s="55">
        <f t="shared" si="2"/>
        <v>0</v>
      </c>
      <c r="D35" s="55">
        <f t="shared" si="3"/>
        <v>3.7090000000000005</v>
      </c>
      <c r="E35" s="189">
        <f>N$8</f>
        <v>1.1400000000000077E-2</v>
      </c>
      <c r="F35" s="55">
        <f t="shared" si="13"/>
        <v>3.7090000000000005</v>
      </c>
      <c r="G35" s="68">
        <f t="shared" si="4"/>
        <v>0.36749999999999999</v>
      </c>
      <c r="H35" s="68">
        <v>0</v>
      </c>
      <c r="I35" s="68">
        <f t="shared" si="14"/>
        <v>0.36749999999999999</v>
      </c>
      <c r="J35" s="67">
        <f t="shared" ca="1" si="15"/>
        <v>1.1870497030472578</v>
      </c>
      <c r="K35" s="57">
        <f t="shared" si="5"/>
        <v>18</v>
      </c>
      <c r="L35" s="69">
        <f t="shared" si="6"/>
        <v>37312</v>
      </c>
      <c r="M35" s="59">
        <f t="shared" si="7"/>
        <v>6.9061327918971016E-2</v>
      </c>
      <c r="O35" s="102">
        <f t="shared" si="8"/>
        <v>-0.26750000000000002</v>
      </c>
      <c r="Z35" s="55">
        <f>[2]!'NGc18 cls'</f>
        <v>3.6949999999999998</v>
      </c>
      <c r="AA35" s="55">
        <f>[2]!'NGc18 LAST'</f>
        <v>0</v>
      </c>
    </row>
    <row r="36" spans="1:28" x14ac:dyDescent="0.25">
      <c r="A36" s="55">
        <f t="shared" si="12"/>
        <v>19</v>
      </c>
      <c r="B36" s="66">
        <v>37347</v>
      </c>
      <c r="C36" s="55">
        <f t="shared" si="2"/>
        <v>0</v>
      </c>
      <c r="D36" s="55">
        <f t="shared" si="3"/>
        <v>3.532</v>
      </c>
      <c r="E36" s="189">
        <f t="shared" ref="E36:E44" si="17">N$9</f>
        <v>7.7500000000000124E-2</v>
      </c>
      <c r="F36" s="55">
        <f t="shared" si="13"/>
        <v>3.532</v>
      </c>
      <c r="G36" s="68">
        <f t="shared" si="4"/>
        <v>0.30249999999999999</v>
      </c>
      <c r="H36" s="68">
        <v>0</v>
      </c>
      <c r="I36" s="68">
        <f t="shared" si="14"/>
        <v>0.30249999999999999</v>
      </c>
      <c r="J36" s="67">
        <f t="shared" ca="1" si="15"/>
        <v>0.95134267135733008</v>
      </c>
      <c r="K36" s="57">
        <f t="shared" si="5"/>
        <v>19</v>
      </c>
      <c r="L36" s="69">
        <f t="shared" si="6"/>
        <v>37340</v>
      </c>
      <c r="M36" s="59">
        <f t="shared" si="7"/>
        <v>6.9092023437082997E-2</v>
      </c>
      <c r="O36" s="102">
        <f t="shared" si="8"/>
        <v>-0.25</v>
      </c>
      <c r="Z36" s="55">
        <f>[2]!'NGc19 cls'</f>
        <v>3.52</v>
      </c>
      <c r="AA36" s="55">
        <f>[2]!'NGc19 LAST'</f>
        <v>0</v>
      </c>
    </row>
    <row r="37" spans="1:28" x14ac:dyDescent="0.25">
      <c r="A37" s="55">
        <f t="shared" si="12"/>
        <v>20</v>
      </c>
      <c r="B37" s="66">
        <v>37377</v>
      </c>
      <c r="C37" s="55">
        <f t="shared" si="2"/>
        <v>3.43</v>
      </c>
      <c r="D37" s="55">
        <f t="shared" si="3"/>
        <v>3.4470000000000001</v>
      </c>
      <c r="E37" s="189">
        <f t="shared" si="17"/>
        <v>7.7500000000000124E-2</v>
      </c>
      <c r="F37" s="55">
        <f t="shared" si="13"/>
        <v>3.4470000000000001</v>
      </c>
      <c r="G37" s="68">
        <f t="shared" si="4"/>
        <v>0.28749999999999998</v>
      </c>
      <c r="H37" s="68">
        <v>0</v>
      </c>
      <c r="I37" s="68">
        <f t="shared" si="14"/>
        <v>0.28749999999999998</v>
      </c>
      <c r="J37" s="67">
        <f t="shared" ca="1" si="15"/>
        <v>0.9009978504327778</v>
      </c>
      <c r="K37" s="57">
        <f t="shared" si="5"/>
        <v>20</v>
      </c>
      <c r="L37" s="69">
        <f t="shared" si="6"/>
        <v>37371</v>
      </c>
      <c r="M37" s="59">
        <f t="shared" si="7"/>
        <v>6.909369805104501E-2</v>
      </c>
      <c r="O37" s="102">
        <f t="shared" si="8"/>
        <v>-0.25</v>
      </c>
      <c r="Z37" s="55">
        <f>[2]!'NGc20 cls'</f>
        <v>3.4249999999999998</v>
      </c>
      <c r="AA37" s="55">
        <f>[2]!'NGc20 LAST'</f>
        <v>3.43</v>
      </c>
    </row>
    <row r="38" spans="1:28" x14ac:dyDescent="0.25">
      <c r="A38" s="55">
        <f t="shared" si="12"/>
        <v>21</v>
      </c>
      <c r="B38" s="66">
        <v>37408</v>
      </c>
      <c r="C38" s="55">
        <f t="shared" si="2"/>
        <v>3.44</v>
      </c>
      <c r="D38" s="55">
        <f t="shared" si="3"/>
        <v>3.427</v>
      </c>
      <c r="E38" s="189">
        <f t="shared" si="17"/>
        <v>7.7500000000000124E-2</v>
      </c>
      <c r="F38" s="55">
        <f t="shared" si="13"/>
        <v>3.427</v>
      </c>
      <c r="G38" s="68">
        <f t="shared" si="4"/>
        <v>0.28499999999999998</v>
      </c>
      <c r="H38" s="68">
        <v>0</v>
      </c>
      <c r="I38" s="68">
        <f t="shared" si="14"/>
        <v>0.28499999999999998</v>
      </c>
      <c r="J38" s="67">
        <f t="shared" ca="1" si="15"/>
        <v>0.90612569513141583</v>
      </c>
      <c r="K38" s="57">
        <f t="shared" si="5"/>
        <v>21</v>
      </c>
      <c r="L38" s="69">
        <f t="shared" si="6"/>
        <v>37404</v>
      </c>
      <c r="M38" s="59">
        <f t="shared" si="7"/>
        <v>6.9095428485473995E-2</v>
      </c>
      <c r="O38" s="102">
        <f t="shared" si="8"/>
        <v>-0.25</v>
      </c>
      <c r="Z38" s="55">
        <f>[2]!'NGc21 cls'</f>
        <v>3.4119999999999999</v>
      </c>
      <c r="AA38" s="55">
        <f>[2]!'NGc21 LAST'</f>
        <v>3.44</v>
      </c>
    </row>
    <row r="39" spans="1:28" x14ac:dyDescent="0.25">
      <c r="A39" s="55">
        <f t="shared" si="12"/>
        <v>22</v>
      </c>
      <c r="B39" s="66">
        <v>37438</v>
      </c>
      <c r="C39" s="55">
        <f t="shared" si="2"/>
        <v>3.42</v>
      </c>
      <c r="D39" s="55">
        <f t="shared" si="3"/>
        <v>3.42</v>
      </c>
      <c r="E39" s="189">
        <f t="shared" si="17"/>
        <v>7.7500000000000124E-2</v>
      </c>
      <c r="F39" s="55">
        <f t="shared" si="13"/>
        <v>3.42</v>
      </c>
      <c r="G39" s="68">
        <f t="shared" si="4"/>
        <v>0.28499999999999998</v>
      </c>
      <c r="H39" s="68">
        <v>0</v>
      </c>
      <c r="I39" s="68">
        <f t="shared" si="14"/>
        <v>0.28499999999999998</v>
      </c>
      <c r="J39" s="67">
        <f t="shared" ca="1" si="15"/>
        <v>0.91887209224861799</v>
      </c>
      <c r="K39" s="57">
        <f t="shared" si="5"/>
        <v>22</v>
      </c>
      <c r="L39" s="69">
        <f t="shared" si="6"/>
        <v>37432</v>
      </c>
      <c r="M39" s="59">
        <f t="shared" si="7"/>
        <v>6.9097118524442017E-2</v>
      </c>
      <c r="O39" s="102">
        <f t="shared" si="8"/>
        <v>-0.25</v>
      </c>
      <c r="Z39" s="55">
        <f>[2]!'NGc22 cls'</f>
        <v>3.4049999999999998</v>
      </c>
      <c r="AA39" s="55">
        <f>[2]!'NGc22 LAST'</f>
        <v>3.42</v>
      </c>
      <c r="AB39" s="71"/>
    </row>
    <row r="40" spans="1:28" x14ac:dyDescent="0.25">
      <c r="A40" s="55">
        <f t="shared" si="12"/>
        <v>23</v>
      </c>
      <c r="B40" s="66">
        <v>37469</v>
      </c>
      <c r="C40" s="55">
        <f t="shared" si="2"/>
        <v>3.43</v>
      </c>
      <c r="D40" s="55">
        <f t="shared" si="3"/>
        <v>3.4249999999999998</v>
      </c>
      <c r="E40" s="189">
        <f t="shared" si="17"/>
        <v>7.7500000000000124E-2</v>
      </c>
      <c r="F40" s="55">
        <f t="shared" si="13"/>
        <v>3.4249999999999998</v>
      </c>
      <c r="G40" s="68">
        <f t="shared" si="4"/>
        <v>0.28499999999999998</v>
      </c>
      <c r="H40" s="68">
        <v>0</v>
      </c>
      <c r="I40" s="68">
        <f t="shared" si="14"/>
        <v>0.28499999999999998</v>
      </c>
      <c r="J40" s="67">
        <f t="shared" ca="1" si="15"/>
        <v>0.93570384014654095</v>
      </c>
      <c r="K40" s="57">
        <f t="shared" si="5"/>
        <v>23</v>
      </c>
      <c r="L40" s="69">
        <f t="shared" si="6"/>
        <v>37463</v>
      </c>
      <c r="M40" s="59">
        <f t="shared" si="7"/>
        <v>6.9098892085220007E-2</v>
      </c>
      <c r="O40" s="102">
        <f t="shared" si="8"/>
        <v>-0.25</v>
      </c>
      <c r="Z40" s="55">
        <f>[2]!'NGc23 cls'</f>
        <v>3.41</v>
      </c>
      <c r="AA40" s="55">
        <f>[2]!'NGc23 LAST'</f>
        <v>3.43</v>
      </c>
      <c r="AB40" s="71"/>
    </row>
    <row r="41" spans="1:28" x14ac:dyDescent="0.25">
      <c r="A41" s="55">
        <f t="shared" si="12"/>
        <v>24</v>
      </c>
      <c r="B41" s="66">
        <v>37500</v>
      </c>
      <c r="C41" s="55">
        <f t="shared" si="2"/>
        <v>0</v>
      </c>
      <c r="D41" s="55">
        <f t="shared" si="3"/>
        <v>3.42</v>
      </c>
      <c r="E41" s="189">
        <f t="shared" si="17"/>
        <v>7.7500000000000124E-2</v>
      </c>
      <c r="F41" s="55">
        <f t="shared" si="13"/>
        <v>3.42</v>
      </c>
      <c r="G41" s="68">
        <f t="shared" si="4"/>
        <v>0.28499999999999998</v>
      </c>
      <c r="H41" s="68">
        <v>0</v>
      </c>
      <c r="I41" s="68">
        <f t="shared" si="14"/>
        <v>0.28499999999999998</v>
      </c>
      <c r="J41" s="67">
        <f t="shared" ca="1" si="15"/>
        <v>0.94958120406965296</v>
      </c>
      <c r="K41" s="57">
        <f t="shared" si="5"/>
        <v>24</v>
      </c>
      <c r="L41" s="69">
        <f t="shared" si="6"/>
        <v>37495</v>
      </c>
      <c r="M41" s="59">
        <f t="shared" si="7"/>
        <v>6.9100665646000009E-2</v>
      </c>
      <c r="Z41" s="55">
        <f>[2]!'NGc24 cls'</f>
        <v>3.4049999999999998</v>
      </c>
      <c r="AA41" s="55">
        <f>[2]!'NGc24 LAST'</f>
        <v>0</v>
      </c>
      <c r="AB41" s="71"/>
    </row>
    <row r="42" spans="1:28" x14ac:dyDescent="0.25">
      <c r="A42" s="55">
        <f t="shared" si="12"/>
        <v>25</v>
      </c>
      <c r="B42" s="66">
        <v>37530</v>
      </c>
      <c r="C42" s="55">
        <f t="shared" si="2"/>
        <v>0</v>
      </c>
      <c r="D42" s="55">
        <f t="shared" si="3"/>
        <v>3.4350000000000001</v>
      </c>
      <c r="E42" s="189">
        <f t="shared" si="17"/>
        <v>7.7500000000000124E-2</v>
      </c>
      <c r="F42" s="55">
        <f t="shared" si="13"/>
        <v>3.4350000000000001</v>
      </c>
      <c r="G42" s="68">
        <f t="shared" si="4"/>
        <v>0.28749999999999998</v>
      </c>
      <c r="H42" s="68">
        <v>0</v>
      </c>
      <c r="I42" s="68">
        <f t="shared" si="14"/>
        <v>0.28749999999999998</v>
      </c>
      <c r="J42" s="67">
        <f t="shared" ca="1" si="15"/>
        <v>0.97538926787969515</v>
      </c>
      <c r="K42" s="57">
        <f t="shared" si="5"/>
        <v>25</v>
      </c>
      <c r="L42" s="69">
        <f t="shared" si="6"/>
        <v>37524</v>
      </c>
      <c r="M42" s="59">
        <f t="shared" si="7"/>
        <v>6.9099982062237011E-2</v>
      </c>
      <c r="Z42" s="55">
        <f>[2]!'NGc25 cls'</f>
        <v>3.42</v>
      </c>
      <c r="AA42" s="55">
        <f>[2]!'NGc25 LAST'</f>
        <v>0</v>
      </c>
      <c r="AB42" s="71"/>
    </row>
    <row r="43" spans="1:28" x14ac:dyDescent="0.25">
      <c r="A43" s="55">
        <f t="shared" si="12"/>
        <v>26</v>
      </c>
      <c r="B43" s="66">
        <v>37561</v>
      </c>
      <c r="C43" s="55">
        <f t="shared" si="2"/>
        <v>0</v>
      </c>
      <c r="D43" s="55">
        <f t="shared" si="3"/>
        <v>3.5270000000000001</v>
      </c>
      <c r="E43" s="189">
        <f t="shared" si="17"/>
        <v>7.7500000000000124E-2</v>
      </c>
      <c r="F43" s="55">
        <f t="shared" si="13"/>
        <v>3.5270000000000001</v>
      </c>
      <c r="G43" s="68">
        <f t="shared" si="4"/>
        <v>0.29499999999999998</v>
      </c>
      <c r="H43" s="68">
        <v>0</v>
      </c>
      <c r="I43" s="68">
        <f t="shared" si="14"/>
        <v>0.29499999999999998</v>
      </c>
      <c r="J43" s="67">
        <f t="shared" ca="1" si="15"/>
        <v>1.0425991092742786</v>
      </c>
      <c r="K43" s="57">
        <f t="shared" si="5"/>
        <v>26</v>
      </c>
      <c r="L43" s="69">
        <f t="shared" si="6"/>
        <v>37557</v>
      </c>
      <c r="M43" s="59">
        <f t="shared" si="7"/>
        <v>6.9095832436425003E-2</v>
      </c>
      <c r="Z43" s="55">
        <f>[2]!'NGc26 cls'</f>
        <v>3.512</v>
      </c>
      <c r="AA43" s="55">
        <f>[2]!'NGc26 LAST'</f>
        <v>0</v>
      </c>
      <c r="AB43" s="71"/>
    </row>
    <row r="44" spans="1:28" x14ac:dyDescent="0.25">
      <c r="A44" s="55">
        <f t="shared" si="12"/>
        <v>27</v>
      </c>
      <c r="B44" s="66">
        <v>37591</v>
      </c>
      <c r="C44" s="55">
        <f t="shared" si="2"/>
        <v>0</v>
      </c>
      <c r="D44" s="55">
        <f t="shared" si="3"/>
        <v>3.6090000000000004</v>
      </c>
      <c r="E44" s="189">
        <f t="shared" si="17"/>
        <v>7.7500000000000124E-2</v>
      </c>
      <c r="F44" s="55">
        <f t="shared" si="13"/>
        <v>3.6090000000000004</v>
      </c>
      <c r="G44" s="68">
        <f t="shared" si="4"/>
        <v>0.29749999999999999</v>
      </c>
      <c r="H44" s="68">
        <v>0</v>
      </c>
      <c r="I44" s="68">
        <f t="shared" si="14"/>
        <v>0.29749999999999999</v>
      </c>
      <c r="J44" s="67">
        <f t="shared" ca="1" si="15"/>
        <v>1.0885998570377833</v>
      </c>
      <c r="K44" s="57">
        <f t="shared" si="5"/>
        <v>27</v>
      </c>
      <c r="L44" s="69">
        <f t="shared" si="6"/>
        <v>37585</v>
      </c>
      <c r="M44" s="59">
        <f t="shared" si="7"/>
        <v>6.9091816669514014E-2</v>
      </c>
      <c r="W44" s="67"/>
      <c r="X44" s="69"/>
      <c r="Y44" s="62"/>
      <c r="Z44" s="55">
        <f>[2]!'NGc27 cls'</f>
        <v>3.5979999999999999</v>
      </c>
      <c r="AA44" s="55">
        <f>[2]!'NGc27 LAST'</f>
        <v>0</v>
      </c>
      <c r="AB44" s="71"/>
    </row>
    <row r="45" spans="1:28" x14ac:dyDescent="0.25">
      <c r="A45" s="55">
        <f t="shared" si="12"/>
        <v>28</v>
      </c>
      <c r="B45" s="66">
        <v>37622</v>
      </c>
      <c r="C45" s="55">
        <f t="shared" si="2"/>
        <v>0</v>
      </c>
      <c r="D45" s="55">
        <f t="shared" si="3"/>
        <v>3.6019999999999999</v>
      </c>
      <c r="E45" s="189">
        <f t="shared" ref="E45:E56" si="18">N$10</f>
        <v>0</v>
      </c>
      <c r="F45" s="55">
        <f t="shared" si="13"/>
        <v>3.6019999999999999</v>
      </c>
      <c r="G45" s="68">
        <f t="shared" si="4"/>
        <v>0.28499999999999998</v>
      </c>
      <c r="H45" s="68">
        <v>0</v>
      </c>
      <c r="I45" s="68">
        <f t="shared" si="14"/>
        <v>0.28499999999999998</v>
      </c>
      <c r="J45" s="67">
        <f t="shared" ca="1" si="15"/>
        <v>1.0546201924605292</v>
      </c>
      <c r="K45" s="57">
        <f t="shared" si="5"/>
        <v>28</v>
      </c>
      <c r="L45" s="69">
        <f t="shared" si="6"/>
        <v>37616</v>
      </c>
      <c r="M45" s="59">
        <f t="shared" si="7"/>
        <v>6.9095762126817992E-2</v>
      </c>
      <c r="W45" s="67"/>
      <c r="X45" s="69"/>
      <c r="Y45" s="62"/>
      <c r="Z45" s="55">
        <f>[2]!'NGc28 cls'</f>
        <v>3.5910000000000002</v>
      </c>
      <c r="AA45" s="55">
        <f>[2]!'NGc28 LAST'</f>
        <v>0</v>
      </c>
      <c r="AB45" s="71"/>
    </row>
    <row r="46" spans="1:28" x14ac:dyDescent="0.25">
      <c r="A46" s="55">
        <f t="shared" si="12"/>
        <v>29</v>
      </c>
      <c r="B46" s="66">
        <v>37653</v>
      </c>
      <c r="C46" s="55">
        <f t="shared" si="2"/>
        <v>3.4950000000000001</v>
      </c>
      <c r="D46" s="55">
        <f t="shared" si="3"/>
        <v>3.46</v>
      </c>
      <c r="E46" s="189">
        <f t="shared" si="18"/>
        <v>0</v>
      </c>
      <c r="F46" s="55">
        <f t="shared" si="13"/>
        <v>3.46</v>
      </c>
      <c r="G46" s="68">
        <f t="shared" si="4"/>
        <v>0.28499999999999998</v>
      </c>
      <c r="H46" s="68">
        <v>0</v>
      </c>
      <c r="I46" s="68">
        <f t="shared" si="14"/>
        <v>0.28499999999999998</v>
      </c>
      <c r="J46" s="67">
        <f t="shared" ca="1" si="15"/>
        <v>1.0258145883022962</v>
      </c>
      <c r="K46" s="57">
        <f t="shared" si="5"/>
        <v>29</v>
      </c>
      <c r="L46" s="69">
        <f t="shared" si="6"/>
        <v>37649</v>
      </c>
      <c r="M46" s="59">
        <f t="shared" si="7"/>
        <v>6.9109537327938009E-2</v>
      </c>
      <c r="W46" s="67"/>
      <c r="X46" s="69"/>
      <c r="Y46" s="62"/>
      <c r="Z46" s="55">
        <f>[2]!'NGc29 cls'</f>
        <v>3.4489999999999998</v>
      </c>
      <c r="AA46" s="55">
        <f>[2]!'NGc29 LAST'</f>
        <v>3.4950000000000001</v>
      </c>
      <c r="AB46" s="71"/>
    </row>
    <row r="47" spans="1:28" x14ac:dyDescent="0.25">
      <c r="A47" s="55">
        <f t="shared" si="12"/>
        <v>30</v>
      </c>
      <c r="B47" s="66">
        <v>37681</v>
      </c>
      <c r="C47" s="55">
        <f t="shared" si="2"/>
        <v>0</v>
      </c>
      <c r="D47" s="55">
        <f t="shared" si="3"/>
        <v>3.29</v>
      </c>
      <c r="E47" s="189">
        <f t="shared" si="18"/>
        <v>0</v>
      </c>
      <c r="F47" s="55">
        <f t="shared" si="13"/>
        <v>3.29</v>
      </c>
      <c r="G47" s="68">
        <f t="shared" si="4"/>
        <v>0.27500000000000002</v>
      </c>
      <c r="H47" s="68">
        <v>0</v>
      </c>
      <c r="I47" s="68">
        <f t="shared" si="14"/>
        <v>0.27500000000000002</v>
      </c>
      <c r="J47" s="67">
        <f t="shared" ca="1" si="15"/>
        <v>0.95126367160376191</v>
      </c>
      <c r="K47" s="57">
        <f t="shared" si="5"/>
        <v>30</v>
      </c>
      <c r="L47" s="69">
        <f t="shared" si="6"/>
        <v>37677</v>
      </c>
      <c r="M47" s="59">
        <f t="shared" si="7"/>
        <v>6.9121979445132001E-2</v>
      </c>
      <c r="W47" s="67"/>
      <c r="X47" s="69"/>
      <c r="Y47" s="62"/>
      <c r="Z47" s="55">
        <f>[2]!'NGc30 cls'</f>
        <v>3.2789999999999999</v>
      </c>
      <c r="AA47" s="55">
        <f>[2]!'NGc30 LAST'</f>
        <v>0</v>
      </c>
      <c r="AB47" s="71"/>
    </row>
    <row r="48" spans="1:28" x14ac:dyDescent="0.25">
      <c r="A48" s="55">
        <f t="shared" si="12"/>
        <v>31</v>
      </c>
      <c r="B48" s="66">
        <v>37712</v>
      </c>
      <c r="C48" s="55">
        <f t="shared" si="2"/>
        <v>3.11</v>
      </c>
      <c r="D48" s="55">
        <f t="shared" si="3"/>
        <v>3.1120000000000001</v>
      </c>
      <c r="E48" s="189">
        <f t="shared" si="18"/>
        <v>0</v>
      </c>
      <c r="F48" s="55">
        <f t="shared" si="13"/>
        <v>3.1120000000000001</v>
      </c>
      <c r="G48" s="68">
        <f t="shared" si="4"/>
        <v>0.26250000000000001</v>
      </c>
      <c r="H48" s="68">
        <v>0</v>
      </c>
      <c r="I48" s="68">
        <f t="shared" si="14"/>
        <v>0.26250000000000001</v>
      </c>
      <c r="J48" s="67">
        <f t="shared" ca="1" si="15"/>
        <v>0.86812262157928544</v>
      </c>
      <c r="K48" s="57">
        <f t="shared" si="5"/>
        <v>31</v>
      </c>
      <c r="L48" s="69">
        <f t="shared" si="6"/>
        <v>37706</v>
      </c>
      <c r="M48" s="59">
        <f t="shared" si="7"/>
        <v>6.9125864762811004E-2</v>
      </c>
      <c r="W48" s="67"/>
      <c r="X48" s="69"/>
      <c r="Y48" s="62"/>
      <c r="Z48" s="55">
        <f>[2]!'NGc31 cls'</f>
        <v>3.101</v>
      </c>
      <c r="AA48" s="55">
        <f>[2]!'NGc31 LAST'</f>
        <v>3.11</v>
      </c>
      <c r="AB48" s="71"/>
    </row>
    <row r="49" spans="1:28" x14ac:dyDescent="0.25">
      <c r="A49" s="55">
        <f t="shared" si="12"/>
        <v>32</v>
      </c>
      <c r="B49" s="66">
        <v>37742</v>
      </c>
      <c r="C49" s="55">
        <f t="shared" si="2"/>
        <v>3.125</v>
      </c>
      <c r="D49" s="55">
        <f t="shared" si="3"/>
        <v>3.097</v>
      </c>
      <c r="E49" s="189">
        <f t="shared" si="18"/>
        <v>0</v>
      </c>
      <c r="F49" s="55">
        <f t="shared" si="13"/>
        <v>3.097</v>
      </c>
      <c r="G49" s="68">
        <f t="shared" si="4"/>
        <v>0.25750000000000001</v>
      </c>
      <c r="H49" s="68">
        <v>0</v>
      </c>
      <c r="I49" s="68">
        <f t="shared" si="14"/>
        <v>0.25750000000000001</v>
      </c>
      <c r="J49" s="56"/>
      <c r="K49" s="57">
        <f t="shared" si="5"/>
        <v>32</v>
      </c>
      <c r="L49" s="69">
        <f t="shared" si="6"/>
        <v>37736</v>
      </c>
      <c r="M49" s="59">
        <f t="shared" si="7"/>
        <v>6.9116714336692017E-2</v>
      </c>
      <c r="W49" s="67"/>
      <c r="X49" s="69"/>
      <c r="Y49" s="62"/>
      <c r="Z49" s="55">
        <f>[2]!'NGc32 cls'</f>
        <v>3.0859999999999999</v>
      </c>
      <c r="AA49" s="55">
        <f>[2]!'NGc32 LAST'</f>
        <v>3.125</v>
      </c>
      <c r="AB49" s="71"/>
    </row>
    <row r="50" spans="1:28" x14ac:dyDescent="0.25">
      <c r="A50" s="55">
        <f t="shared" si="12"/>
        <v>33</v>
      </c>
      <c r="B50" s="66">
        <v>37773</v>
      </c>
      <c r="C50" s="55">
        <f t="shared" si="2"/>
        <v>3.13</v>
      </c>
      <c r="D50" s="55">
        <f t="shared" si="3"/>
        <v>3.117</v>
      </c>
      <c r="E50" s="189">
        <f t="shared" si="18"/>
        <v>0</v>
      </c>
      <c r="F50" s="55">
        <f t="shared" si="13"/>
        <v>3.117</v>
      </c>
      <c r="G50" s="68">
        <f t="shared" si="4"/>
        <v>0.255</v>
      </c>
      <c r="H50" s="68">
        <v>0</v>
      </c>
      <c r="I50" s="68">
        <f t="shared" si="14"/>
        <v>0.255</v>
      </c>
      <c r="J50" s="56"/>
      <c r="K50" s="57">
        <f t="shared" ref="K50:K81" si="19">A50</f>
        <v>33</v>
      </c>
      <c r="L50" s="69">
        <f t="shared" ref="L50:L81" si="20">VLOOKUP(B50,expiration,3,FALSE)</f>
        <v>37768</v>
      </c>
      <c r="M50" s="59">
        <f t="shared" si="7"/>
        <v>6.9107258896399015E-2</v>
      </c>
      <c r="W50" s="67"/>
      <c r="X50" s="69"/>
      <c r="Y50" s="62"/>
      <c r="Z50" s="55">
        <f>[2]!'NGc33 cls'</f>
        <v>3.1059999999999999</v>
      </c>
      <c r="AA50" s="55">
        <f>[2]!'NGc33 LAST'</f>
        <v>3.13</v>
      </c>
      <c r="AB50" s="71"/>
    </row>
    <row r="51" spans="1:28" x14ac:dyDescent="0.25">
      <c r="A51" s="55">
        <f t="shared" si="12"/>
        <v>34</v>
      </c>
      <c r="B51" s="66">
        <v>37803</v>
      </c>
      <c r="C51" s="55">
        <f t="shared" si="2"/>
        <v>3.15</v>
      </c>
      <c r="D51" s="55">
        <f t="shared" si="3"/>
        <v>3.1390000000000002</v>
      </c>
      <c r="E51" s="189">
        <f t="shared" si="18"/>
        <v>0</v>
      </c>
      <c r="F51" s="55">
        <f t="shared" si="13"/>
        <v>3.1390000000000002</v>
      </c>
      <c r="G51" s="68">
        <f t="shared" si="4"/>
        <v>0.255</v>
      </c>
      <c r="H51" s="68">
        <v>0</v>
      </c>
      <c r="I51" s="68">
        <f t="shared" si="14"/>
        <v>0.255</v>
      </c>
      <c r="J51" s="56"/>
      <c r="K51" s="57">
        <f t="shared" si="19"/>
        <v>34</v>
      </c>
      <c r="L51" s="69">
        <f t="shared" si="20"/>
        <v>37797</v>
      </c>
      <c r="M51" s="59">
        <f t="shared" si="7"/>
        <v>6.9098977225039007E-2</v>
      </c>
      <c r="W51" s="67"/>
      <c r="X51" s="69"/>
      <c r="Y51" s="62"/>
      <c r="Z51" s="55">
        <f>[2]!'NGc34 cls'</f>
        <v>3.1280000000000001</v>
      </c>
      <c r="AA51" s="55">
        <f>[2]!'NGc34 LAST'</f>
        <v>3.15</v>
      </c>
      <c r="AB51" s="71"/>
    </row>
    <row r="52" spans="1:28" x14ac:dyDescent="0.25">
      <c r="A52" s="55">
        <f t="shared" si="12"/>
        <v>35</v>
      </c>
      <c r="B52" s="66">
        <v>37834</v>
      </c>
      <c r="C52" s="55">
        <f t="shared" si="2"/>
        <v>0</v>
      </c>
      <c r="D52" s="55">
        <f t="shared" si="3"/>
        <v>3.16</v>
      </c>
      <c r="E52" s="189">
        <f t="shared" si="18"/>
        <v>0</v>
      </c>
      <c r="F52" s="55">
        <f t="shared" si="13"/>
        <v>3.16</v>
      </c>
      <c r="G52" s="68">
        <f t="shared" si="4"/>
        <v>0.255</v>
      </c>
      <c r="H52" s="68">
        <v>0</v>
      </c>
      <c r="I52" s="68">
        <f t="shared" si="14"/>
        <v>0.255</v>
      </c>
      <c r="J52" s="56"/>
      <c r="K52" s="57">
        <f t="shared" si="19"/>
        <v>35</v>
      </c>
      <c r="L52" s="69">
        <f t="shared" si="20"/>
        <v>37830</v>
      </c>
      <c r="M52" s="59">
        <f t="shared" si="7"/>
        <v>6.9091668761529015E-2</v>
      </c>
      <c r="W52" s="67"/>
      <c r="X52" s="69"/>
      <c r="Y52" s="62"/>
      <c r="Z52" s="55">
        <f>[2]!'NGc35 cls'</f>
        <v>3.149</v>
      </c>
      <c r="AA52" s="55">
        <f>[2]!'NGc35 LAST'</f>
        <v>0</v>
      </c>
      <c r="AB52" s="71"/>
    </row>
    <row r="53" spans="1:28" x14ac:dyDescent="0.25">
      <c r="A53" s="55">
        <f t="shared" si="12"/>
        <v>36</v>
      </c>
      <c r="B53" s="66">
        <v>37865</v>
      </c>
      <c r="C53" s="55"/>
      <c r="D53" s="55">
        <f t="shared" si="3"/>
        <v>3.15</v>
      </c>
      <c r="E53" s="189">
        <f t="shared" si="18"/>
        <v>0</v>
      </c>
      <c r="F53" s="55">
        <f t="shared" si="13"/>
        <v>3.15</v>
      </c>
      <c r="G53" s="68">
        <f t="shared" si="4"/>
        <v>0.255</v>
      </c>
      <c r="H53" s="68">
        <v>0</v>
      </c>
      <c r="I53" s="68">
        <f t="shared" si="14"/>
        <v>0.255</v>
      </c>
      <c r="J53" s="56"/>
      <c r="K53" s="57">
        <f t="shared" si="19"/>
        <v>36</v>
      </c>
      <c r="L53" s="69">
        <f t="shared" si="20"/>
        <v>37859</v>
      </c>
      <c r="M53" s="59">
        <f t="shared" si="7"/>
        <v>6.9084360298035025E-2</v>
      </c>
      <c r="W53" s="67"/>
      <c r="X53" s="69"/>
      <c r="Y53" s="62"/>
      <c r="Z53" s="55">
        <f>[2]!'NGc36 cls'</f>
        <v>3.1389999999999998</v>
      </c>
      <c r="AA53" s="55">
        <f>[2]!'NGc36 LAST'</f>
        <v>0</v>
      </c>
      <c r="AB53" s="71"/>
    </row>
    <row r="54" spans="1:28" x14ac:dyDescent="0.25">
      <c r="A54" s="55">
        <f t="shared" si="12"/>
        <v>37</v>
      </c>
      <c r="B54" s="66">
        <v>37895</v>
      </c>
      <c r="C54" s="55"/>
      <c r="D54" s="55">
        <f t="shared" si="3"/>
        <v>3.1549999999999998</v>
      </c>
      <c r="E54" s="189">
        <f t="shared" si="18"/>
        <v>0</v>
      </c>
      <c r="F54" s="55">
        <f t="shared" si="13"/>
        <v>3.1549999999999998</v>
      </c>
      <c r="G54" s="68">
        <f t="shared" si="4"/>
        <v>0.255</v>
      </c>
      <c r="H54" s="68">
        <v>0</v>
      </c>
      <c r="I54" s="68">
        <f t="shared" si="14"/>
        <v>0.255</v>
      </c>
      <c r="J54" s="56"/>
      <c r="K54" s="57">
        <f t="shared" si="19"/>
        <v>37</v>
      </c>
      <c r="L54" s="69">
        <f t="shared" si="20"/>
        <v>37889</v>
      </c>
      <c r="M54" s="59">
        <f t="shared" si="7"/>
        <v>6.9077020617554011E-2</v>
      </c>
      <c r="W54" s="67"/>
      <c r="X54" s="69"/>
      <c r="Y54" s="62"/>
      <c r="Z54" s="62"/>
      <c r="AA54" s="70"/>
      <c r="AB54" s="71"/>
    </row>
    <row r="55" spans="1:28" x14ac:dyDescent="0.25">
      <c r="A55" s="55">
        <f t="shared" si="12"/>
        <v>38</v>
      </c>
      <c r="B55" s="66">
        <v>37926</v>
      </c>
      <c r="C55" s="55"/>
      <c r="D55" s="55">
        <f t="shared" si="3"/>
        <v>3.2469999999999999</v>
      </c>
      <c r="E55" s="189">
        <f t="shared" si="18"/>
        <v>0</v>
      </c>
      <c r="F55" s="55">
        <f t="shared" si="13"/>
        <v>3.2469999999999999</v>
      </c>
      <c r="G55" s="68">
        <f t="shared" si="4"/>
        <v>0.26500000000000001</v>
      </c>
      <c r="H55" s="68">
        <v>0</v>
      </c>
      <c r="I55" s="68">
        <f t="shared" si="14"/>
        <v>0.26500000000000001</v>
      </c>
      <c r="J55" s="56"/>
      <c r="K55" s="57">
        <f t="shared" si="19"/>
        <v>38</v>
      </c>
      <c r="L55" s="69">
        <f t="shared" si="20"/>
        <v>37922</v>
      </c>
      <c r="M55" s="59">
        <f t="shared" si="7"/>
        <v>6.9069100944941009E-2</v>
      </c>
      <c r="W55" s="67"/>
      <c r="X55" s="69"/>
      <c r="Y55" s="62"/>
      <c r="Z55" s="62"/>
      <c r="AA55" s="70"/>
      <c r="AB55" s="71"/>
    </row>
    <row r="56" spans="1:28" x14ac:dyDescent="0.25">
      <c r="A56" s="55">
        <f t="shared" si="12"/>
        <v>39</v>
      </c>
      <c r="B56" s="66">
        <v>37956</v>
      </c>
      <c r="C56" s="55"/>
      <c r="D56" s="55">
        <f t="shared" si="3"/>
        <v>3.3290000000000006</v>
      </c>
      <c r="E56" s="189">
        <f t="shared" si="18"/>
        <v>0</v>
      </c>
      <c r="F56" s="55">
        <f t="shared" si="13"/>
        <v>3.3290000000000006</v>
      </c>
      <c r="G56" s="68">
        <f t="shared" si="4"/>
        <v>0.27</v>
      </c>
      <c r="H56" s="68">
        <v>0</v>
      </c>
      <c r="I56" s="68">
        <f t="shared" si="14"/>
        <v>0.27</v>
      </c>
      <c r="J56" s="56"/>
      <c r="K56" s="57">
        <f t="shared" si="19"/>
        <v>39</v>
      </c>
      <c r="L56" s="69">
        <f t="shared" si="20"/>
        <v>37949</v>
      </c>
      <c r="M56" s="59">
        <f t="shared" si="7"/>
        <v>6.9061436745656998E-2</v>
      </c>
      <c r="W56" s="67"/>
      <c r="X56" s="69"/>
      <c r="Y56" s="62"/>
      <c r="Z56" s="62"/>
      <c r="AA56" s="70"/>
      <c r="AB56" s="71"/>
    </row>
    <row r="57" spans="1:28" x14ac:dyDescent="0.25">
      <c r="A57" s="55">
        <f t="shared" si="12"/>
        <v>40</v>
      </c>
      <c r="B57" s="66">
        <v>37987</v>
      </c>
      <c r="C57" s="55"/>
      <c r="D57" s="55">
        <f t="shared" si="3"/>
        <v>3.4740000000000002</v>
      </c>
      <c r="E57" s="189">
        <f t="shared" ref="E57:E88" si="21">N$11</f>
        <v>0</v>
      </c>
      <c r="F57" s="55">
        <f t="shared" si="13"/>
        <v>3.4740000000000002</v>
      </c>
      <c r="G57" s="68">
        <f t="shared" si="4"/>
        <v>0.28749999999999998</v>
      </c>
      <c r="H57" s="68">
        <v>0</v>
      </c>
      <c r="I57" s="68">
        <f t="shared" si="14"/>
        <v>0.28749999999999998</v>
      </c>
      <c r="J57" s="56"/>
      <c r="K57" s="57">
        <f t="shared" si="19"/>
        <v>40</v>
      </c>
      <c r="L57" s="69">
        <f t="shared" si="20"/>
        <v>37981</v>
      </c>
      <c r="M57" s="59">
        <f t="shared" si="7"/>
        <v>6.9060876284692999E-2</v>
      </c>
      <c r="W57" s="67"/>
      <c r="X57" s="69"/>
      <c r="Y57" s="62"/>
      <c r="Z57" s="62"/>
      <c r="AA57" s="70"/>
      <c r="AB57" s="71"/>
    </row>
    <row r="58" spans="1:28" x14ac:dyDescent="0.25">
      <c r="A58" s="55">
        <f t="shared" si="12"/>
        <v>41</v>
      </c>
      <c r="B58" s="66">
        <v>38018</v>
      </c>
      <c r="C58" s="55"/>
      <c r="D58" s="55">
        <f t="shared" si="3"/>
        <v>3.3360000000000003</v>
      </c>
      <c r="E58" s="189">
        <f t="shared" si="21"/>
        <v>0</v>
      </c>
      <c r="F58" s="55">
        <f t="shared" si="13"/>
        <v>3.3360000000000003</v>
      </c>
      <c r="G58" s="68">
        <f t="shared" si="4"/>
        <v>0.27500000000000002</v>
      </c>
      <c r="H58" s="68">
        <v>0</v>
      </c>
      <c r="I58" s="68">
        <f t="shared" si="14"/>
        <v>0.27500000000000002</v>
      </c>
      <c r="J58" s="56"/>
      <c r="K58" s="57">
        <f t="shared" si="19"/>
        <v>41</v>
      </c>
      <c r="L58" s="69">
        <f t="shared" si="20"/>
        <v>38013</v>
      </c>
      <c r="M58" s="59">
        <f t="shared" si="7"/>
        <v>6.9068165649462027E-2</v>
      </c>
      <c r="W58" s="67"/>
      <c r="X58" s="69"/>
      <c r="Y58" s="62"/>
      <c r="Z58" s="62"/>
      <c r="AA58" s="70"/>
      <c r="AB58" s="71"/>
    </row>
    <row r="59" spans="1:28" x14ac:dyDescent="0.25">
      <c r="A59" s="55">
        <f t="shared" si="12"/>
        <v>42</v>
      </c>
      <c r="B59" s="66">
        <v>38047</v>
      </c>
      <c r="C59" s="55"/>
      <c r="D59" s="55">
        <f t="shared" si="3"/>
        <v>3.1690000000000005</v>
      </c>
      <c r="E59" s="189">
        <f t="shared" si="21"/>
        <v>0</v>
      </c>
      <c r="F59" s="55">
        <f t="shared" si="13"/>
        <v>3.1690000000000005</v>
      </c>
      <c r="G59" s="68">
        <f t="shared" si="4"/>
        <v>0.27250000000000002</v>
      </c>
      <c r="H59" s="68">
        <v>0</v>
      </c>
      <c r="I59" s="68">
        <f t="shared" si="14"/>
        <v>0.27250000000000002</v>
      </c>
      <c r="J59" s="56"/>
      <c r="K59" s="57">
        <f t="shared" si="19"/>
        <v>42</v>
      </c>
      <c r="L59" s="69">
        <f t="shared" si="20"/>
        <v>38041</v>
      </c>
      <c r="M59" s="59">
        <f t="shared" si="7"/>
        <v>6.9074984732649017E-2</v>
      </c>
      <c r="W59" s="67"/>
      <c r="X59" s="69"/>
      <c r="Y59" s="62"/>
      <c r="Z59" s="62"/>
      <c r="AA59" s="70"/>
      <c r="AB59" s="71"/>
    </row>
    <row r="60" spans="1:28" x14ac:dyDescent="0.25">
      <c r="A60" s="55">
        <f t="shared" si="12"/>
        <v>43</v>
      </c>
      <c r="B60" s="66">
        <f t="shared" ref="B60:B91" si="22">DATE(YEAR(B59),MONTH(B59)+1,1)</f>
        <v>38078</v>
      </c>
      <c r="C60" s="55"/>
      <c r="D60" s="55">
        <f t="shared" si="3"/>
        <v>2.9940000000000002</v>
      </c>
      <c r="E60" s="189">
        <f t="shared" si="21"/>
        <v>0</v>
      </c>
      <c r="F60" s="55">
        <f t="shared" si="13"/>
        <v>2.9940000000000002</v>
      </c>
      <c r="G60" s="68">
        <f t="shared" si="4"/>
        <v>0.2525</v>
      </c>
      <c r="H60" s="68">
        <v>0</v>
      </c>
      <c r="I60" s="68">
        <f t="shared" si="14"/>
        <v>0.2525</v>
      </c>
      <c r="J60" s="56"/>
      <c r="K60" s="57">
        <f t="shared" si="19"/>
        <v>43</v>
      </c>
      <c r="L60" s="69">
        <f t="shared" si="20"/>
        <v>38072</v>
      </c>
      <c r="M60" s="59">
        <f t="shared" si="7"/>
        <v>6.9075819107611999E-2</v>
      </c>
      <c r="W60" s="67"/>
      <c r="X60" s="69"/>
      <c r="Y60" s="62"/>
      <c r="Z60" s="62"/>
      <c r="AA60" s="70"/>
      <c r="AB60" s="71"/>
    </row>
    <row r="61" spans="1:28" x14ac:dyDescent="0.25">
      <c r="A61" s="55">
        <f t="shared" si="12"/>
        <v>44</v>
      </c>
      <c r="B61" s="66">
        <f t="shared" si="22"/>
        <v>38108</v>
      </c>
      <c r="C61" s="55"/>
      <c r="D61" s="55">
        <f t="shared" si="3"/>
        <v>2.98</v>
      </c>
      <c r="E61" s="189">
        <f t="shared" si="21"/>
        <v>0</v>
      </c>
      <c r="F61" s="55">
        <f t="shared" si="13"/>
        <v>2.98</v>
      </c>
      <c r="G61" s="68">
        <f t="shared" si="4"/>
        <v>0.2525</v>
      </c>
      <c r="H61" s="68">
        <v>0</v>
      </c>
      <c r="I61" s="68">
        <f t="shared" si="14"/>
        <v>0.2525</v>
      </c>
      <c r="J61" s="56"/>
      <c r="K61" s="57">
        <f t="shared" si="19"/>
        <v>44</v>
      </c>
      <c r="L61" s="69">
        <f t="shared" si="20"/>
        <v>38104</v>
      </c>
      <c r="M61" s="59">
        <f t="shared" si="7"/>
        <v>6.9069963351949024E-2</v>
      </c>
      <c r="W61" s="67"/>
      <c r="X61" s="69"/>
      <c r="Y61" s="62"/>
      <c r="Z61" s="62"/>
      <c r="AA61" s="70"/>
      <c r="AB61" s="71"/>
    </row>
    <row r="62" spans="1:28" x14ac:dyDescent="0.25">
      <c r="A62" s="55">
        <f t="shared" si="12"/>
        <v>45</v>
      </c>
      <c r="B62" s="66">
        <f t="shared" si="22"/>
        <v>38139</v>
      </c>
      <c r="C62" s="55"/>
      <c r="D62" s="55">
        <f t="shared" si="3"/>
        <v>3.0010000000000003</v>
      </c>
      <c r="E62" s="189">
        <f t="shared" si="21"/>
        <v>0</v>
      </c>
      <c r="F62" s="55">
        <f t="shared" si="13"/>
        <v>3.0010000000000003</v>
      </c>
      <c r="G62" s="68">
        <f t="shared" si="4"/>
        <v>0.2525</v>
      </c>
      <c r="H62" s="68">
        <v>0</v>
      </c>
      <c r="I62" s="68">
        <f t="shared" si="14"/>
        <v>0.2525</v>
      </c>
      <c r="J62" s="56"/>
      <c r="K62" s="57">
        <f t="shared" si="19"/>
        <v>45</v>
      </c>
      <c r="L62" s="69">
        <f t="shared" si="20"/>
        <v>38132</v>
      </c>
      <c r="M62" s="59">
        <f t="shared" si="7"/>
        <v>6.9063912404441014E-2</v>
      </c>
      <c r="W62" s="67"/>
      <c r="X62" s="69"/>
      <c r="Y62" s="62"/>
      <c r="Z62" s="62"/>
      <c r="AA62" s="70"/>
      <c r="AB62" s="71"/>
    </row>
    <row r="63" spans="1:28" x14ac:dyDescent="0.25">
      <c r="A63" s="55">
        <f t="shared" si="12"/>
        <v>46</v>
      </c>
      <c r="B63" s="66">
        <f t="shared" si="22"/>
        <v>38169</v>
      </c>
      <c r="C63" s="55"/>
      <c r="D63" s="55">
        <f t="shared" si="3"/>
        <v>3.0230000000000001</v>
      </c>
      <c r="E63" s="189">
        <f t="shared" si="21"/>
        <v>0</v>
      </c>
      <c r="F63" s="55">
        <f t="shared" si="13"/>
        <v>3.0230000000000001</v>
      </c>
      <c r="G63" s="68">
        <f t="shared" si="4"/>
        <v>0.25</v>
      </c>
      <c r="H63" s="68">
        <v>0</v>
      </c>
      <c r="I63" s="68">
        <f t="shared" si="14"/>
        <v>0.25</v>
      </c>
      <c r="J63" s="56"/>
      <c r="K63" s="57">
        <f t="shared" si="19"/>
        <v>46</v>
      </c>
      <c r="L63" s="69">
        <f t="shared" si="20"/>
        <v>38163</v>
      </c>
      <c r="M63" s="59">
        <f t="shared" si="7"/>
        <v>6.9069004174273016E-2</v>
      </c>
      <c r="W63" s="67"/>
      <c r="X63" s="69"/>
      <c r="Y63" s="62"/>
      <c r="Z63" s="62"/>
      <c r="AA63" s="70"/>
      <c r="AB63" s="71"/>
    </row>
    <row r="64" spans="1:28" x14ac:dyDescent="0.25">
      <c r="A64" s="55">
        <f t="shared" si="12"/>
        <v>47</v>
      </c>
      <c r="B64" s="66">
        <f t="shared" si="22"/>
        <v>38200</v>
      </c>
      <c r="C64" s="55"/>
      <c r="D64" s="55">
        <f t="shared" si="3"/>
        <v>3.0440000000000005</v>
      </c>
      <c r="E64" s="189">
        <f t="shared" si="21"/>
        <v>0</v>
      </c>
      <c r="F64" s="55">
        <f t="shared" si="13"/>
        <v>3.0440000000000005</v>
      </c>
      <c r="G64" s="68">
        <f t="shared" si="4"/>
        <v>0.25</v>
      </c>
      <c r="H64" s="68">
        <v>0</v>
      </c>
      <c r="I64" s="68">
        <f t="shared" si="14"/>
        <v>0.25</v>
      </c>
      <c r="J64" s="56"/>
      <c r="K64" s="57">
        <f t="shared" si="19"/>
        <v>47</v>
      </c>
      <c r="L64" s="69">
        <f t="shared" si="20"/>
        <v>38195</v>
      </c>
      <c r="M64" s="59">
        <f t="shared" si="7"/>
        <v>6.9087194176122024E-2</v>
      </c>
      <c r="W64" s="67"/>
      <c r="X64" s="69"/>
      <c r="Y64" s="62"/>
      <c r="Z64" s="62"/>
      <c r="AA64" s="70"/>
      <c r="AB64" s="71"/>
    </row>
    <row r="65" spans="1:54" x14ac:dyDescent="0.25">
      <c r="A65" s="55">
        <f t="shared" si="12"/>
        <v>48</v>
      </c>
      <c r="B65" s="66">
        <f t="shared" si="22"/>
        <v>38231</v>
      </c>
      <c r="C65"/>
      <c r="D65" s="55">
        <f t="shared" si="3"/>
        <v>3.0330000000000004</v>
      </c>
      <c r="E65" s="189">
        <f t="shared" si="21"/>
        <v>0</v>
      </c>
      <c r="F65" s="55">
        <f t="shared" si="13"/>
        <v>3.0330000000000004</v>
      </c>
      <c r="G65" s="68">
        <f t="shared" si="4"/>
        <v>0.25</v>
      </c>
      <c r="H65" s="68">
        <v>0</v>
      </c>
      <c r="I65" s="68">
        <f t="shared" si="14"/>
        <v>0.25</v>
      </c>
      <c r="J65" s="56"/>
      <c r="K65" s="57">
        <f t="shared" si="19"/>
        <v>48</v>
      </c>
      <c r="L65" s="69">
        <f t="shared" si="20"/>
        <v>38225</v>
      </c>
      <c r="M65" s="59">
        <f t="shared" si="7"/>
        <v>6.9105384178080001E-2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 x14ac:dyDescent="0.25">
      <c r="A66" s="55">
        <f t="shared" si="12"/>
        <v>49</v>
      </c>
      <c r="B66" s="66">
        <f t="shared" si="22"/>
        <v>38261</v>
      </c>
      <c r="C66"/>
      <c r="D66" s="55">
        <f t="shared" si="3"/>
        <v>3.0369999999999999</v>
      </c>
      <c r="E66" s="189">
        <f t="shared" si="21"/>
        <v>0</v>
      </c>
      <c r="F66" s="55">
        <f t="shared" si="13"/>
        <v>3.0369999999999999</v>
      </c>
      <c r="G66" s="68">
        <f t="shared" si="4"/>
        <v>0.25</v>
      </c>
      <c r="H66" s="68">
        <v>0</v>
      </c>
      <c r="I66" s="68">
        <f t="shared" si="14"/>
        <v>0.25</v>
      </c>
      <c r="J66" s="56"/>
      <c r="K66" s="57">
        <f t="shared" si="19"/>
        <v>49</v>
      </c>
      <c r="L66" s="69">
        <f t="shared" si="20"/>
        <v>38257</v>
      </c>
      <c r="M66" s="59">
        <f t="shared" si="7"/>
        <v>6.9122987405887029E-2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 x14ac:dyDescent="0.25">
      <c r="A67" s="55">
        <f t="shared" si="12"/>
        <v>50</v>
      </c>
      <c r="B67" s="66">
        <f t="shared" si="22"/>
        <v>38292</v>
      </c>
      <c r="C67"/>
      <c r="D67" s="55">
        <f t="shared" si="3"/>
        <v>3.1240000000000006</v>
      </c>
      <c r="E67" s="189">
        <f t="shared" si="21"/>
        <v>0</v>
      </c>
      <c r="F67" s="55">
        <f t="shared" si="13"/>
        <v>3.1240000000000006</v>
      </c>
      <c r="G67" s="68">
        <f t="shared" si="4"/>
        <v>0.2525</v>
      </c>
      <c r="H67" s="68">
        <v>0</v>
      </c>
      <c r="I67" s="68">
        <f t="shared" si="14"/>
        <v>0.2525</v>
      </c>
      <c r="J67" s="56"/>
      <c r="K67" s="57">
        <f t="shared" si="19"/>
        <v>50</v>
      </c>
      <c r="L67" s="69">
        <f t="shared" si="20"/>
        <v>38286</v>
      </c>
      <c r="M67" s="59">
        <f t="shared" si="7"/>
        <v>6.9141177408060014E-2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 x14ac:dyDescent="0.25">
      <c r="A68" s="55">
        <f t="shared" si="12"/>
        <v>51</v>
      </c>
      <c r="B68" s="66">
        <f t="shared" si="22"/>
        <v>38322</v>
      </c>
      <c r="C68"/>
      <c r="D68" s="55">
        <f t="shared" si="3"/>
        <v>3.2030000000000003</v>
      </c>
      <c r="E68" s="189">
        <f t="shared" si="21"/>
        <v>0</v>
      </c>
      <c r="F68" s="55">
        <f t="shared" si="13"/>
        <v>3.2030000000000003</v>
      </c>
      <c r="G68" s="68">
        <f t="shared" si="4"/>
        <v>0.255</v>
      </c>
      <c r="H68" s="68">
        <v>0</v>
      </c>
      <c r="I68" s="68">
        <f t="shared" si="14"/>
        <v>0.255</v>
      </c>
      <c r="J68" s="56"/>
      <c r="K68" s="57">
        <f t="shared" si="19"/>
        <v>51</v>
      </c>
      <c r="L68" s="69">
        <f t="shared" si="20"/>
        <v>38315</v>
      </c>
      <c r="M68" s="59">
        <f t="shared" si="7"/>
        <v>6.9158780636075001E-2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 x14ac:dyDescent="0.25">
      <c r="A69" s="55">
        <f t="shared" si="12"/>
        <v>52</v>
      </c>
      <c r="B69" s="66">
        <f t="shared" si="22"/>
        <v>38353</v>
      </c>
      <c r="C69"/>
      <c r="D69" s="55">
        <f t="shared" si="3"/>
        <v>3.4160000000000004</v>
      </c>
      <c r="E69" s="189">
        <f t="shared" si="21"/>
        <v>0</v>
      </c>
      <c r="F69" s="55">
        <f t="shared" si="13"/>
        <v>3.4160000000000004</v>
      </c>
      <c r="G69" s="68">
        <f t="shared" si="4"/>
        <v>0.26</v>
      </c>
      <c r="H69" s="68">
        <v>0</v>
      </c>
      <c r="I69" s="68">
        <f t="shared" si="14"/>
        <v>0.26</v>
      </c>
      <c r="J69" s="56"/>
      <c r="K69" s="57">
        <f t="shared" si="19"/>
        <v>52</v>
      </c>
      <c r="L69" s="69">
        <f t="shared" si="20"/>
        <v>38348</v>
      </c>
      <c r="M69" s="59">
        <f t="shared" si="7"/>
        <v>6.9176970638464022E-2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 x14ac:dyDescent="0.25">
      <c r="A70" s="55">
        <f t="shared" si="12"/>
        <v>53</v>
      </c>
      <c r="B70" s="66">
        <f t="shared" si="22"/>
        <v>38384</v>
      </c>
      <c r="C70"/>
      <c r="D70" s="55">
        <f t="shared" si="3"/>
        <v>3.282</v>
      </c>
      <c r="E70" s="189">
        <f t="shared" si="21"/>
        <v>0</v>
      </c>
      <c r="F70" s="55">
        <f t="shared" si="13"/>
        <v>3.282</v>
      </c>
      <c r="G70" s="68">
        <f t="shared" si="4"/>
        <v>0.2475</v>
      </c>
      <c r="H70" s="68">
        <v>0</v>
      </c>
      <c r="I70" s="68">
        <f t="shared" si="14"/>
        <v>0.2475</v>
      </c>
      <c r="J70" s="56"/>
      <c r="K70" s="57">
        <f t="shared" si="19"/>
        <v>53</v>
      </c>
      <c r="L70" s="69">
        <f t="shared" si="20"/>
        <v>38378</v>
      </c>
      <c r="M70" s="59">
        <f t="shared" si="7"/>
        <v>6.9195160640961997E-2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 x14ac:dyDescent="0.25">
      <c r="A71" s="55">
        <f t="shared" si="12"/>
        <v>54</v>
      </c>
      <c r="B71" s="66">
        <f t="shared" si="22"/>
        <v>38412</v>
      </c>
      <c r="C71"/>
      <c r="D71" s="55">
        <f t="shared" si="3"/>
        <v>3.1180000000000003</v>
      </c>
      <c r="E71" s="189">
        <f t="shared" si="21"/>
        <v>0</v>
      </c>
      <c r="F71" s="55">
        <f t="shared" si="13"/>
        <v>3.1180000000000003</v>
      </c>
      <c r="G71" s="68">
        <f t="shared" si="4"/>
        <v>0.24249999999999999</v>
      </c>
      <c r="H71" s="68">
        <v>0</v>
      </c>
      <c r="I71" s="68">
        <f t="shared" si="14"/>
        <v>0.24249999999999999</v>
      </c>
      <c r="J71" s="56"/>
      <c r="K71" s="57">
        <f t="shared" si="19"/>
        <v>54</v>
      </c>
      <c r="L71" s="69">
        <f t="shared" si="20"/>
        <v>38406</v>
      </c>
      <c r="M71" s="59">
        <f t="shared" si="7"/>
        <v>6.9211590320732999E-2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 x14ac:dyDescent="0.25">
      <c r="A72" s="55">
        <f t="shared" si="12"/>
        <v>55</v>
      </c>
      <c r="B72" s="66">
        <f t="shared" si="22"/>
        <v>38443</v>
      </c>
      <c r="C72"/>
      <c r="D72" s="55">
        <f t="shared" si="3"/>
        <v>2.9460000000000002</v>
      </c>
      <c r="E72" s="189">
        <f t="shared" si="21"/>
        <v>0</v>
      </c>
      <c r="F72" s="55">
        <f t="shared" si="13"/>
        <v>2.9460000000000002</v>
      </c>
      <c r="G72" s="68">
        <f t="shared" si="4"/>
        <v>0.23</v>
      </c>
      <c r="H72" s="68">
        <v>0</v>
      </c>
      <c r="I72" s="68">
        <f t="shared" si="14"/>
        <v>0.23</v>
      </c>
      <c r="J72" s="56"/>
      <c r="K72" s="57">
        <f t="shared" si="19"/>
        <v>55</v>
      </c>
      <c r="L72" s="69">
        <f t="shared" si="20"/>
        <v>38439</v>
      </c>
      <c r="M72" s="59">
        <f t="shared" si="7"/>
        <v>6.9229780323440002E-2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 x14ac:dyDescent="0.25">
      <c r="A73" s="55">
        <f t="shared" si="12"/>
        <v>56</v>
      </c>
      <c r="B73" s="66">
        <f t="shared" si="22"/>
        <v>38473</v>
      </c>
      <c r="C73"/>
      <c r="D73" s="55">
        <f t="shared" si="3"/>
        <v>2.9330000000000003</v>
      </c>
      <c r="E73" s="189">
        <f t="shared" si="21"/>
        <v>0</v>
      </c>
      <c r="F73" s="55">
        <f t="shared" si="13"/>
        <v>2.9330000000000003</v>
      </c>
      <c r="G73" s="68">
        <f t="shared" si="4"/>
        <v>0.23</v>
      </c>
      <c r="H73" s="68">
        <v>0</v>
      </c>
      <c r="I73" s="68">
        <f t="shared" si="14"/>
        <v>0.23</v>
      </c>
      <c r="J73" s="56"/>
      <c r="K73" s="57">
        <f t="shared" si="19"/>
        <v>56</v>
      </c>
      <c r="L73" s="69">
        <f t="shared" si="20"/>
        <v>38468</v>
      </c>
      <c r="M73" s="59">
        <f t="shared" si="7"/>
        <v>6.9247383551970007E-2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 x14ac:dyDescent="0.25">
      <c r="A74" s="55">
        <f t="shared" si="12"/>
        <v>57</v>
      </c>
      <c r="B74" s="66">
        <f t="shared" si="22"/>
        <v>38504</v>
      </c>
      <c r="C74"/>
      <c r="D74" s="55">
        <f t="shared" si="3"/>
        <v>2.9550000000000001</v>
      </c>
      <c r="E74" s="189">
        <f t="shared" si="21"/>
        <v>0</v>
      </c>
      <c r="F74" s="55">
        <f t="shared" si="13"/>
        <v>2.9550000000000001</v>
      </c>
      <c r="G74" s="68">
        <f t="shared" si="4"/>
        <v>0.23</v>
      </c>
      <c r="H74" s="68">
        <v>0</v>
      </c>
      <c r="I74" s="68">
        <f t="shared" si="14"/>
        <v>0.23</v>
      </c>
      <c r="J74" s="56"/>
      <c r="K74" s="57">
        <f t="shared" si="19"/>
        <v>57</v>
      </c>
      <c r="L74" s="69">
        <f t="shared" si="20"/>
        <v>38497</v>
      </c>
      <c r="M74" s="59">
        <f t="shared" si="7"/>
        <v>6.9265573554892018E-2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 x14ac:dyDescent="0.25">
      <c r="A75" s="55">
        <f t="shared" si="12"/>
        <v>58</v>
      </c>
      <c r="B75" s="66">
        <f t="shared" si="22"/>
        <v>38534</v>
      </c>
      <c r="C75"/>
      <c r="D75" s="55">
        <f t="shared" si="3"/>
        <v>2.9769999999999999</v>
      </c>
      <c r="E75" s="189">
        <f t="shared" si="21"/>
        <v>0</v>
      </c>
      <c r="F75" s="55">
        <f t="shared" si="13"/>
        <v>2.9769999999999999</v>
      </c>
      <c r="G75" s="68">
        <f t="shared" si="4"/>
        <v>0.23</v>
      </c>
      <c r="H75" s="68">
        <v>0</v>
      </c>
      <c r="I75" s="68">
        <f t="shared" si="14"/>
        <v>0.23</v>
      </c>
      <c r="J75" s="56"/>
      <c r="K75" s="57">
        <f t="shared" si="19"/>
        <v>58</v>
      </c>
      <c r="L75" s="69">
        <f t="shared" si="20"/>
        <v>38530</v>
      </c>
      <c r="M75" s="59">
        <f t="shared" si="7"/>
        <v>6.9283176783631023E-2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 x14ac:dyDescent="0.25">
      <c r="A76" s="55">
        <f t="shared" si="12"/>
        <v>59</v>
      </c>
      <c r="B76" s="66">
        <f t="shared" si="22"/>
        <v>38565</v>
      </c>
      <c r="C76"/>
      <c r="D76" s="55">
        <f t="shared" si="3"/>
        <v>2.9980000000000002</v>
      </c>
      <c r="E76" s="189">
        <f t="shared" si="21"/>
        <v>0</v>
      </c>
      <c r="F76" s="55">
        <f t="shared" si="13"/>
        <v>2.9980000000000002</v>
      </c>
      <c r="G76" s="68">
        <f t="shared" si="4"/>
        <v>0.23</v>
      </c>
      <c r="H76" s="68">
        <v>0</v>
      </c>
      <c r="I76" s="68">
        <f t="shared" si="14"/>
        <v>0.23</v>
      </c>
      <c r="J76" s="56"/>
      <c r="K76" s="57">
        <f t="shared" si="19"/>
        <v>59</v>
      </c>
      <c r="L76" s="69">
        <f t="shared" si="20"/>
        <v>38559</v>
      </c>
      <c r="M76" s="59">
        <f t="shared" si="7"/>
        <v>6.9301366786768015E-2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 x14ac:dyDescent="0.25">
      <c r="A77" s="55">
        <f t="shared" si="12"/>
        <v>60</v>
      </c>
      <c r="B77" s="66">
        <f t="shared" si="22"/>
        <v>38596</v>
      </c>
      <c r="C77"/>
      <c r="D77" s="55">
        <f t="shared" si="3"/>
        <v>2.9860000000000002</v>
      </c>
      <c r="E77" s="189">
        <f t="shared" si="21"/>
        <v>0</v>
      </c>
      <c r="F77" s="55">
        <f t="shared" si="13"/>
        <v>2.9860000000000002</v>
      </c>
      <c r="G77" s="68">
        <f t="shared" si="4"/>
        <v>0.23</v>
      </c>
      <c r="H77" s="68">
        <v>0</v>
      </c>
      <c r="I77" s="68">
        <f t="shared" si="14"/>
        <v>0.23</v>
      </c>
      <c r="J77" s="56"/>
      <c r="K77" s="57">
        <f t="shared" si="19"/>
        <v>60</v>
      </c>
      <c r="L77" s="69">
        <f t="shared" si="20"/>
        <v>38590</v>
      </c>
      <c r="M77" s="59">
        <f t="shared" si="7"/>
        <v>6.9319556790016015E-2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 x14ac:dyDescent="0.25">
      <c r="A78" s="55">
        <f t="shared" si="12"/>
        <v>61</v>
      </c>
      <c r="B78" s="66">
        <f t="shared" si="22"/>
        <v>38626</v>
      </c>
      <c r="C78"/>
      <c r="D78" s="55">
        <f t="shared" si="3"/>
        <v>2.9890000000000003</v>
      </c>
      <c r="E78" s="189">
        <f t="shared" si="21"/>
        <v>0</v>
      </c>
      <c r="F78" s="55">
        <f t="shared" si="13"/>
        <v>2.9890000000000003</v>
      </c>
      <c r="G78" s="68">
        <f t="shared" si="4"/>
        <v>0.23</v>
      </c>
      <c r="H78" s="68">
        <v>0</v>
      </c>
      <c r="I78" s="68">
        <f t="shared" si="14"/>
        <v>0.23</v>
      </c>
      <c r="J78" s="56"/>
      <c r="K78" s="57">
        <f t="shared" si="19"/>
        <v>61</v>
      </c>
      <c r="L78" s="69">
        <f t="shared" si="20"/>
        <v>38622</v>
      </c>
      <c r="M78" s="59">
        <f t="shared" si="7"/>
        <v>6.9335600640494002E-2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 x14ac:dyDescent="0.25">
      <c r="A79" s="55">
        <f t="shared" si="12"/>
        <v>62</v>
      </c>
      <c r="B79" s="66">
        <f t="shared" si="22"/>
        <v>38657</v>
      </c>
      <c r="C79"/>
      <c r="D79" s="55">
        <f t="shared" si="3"/>
        <v>3.0710000000000002</v>
      </c>
      <c r="E79" s="189">
        <f t="shared" si="21"/>
        <v>0</v>
      </c>
      <c r="F79" s="55">
        <f t="shared" si="13"/>
        <v>3.0710000000000002</v>
      </c>
      <c r="G79" s="68">
        <f t="shared" si="4"/>
        <v>0.23</v>
      </c>
      <c r="H79" s="68">
        <v>0</v>
      </c>
      <c r="I79" s="68">
        <f t="shared" si="14"/>
        <v>0.23</v>
      </c>
      <c r="J79" s="56"/>
      <c r="K79" s="57">
        <f t="shared" si="19"/>
        <v>62</v>
      </c>
      <c r="L79" s="69">
        <f t="shared" si="20"/>
        <v>38651</v>
      </c>
      <c r="M79" s="59">
        <f t="shared" si="7"/>
        <v>6.9351857014504012E-2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 x14ac:dyDescent="0.25">
      <c r="A80" s="55">
        <f t="shared" si="12"/>
        <v>63</v>
      </c>
      <c r="B80" s="66">
        <f t="shared" si="22"/>
        <v>38687</v>
      </c>
      <c r="C80"/>
      <c r="D80" s="55">
        <f t="shared" si="3"/>
        <v>3.1469999999999998</v>
      </c>
      <c r="E80" s="189">
        <f t="shared" si="21"/>
        <v>0</v>
      </c>
      <c r="F80" s="55">
        <f t="shared" si="13"/>
        <v>3.1469999999999998</v>
      </c>
      <c r="G80" s="68">
        <f t="shared" si="4"/>
        <v>0.23250000000000001</v>
      </c>
      <c r="H80" s="68">
        <v>0</v>
      </c>
      <c r="I80" s="68">
        <f t="shared" si="14"/>
        <v>0.23250000000000001</v>
      </c>
      <c r="J80" s="56"/>
      <c r="K80" s="57">
        <f t="shared" si="19"/>
        <v>63</v>
      </c>
      <c r="L80" s="69">
        <f t="shared" si="20"/>
        <v>38681</v>
      </c>
      <c r="M80" s="59">
        <f t="shared" si="7"/>
        <v>6.9367588989436013E-2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5">
      <c r="A81" s="55">
        <f t="shared" si="12"/>
        <v>64</v>
      </c>
      <c r="B81" s="66">
        <f t="shared" si="22"/>
        <v>38718</v>
      </c>
      <c r="C81"/>
      <c r="D81" s="55">
        <f t="shared" si="3"/>
        <v>3.403</v>
      </c>
      <c r="E81" s="189">
        <f t="shared" si="21"/>
        <v>0</v>
      </c>
      <c r="F81" s="55">
        <f t="shared" si="13"/>
        <v>3.403</v>
      </c>
      <c r="G81" s="68">
        <f t="shared" si="4"/>
        <v>0.23250000000000001</v>
      </c>
      <c r="H81" s="68">
        <v>0</v>
      </c>
      <c r="I81" s="68">
        <f t="shared" si="14"/>
        <v>0.23250000000000001</v>
      </c>
      <c r="J81" s="56"/>
      <c r="K81" s="57">
        <f t="shared" si="19"/>
        <v>64</v>
      </c>
      <c r="L81" s="69">
        <f t="shared" si="20"/>
        <v>38713</v>
      </c>
      <c r="M81" s="59">
        <f t="shared" si="7"/>
        <v>6.9383845363617996E-2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5">
      <c r="A82" s="55">
        <f t="shared" si="12"/>
        <v>65</v>
      </c>
      <c r="B82" s="66">
        <f t="shared" si="22"/>
        <v>38749</v>
      </c>
      <c r="C82"/>
      <c r="D82" s="55">
        <f t="shared" ref="D82:D137" si="23">VLOOKUP($B82,curvesettle,2,FALSE)</f>
        <v>3.2730000000000001</v>
      </c>
      <c r="E82" s="189">
        <f t="shared" si="21"/>
        <v>0</v>
      </c>
      <c r="F82" s="55">
        <f t="shared" si="13"/>
        <v>3.2730000000000001</v>
      </c>
      <c r="G82" s="68">
        <f t="shared" ref="G82:G137" si="24">VLOOKUP($B82,curvesettle,3,FALSE)</f>
        <v>0.23</v>
      </c>
      <c r="H82" s="68">
        <v>0</v>
      </c>
      <c r="I82" s="68">
        <f t="shared" si="14"/>
        <v>0.23</v>
      </c>
      <c r="J82" s="56"/>
      <c r="K82" s="57">
        <f t="shared" ref="K82:K113" si="25">A82</f>
        <v>65</v>
      </c>
      <c r="L82" s="69">
        <f t="shared" ref="L82:L113" si="26">VLOOKUP(B82,expiration,3,FALSE)</f>
        <v>38743</v>
      </c>
      <c r="M82" s="59">
        <f t="shared" ref="M82:M137" si="27">VLOOKUP($B82,curvesettle,4,FALSE)</f>
        <v>6.9400101737888006E-2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5">
      <c r="A83" s="55">
        <f t="shared" ref="A83:A137" si="28">A82+1</f>
        <v>66</v>
      </c>
      <c r="B83" s="66">
        <f t="shared" si="22"/>
        <v>38777</v>
      </c>
      <c r="C83"/>
      <c r="D83" s="55">
        <f t="shared" si="23"/>
        <v>3.1120000000000001</v>
      </c>
      <c r="E83" s="189">
        <f t="shared" si="21"/>
        <v>0</v>
      </c>
      <c r="F83" s="55">
        <f t="shared" ref="F83:F137" si="29">IF(C$1="settle",D83,IF(C$1="EOL",D83+E83,IF(C83=0,D83,C83)))</f>
        <v>3.1120000000000001</v>
      </c>
      <c r="G83" s="68">
        <f t="shared" si="24"/>
        <v>0.22750000000000001</v>
      </c>
      <c r="H83" s="68">
        <v>0</v>
      </c>
      <c r="I83" s="68">
        <f t="shared" ref="I83:I137" si="30">G83+H83</f>
        <v>0.22750000000000001</v>
      </c>
      <c r="J83" s="56"/>
      <c r="K83" s="57">
        <f t="shared" si="25"/>
        <v>66</v>
      </c>
      <c r="L83" s="69">
        <f t="shared" si="26"/>
        <v>38771</v>
      </c>
      <c r="M83" s="59">
        <f t="shared" si="27"/>
        <v>6.9414784914722985E-2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5">
      <c r="A84" s="55">
        <f t="shared" si="28"/>
        <v>67</v>
      </c>
      <c r="B84" s="66">
        <f t="shared" si="22"/>
        <v>38808</v>
      </c>
      <c r="C84"/>
      <c r="D84" s="55">
        <f t="shared" si="23"/>
        <v>2.9430000000000001</v>
      </c>
      <c r="E84" s="189">
        <f t="shared" si="21"/>
        <v>0</v>
      </c>
      <c r="F84" s="55">
        <f t="shared" si="29"/>
        <v>2.9430000000000001</v>
      </c>
      <c r="G84" s="68">
        <f t="shared" si="24"/>
        <v>0.22750000000000001</v>
      </c>
      <c r="H84" s="68">
        <v>0</v>
      </c>
      <c r="I84" s="68">
        <f t="shared" si="30"/>
        <v>0.22750000000000001</v>
      </c>
      <c r="J84" s="56"/>
      <c r="K84" s="57">
        <f t="shared" si="25"/>
        <v>67</v>
      </c>
      <c r="L84" s="69">
        <f t="shared" si="26"/>
        <v>38804</v>
      </c>
      <c r="M84" s="59">
        <f t="shared" si="27"/>
        <v>6.9431041289159015E-2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5">
      <c r="A85" s="55">
        <f t="shared" si="28"/>
        <v>68</v>
      </c>
      <c r="B85" s="66">
        <f t="shared" si="22"/>
        <v>38838</v>
      </c>
      <c r="C85"/>
      <c r="D85" s="55">
        <f t="shared" si="23"/>
        <v>2.9310000000000005</v>
      </c>
      <c r="E85" s="189">
        <f t="shared" si="21"/>
        <v>0</v>
      </c>
      <c r="F85" s="55">
        <f t="shared" si="29"/>
        <v>2.9310000000000005</v>
      </c>
      <c r="G85" s="68">
        <f t="shared" si="24"/>
        <v>0.22750000000000001</v>
      </c>
      <c r="H85" s="68">
        <v>0</v>
      </c>
      <c r="I85" s="68">
        <f t="shared" si="30"/>
        <v>0.22750000000000001</v>
      </c>
      <c r="J85" s="56"/>
      <c r="K85" s="57">
        <f t="shared" si="25"/>
        <v>68</v>
      </c>
      <c r="L85" s="69">
        <f t="shared" si="26"/>
        <v>38832</v>
      </c>
      <c r="M85" s="59">
        <f t="shared" si="27"/>
        <v>6.9446773264503006E-2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5">
      <c r="A86" s="55">
        <f t="shared" si="28"/>
        <v>69</v>
      </c>
      <c r="B86" s="66">
        <f t="shared" si="22"/>
        <v>38869</v>
      </c>
      <c r="C86"/>
      <c r="D86" s="55">
        <f t="shared" si="23"/>
        <v>2.9540000000000002</v>
      </c>
      <c r="E86" s="189">
        <f t="shared" si="21"/>
        <v>0</v>
      </c>
      <c r="F86" s="55">
        <f t="shared" si="29"/>
        <v>2.9540000000000002</v>
      </c>
      <c r="G86" s="68">
        <f t="shared" si="24"/>
        <v>0.22750000000000001</v>
      </c>
      <c r="H86" s="68">
        <v>0</v>
      </c>
      <c r="I86" s="68">
        <f t="shared" si="30"/>
        <v>0.22750000000000001</v>
      </c>
      <c r="J86" s="56"/>
      <c r="K86" s="57">
        <f t="shared" si="25"/>
        <v>69</v>
      </c>
      <c r="L86" s="69">
        <f t="shared" si="26"/>
        <v>38862</v>
      </c>
      <c r="M86" s="59">
        <f t="shared" si="27"/>
        <v>6.9463029639110024E-2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5">
      <c r="A87" s="55">
        <f t="shared" si="28"/>
        <v>70</v>
      </c>
      <c r="B87" s="66">
        <f t="shared" si="22"/>
        <v>38899</v>
      </c>
      <c r="C87"/>
      <c r="D87" s="55">
        <f t="shared" si="23"/>
        <v>2.9760000000000004</v>
      </c>
      <c r="E87" s="189">
        <f t="shared" si="21"/>
        <v>0</v>
      </c>
      <c r="F87" s="55">
        <f t="shared" si="29"/>
        <v>2.9760000000000004</v>
      </c>
      <c r="G87" s="68">
        <f t="shared" si="24"/>
        <v>0.22750000000000001</v>
      </c>
      <c r="H87" s="68">
        <v>0</v>
      </c>
      <c r="I87" s="68">
        <f t="shared" si="30"/>
        <v>0.22750000000000001</v>
      </c>
      <c r="J87" s="56"/>
      <c r="K87" s="57">
        <f t="shared" si="25"/>
        <v>70</v>
      </c>
      <c r="L87" s="69">
        <f t="shared" si="26"/>
        <v>38895</v>
      </c>
      <c r="M87" s="59">
        <f t="shared" si="27"/>
        <v>6.9478761614621021E-2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5">
      <c r="A88" s="55">
        <f t="shared" si="28"/>
        <v>71</v>
      </c>
      <c r="B88" s="66">
        <f t="shared" si="22"/>
        <v>38930</v>
      </c>
      <c r="C88"/>
      <c r="D88" s="55">
        <f t="shared" si="23"/>
        <v>2.9969999999999999</v>
      </c>
      <c r="E88" s="189">
        <f t="shared" si="21"/>
        <v>0</v>
      </c>
      <c r="F88" s="55">
        <f t="shared" si="29"/>
        <v>2.9969999999999999</v>
      </c>
      <c r="G88" s="68">
        <f t="shared" si="24"/>
        <v>0.22750000000000001</v>
      </c>
      <c r="H88" s="68">
        <v>0</v>
      </c>
      <c r="I88" s="68">
        <f t="shared" si="30"/>
        <v>0.22750000000000001</v>
      </c>
      <c r="J88" s="56"/>
      <c r="K88" s="57">
        <f t="shared" si="25"/>
        <v>71</v>
      </c>
      <c r="L88" s="69">
        <f t="shared" si="26"/>
        <v>38924</v>
      </c>
      <c r="M88" s="59">
        <f t="shared" si="27"/>
        <v>6.9495017989401012E-2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5">
      <c r="A89" s="55">
        <f t="shared" si="28"/>
        <v>72</v>
      </c>
      <c r="B89" s="66">
        <f t="shared" si="22"/>
        <v>38961</v>
      </c>
      <c r="C89"/>
      <c r="D89" s="55">
        <f t="shared" si="23"/>
        <v>2.9840000000000004</v>
      </c>
      <c r="E89" s="189">
        <f t="shared" ref="E89:E120" si="31">N$11</f>
        <v>0</v>
      </c>
      <c r="F89" s="55">
        <f t="shared" si="29"/>
        <v>2.9840000000000004</v>
      </c>
      <c r="G89" s="68">
        <f t="shared" si="24"/>
        <v>0.22750000000000001</v>
      </c>
      <c r="H89" s="68">
        <v>0</v>
      </c>
      <c r="I89" s="68">
        <f t="shared" si="30"/>
        <v>0.22750000000000001</v>
      </c>
      <c r="J89" s="56"/>
      <c r="K89" s="57">
        <f t="shared" si="25"/>
        <v>72</v>
      </c>
      <c r="L89" s="69">
        <f t="shared" si="26"/>
        <v>38957</v>
      </c>
      <c r="M89" s="59">
        <f t="shared" si="27"/>
        <v>6.951127436426903E-2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5">
      <c r="A90" s="55">
        <f t="shared" si="28"/>
        <v>73</v>
      </c>
      <c r="B90" s="66">
        <f t="shared" si="22"/>
        <v>38991</v>
      </c>
      <c r="C90"/>
      <c r="D90" s="55">
        <f t="shared" si="23"/>
        <v>2.9860000000000002</v>
      </c>
      <c r="E90" s="189">
        <f t="shared" si="31"/>
        <v>0</v>
      </c>
      <c r="F90" s="55">
        <f t="shared" si="29"/>
        <v>2.9860000000000002</v>
      </c>
      <c r="G90" s="68">
        <f t="shared" si="24"/>
        <v>0.22750000000000001</v>
      </c>
      <c r="H90" s="68">
        <v>0</v>
      </c>
      <c r="I90" s="68">
        <f t="shared" si="30"/>
        <v>0.22750000000000001</v>
      </c>
      <c r="J90" s="56"/>
      <c r="K90" s="57">
        <f t="shared" si="25"/>
        <v>73</v>
      </c>
      <c r="L90" s="69">
        <f t="shared" si="26"/>
        <v>38986</v>
      </c>
      <c r="M90" s="59">
        <f t="shared" si="27"/>
        <v>6.9527006340030006E-2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5">
      <c r="A91" s="55">
        <f t="shared" si="28"/>
        <v>74</v>
      </c>
      <c r="B91" s="66">
        <f t="shared" si="22"/>
        <v>39022</v>
      </c>
      <c r="C91"/>
      <c r="D91" s="55">
        <f t="shared" si="23"/>
        <v>3.0630000000000002</v>
      </c>
      <c r="E91" s="189">
        <f t="shared" si="31"/>
        <v>0</v>
      </c>
      <c r="F91" s="55">
        <f t="shared" si="29"/>
        <v>3.0630000000000002</v>
      </c>
      <c r="G91" s="68">
        <f t="shared" si="24"/>
        <v>0.23</v>
      </c>
      <c r="H91" s="68">
        <v>0</v>
      </c>
      <c r="I91" s="68">
        <f t="shared" si="30"/>
        <v>0.23</v>
      </c>
      <c r="J91" s="56"/>
      <c r="K91" s="57">
        <f t="shared" si="25"/>
        <v>74</v>
      </c>
      <c r="L91" s="69">
        <f t="shared" si="26"/>
        <v>39016</v>
      </c>
      <c r="M91" s="59">
        <f t="shared" si="27"/>
        <v>6.9543262715070012E-2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5">
      <c r="A92" s="55">
        <f t="shared" si="28"/>
        <v>75</v>
      </c>
      <c r="B92" s="66">
        <f t="shared" ref="B92:B123" si="32">DATE(YEAR(B91),MONTH(B91)+1,1)</f>
        <v>39052</v>
      </c>
      <c r="C92"/>
      <c r="D92" s="55">
        <f t="shared" si="23"/>
        <v>3.1360000000000001</v>
      </c>
      <c r="E92" s="189">
        <f t="shared" si="31"/>
        <v>0</v>
      </c>
      <c r="F92" s="55">
        <f t="shared" si="29"/>
        <v>3.1360000000000001</v>
      </c>
      <c r="G92" s="68">
        <f t="shared" si="24"/>
        <v>0.24</v>
      </c>
      <c r="H92" s="68">
        <v>0</v>
      </c>
      <c r="I92" s="68">
        <f t="shared" si="30"/>
        <v>0.24</v>
      </c>
      <c r="J92" s="56"/>
      <c r="K92" s="57">
        <f t="shared" si="25"/>
        <v>75</v>
      </c>
      <c r="L92" s="69">
        <f t="shared" si="26"/>
        <v>39048</v>
      </c>
      <c r="M92" s="59">
        <f t="shared" si="27"/>
        <v>6.9558994691000006E-2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5">
      <c r="A93" s="55">
        <f t="shared" si="28"/>
        <v>76</v>
      </c>
      <c r="B93" s="66">
        <f t="shared" si="32"/>
        <v>39083</v>
      </c>
      <c r="C93"/>
      <c r="D93" s="55">
        <f t="shared" si="23"/>
        <v>3.41</v>
      </c>
      <c r="E93" s="189">
        <f t="shared" si="31"/>
        <v>0</v>
      </c>
      <c r="F93" s="55">
        <f t="shared" si="29"/>
        <v>3.41</v>
      </c>
      <c r="G93" s="68">
        <f t="shared" si="24"/>
        <v>0.245</v>
      </c>
      <c r="H93" s="68">
        <v>0</v>
      </c>
      <c r="I93" s="68">
        <f t="shared" si="30"/>
        <v>0.245</v>
      </c>
      <c r="J93" s="56"/>
      <c r="K93" s="57">
        <f t="shared" si="25"/>
        <v>76</v>
      </c>
      <c r="L93" s="69">
        <f t="shared" si="26"/>
        <v>39077</v>
      </c>
      <c r="M93" s="59">
        <f t="shared" si="27"/>
        <v>6.9575251066209015E-2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5">
      <c r="A94" s="55">
        <f t="shared" si="28"/>
        <v>77</v>
      </c>
      <c r="B94" s="66">
        <f t="shared" si="32"/>
        <v>39114</v>
      </c>
      <c r="C94"/>
      <c r="D94" s="55">
        <f t="shared" si="23"/>
        <v>3.2840000000000003</v>
      </c>
      <c r="E94" s="189">
        <f t="shared" si="31"/>
        <v>0</v>
      </c>
      <c r="F94" s="55">
        <f t="shared" si="29"/>
        <v>3.2840000000000003</v>
      </c>
      <c r="G94" s="68">
        <f t="shared" si="24"/>
        <v>0.23</v>
      </c>
      <c r="H94" s="68">
        <v>0</v>
      </c>
      <c r="I94" s="68">
        <f t="shared" si="30"/>
        <v>0.23</v>
      </c>
      <c r="J94" s="56"/>
      <c r="K94" s="57">
        <f t="shared" si="25"/>
        <v>77</v>
      </c>
      <c r="L94" s="69">
        <f t="shared" si="26"/>
        <v>39108</v>
      </c>
      <c r="M94" s="59">
        <f t="shared" si="27"/>
        <v>6.9591507441507008E-2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5">
      <c r="A95" s="55">
        <f t="shared" si="28"/>
        <v>78</v>
      </c>
      <c r="B95" s="66">
        <f t="shared" si="32"/>
        <v>39142</v>
      </c>
      <c r="C95"/>
      <c r="D95" s="55">
        <f t="shared" si="23"/>
        <v>3.1260000000000003</v>
      </c>
      <c r="E95" s="189">
        <f t="shared" si="31"/>
        <v>0</v>
      </c>
      <c r="F95" s="55">
        <f t="shared" si="29"/>
        <v>3.1260000000000003</v>
      </c>
      <c r="G95" s="68">
        <f t="shared" si="24"/>
        <v>0.22</v>
      </c>
      <c r="H95" s="68">
        <v>0</v>
      </c>
      <c r="I95" s="68">
        <f t="shared" si="30"/>
        <v>0.22</v>
      </c>
      <c r="J95" s="56"/>
      <c r="K95" s="57">
        <f t="shared" si="25"/>
        <v>78</v>
      </c>
      <c r="L95" s="69">
        <f t="shared" si="26"/>
        <v>39136</v>
      </c>
      <c r="M95" s="59">
        <f t="shared" si="27"/>
        <v>6.9606190619271008E-2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5">
      <c r="A96" s="55">
        <f t="shared" si="28"/>
        <v>79</v>
      </c>
      <c r="B96" s="66">
        <f t="shared" si="32"/>
        <v>39173</v>
      </c>
      <c r="C96"/>
      <c r="D96" s="55">
        <f t="shared" si="23"/>
        <v>2.96</v>
      </c>
      <c r="E96" s="189">
        <f t="shared" si="31"/>
        <v>0</v>
      </c>
      <c r="F96" s="55">
        <f t="shared" si="29"/>
        <v>2.96</v>
      </c>
      <c r="G96" s="68">
        <f t="shared" si="24"/>
        <v>0.22</v>
      </c>
      <c r="H96" s="68">
        <v>0</v>
      </c>
      <c r="I96" s="68">
        <f t="shared" si="30"/>
        <v>0.22</v>
      </c>
      <c r="J96" s="56"/>
      <c r="K96" s="57">
        <f t="shared" si="25"/>
        <v>79</v>
      </c>
      <c r="L96" s="69">
        <f t="shared" si="26"/>
        <v>39168</v>
      </c>
      <c r="M96" s="59">
        <f t="shared" si="27"/>
        <v>6.9622446994737019E-2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5">
      <c r="A97" s="55">
        <f t="shared" si="28"/>
        <v>80</v>
      </c>
      <c r="B97" s="66">
        <f t="shared" si="32"/>
        <v>39203</v>
      </c>
      <c r="C97"/>
      <c r="D97" s="55">
        <f t="shared" si="23"/>
        <v>2.9490000000000003</v>
      </c>
      <c r="E97" s="189">
        <f t="shared" si="31"/>
        <v>0</v>
      </c>
      <c r="F97" s="55">
        <f t="shared" si="29"/>
        <v>2.9490000000000003</v>
      </c>
      <c r="G97" s="68">
        <f t="shared" si="24"/>
        <v>0.22</v>
      </c>
      <c r="H97" s="68">
        <v>0</v>
      </c>
      <c r="I97" s="68">
        <f t="shared" si="30"/>
        <v>0.22</v>
      </c>
      <c r="J97" s="56"/>
      <c r="K97" s="57">
        <f t="shared" si="25"/>
        <v>80</v>
      </c>
      <c r="L97" s="69">
        <f t="shared" si="26"/>
        <v>39197</v>
      </c>
      <c r="M97" s="59">
        <f t="shared" si="27"/>
        <v>6.9638178971076006E-2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5">
      <c r="A98" s="55">
        <f t="shared" si="28"/>
        <v>81</v>
      </c>
      <c r="B98" s="66">
        <f t="shared" si="32"/>
        <v>39234</v>
      </c>
      <c r="C98"/>
      <c r="D98" s="55">
        <f t="shared" si="23"/>
        <v>2.9730000000000003</v>
      </c>
      <c r="E98" s="189">
        <f t="shared" si="31"/>
        <v>0</v>
      </c>
      <c r="F98" s="55">
        <f t="shared" si="29"/>
        <v>2.9730000000000003</v>
      </c>
      <c r="G98" s="68">
        <f t="shared" si="24"/>
        <v>0.21</v>
      </c>
      <c r="H98" s="68">
        <v>0</v>
      </c>
      <c r="I98" s="68">
        <f t="shared" si="30"/>
        <v>0.21</v>
      </c>
      <c r="J98" s="56"/>
      <c r="K98" s="57">
        <f t="shared" si="25"/>
        <v>81</v>
      </c>
      <c r="L98" s="69">
        <f t="shared" si="26"/>
        <v>39227</v>
      </c>
      <c r="M98" s="59">
        <f t="shared" si="27"/>
        <v>6.9654435346714005E-2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5">
      <c r="A99" s="55">
        <f t="shared" si="28"/>
        <v>82</v>
      </c>
      <c r="B99" s="66">
        <f t="shared" si="32"/>
        <v>39264</v>
      </c>
      <c r="C99"/>
      <c r="D99" s="55">
        <f t="shared" si="23"/>
        <v>2.9950000000000001</v>
      </c>
      <c r="E99" s="189">
        <f t="shared" si="31"/>
        <v>0</v>
      </c>
      <c r="F99" s="55">
        <f t="shared" si="29"/>
        <v>2.9950000000000001</v>
      </c>
      <c r="G99" s="68">
        <f t="shared" si="24"/>
        <v>0.21</v>
      </c>
      <c r="H99" s="68">
        <v>0</v>
      </c>
      <c r="I99" s="68">
        <f t="shared" si="30"/>
        <v>0.21</v>
      </c>
      <c r="J99" s="56"/>
      <c r="K99" s="57">
        <f t="shared" si="25"/>
        <v>82</v>
      </c>
      <c r="L99" s="69">
        <f t="shared" si="26"/>
        <v>39259</v>
      </c>
      <c r="M99" s="59">
        <f t="shared" si="27"/>
        <v>6.9670167323219998E-2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5">
      <c r="A100" s="55">
        <f t="shared" si="28"/>
        <v>83</v>
      </c>
      <c r="B100" s="66">
        <f t="shared" si="32"/>
        <v>39295</v>
      </c>
      <c r="C100"/>
      <c r="D100" s="55">
        <f t="shared" si="23"/>
        <v>3.0160000000000005</v>
      </c>
      <c r="E100" s="189">
        <f t="shared" si="31"/>
        <v>0</v>
      </c>
      <c r="F100" s="55">
        <f t="shared" si="29"/>
        <v>3.0160000000000005</v>
      </c>
      <c r="G100" s="68">
        <f t="shared" si="24"/>
        <v>0.21</v>
      </c>
      <c r="H100" s="68">
        <v>0</v>
      </c>
      <c r="I100" s="68">
        <f t="shared" si="30"/>
        <v>0.21</v>
      </c>
      <c r="J100" s="56"/>
      <c r="K100" s="57">
        <f t="shared" si="25"/>
        <v>83</v>
      </c>
      <c r="L100" s="69">
        <f t="shared" si="26"/>
        <v>39289</v>
      </c>
      <c r="M100" s="59">
        <f t="shared" si="27"/>
        <v>6.9686423699029013E-2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5">
      <c r="A101" s="55">
        <f t="shared" si="28"/>
        <v>84</v>
      </c>
      <c r="B101" s="66">
        <f t="shared" si="32"/>
        <v>39326</v>
      </c>
      <c r="C101"/>
      <c r="D101" s="55">
        <f t="shared" si="23"/>
        <v>3.0019999999999998</v>
      </c>
      <c r="E101" s="189">
        <f t="shared" si="31"/>
        <v>0</v>
      </c>
      <c r="F101" s="55">
        <f t="shared" si="29"/>
        <v>3.0019999999999998</v>
      </c>
      <c r="G101" s="68">
        <f t="shared" si="24"/>
        <v>0.21</v>
      </c>
      <c r="H101" s="68">
        <v>0</v>
      </c>
      <c r="I101" s="68">
        <f t="shared" si="30"/>
        <v>0.21</v>
      </c>
      <c r="J101" s="56"/>
      <c r="K101" s="57">
        <f t="shared" si="25"/>
        <v>84</v>
      </c>
      <c r="L101" s="69">
        <f t="shared" si="26"/>
        <v>39322</v>
      </c>
      <c r="M101" s="59">
        <f t="shared" si="27"/>
        <v>6.9702680074925014E-2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5">
      <c r="A102" s="55">
        <f t="shared" si="28"/>
        <v>85</v>
      </c>
      <c r="B102" s="66">
        <f t="shared" si="32"/>
        <v>39356</v>
      </c>
      <c r="C102"/>
      <c r="D102" s="55">
        <f t="shared" si="23"/>
        <v>3.0030000000000001</v>
      </c>
      <c r="E102" s="189">
        <f t="shared" si="31"/>
        <v>0</v>
      </c>
      <c r="F102" s="55">
        <f t="shared" si="29"/>
        <v>3.0030000000000001</v>
      </c>
      <c r="G102" s="68">
        <f t="shared" si="24"/>
        <v>0.2</v>
      </c>
      <c r="H102" s="68">
        <v>0</v>
      </c>
      <c r="I102" s="68">
        <f t="shared" si="30"/>
        <v>0.2</v>
      </c>
      <c r="J102" s="56"/>
      <c r="K102" s="57">
        <f t="shared" si="25"/>
        <v>85</v>
      </c>
      <c r="L102" s="69">
        <f t="shared" si="26"/>
        <v>39350</v>
      </c>
      <c r="M102" s="59">
        <f t="shared" si="27"/>
        <v>6.9715796261551014E-2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5">
      <c r="A103" s="55">
        <f t="shared" si="28"/>
        <v>86</v>
      </c>
      <c r="B103" s="66">
        <f t="shared" si="32"/>
        <v>39387</v>
      </c>
      <c r="C103"/>
      <c r="D103" s="55">
        <f t="shared" si="23"/>
        <v>3.0750000000000002</v>
      </c>
      <c r="E103" s="189">
        <f t="shared" si="31"/>
        <v>0</v>
      </c>
      <c r="F103" s="55">
        <f t="shared" si="29"/>
        <v>3.0750000000000002</v>
      </c>
      <c r="G103" s="68">
        <f t="shared" si="24"/>
        <v>0.2</v>
      </c>
      <c r="H103" s="68">
        <v>0</v>
      </c>
      <c r="I103" s="68">
        <f t="shared" si="30"/>
        <v>0.2</v>
      </c>
      <c r="J103" s="56"/>
      <c r="K103" s="57">
        <f t="shared" si="25"/>
        <v>86</v>
      </c>
      <c r="L103" s="69">
        <f t="shared" si="26"/>
        <v>39381</v>
      </c>
      <c r="M103" s="59">
        <f t="shared" si="27"/>
        <v>6.9728933810896024E-2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5">
      <c r="A104" s="55">
        <f t="shared" si="28"/>
        <v>87</v>
      </c>
      <c r="B104" s="66">
        <f t="shared" si="32"/>
        <v>39417</v>
      </c>
      <c r="C104"/>
      <c r="D104" s="55">
        <f t="shared" si="23"/>
        <v>3.145</v>
      </c>
      <c r="E104" s="189">
        <f t="shared" si="31"/>
        <v>0</v>
      </c>
      <c r="F104" s="55">
        <f t="shared" si="29"/>
        <v>3.145</v>
      </c>
      <c r="G104" s="68">
        <f t="shared" si="24"/>
        <v>0.2</v>
      </c>
      <c r="H104" s="68">
        <v>0</v>
      </c>
      <c r="I104" s="68">
        <f t="shared" si="30"/>
        <v>0.2</v>
      </c>
      <c r="J104" s="56"/>
      <c r="K104" s="57">
        <f t="shared" si="25"/>
        <v>87</v>
      </c>
      <c r="L104" s="69">
        <f t="shared" si="26"/>
        <v>39413</v>
      </c>
      <c r="M104" s="59">
        <f t="shared" si="27"/>
        <v>6.9741647568382012E-2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5">
      <c r="A105" s="55">
        <f t="shared" si="28"/>
        <v>88</v>
      </c>
      <c r="B105" s="66">
        <f t="shared" si="32"/>
        <v>39448</v>
      </c>
      <c r="C105"/>
      <c r="D105" s="55">
        <f t="shared" si="23"/>
        <v>3.4319999999999999</v>
      </c>
      <c r="E105" s="189">
        <f t="shared" si="31"/>
        <v>0</v>
      </c>
      <c r="F105" s="55">
        <f t="shared" si="29"/>
        <v>3.4319999999999999</v>
      </c>
      <c r="G105" s="68">
        <f t="shared" si="24"/>
        <v>0.2</v>
      </c>
      <c r="H105" s="68">
        <v>0</v>
      </c>
      <c r="I105" s="68">
        <f t="shared" si="30"/>
        <v>0.2</v>
      </c>
      <c r="J105" s="56"/>
      <c r="K105" s="57">
        <f t="shared" si="25"/>
        <v>88</v>
      </c>
      <c r="L105" s="69">
        <f t="shared" si="26"/>
        <v>39442</v>
      </c>
      <c r="M105" s="59">
        <f t="shared" si="27"/>
        <v>6.9754785117839016E-2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5">
      <c r="A106" s="55">
        <f t="shared" si="28"/>
        <v>89</v>
      </c>
      <c r="B106" s="66">
        <f t="shared" si="32"/>
        <v>39479</v>
      </c>
      <c r="C106"/>
      <c r="D106" s="55">
        <f t="shared" si="23"/>
        <v>3.31</v>
      </c>
      <c r="E106" s="189">
        <f t="shared" si="31"/>
        <v>0</v>
      </c>
      <c r="F106" s="55">
        <f t="shared" si="29"/>
        <v>3.31</v>
      </c>
      <c r="G106" s="68">
        <f t="shared" si="24"/>
        <v>0.2</v>
      </c>
      <c r="H106" s="68">
        <v>0</v>
      </c>
      <c r="I106" s="68">
        <f t="shared" si="30"/>
        <v>0.2</v>
      </c>
      <c r="J106" s="56"/>
      <c r="K106" s="57">
        <f t="shared" si="25"/>
        <v>89</v>
      </c>
      <c r="L106" s="69">
        <f t="shared" si="26"/>
        <v>39475</v>
      </c>
      <c r="M106" s="59">
        <f t="shared" si="27"/>
        <v>6.9767922667354001E-2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5">
      <c r="A107" s="55">
        <f t="shared" si="28"/>
        <v>90</v>
      </c>
      <c r="B107" s="66">
        <f t="shared" si="32"/>
        <v>39508</v>
      </c>
      <c r="C107"/>
      <c r="D107" s="55">
        <f t="shared" si="23"/>
        <v>3.1549999999999998</v>
      </c>
      <c r="E107" s="189">
        <f t="shared" si="31"/>
        <v>0</v>
      </c>
      <c r="F107" s="55">
        <f t="shared" si="29"/>
        <v>3.1549999999999998</v>
      </c>
      <c r="G107" s="68">
        <f t="shared" si="24"/>
        <v>0.2</v>
      </c>
      <c r="H107" s="68">
        <v>0</v>
      </c>
      <c r="I107" s="68">
        <f t="shared" si="30"/>
        <v>0.2</v>
      </c>
      <c r="J107" s="56"/>
      <c r="K107" s="57">
        <f t="shared" si="25"/>
        <v>90</v>
      </c>
      <c r="L107" s="69">
        <f t="shared" si="26"/>
        <v>39504</v>
      </c>
      <c r="M107" s="59">
        <f t="shared" si="27"/>
        <v>6.9780212633080999E-2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5">
      <c r="A108" s="55">
        <f t="shared" si="28"/>
        <v>91</v>
      </c>
      <c r="B108" s="66">
        <f t="shared" si="32"/>
        <v>39539</v>
      </c>
      <c r="C108"/>
      <c r="D108" s="55">
        <f t="shared" si="23"/>
        <v>2.992</v>
      </c>
      <c r="E108" s="189">
        <f t="shared" si="31"/>
        <v>0</v>
      </c>
      <c r="F108" s="55">
        <f t="shared" si="29"/>
        <v>2.992</v>
      </c>
      <c r="G108" s="68">
        <f t="shared" si="24"/>
        <v>0.2</v>
      </c>
      <c r="H108" s="68">
        <v>0</v>
      </c>
      <c r="I108" s="68">
        <f t="shared" si="30"/>
        <v>0.2</v>
      </c>
      <c r="J108" s="56"/>
      <c r="K108" s="57">
        <f t="shared" si="25"/>
        <v>91</v>
      </c>
      <c r="L108" s="69">
        <f t="shared" si="26"/>
        <v>39533</v>
      </c>
      <c r="M108" s="59">
        <f t="shared" si="27"/>
        <v>6.9793350182706021E-2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5">
      <c r="A109" s="55">
        <f t="shared" si="28"/>
        <v>92</v>
      </c>
      <c r="B109" s="66">
        <f t="shared" si="32"/>
        <v>39569</v>
      </c>
      <c r="C109"/>
      <c r="D109" s="55">
        <f t="shared" si="23"/>
        <v>2.9819999999999998</v>
      </c>
      <c r="E109" s="189">
        <f t="shared" si="31"/>
        <v>0</v>
      </c>
      <c r="F109" s="55">
        <f t="shared" si="29"/>
        <v>2.9819999999999998</v>
      </c>
      <c r="G109" s="68">
        <f t="shared" si="24"/>
        <v>0.2</v>
      </c>
      <c r="H109" s="68">
        <v>0</v>
      </c>
      <c r="I109" s="68">
        <f t="shared" si="30"/>
        <v>0.2</v>
      </c>
      <c r="J109" s="56"/>
      <c r="K109" s="57">
        <f t="shared" si="25"/>
        <v>92</v>
      </c>
      <c r="L109" s="69">
        <f t="shared" si="26"/>
        <v>39563</v>
      </c>
      <c r="M109" s="59">
        <f t="shared" si="27"/>
        <v>6.9806063940461016E-2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5">
      <c r="A110" s="55">
        <f t="shared" si="28"/>
        <v>93</v>
      </c>
      <c r="B110" s="66">
        <f t="shared" si="32"/>
        <v>39600</v>
      </c>
      <c r="C110"/>
      <c r="D110" s="55">
        <f t="shared" si="23"/>
        <v>3.0070000000000001</v>
      </c>
      <c r="E110" s="189">
        <f t="shared" si="31"/>
        <v>0</v>
      </c>
      <c r="F110" s="55">
        <f t="shared" si="29"/>
        <v>3.0070000000000001</v>
      </c>
      <c r="G110" s="68">
        <f t="shared" si="24"/>
        <v>0.2</v>
      </c>
      <c r="H110" s="68">
        <v>0</v>
      </c>
      <c r="I110" s="68">
        <f t="shared" si="30"/>
        <v>0.2</v>
      </c>
      <c r="J110" s="56"/>
      <c r="K110" s="57">
        <f t="shared" si="25"/>
        <v>93</v>
      </c>
      <c r="L110" s="69">
        <f t="shared" si="26"/>
        <v>39595</v>
      </c>
      <c r="M110" s="59">
        <f t="shared" si="27"/>
        <v>6.9819201490199018E-2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5">
      <c r="A111" s="55">
        <f t="shared" si="28"/>
        <v>94</v>
      </c>
      <c r="B111" s="66">
        <f t="shared" si="32"/>
        <v>39630</v>
      </c>
      <c r="C111"/>
      <c r="D111" s="55">
        <f t="shared" si="23"/>
        <v>3.0290000000000004</v>
      </c>
      <c r="E111" s="189">
        <f t="shared" si="31"/>
        <v>0</v>
      </c>
      <c r="F111" s="55">
        <f t="shared" si="29"/>
        <v>3.0290000000000004</v>
      </c>
      <c r="G111" s="68">
        <f t="shared" si="24"/>
        <v>0.18</v>
      </c>
      <c r="H111" s="68">
        <v>0</v>
      </c>
      <c r="I111" s="68">
        <f t="shared" si="30"/>
        <v>0.18</v>
      </c>
      <c r="J111" s="56"/>
      <c r="K111" s="57">
        <f t="shared" si="25"/>
        <v>94</v>
      </c>
      <c r="L111" s="69">
        <f t="shared" si="26"/>
        <v>39624</v>
      </c>
      <c r="M111" s="59">
        <f t="shared" si="27"/>
        <v>6.9831915248064022E-2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5">
      <c r="A112" s="55">
        <f t="shared" si="28"/>
        <v>95</v>
      </c>
      <c r="B112" s="66">
        <f t="shared" si="32"/>
        <v>39661</v>
      </c>
      <c r="C112"/>
      <c r="D112" s="55">
        <f t="shared" si="23"/>
        <v>3.05</v>
      </c>
      <c r="E112" s="189">
        <f t="shared" si="31"/>
        <v>0</v>
      </c>
      <c r="F112" s="55">
        <f t="shared" si="29"/>
        <v>3.05</v>
      </c>
      <c r="G112" s="68">
        <f t="shared" si="24"/>
        <v>0.18</v>
      </c>
      <c r="H112" s="68">
        <v>0</v>
      </c>
      <c r="I112" s="68">
        <f t="shared" si="30"/>
        <v>0.18</v>
      </c>
      <c r="J112" s="56"/>
      <c r="K112" s="57">
        <f t="shared" si="25"/>
        <v>95</v>
      </c>
      <c r="L112" s="69">
        <f t="shared" si="26"/>
        <v>39657</v>
      </c>
      <c r="M112" s="59">
        <f t="shared" si="27"/>
        <v>6.9845052797913004E-2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5">
      <c r="A113" s="55">
        <f t="shared" si="28"/>
        <v>96</v>
      </c>
      <c r="B113" s="66">
        <f t="shared" si="32"/>
        <v>39692</v>
      </c>
      <c r="C113"/>
      <c r="D113" s="55">
        <f t="shared" si="23"/>
        <v>3.0350000000000001</v>
      </c>
      <c r="E113" s="189">
        <f t="shared" si="31"/>
        <v>0</v>
      </c>
      <c r="F113" s="55">
        <f t="shared" si="29"/>
        <v>3.0350000000000001</v>
      </c>
      <c r="G113" s="68">
        <f t="shared" si="24"/>
        <v>0.18</v>
      </c>
      <c r="H113" s="68">
        <v>0</v>
      </c>
      <c r="I113" s="68">
        <f t="shared" si="30"/>
        <v>0.18</v>
      </c>
      <c r="J113" s="56"/>
      <c r="K113" s="57">
        <f t="shared" si="25"/>
        <v>96</v>
      </c>
      <c r="L113" s="69">
        <f t="shared" si="26"/>
        <v>39686</v>
      </c>
      <c r="M113" s="59">
        <f t="shared" si="27"/>
        <v>6.9858190347820023E-2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5">
      <c r="A114" s="55">
        <f t="shared" si="28"/>
        <v>97</v>
      </c>
      <c r="B114" s="66">
        <f t="shared" si="32"/>
        <v>39722</v>
      </c>
      <c r="C114"/>
      <c r="D114" s="55">
        <f t="shared" si="23"/>
        <v>3.0350000000000001</v>
      </c>
      <c r="E114" s="189">
        <f t="shared" si="31"/>
        <v>0</v>
      </c>
      <c r="F114" s="55">
        <f t="shared" si="29"/>
        <v>3.0350000000000001</v>
      </c>
      <c r="G114" s="68">
        <f t="shared" si="24"/>
        <v>0.18</v>
      </c>
      <c r="H114" s="68">
        <v>0</v>
      </c>
      <c r="I114" s="68">
        <f t="shared" si="30"/>
        <v>0.18</v>
      </c>
      <c r="J114" s="56"/>
      <c r="K114" s="57">
        <f t="shared" ref="K114:K137" si="33">A114</f>
        <v>97</v>
      </c>
      <c r="L114" s="69">
        <f t="shared" ref="L114:L137" si="34">VLOOKUP(B114,expiration,3,FALSE)</f>
        <v>39716</v>
      </c>
      <c r="M114" s="59">
        <f t="shared" si="27"/>
        <v>6.9870904105849022E-2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5">
      <c r="A115" s="55">
        <f t="shared" si="28"/>
        <v>98</v>
      </c>
      <c r="B115" s="66">
        <f t="shared" si="32"/>
        <v>39753</v>
      </c>
      <c r="C115"/>
      <c r="D115" s="55">
        <f t="shared" si="23"/>
        <v>3.1019999999999999</v>
      </c>
      <c r="E115" s="189">
        <f t="shared" si="31"/>
        <v>0</v>
      </c>
      <c r="F115" s="55">
        <f t="shared" si="29"/>
        <v>3.1019999999999999</v>
      </c>
      <c r="G115" s="68">
        <f t="shared" si="24"/>
        <v>0.18</v>
      </c>
      <c r="H115" s="68">
        <v>0</v>
      </c>
      <c r="I115" s="68">
        <f t="shared" si="30"/>
        <v>0.18</v>
      </c>
      <c r="J115" s="56"/>
      <c r="K115" s="57">
        <f t="shared" si="33"/>
        <v>98</v>
      </c>
      <c r="L115" s="69">
        <f t="shared" si="34"/>
        <v>39749</v>
      </c>
      <c r="M115" s="59">
        <f t="shared" si="27"/>
        <v>6.9884041655868007E-2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5">
      <c r="A116" s="55">
        <f t="shared" si="28"/>
        <v>99</v>
      </c>
      <c r="B116" s="66">
        <f t="shared" si="32"/>
        <v>39783</v>
      </c>
      <c r="C116"/>
      <c r="D116" s="55">
        <f t="shared" si="23"/>
        <v>3.1690000000000005</v>
      </c>
      <c r="E116" s="189">
        <f t="shared" si="31"/>
        <v>0</v>
      </c>
      <c r="F116" s="55">
        <f t="shared" si="29"/>
        <v>3.1690000000000005</v>
      </c>
      <c r="G116" s="68">
        <f t="shared" si="24"/>
        <v>0.18</v>
      </c>
      <c r="H116" s="68">
        <v>0</v>
      </c>
      <c r="I116" s="68">
        <f t="shared" si="30"/>
        <v>0.18</v>
      </c>
      <c r="J116" s="56"/>
      <c r="K116" s="57">
        <f t="shared" si="33"/>
        <v>99</v>
      </c>
      <c r="L116" s="69">
        <f t="shared" si="34"/>
        <v>39776</v>
      </c>
      <c r="M116" s="59">
        <f t="shared" si="27"/>
        <v>6.9896755414006015E-2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5">
      <c r="A117" s="55">
        <f t="shared" si="28"/>
        <v>100</v>
      </c>
      <c r="B117" s="66">
        <f t="shared" si="32"/>
        <v>39814</v>
      </c>
      <c r="C117"/>
      <c r="D117" s="55">
        <f t="shared" si="23"/>
        <v>3.4640000000000004</v>
      </c>
      <c r="E117" s="189">
        <f t="shared" si="31"/>
        <v>0</v>
      </c>
      <c r="F117" s="55">
        <f t="shared" si="29"/>
        <v>3.4640000000000004</v>
      </c>
      <c r="G117" s="68">
        <f t="shared" si="24"/>
        <v>0.18</v>
      </c>
      <c r="H117" s="68">
        <v>0</v>
      </c>
      <c r="I117" s="68">
        <f t="shared" si="30"/>
        <v>0.18</v>
      </c>
      <c r="J117" s="56"/>
      <c r="K117" s="57">
        <f t="shared" si="33"/>
        <v>100</v>
      </c>
      <c r="L117" s="69">
        <f t="shared" si="34"/>
        <v>39808</v>
      </c>
      <c r="M117" s="59">
        <f t="shared" si="27"/>
        <v>6.9909892964137021E-2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5">
      <c r="A118" s="55">
        <f t="shared" si="28"/>
        <v>101</v>
      </c>
      <c r="B118" s="66">
        <f t="shared" si="32"/>
        <v>39845</v>
      </c>
      <c r="C118"/>
      <c r="D118" s="55">
        <f t="shared" si="23"/>
        <v>3.3460000000000001</v>
      </c>
      <c r="E118" s="189">
        <f t="shared" si="31"/>
        <v>0</v>
      </c>
      <c r="F118" s="55">
        <f t="shared" si="29"/>
        <v>3.3460000000000001</v>
      </c>
      <c r="G118" s="68">
        <f t="shared" si="24"/>
        <v>0.18</v>
      </c>
      <c r="H118" s="68">
        <v>0</v>
      </c>
      <c r="I118" s="68">
        <f t="shared" si="30"/>
        <v>0.18</v>
      </c>
      <c r="J118" s="56"/>
      <c r="K118" s="57">
        <f t="shared" si="33"/>
        <v>101</v>
      </c>
      <c r="L118" s="69">
        <f t="shared" si="34"/>
        <v>39840</v>
      </c>
      <c r="M118" s="59">
        <f t="shared" si="27"/>
        <v>6.992303051432501E-2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s="55">
        <f t="shared" si="28"/>
        <v>102</v>
      </c>
      <c r="B119" s="66">
        <f t="shared" si="32"/>
        <v>39873</v>
      </c>
      <c r="C119"/>
      <c r="D119" s="55">
        <f t="shared" si="23"/>
        <v>3.1940000000000004</v>
      </c>
      <c r="E119" s="189">
        <f t="shared" si="31"/>
        <v>0</v>
      </c>
      <c r="F119" s="55">
        <f t="shared" si="29"/>
        <v>3.1940000000000004</v>
      </c>
      <c r="G119" s="68">
        <f t="shared" si="24"/>
        <v>0.17</v>
      </c>
      <c r="H119" s="68">
        <v>0</v>
      </c>
      <c r="I119" s="68">
        <f t="shared" si="30"/>
        <v>0.17</v>
      </c>
      <c r="J119" s="56"/>
      <c r="K119" s="57">
        <f t="shared" si="33"/>
        <v>102</v>
      </c>
      <c r="L119" s="69">
        <f t="shared" si="34"/>
        <v>39868</v>
      </c>
      <c r="M119" s="59">
        <f t="shared" si="27"/>
        <v>6.9934896688738035E-2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5">
      <c r="A120" s="55">
        <f t="shared" si="28"/>
        <v>103</v>
      </c>
      <c r="B120" s="66">
        <f t="shared" si="32"/>
        <v>39904</v>
      </c>
      <c r="C120"/>
      <c r="D120" s="55">
        <f t="shared" si="23"/>
        <v>3.0340000000000003</v>
      </c>
      <c r="E120" s="189">
        <f t="shared" si="31"/>
        <v>0</v>
      </c>
      <c r="F120" s="55">
        <f t="shared" si="29"/>
        <v>3.0340000000000003</v>
      </c>
      <c r="G120" s="68">
        <f t="shared" si="24"/>
        <v>0.17</v>
      </c>
      <c r="H120" s="68">
        <v>0</v>
      </c>
      <c r="I120" s="68">
        <f t="shared" si="30"/>
        <v>0.17</v>
      </c>
      <c r="J120" s="56"/>
      <c r="K120" s="57">
        <f t="shared" si="33"/>
        <v>103</v>
      </c>
      <c r="L120" s="69">
        <f t="shared" si="34"/>
        <v>39898</v>
      </c>
      <c r="M120" s="59">
        <f t="shared" si="27"/>
        <v>6.994803423903502E-2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5">
      <c r="A121" s="55">
        <f t="shared" si="28"/>
        <v>104</v>
      </c>
      <c r="B121" s="66">
        <f t="shared" si="32"/>
        <v>39934</v>
      </c>
      <c r="C121"/>
      <c r="D121" s="55">
        <f t="shared" si="23"/>
        <v>3.0249999999999999</v>
      </c>
      <c r="E121" s="189">
        <f t="shared" ref="E121:E137" si="35">N$11</f>
        <v>0</v>
      </c>
      <c r="F121" s="55">
        <f t="shared" si="29"/>
        <v>3.0249999999999999</v>
      </c>
      <c r="G121" s="68">
        <f t="shared" si="24"/>
        <v>0.17</v>
      </c>
      <c r="H121" s="68">
        <v>0</v>
      </c>
      <c r="I121" s="68">
        <f t="shared" si="30"/>
        <v>0.17</v>
      </c>
      <c r="J121" s="56"/>
      <c r="K121" s="57">
        <f t="shared" si="33"/>
        <v>104</v>
      </c>
      <c r="L121" s="69">
        <f t="shared" si="34"/>
        <v>39930</v>
      </c>
      <c r="M121" s="59">
        <f t="shared" si="27"/>
        <v>6.9960747997441008E-2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5">
      <c r="A122" s="55">
        <f t="shared" si="28"/>
        <v>105</v>
      </c>
      <c r="B122" s="66">
        <f t="shared" si="32"/>
        <v>39965</v>
      </c>
      <c r="C122"/>
      <c r="D122" s="55">
        <f t="shared" si="23"/>
        <v>3.0510000000000002</v>
      </c>
      <c r="E122" s="189">
        <f t="shared" si="35"/>
        <v>0</v>
      </c>
      <c r="F122" s="55">
        <f t="shared" si="29"/>
        <v>3.0510000000000002</v>
      </c>
      <c r="G122" s="68">
        <f t="shared" si="24"/>
        <v>0.17</v>
      </c>
      <c r="H122" s="68">
        <v>0</v>
      </c>
      <c r="I122" s="68">
        <f t="shared" si="30"/>
        <v>0.17</v>
      </c>
      <c r="J122" s="56"/>
      <c r="K122" s="57">
        <f t="shared" si="33"/>
        <v>105</v>
      </c>
      <c r="L122" s="69">
        <f t="shared" si="34"/>
        <v>39959</v>
      </c>
      <c r="M122" s="59">
        <f t="shared" si="27"/>
        <v>6.9973885547851028E-2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5">
      <c r="A123" s="55">
        <f t="shared" si="28"/>
        <v>106</v>
      </c>
      <c r="B123" s="66">
        <f t="shared" si="32"/>
        <v>39995</v>
      </c>
      <c r="C123"/>
      <c r="D123" s="55">
        <f t="shared" si="23"/>
        <v>3.0730000000000004</v>
      </c>
      <c r="E123" s="189">
        <f t="shared" si="35"/>
        <v>0</v>
      </c>
      <c r="F123" s="55">
        <f t="shared" si="29"/>
        <v>3.0730000000000004</v>
      </c>
      <c r="G123" s="68">
        <f t="shared" si="24"/>
        <v>0.17</v>
      </c>
      <c r="H123" s="68">
        <v>0</v>
      </c>
      <c r="I123" s="68">
        <f t="shared" si="30"/>
        <v>0.17</v>
      </c>
      <c r="J123" s="56"/>
      <c r="K123" s="57">
        <f t="shared" si="33"/>
        <v>106</v>
      </c>
      <c r="L123" s="69">
        <f t="shared" si="34"/>
        <v>39989</v>
      </c>
      <c r="M123" s="59">
        <f t="shared" si="27"/>
        <v>6.9986599306366026E-2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5">
      <c r="A124" s="55">
        <f t="shared" si="28"/>
        <v>107</v>
      </c>
      <c r="B124" s="66">
        <f t="shared" ref="B124:B137" si="36">DATE(YEAR(B123),MONTH(B123)+1,1)</f>
        <v>40026</v>
      </c>
      <c r="C124"/>
      <c r="D124" s="55">
        <f t="shared" si="23"/>
        <v>3.0940000000000003</v>
      </c>
      <c r="E124" s="189">
        <f t="shared" si="35"/>
        <v>0</v>
      </c>
      <c r="F124" s="55">
        <f t="shared" si="29"/>
        <v>3.0940000000000003</v>
      </c>
      <c r="G124" s="68">
        <f t="shared" si="24"/>
        <v>0.17</v>
      </c>
      <c r="H124" s="68">
        <v>0</v>
      </c>
      <c r="I124" s="68">
        <f t="shared" si="30"/>
        <v>0.17</v>
      </c>
      <c r="J124" s="56"/>
      <c r="K124" s="57">
        <f t="shared" si="33"/>
        <v>107</v>
      </c>
      <c r="L124" s="69">
        <f t="shared" si="34"/>
        <v>40022</v>
      </c>
      <c r="M124" s="59">
        <f t="shared" si="27"/>
        <v>6.9999736856888012E-2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5">
      <c r="A125" s="55">
        <f t="shared" si="28"/>
        <v>108</v>
      </c>
      <c r="B125" s="66">
        <f t="shared" si="36"/>
        <v>40057</v>
      </c>
      <c r="C125"/>
      <c r="D125" s="55">
        <f t="shared" si="23"/>
        <v>3.0780000000000003</v>
      </c>
      <c r="E125" s="189">
        <f t="shared" si="35"/>
        <v>0</v>
      </c>
      <c r="F125" s="55">
        <f t="shared" si="29"/>
        <v>3.0780000000000003</v>
      </c>
      <c r="G125" s="68">
        <f t="shared" si="24"/>
        <v>0.17</v>
      </c>
      <c r="H125" s="68">
        <v>0</v>
      </c>
      <c r="I125" s="68">
        <f t="shared" si="30"/>
        <v>0.17</v>
      </c>
      <c r="J125" s="56"/>
      <c r="K125" s="57">
        <f t="shared" si="33"/>
        <v>108</v>
      </c>
      <c r="L125" s="69">
        <f t="shared" si="34"/>
        <v>40051</v>
      </c>
      <c r="M125" s="59">
        <f t="shared" si="27"/>
        <v>7.0012874407467007E-2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5">
      <c r="A126" s="55">
        <f t="shared" si="28"/>
        <v>109</v>
      </c>
      <c r="B126" s="66">
        <f t="shared" si="36"/>
        <v>40087</v>
      </c>
      <c r="C126"/>
      <c r="D126" s="55">
        <f t="shared" si="23"/>
        <v>3.077</v>
      </c>
      <c r="E126" s="189">
        <f t="shared" si="35"/>
        <v>0</v>
      </c>
      <c r="F126" s="55">
        <f t="shared" si="29"/>
        <v>3.077</v>
      </c>
      <c r="G126" s="68">
        <f t="shared" si="24"/>
        <v>0.17</v>
      </c>
      <c r="H126" s="68">
        <v>0</v>
      </c>
      <c r="I126" s="68">
        <f t="shared" si="30"/>
        <v>0.17</v>
      </c>
      <c r="J126" s="56"/>
      <c r="K126" s="57">
        <f t="shared" si="33"/>
        <v>109</v>
      </c>
      <c r="L126" s="69">
        <f t="shared" si="34"/>
        <v>40081</v>
      </c>
      <c r="M126" s="59">
        <f t="shared" si="27"/>
        <v>7.0025588166146027E-2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5">
      <c r="A127" s="55">
        <f t="shared" si="28"/>
        <v>110</v>
      </c>
      <c r="B127" s="66">
        <f t="shared" si="36"/>
        <v>40118</v>
      </c>
      <c r="C127"/>
      <c r="D127" s="55">
        <f t="shared" si="23"/>
        <v>3.1390000000000002</v>
      </c>
      <c r="E127" s="189">
        <f t="shared" si="35"/>
        <v>0</v>
      </c>
      <c r="F127" s="55">
        <f t="shared" si="29"/>
        <v>3.1390000000000002</v>
      </c>
      <c r="G127" s="68">
        <f t="shared" si="24"/>
        <v>0.17</v>
      </c>
      <c r="H127" s="68">
        <v>0</v>
      </c>
      <c r="I127" s="68">
        <f t="shared" si="30"/>
        <v>0.17</v>
      </c>
      <c r="J127" s="56"/>
      <c r="K127" s="57">
        <f t="shared" si="33"/>
        <v>110</v>
      </c>
      <c r="L127" s="69">
        <f t="shared" si="34"/>
        <v>40113</v>
      </c>
      <c r="M127" s="59">
        <f t="shared" si="27"/>
        <v>7.0038725716837016E-2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5">
      <c r="A128" s="55">
        <f t="shared" si="28"/>
        <v>111</v>
      </c>
      <c r="B128" s="66">
        <f t="shared" si="36"/>
        <v>40148</v>
      </c>
      <c r="C128"/>
      <c r="D128" s="55">
        <f t="shared" si="23"/>
        <v>3.2030000000000003</v>
      </c>
      <c r="E128" s="189">
        <f t="shared" si="35"/>
        <v>0</v>
      </c>
      <c r="F128" s="55">
        <f t="shared" si="29"/>
        <v>3.2030000000000003</v>
      </c>
      <c r="G128" s="68">
        <f t="shared" si="24"/>
        <v>0.17</v>
      </c>
      <c r="H128" s="68">
        <v>0</v>
      </c>
      <c r="I128" s="68">
        <f t="shared" si="30"/>
        <v>0.17</v>
      </c>
      <c r="J128" s="56"/>
      <c r="K128" s="57">
        <f t="shared" si="33"/>
        <v>111</v>
      </c>
      <c r="L128" s="69">
        <f t="shared" si="34"/>
        <v>40141</v>
      </c>
      <c r="M128" s="59">
        <f t="shared" si="27"/>
        <v>7.0051439475624019E-2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 s="55">
        <f t="shared" si="28"/>
        <v>112</v>
      </c>
      <c r="B129" s="66">
        <f t="shared" si="36"/>
        <v>40179</v>
      </c>
      <c r="C129"/>
      <c r="D129" s="55">
        <f t="shared" si="23"/>
        <v>3.5060000000000002</v>
      </c>
      <c r="E129" s="189">
        <f t="shared" si="35"/>
        <v>0</v>
      </c>
      <c r="F129" s="55">
        <f t="shared" si="29"/>
        <v>3.5060000000000002</v>
      </c>
      <c r="G129" s="68">
        <f t="shared" si="24"/>
        <v>0.17</v>
      </c>
      <c r="H129" s="68">
        <v>0</v>
      </c>
      <c r="I129" s="68">
        <f t="shared" si="30"/>
        <v>0.17</v>
      </c>
      <c r="J129" s="56"/>
      <c r="K129" s="57">
        <f t="shared" si="33"/>
        <v>112</v>
      </c>
      <c r="L129" s="69">
        <f t="shared" si="34"/>
        <v>40175</v>
      </c>
      <c r="M129" s="59">
        <f t="shared" si="27"/>
        <v>7.0064577026428002E-2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 s="55">
        <f t="shared" si="28"/>
        <v>113</v>
      </c>
      <c r="B130" s="66">
        <f t="shared" si="36"/>
        <v>40210</v>
      </c>
      <c r="C130"/>
      <c r="D130" s="55">
        <f t="shared" si="23"/>
        <v>3.3919999999999999</v>
      </c>
      <c r="E130" s="189">
        <f t="shared" si="35"/>
        <v>0</v>
      </c>
      <c r="F130" s="55">
        <f t="shared" si="29"/>
        <v>3.3919999999999999</v>
      </c>
      <c r="G130" s="68">
        <f t="shared" si="24"/>
        <v>0.17</v>
      </c>
      <c r="H130" s="68">
        <v>0</v>
      </c>
      <c r="I130" s="68">
        <f t="shared" si="30"/>
        <v>0.17</v>
      </c>
      <c r="J130" s="56"/>
      <c r="K130" s="57">
        <f t="shared" si="33"/>
        <v>113</v>
      </c>
      <c r="L130" s="69">
        <f t="shared" si="34"/>
        <v>40204</v>
      </c>
      <c r="M130" s="59">
        <f t="shared" si="27"/>
        <v>7.0077714577288008E-2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 s="55">
        <f t="shared" si="28"/>
        <v>114</v>
      </c>
      <c r="B131" s="66">
        <f t="shared" si="36"/>
        <v>40238</v>
      </c>
      <c r="C131"/>
      <c r="D131" s="55">
        <f t="shared" si="23"/>
        <v>3.2430000000000003</v>
      </c>
      <c r="E131" s="189">
        <f t="shared" si="35"/>
        <v>0</v>
      </c>
      <c r="F131" s="55">
        <f t="shared" si="29"/>
        <v>3.2430000000000003</v>
      </c>
      <c r="G131" s="68">
        <f t="shared" si="24"/>
        <v>0.16</v>
      </c>
      <c r="H131" s="68">
        <v>0</v>
      </c>
      <c r="I131" s="68">
        <f t="shared" si="30"/>
        <v>0.16</v>
      </c>
      <c r="J131" s="56"/>
      <c r="K131" s="57">
        <f t="shared" si="33"/>
        <v>114</v>
      </c>
      <c r="L131" s="69">
        <f t="shared" si="34"/>
        <v>40232</v>
      </c>
      <c r="M131" s="59">
        <f t="shared" si="27"/>
        <v>7.0089580752308006E-2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 s="55">
        <f t="shared" si="28"/>
        <v>115</v>
      </c>
      <c r="B132" s="66">
        <f t="shared" si="36"/>
        <v>40269</v>
      </c>
      <c r="C132"/>
      <c r="D132" s="55">
        <f t="shared" si="23"/>
        <v>3.0860000000000003</v>
      </c>
      <c r="E132" s="189">
        <f t="shared" si="35"/>
        <v>0</v>
      </c>
      <c r="F132" s="55">
        <f t="shared" si="29"/>
        <v>3.0860000000000003</v>
      </c>
      <c r="G132" s="68">
        <f t="shared" si="24"/>
        <v>0.16</v>
      </c>
      <c r="H132" s="68">
        <v>0</v>
      </c>
      <c r="I132" s="68">
        <f t="shared" si="30"/>
        <v>0.16</v>
      </c>
      <c r="J132" s="56"/>
      <c r="K132" s="57">
        <f t="shared" si="33"/>
        <v>115</v>
      </c>
      <c r="L132" s="69">
        <f t="shared" si="34"/>
        <v>40263</v>
      </c>
      <c r="M132" s="59">
        <f t="shared" si="27"/>
        <v>7.0102718303277023E-2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 s="55">
        <f t="shared" si="28"/>
        <v>116</v>
      </c>
      <c r="B133" s="66">
        <f t="shared" si="36"/>
        <v>40299</v>
      </c>
      <c r="C133"/>
      <c r="D133" s="55">
        <f t="shared" si="23"/>
        <v>3.0780000000000003</v>
      </c>
      <c r="E133" s="189">
        <f t="shared" si="35"/>
        <v>0</v>
      </c>
      <c r="F133" s="55">
        <f t="shared" si="29"/>
        <v>3.0780000000000003</v>
      </c>
      <c r="G133" s="68">
        <f t="shared" si="24"/>
        <v>0.16</v>
      </c>
      <c r="H133" s="68">
        <v>0</v>
      </c>
      <c r="I133" s="68">
        <f t="shared" si="30"/>
        <v>0.16</v>
      </c>
      <c r="J133" s="56"/>
      <c r="K133" s="57">
        <f t="shared" si="33"/>
        <v>116</v>
      </c>
      <c r="L133" s="69">
        <f t="shared" si="34"/>
        <v>40295</v>
      </c>
      <c r="M133" s="59">
        <f t="shared" si="27"/>
        <v>7.0115432062333005E-2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 s="55">
        <f t="shared" si="28"/>
        <v>117</v>
      </c>
      <c r="B134" s="66">
        <f t="shared" si="36"/>
        <v>40330</v>
      </c>
      <c r="C134"/>
      <c r="D134" s="55">
        <f t="shared" si="23"/>
        <v>3.105</v>
      </c>
      <c r="E134" s="189">
        <f t="shared" si="35"/>
        <v>0</v>
      </c>
      <c r="F134" s="55">
        <f t="shared" si="29"/>
        <v>3.105</v>
      </c>
      <c r="G134" s="68">
        <f t="shared" si="24"/>
        <v>0.16</v>
      </c>
      <c r="H134" s="68">
        <v>0</v>
      </c>
      <c r="I134" s="68">
        <f t="shared" si="30"/>
        <v>0.16</v>
      </c>
      <c r="J134" s="56"/>
      <c r="K134" s="57">
        <f t="shared" si="33"/>
        <v>117</v>
      </c>
      <c r="L134" s="69">
        <f t="shared" si="34"/>
        <v>40323</v>
      </c>
      <c r="M134" s="59">
        <f t="shared" si="27"/>
        <v>7.0128569613415029E-2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 s="55">
        <f t="shared" si="28"/>
        <v>118</v>
      </c>
      <c r="B135" s="66">
        <f t="shared" si="36"/>
        <v>40360</v>
      </c>
      <c r="C135"/>
      <c r="D135" s="55">
        <f t="shared" si="23"/>
        <v>3.1269999999999998</v>
      </c>
      <c r="E135" s="189">
        <f t="shared" si="35"/>
        <v>0</v>
      </c>
      <c r="F135" s="55">
        <f t="shared" si="29"/>
        <v>3.1269999999999998</v>
      </c>
      <c r="G135" s="68">
        <f t="shared" si="24"/>
        <v>0.16</v>
      </c>
      <c r="H135" s="68">
        <v>0</v>
      </c>
      <c r="I135" s="68">
        <f t="shared" si="30"/>
        <v>0.16</v>
      </c>
      <c r="J135" s="56"/>
      <c r="K135" s="57">
        <f t="shared" si="33"/>
        <v>118</v>
      </c>
      <c r="L135" s="69">
        <f t="shared" si="34"/>
        <v>40354</v>
      </c>
      <c r="M135" s="59">
        <f t="shared" si="27"/>
        <v>7.0141283372581006E-2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 s="55">
        <f t="shared" si="28"/>
        <v>119</v>
      </c>
      <c r="B136" s="66">
        <f t="shared" si="36"/>
        <v>40391</v>
      </c>
      <c r="C136"/>
      <c r="D136" s="55">
        <f t="shared" si="23"/>
        <v>3.1480000000000001</v>
      </c>
      <c r="E136" s="189">
        <f t="shared" si="35"/>
        <v>0</v>
      </c>
      <c r="F136" s="55">
        <f t="shared" si="29"/>
        <v>3.1480000000000001</v>
      </c>
      <c r="G136" s="68">
        <f t="shared" si="24"/>
        <v>0.16</v>
      </c>
      <c r="H136" s="68">
        <v>0</v>
      </c>
      <c r="I136" s="68">
        <f t="shared" si="30"/>
        <v>0.16</v>
      </c>
      <c r="J136" s="56"/>
      <c r="K136" s="57">
        <f t="shared" si="33"/>
        <v>119</v>
      </c>
      <c r="L136" s="69">
        <f t="shared" si="34"/>
        <v>40386</v>
      </c>
      <c r="M136" s="59">
        <f t="shared" si="27"/>
        <v>7.0154420923774011E-2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 s="55">
        <f t="shared" si="28"/>
        <v>120</v>
      </c>
      <c r="B137" s="66">
        <f t="shared" si="36"/>
        <v>40422</v>
      </c>
      <c r="C137"/>
      <c r="D137" s="55">
        <f t="shared" si="23"/>
        <v>3.1310000000000002</v>
      </c>
      <c r="E137" s="189">
        <f t="shared" si="35"/>
        <v>0</v>
      </c>
      <c r="F137" s="55">
        <f t="shared" si="29"/>
        <v>3.1310000000000002</v>
      </c>
      <c r="G137" s="68">
        <f t="shared" si="24"/>
        <v>0.16</v>
      </c>
      <c r="H137" s="68">
        <v>0</v>
      </c>
      <c r="I137" s="68">
        <f t="shared" si="30"/>
        <v>0.16</v>
      </c>
      <c r="J137" s="56"/>
      <c r="K137" s="57">
        <f t="shared" si="33"/>
        <v>120</v>
      </c>
      <c r="L137" s="69">
        <f t="shared" si="34"/>
        <v>40416</v>
      </c>
      <c r="M137" s="59">
        <f t="shared" si="27"/>
        <v>7.0167558475024996E-2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/>
      <c r="B138"/>
      <c r="C138"/>
      <c r="D138"/>
      <c r="E138"/>
      <c r="F138"/>
      <c r="G138"/>
      <c r="H138" s="68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/>
      <c r="B139"/>
      <c r="C139"/>
      <c r="D139"/>
      <c r="E139"/>
      <c r="F139"/>
      <c r="G139"/>
      <c r="H139" s="68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/>
      <c r="B140"/>
      <c r="C140"/>
      <c r="D140"/>
      <c r="E140"/>
      <c r="F140"/>
      <c r="G140"/>
      <c r="H140" s="68"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5">
      <c r="A141"/>
      <c r="B141"/>
      <c r="C141"/>
      <c r="D141"/>
      <c r="E141"/>
      <c r="F141"/>
      <c r="G141"/>
      <c r="H141" s="68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5">
      <c r="A142"/>
      <c r="B142"/>
      <c r="C142"/>
      <c r="D142"/>
      <c r="E142"/>
      <c r="F142"/>
      <c r="G142"/>
      <c r="H142" s="68"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5">
      <c r="A143"/>
      <c r="B143"/>
      <c r="C143"/>
      <c r="D143"/>
      <c r="E143"/>
      <c r="F143"/>
      <c r="G143"/>
      <c r="H143" s="68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5">
      <c r="A144"/>
      <c r="B144"/>
      <c r="C144"/>
      <c r="D144"/>
      <c r="E144"/>
      <c r="F144"/>
      <c r="G144"/>
      <c r="H144" s="68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5">
      <c r="A145"/>
      <c r="B145"/>
      <c r="C145"/>
      <c r="D145"/>
      <c r="E145"/>
      <c r="F145"/>
      <c r="G145"/>
      <c r="H145" s="68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5">
      <c r="A146"/>
      <c r="B146"/>
      <c r="C146"/>
      <c r="D146"/>
      <c r="E146"/>
      <c r="F146"/>
      <c r="G146"/>
      <c r="H146" s="68">
        <v>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5">
      <c r="A147"/>
      <c r="B147"/>
      <c r="C147"/>
      <c r="D147"/>
      <c r="E147"/>
      <c r="F147"/>
      <c r="G147"/>
      <c r="H147" s="68">
        <v>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5">
      <c r="A148"/>
      <c r="B148"/>
      <c r="C148"/>
      <c r="D148"/>
      <c r="E148"/>
      <c r="F148"/>
      <c r="G148"/>
      <c r="H148" s="68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5">
      <c r="A149"/>
      <c r="B149"/>
      <c r="C149"/>
      <c r="D149"/>
      <c r="E149"/>
      <c r="F149"/>
      <c r="G149"/>
      <c r="H149" s="68">
        <v>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5">
      <c r="A150"/>
      <c r="B150"/>
      <c r="C150"/>
      <c r="D150"/>
      <c r="E150"/>
      <c r="F150"/>
      <c r="G150"/>
      <c r="H150" s="68">
        <v>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5">
      <c r="A151"/>
      <c r="B151"/>
      <c r="C151"/>
      <c r="D151"/>
      <c r="E151"/>
      <c r="F151"/>
      <c r="G151"/>
      <c r="H151" s="68">
        <v>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5">
      <c r="A152"/>
      <c r="B152"/>
      <c r="C152"/>
      <c r="D152"/>
      <c r="E152"/>
      <c r="F152"/>
      <c r="G152"/>
      <c r="H152" s="68">
        <v>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5">
      <c r="A153"/>
      <c r="B153"/>
      <c r="C153"/>
      <c r="D153"/>
      <c r="E153"/>
      <c r="F153"/>
      <c r="G153"/>
      <c r="H153" s="68">
        <v>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5">
      <c r="A154"/>
      <c r="B154"/>
      <c r="C154"/>
      <c r="D154"/>
      <c r="E154"/>
      <c r="F154"/>
      <c r="G154"/>
      <c r="H154" s="68"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5">
      <c r="A155"/>
      <c r="B155"/>
      <c r="C155"/>
      <c r="D155"/>
      <c r="E155"/>
      <c r="F155"/>
      <c r="G155"/>
      <c r="H155" s="68">
        <v>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5">
      <c r="A156"/>
      <c r="B156"/>
      <c r="C156"/>
      <c r="D156"/>
      <c r="E156"/>
      <c r="F156"/>
      <c r="G156"/>
      <c r="H156" s="68">
        <v>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5">
      <c r="A157"/>
      <c r="B157"/>
      <c r="C157"/>
      <c r="D157"/>
      <c r="E157"/>
      <c r="F157"/>
      <c r="G157"/>
      <c r="H157" s="68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5">
      <c r="A158"/>
      <c r="B158"/>
      <c r="C158"/>
      <c r="D158"/>
      <c r="E158"/>
      <c r="F158"/>
      <c r="G158"/>
      <c r="H158" s="68"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5">
      <c r="A159"/>
      <c r="B159"/>
      <c r="C159"/>
      <c r="D159"/>
      <c r="E159"/>
      <c r="F159"/>
      <c r="G159"/>
      <c r="H159" s="68"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5">
      <c r="A160"/>
      <c r="B160"/>
      <c r="C160"/>
      <c r="D160"/>
      <c r="E160"/>
      <c r="F160"/>
      <c r="G160"/>
      <c r="H160" s="68">
        <v>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 x14ac:dyDescent="0.25">
      <c r="A161"/>
      <c r="B161"/>
      <c r="C161"/>
      <c r="D161"/>
      <c r="E161"/>
      <c r="F161"/>
      <c r="G161"/>
      <c r="H161" s="68">
        <v>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 x14ac:dyDescent="0.25">
      <c r="A162"/>
      <c r="B162"/>
      <c r="C162"/>
      <c r="D162"/>
      <c r="E162"/>
      <c r="F162"/>
      <c r="G162"/>
      <c r="H162" s="68">
        <v>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 x14ac:dyDescent="0.25">
      <c r="A163"/>
      <c r="B163"/>
      <c r="C163"/>
      <c r="D163"/>
      <c r="E163"/>
      <c r="F163"/>
      <c r="G163"/>
      <c r="H163" s="68">
        <v>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 x14ac:dyDescent="0.25">
      <c r="A164"/>
      <c r="B164"/>
      <c r="C164"/>
      <c r="D164"/>
      <c r="E164"/>
      <c r="F164"/>
      <c r="G164"/>
      <c r="H164" s="68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 x14ac:dyDescent="0.25">
      <c r="A165"/>
      <c r="B165"/>
      <c r="C165"/>
      <c r="D165"/>
      <c r="E165"/>
      <c r="F165"/>
      <c r="G165"/>
      <c r="H165" s="68">
        <v>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 x14ac:dyDescent="0.25">
      <c r="A166"/>
      <c r="B166"/>
      <c r="C166"/>
      <c r="D166"/>
      <c r="E166"/>
      <c r="F166"/>
      <c r="G166"/>
      <c r="H166" s="68">
        <v>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 x14ac:dyDescent="0.25">
      <c r="A167"/>
      <c r="B167"/>
      <c r="C167"/>
      <c r="D167"/>
      <c r="E167"/>
      <c r="F167"/>
      <c r="G167"/>
      <c r="H167" s="68">
        <v>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 x14ac:dyDescent="0.25">
      <c r="A168"/>
      <c r="B168"/>
      <c r="C168"/>
      <c r="D168"/>
      <c r="E168"/>
      <c r="F168"/>
      <c r="G168"/>
      <c r="H168" s="68">
        <v>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 x14ac:dyDescent="0.25">
      <c r="A169"/>
      <c r="B169"/>
      <c r="C169"/>
      <c r="D169"/>
      <c r="E169"/>
      <c r="F169"/>
      <c r="G169"/>
      <c r="H169" s="68">
        <v>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 x14ac:dyDescent="0.25">
      <c r="A170"/>
      <c r="B170"/>
      <c r="C170"/>
      <c r="D170"/>
      <c r="E170"/>
      <c r="F170"/>
      <c r="G170"/>
      <c r="H170" s="68">
        <v>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 x14ac:dyDescent="0.25">
      <c r="A171"/>
      <c r="B171"/>
      <c r="C171"/>
      <c r="D171"/>
      <c r="E171"/>
      <c r="F171"/>
      <c r="G171"/>
      <c r="H171" s="68">
        <v>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 x14ac:dyDescent="0.25">
      <c r="A172"/>
      <c r="B172"/>
      <c r="C172"/>
      <c r="D172"/>
      <c r="E172"/>
      <c r="F172"/>
      <c r="G172"/>
      <c r="H172" s="68">
        <v>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 x14ac:dyDescent="0.25">
      <c r="A173"/>
      <c r="B173"/>
      <c r="C173"/>
      <c r="D173"/>
      <c r="E173"/>
      <c r="F173"/>
      <c r="G173"/>
      <c r="H173" s="68">
        <v>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 x14ac:dyDescent="0.25">
      <c r="A174"/>
      <c r="B174"/>
      <c r="C174"/>
      <c r="D174"/>
      <c r="E174"/>
      <c r="F174"/>
      <c r="G174"/>
      <c r="H174" s="68">
        <v>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 x14ac:dyDescent="0.25">
      <c r="A175"/>
      <c r="B175"/>
      <c r="C175"/>
      <c r="D175"/>
      <c r="E175"/>
      <c r="F175"/>
      <c r="G175"/>
      <c r="H175" s="68">
        <v>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 x14ac:dyDescent="0.25">
      <c r="A176"/>
      <c r="B176"/>
      <c r="C176"/>
      <c r="D176"/>
      <c r="E176"/>
      <c r="F176"/>
      <c r="G176"/>
      <c r="H176" s="68">
        <v>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 x14ac:dyDescent="0.25">
      <c r="A177"/>
      <c r="B177"/>
      <c r="C177"/>
      <c r="D177"/>
      <c r="E177"/>
      <c r="F177"/>
      <c r="G177"/>
      <c r="H177" s="6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 x14ac:dyDescent="0.25">
      <c r="A178"/>
      <c r="B178"/>
      <c r="C178"/>
      <c r="D178"/>
      <c r="E178"/>
      <c r="F178"/>
      <c r="G178"/>
      <c r="H178" s="68">
        <v>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 x14ac:dyDescent="0.25">
      <c r="A179"/>
      <c r="B179"/>
      <c r="C179"/>
      <c r="D179"/>
      <c r="E179"/>
      <c r="F179"/>
      <c r="G179"/>
      <c r="H179" s="68">
        <v>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 x14ac:dyDescent="0.25">
      <c r="A180"/>
      <c r="B180"/>
      <c r="C180"/>
      <c r="D180"/>
      <c r="E180"/>
      <c r="F180"/>
      <c r="G180"/>
      <c r="H180" s="68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 x14ac:dyDescent="0.25">
      <c r="A181"/>
      <c r="B181"/>
      <c r="C181"/>
      <c r="D181"/>
      <c r="E181"/>
      <c r="F181"/>
      <c r="G181"/>
      <c r="H181" s="68">
        <v>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 x14ac:dyDescent="0.25">
      <c r="A182"/>
      <c r="B182"/>
      <c r="C182"/>
      <c r="D182"/>
      <c r="E182"/>
      <c r="F182"/>
      <c r="G182"/>
      <c r="H182" s="68">
        <v>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 x14ac:dyDescent="0.25">
      <c r="A183"/>
      <c r="B183"/>
      <c r="C183"/>
      <c r="D183"/>
      <c r="E183"/>
      <c r="F183"/>
      <c r="G183"/>
      <c r="H183" s="68">
        <v>0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 x14ac:dyDescent="0.25">
      <c r="A184"/>
      <c r="B184"/>
      <c r="C184"/>
      <c r="D184"/>
      <c r="E184"/>
      <c r="F184"/>
      <c r="G184"/>
      <c r="H184" s="68">
        <v>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 x14ac:dyDescent="0.25">
      <c r="A185"/>
      <c r="B185"/>
      <c r="C185"/>
      <c r="D185"/>
      <c r="E185"/>
      <c r="F185"/>
      <c r="G185"/>
      <c r="H185" s="68">
        <v>0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 x14ac:dyDescent="0.25">
      <c r="A186"/>
      <c r="B186"/>
      <c r="C186"/>
      <c r="D186"/>
      <c r="E186"/>
      <c r="F186"/>
      <c r="G186"/>
      <c r="H186" s="68">
        <v>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 x14ac:dyDescent="0.25">
      <c r="A187"/>
      <c r="B187"/>
      <c r="C187"/>
      <c r="D187"/>
      <c r="E187"/>
      <c r="F187"/>
      <c r="G187"/>
      <c r="H187" s="68">
        <v>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 x14ac:dyDescent="0.25">
      <c r="A188"/>
      <c r="B188"/>
      <c r="C188"/>
      <c r="D188"/>
      <c r="E188"/>
      <c r="F188"/>
      <c r="G188"/>
      <c r="H188" s="6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 x14ac:dyDescent="0.25">
      <c r="A189"/>
      <c r="B189"/>
      <c r="C189"/>
      <c r="D189"/>
      <c r="E189"/>
      <c r="F189"/>
      <c r="G189"/>
      <c r="H189" s="68">
        <v>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 x14ac:dyDescent="0.25">
      <c r="A190"/>
      <c r="B190"/>
      <c r="C190"/>
      <c r="D190"/>
      <c r="E190"/>
      <c r="F190"/>
      <c r="G190"/>
      <c r="H190" s="68">
        <v>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 x14ac:dyDescent="0.25">
      <c r="A191"/>
      <c r="B191"/>
      <c r="C191"/>
      <c r="D191"/>
      <c r="E191"/>
      <c r="F191"/>
      <c r="G191"/>
      <c r="H191" s="68">
        <v>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 x14ac:dyDescent="0.25">
      <c r="A192"/>
      <c r="B192"/>
      <c r="C192"/>
      <c r="D192"/>
      <c r="E192"/>
      <c r="F192"/>
      <c r="G192"/>
      <c r="H192" s="68">
        <v>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 x14ac:dyDescent="0.25">
      <c r="A193"/>
      <c r="B193"/>
      <c r="C193"/>
      <c r="D193"/>
      <c r="E193"/>
      <c r="F193"/>
      <c r="G193"/>
      <c r="H193" s="68">
        <v>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 x14ac:dyDescent="0.25">
      <c r="A194"/>
      <c r="B194"/>
      <c r="C194"/>
      <c r="D194"/>
      <c r="E194"/>
      <c r="F194"/>
      <c r="G194"/>
      <c r="H194" s="68">
        <v>0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 x14ac:dyDescent="0.25">
      <c r="A195"/>
      <c r="B195"/>
      <c r="C195"/>
      <c r="D195"/>
      <c r="E195"/>
      <c r="F195"/>
      <c r="G195"/>
      <c r="H195" s="68">
        <v>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 x14ac:dyDescent="0.25">
      <c r="A196"/>
      <c r="B196"/>
      <c r="C196"/>
      <c r="D196"/>
      <c r="E196"/>
      <c r="F196"/>
      <c r="G196"/>
      <c r="H196" s="68">
        <v>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 x14ac:dyDescent="0.25">
      <c r="A197"/>
      <c r="B197"/>
      <c r="C197"/>
      <c r="D197"/>
      <c r="E197"/>
      <c r="F197"/>
      <c r="G197"/>
      <c r="H197" s="68">
        <v>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 x14ac:dyDescent="0.25">
      <c r="A198"/>
      <c r="B198"/>
      <c r="C198"/>
      <c r="D198"/>
      <c r="E198"/>
      <c r="F198"/>
      <c r="G198"/>
      <c r="H198" s="68">
        <v>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 x14ac:dyDescent="0.25">
      <c r="A199"/>
      <c r="B199"/>
      <c r="C199"/>
      <c r="D199"/>
      <c r="E199"/>
      <c r="F199"/>
      <c r="G199"/>
      <c r="H199" s="68">
        <v>0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 x14ac:dyDescent="0.25">
      <c r="A200"/>
      <c r="B200"/>
      <c r="C200"/>
      <c r="D200"/>
      <c r="E200"/>
      <c r="F200"/>
      <c r="G200"/>
      <c r="H200" s="68">
        <v>0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 x14ac:dyDescent="0.25">
      <c r="A201"/>
      <c r="B201"/>
      <c r="C201"/>
      <c r="D201"/>
      <c r="E201"/>
      <c r="F201"/>
      <c r="G201"/>
      <c r="H201" s="68">
        <v>0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 x14ac:dyDescent="0.25">
      <c r="A202"/>
      <c r="B202"/>
      <c r="C202"/>
      <c r="D202"/>
      <c r="E202"/>
      <c r="F202"/>
      <c r="G202"/>
      <c r="H202" s="68">
        <v>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 spans="1:54" x14ac:dyDescent="0.25">
      <c r="A203"/>
      <c r="B203"/>
      <c r="C203"/>
      <c r="D203"/>
      <c r="E203"/>
      <c r="F203"/>
      <c r="G203"/>
      <c r="H203" s="68">
        <v>0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 spans="1:54" x14ac:dyDescent="0.25">
      <c r="A204"/>
      <c r="B204"/>
      <c r="C204"/>
      <c r="D204"/>
      <c r="E204"/>
      <c r="F204"/>
      <c r="G204"/>
      <c r="H204" s="68">
        <v>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 spans="1:54" x14ac:dyDescent="0.25">
      <c r="A205"/>
      <c r="B205"/>
      <c r="C205"/>
      <c r="D205"/>
      <c r="E205"/>
      <c r="F205"/>
      <c r="G205"/>
      <c r="H205" s="68">
        <v>0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 spans="1:54" x14ac:dyDescent="0.25">
      <c r="A206"/>
      <c r="B206"/>
      <c r="C206"/>
      <c r="D206"/>
      <c r="E206"/>
      <c r="F206"/>
      <c r="G206"/>
      <c r="H206" s="68">
        <v>0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 spans="1:54" x14ac:dyDescent="0.25">
      <c r="A207"/>
      <c r="B207"/>
      <c r="C207"/>
      <c r="D207"/>
      <c r="E207"/>
      <c r="F207"/>
      <c r="G207"/>
      <c r="H207" s="68">
        <v>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 spans="1:54" x14ac:dyDescent="0.25">
      <c r="A208"/>
      <c r="B208"/>
      <c r="C208"/>
      <c r="D208"/>
      <c r="E208"/>
      <c r="F208"/>
      <c r="G208"/>
      <c r="H208" s="68">
        <v>0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 spans="1:54" x14ac:dyDescent="0.25">
      <c r="A209"/>
      <c r="B209"/>
      <c r="C209"/>
      <c r="D209"/>
      <c r="E209"/>
      <c r="F209"/>
      <c r="G209"/>
      <c r="H209" s="68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1:54" x14ac:dyDescent="0.25">
      <c r="A210"/>
      <c r="B210"/>
      <c r="C210"/>
      <c r="D210"/>
      <c r="E210"/>
      <c r="F210"/>
      <c r="G210"/>
      <c r="H210" s="68">
        <v>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 x14ac:dyDescent="0.25">
      <c r="A211"/>
      <c r="B211"/>
      <c r="C211"/>
      <c r="D211"/>
      <c r="E211"/>
      <c r="F211"/>
      <c r="G211"/>
      <c r="H211" s="68">
        <v>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 x14ac:dyDescent="0.25">
      <c r="A212"/>
      <c r="B212"/>
      <c r="C212"/>
      <c r="D212"/>
      <c r="E212"/>
      <c r="F212"/>
      <c r="G212"/>
      <c r="H212" s="68">
        <v>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 x14ac:dyDescent="0.25">
      <c r="A213"/>
      <c r="B213"/>
      <c r="C213"/>
      <c r="D213"/>
      <c r="E213"/>
      <c r="F213"/>
      <c r="G213"/>
      <c r="H213" s="68">
        <v>0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 x14ac:dyDescent="0.25">
      <c r="A214"/>
      <c r="B214"/>
      <c r="C214"/>
      <c r="D214"/>
      <c r="E214"/>
      <c r="F214"/>
      <c r="G214"/>
      <c r="H214" s="68">
        <v>0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 x14ac:dyDescent="0.25">
      <c r="A215"/>
      <c r="B215"/>
      <c r="C215"/>
      <c r="D215"/>
      <c r="E215"/>
      <c r="F215"/>
      <c r="G215"/>
      <c r="H215" s="68">
        <v>0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 x14ac:dyDescent="0.25">
      <c r="A216"/>
      <c r="B216"/>
      <c r="C216"/>
      <c r="D216"/>
      <c r="E216"/>
      <c r="F216"/>
      <c r="G216"/>
      <c r="H216" s="68">
        <v>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 x14ac:dyDescent="0.25">
      <c r="A217"/>
      <c r="B217"/>
      <c r="C217"/>
      <c r="D217"/>
      <c r="E217"/>
      <c r="F217"/>
      <c r="G217"/>
      <c r="H217" s="68">
        <v>0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 x14ac:dyDescent="0.25">
      <c r="A218"/>
      <c r="B218"/>
      <c r="C218"/>
      <c r="D218"/>
      <c r="E218"/>
      <c r="F218"/>
      <c r="G218"/>
      <c r="H218" s="68">
        <v>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 x14ac:dyDescent="0.25">
      <c r="A219"/>
      <c r="B219"/>
      <c r="C219"/>
      <c r="D219"/>
      <c r="E219"/>
      <c r="F219"/>
      <c r="G219"/>
      <c r="H219" s="68">
        <v>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 x14ac:dyDescent="0.25">
      <c r="A220"/>
      <c r="B220"/>
      <c r="C220"/>
      <c r="D220"/>
      <c r="E220"/>
      <c r="F220"/>
      <c r="G220"/>
      <c r="H220" s="68">
        <v>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 x14ac:dyDescent="0.25">
      <c r="A221"/>
      <c r="B221"/>
      <c r="C221"/>
      <c r="D221"/>
      <c r="E221"/>
      <c r="F221"/>
      <c r="G221"/>
      <c r="H221" s="68">
        <v>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 x14ac:dyDescent="0.25">
      <c r="A222"/>
      <c r="B222"/>
      <c r="C222"/>
      <c r="D222"/>
      <c r="E222"/>
      <c r="F222"/>
      <c r="G222"/>
      <c r="H222" s="68">
        <v>0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 x14ac:dyDescent="0.25">
      <c r="A223"/>
      <c r="B223"/>
      <c r="C223"/>
      <c r="D223"/>
      <c r="E223"/>
      <c r="F223"/>
      <c r="G223"/>
      <c r="H223" s="68">
        <v>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 x14ac:dyDescent="0.25">
      <c r="A224"/>
      <c r="B224"/>
      <c r="C224"/>
      <c r="D224"/>
      <c r="E224"/>
      <c r="F224"/>
      <c r="G224"/>
      <c r="H224" s="68">
        <v>0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 x14ac:dyDescent="0.25">
      <c r="A225"/>
      <c r="B225"/>
      <c r="C225"/>
      <c r="D225"/>
      <c r="E225"/>
      <c r="F225"/>
      <c r="G225"/>
      <c r="H225" s="68">
        <v>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 x14ac:dyDescent="0.25">
      <c r="A226"/>
      <c r="B226"/>
      <c r="C226"/>
      <c r="D226"/>
      <c r="E226"/>
      <c r="F226"/>
      <c r="G226"/>
      <c r="H226" s="68">
        <v>0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 x14ac:dyDescent="0.25">
      <c r="A227"/>
      <c r="B227"/>
      <c r="C227"/>
      <c r="D227"/>
      <c r="E227"/>
      <c r="F227"/>
      <c r="G227"/>
      <c r="H227" s="68">
        <v>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 x14ac:dyDescent="0.25">
      <c r="A228"/>
      <c r="B228"/>
      <c r="C228"/>
      <c r="D228"/>
      <c r="E228"/>
      <c r="F228"/>
      <c r="G228"/>
      <c r="H228" s="68">
        <v>0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 x14ac:dyDescent="0.25">
      <c r="A229"/>
      <c r="B229"/>
      <c r="C229"/>
      <c r="D229"/>
      <c r="E229"/>
      <c r="F229"/>
      <c r="G229"/>
      <c r="H229" s="68">
        <v>0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 x14ac:dyDescent="0.25">
      <c r="A230"/>
      <c r="B230"/>
      <c r="C230"/>
      <c r="D230"/>
      <c r="E230"/>
      <c r="F230"/>
      <c r="G230"/>
      <c r="H230" s="68">
        <v>0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 x14ac:dyDescent="0.25">
      <c r="A231"/>
      <c r="B231"/>
      <c r="C231"/>
      <c r="D231"/>
      <c r="E231"/>
      <c r="F231"/>
      <c r="G231"/>
      <c r="H231" s="68">
        <v>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 x14ac:dyDescent="0.25">
      <c r="A232"/>
      <c r="B232"/>
      <c r="C232"/>
      <c r="D232"/>
      <c r="E232"/>
      <c r="F232"/>
      <c r="G232"/>
      <c r="H232" s="68">
        <v>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 x14ac:dyDescent="0.25">
      <c r="A233"/>
      <c r="B233"/>
      <c r="C233"/>
      <c r="D233"/>
      <c r="E233"/>
      <c r="F233"/>
      <c r="G233"/>
      <c r="H233" s="68">
        <v>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 x14ac:dyDescent="0.25">
      <c r="A234"/>
      <c r="B234"/>
      <c r="C234"/>
      <c r="D234"/>
      <c r="E234"/>
      <c r="F234"/>
      <c r="G234"/>
      <c r="H234" s="68">
        <v>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 x14ac:dyDescent="0.25">
      <c r="A235"/>
      <c r="B235"/>
      <c r="C235"/>
      <c r="D235"/>
      <c r="E235"/>
      <c r="F235"/>
      <c r="G235"/>
      <c r="H235" s="68">
        <v>0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 x14ac:dyDescent="0.25">
      <c r="A236"/>
      <c r="B236"/>
      <c r="C236"/>
      <c r="D236"/>
      <c r="E236"/>
      <c r="F236"/>
      <c r="G236"/>
      <c r="H236" s="68">
        <v>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 x14ac:dyDescent="0.25">
      <c r="A237"/>
      <c r="B237"/>
      <c r="C237"/>
      <c r="D237"/>
      <c r="E237"/>
      <c r="F237"/>
      <c r="G237"/>
      <c r="H237" s="68">
        <v>0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 x14ac:dyDescent="0.25">
      <c r="A238"/>
      <c r="B238"/>
      <c r="C238"/>
      <c r="D238"/>
      <c r="E238"/>
      <c r="F238"/>
      <c r="G238"/>
      <c r="H238" s="68">
        <v>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 x14ac:dyDescent="0.25">
      <c r="A239"/>
      <c r="B239"/>
      <c r="C239"/>
      <c r="D239"/>
      <c r="E239"/>
      <c r="F239"/>
      <c r="G239"/>
      <c r="H239" s="68">
        <v>0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 x14ac:dyDescent="0.25">
      <c r="A240"/>
      <c r="B240"/>
      <c r="C240"/>
      <c r="D240"/>
      <c r="E240"/>
      <c r="F240"/>
      <c r="G240"/>
      <c r="H240" s="68">
        <v>0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 x14ac:dyDescent="0.25">
      <c r="A241"/>
      <c r="B241"/>
      <c r="C241"/>
      <c r="D241"/>
      <c r="E241"/>
      <c r="F241"/>
      <c r="G241"/>
      <c r="H241" s="68">
        <v>0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 x14ac:dyDescent="0.25">
      <c r="A242"/>
      <c r="B242"/>
      <c r="C242"/>
      <c r="D242"/>
      <c r="E242"/>
      <c r="F242"/>
      <c r="G242"/>
      <c r="H242" s="68">
        <v>0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 x14ac:dyDescent="0.25">
      <c r="A243"/>
      <c r="B243"/>
      <c r="C243"/>
      <c r="D243"/>
      <c r="E243"/>
      <c r="F243"/>
      <c r="G243"/>
      <c r="H243" s="68">
        <v>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 spans="1:54" x14ac:dyDescent="0.25">
      <c r="A244"/>
      <c r="B244"/>
      <c r="C244"/>
      <c r="D244"/>
      <c r="E244"/>
      <c r="F244"/>
      <c r="G244"/>
      <c r="H244" s="68">
        <v>0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 spans="1:54" x14ac:dyDescent="0.25">
      <c r="A245"/>
      <c r="B245"/>
      <c r="C245"/>
      <c r="D245"/>
      <c r="E245"/>
      <c r="F245"/>
      <c r="G245"/>
      <c r="H245" s="68">
        <v>0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 spans="1:54" x14ac:dyDescent="0.25">
      <c r="A246"/>
      <c r="B246"/>
      <c r="C246"/>
      <c r="D246"/>
      <c r="E246"/>
      <c r="F246"/>
      <c r="G246"/>
      <c r="H246" s="68">
        <v>0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 spans="1:54" x14ac:dyDescent="0.25">
      <c r="A247"/>
      <c r="B247"/>
      <c r="C247"/>
      <c r="D247"/>
      <c r="E247"/>
      <c r="F247"/>
      <c r="G247"/>
      <c r="H247" s="68">
        <v>0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 spans="1:54" x14ac:dyDescent="0.25">
      <c r="A248"/>
      <c r="B248"/>
      <c r="C248"/>
      <c r="D248"/>
      <c r="E248"/>
      <c r="F248"/>
      <c r="G248"/>
      <c r="H248" s="68">
        <v>0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 spans="1:54" x14ac:dyDescent="0.25">
      <c r="A249"/>
      <c r="B249"/>
      <c r="C249"/>
      <c r="D249"/>
      <c r="E249"/>
      <c r="F249"/>
      <c r="G249"/>
      <c r="H249" s="68">
        <v>0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1:54" x14ac:dyDescent="0.25">
      <c r="A250"/>
      <c r="B250"/>
      <c r="C250"/>
      <c r="D250"/>
      <c r="E250"/>
      <c r="F250"/>
      <c r="G250"/>
      <c r="H250" s="68">
        <v>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 spans="1:54" x14ac:dyDescent="0.25">
      <c r="A251"/>
      <c r="B251"/>
      <c r="C251"/>
      <c r="D251"/>
      <c r="E251"/>
      <c r="F251"/>
      <c r="G251"/>
      <c r="H251" s="68">
        <v>0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 spans="1:54" x14ac:dyDescent="0.25">
      <c r="A252"/>
      <c r="B252"/>
      <c r="C252"/>
      <c r="D252"/>
      <c r="E252"/>
      <c r="F252"/>
      <c r="G252"/>
      <c r="H252" s="68">
        <v>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 x14ac:dyDescent="0.25">
      <c r="A253"/>
      <c r="B253"/>
      <c r="C253"/>
      <c r="D253"/>
      <c r="E253"/>
      <c r="F253"/>
      <c r="G253"/>
      <c r="H253" s="68">
        <v>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 x14ac:dyDescent="0.25">
      <c r="A254"/>
      <c r="B254"/>
      <c r="C254"/>
      <c r="D254"/>
      <c r="E254"/>
      <c r="F254"/>
      <c r="G254"/>
      <c r="H254" s="68">
        <v>0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 spans="1:54" x14ac:dyDescent="0.25">
      <c r="A255"/>
      <c r="B255"/>
      <c r="C255"/>
      <c r="D255"/>
      <c r="E255"/>
      <c r="F255"/>
      <c r="G255"/>
      <c r="H255" s="68">
        <v>0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 spans="1:54" x14ac:dyDescent="0.25">
      <c r="A256"/>
      <c r="B256"/>
      <c r="C256"/>
      <c r="D256"/>
      <c r="E256"/>
      <c r="F256"/>
      <c r="G256"/>
      <c r="H256" s="68">
        <v>0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 spans="1:54" x14ac:dyDescent="0.25">
      <c r="A257"/>
      <c r="B257"/>
      <c r="C257"/>
      <c r="D257"/>
      <c r="E257"/>
      <c r="F257"/>
      <c r="G257"/>
      <c r="H257" s="68">
        <v>0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 spans="1:54" x14ac:dyDescent="0.25">
      <c r="A258"/>
      <c r="B258"/>
      <c r="C258"/>
      <c r="D258"/>
      <c r="E258"/>
      <c r="F258"/>
      <c r="G258"/>
      <c r="H258" s="68">
        <v>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 spans="1:54" x14ac:dyDescent="0.25">
      <c r="A259"/>
      <c r="B259"/>
      <c r="C259"/>
      <c r="D259"/>
      <c r="E259"/>
      <c r="F259"/>
      <c r="G259"/>
      <c r="H259" s="68">
        <v>0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1:54" x14ac:dyDescent="0.25">
      <c r="A260"/>
      <c r="B260"/>
      <c r="C260"/>
      <c r="D260"/>
      <c r="E260"/>
      <c r="F260"/>
      <c r="G260"/>
      <c r="H260" s="68">
        <v>0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 x14ac:dyDescent="0.25">
      <c r="A261"/>
      <c r="B261"/>
      <c r="C261"/>
      <c r="D261"/>
      <c r="E261"/>
      <c r="F261"/>
      <c r="G261"/>
      <c r="H261" s="68">
        <v>0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 x14ac:dyDescent="0.25">
      <c r="A262"/>
      <c r="B262"/>
      <c r="C262"/>
      <c r="D262"/>
      <c r="E262"/>
      <c r="F262"/>
      <c r="G262"/>
      <c r="H262" s="68">
        <v>0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 x14ac:dyDescent="0.25">
      <c r="A263"/>
      <c r="B263"/>
      <c r="C263"/>
      <c r="D263"/>
      <c r="E263"/>
      <c r="F263"/>
      <c r="G263"/>
      <c r="H263" s="68">
        <v>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 x14ac:dyDescent="0.25">
      <c r="A264"/>
      <c r="B264"/>
      <c r="C264"/>
      <c r="D264"/>
      <c r="E264"/>
      <c r="F264"/>
      <c r="G264"/>
      <c r="H264" s="68">
        <v>0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 x14ac:dyDescent="0.25">
      <c r="A265"/>
      <c r="B265"/>
      <c r="C265"/>
      <c r="D265"/>
      <c r="E265"/>
      <c r="F265"/>
      <c r="G265"/>
      <c r="H265" s="68">
        <v>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 x14ac:dyDescent="0.25">
      <c r="A266"/>
      <c r="B266"/>
      <c r="C266"/>
      <c r="D266"/>
      <c r="E266"/>
      <c r="F266"/>
      <c r="G266"/>
      <c r="H266" s="68">
        <v>0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 x14ac:dyDescent="0.25">
      <c r="A267"/>
      <c r="B267"/>
      <c r="C267"/>
      <c r="D267"/>
      <c r="E267"/>
      <c r="F267"/>
      <c r="G267"/>
      <c r="H267" s="68">
        <v>0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 x14ac:dyDescent="0.25">
      <c r="A268"/>
      <c r="B268"/>
      <c r="C268"/>
      <c r="D268"/>
      <c r="E268"/>
      <c r="F268"/>
      <c r="G268"/>
      <c r="H268" s="68">
        <v>0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 x14ac:dyDescent="0.25">
      <c r="A269"/>
      <c r="B269"/>
      <c r="C269"/>
      <c r="D269"/>
      <c r="E269"/>
      <c r="F269"/>
      <c r="G269"/>
      <c r="H269" s="68">
        <v>0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 x14ac:dyDescent="0.25">
      <c r="A270"/>
      <c r="B270"/>
      <c r="C270"/>
      <c r="D270"/>
      <c r="E270"/>
      <c r="F270"/>
      <c r="G270"/>
      <c r="H270" s="68">
        <v>0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 x14ac:dyDescent="0.25">
      <c r="A271"/>
      <c r="B271"/>
      <c r="C271"/>
      <c r="D271"/>
      <c r="E271"/>
      <c r="F271"/>
      <c r="G271"/>
      <c r="H271" s="68">
        <v>0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 x14ac:dyDescent="0.25">
      <c r="A272"/>
      <c r="B272"/>
      <c r="C272"/>
      <c r="D272"/>
      <c r="E272"/>
      <c r="F272"/>
      <c r="G272"/>
      <c r="H272" s="68">
        <v>0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x14ac:dyDescent="0.25">
      <c r="A273"/>
      <c r="B273"/>
      <c r="C273"/>
      <c r="D273"/>
      <c r="E273"/>
      <c r="F273"/>
      <c r="G273"/>
      <c r="H273" s="68">
        <v>0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x14ac:dyDescent="0.25">
      <c r="A274"/>
      <c r="B274"/>
      <c r="C274"/>
      <c r="D274"/>
      <c r="E274"/>
      <c r="F274"/>
      <c r="G274"/>
      <c r="H274" s="68">
        <v>0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x14ac:dyDescent="0.25">
      <c r="A275"/>
      <c r="B275"/>
      <c r="C275"/>
      <c r="D275"/>
      <c r="E275"/>
      <c r="F275"/>
      <c r="G275"/>
      <c r="H275" s="68">
        <v>0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x14ac:dyDescent="0.25">
      <c r="A276"/>
      <c r="B276"/>
      <c r="C276"/>
      <c r="D276"/>
      <c r="E276"/>
      <c r="F276"/>
      <c r="G276"/>
      <c r="H276" s="68">
        <v>0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x14ac:dyDescent="0.25">
      <c r="A277"/>
      <c r="B277"/>
      <c r="C277"/>
      <c r="D277"/>
      <c r="E277"/>
      <c r="F277"/>
      <c r="G277"/>
      <c r="H277" s="68">
        <v>0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x14ac:dyDescent="0.25">
      <c r="A278"/>
      <c r="B278"/>
      <c r="C278"/>
      <c r="D278"/>
      <c r="E278"/>
      <c r="F278"/>
      <c r="G278"/>
      <c r="H278" s="68">
        <v>0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x14ac:dyDescent="0.25">
      <c r="A279"/>
      <c r="B279"/>
      <c r="C279"/>
      <c r="D279"/>
      <c r="E279"/>
      <c r="F279"/>
      <c r="G279"/>
      <c r="H279" s="68">
        <v>0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x14ac:dyDescent="0.25">
      <c r="A280"/>
      <c r="B280"/>
      <c r="C280"/>
      <c r="D280"/>
      <c r="E280"/>
      <c r="F280"/>
      <c r="G280"/>
      <c r="H280" s="68">
        <v>0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x14ac:dyDescent="0.25">
      <c r="A281"/>
      <c r="B281"/>
      <c r="C281"/>
      <c r="D281"/>
      <c r="E281"/>
      <c r="F281"/>
      <c r="G281"/>
      <c r="H281" s="68">
        <v>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x14ac:dyDescent="0.25">
      <c r="A282"/>
      <c r="B282"/>
      <c r="C282"/>
      <c r="D282"/>
      <c r="E282"/>
      <c r="F282"/>
      <c r="G282"/>
      <c r="H282" s="68">
        <v>0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x14ac:dyDescent="0.25">
      <c r="A283"/>
      <c r="B283"/>
      <c r="C283"/>
      <c r="D283"/>
      <c r="E283"/>
      <c r="F283"/>
      <c r="G283"/>
      <c r="H283" s="68">
        <v>0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x14ac:dyDescent="0.25">
      <c r="A284"/>
      <c r="B284"/>
      <c r="C284"/>
      <c r="D284"/>
      <c r="E284"/>
      <c r="F284"/>
      <c r="G284"/>
      <c r="H284" s="68">
        <v>0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x14ac:dyDescent="0.25">
      <c r="A285"/>
      <c r="B285"/>
      <c r="C285"/>
      <c r="D285"/>
      <c r="E285"/>
      <c r="F285"/>
      <c r="G285"/>
      <c r="H285" s="68">
        <v>0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x14ac:dyDescent="0.25">
      <c r="A286"/>
      <c r="B286"/>
      <c r="C286"/>
      <c r="D286"/>
      <c r="E286"/>
      <c r="F286"/>
      <c r="G286"/>
      <c r="H286" s="68">
        <v>0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x14ac:dyDescent="0.25">
      <c r="A287"/>
      <c r="B287"/>
      <c r="C287"/>
      <c r="D287"/>
      <c r="E287"/>
      <c r="F287"/>
      <c r="G287"/>
      <c r="H287" s="68">
        <v>0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x14ac:dyDescent="0.25">
      <c r="A288"/>
      <c r="B288"/>
      <c r="C288"/>
      <c r="D288"/>
      <c r="E288"/>
      <c r="F288"/>
      <c r="G288"/>
      <c r="H288" s="68">
        <v>0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x14ac:dyDescent="0.25">
      <c r="A289"/>
      <c r="B289"/>
      <c r="C289"/>
      <c r="D289"/>
      <c r="E289"/>
      <c r="F289"/>
      <c r="G289"/>
      <c r="H289" s="68">
        <v>0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x14ac:dyDescent="0.25">
      <c r="A290"/>
      <c r="B290"/>
      <c r="C290"/>
      <c r="D290"/>
      <c r="E290"/>
      <c r="F290"/>
      <c r="G290"/>
      <c r="H290" s="68">
        <v>0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x14ac:dyDescent="0.25">
      <c r="A291"/>
      <c r="B291"/>
      <c r="C291"/>
      <c r="D291"/>
      <c r="E291"/>
      <c r="F291"/>
      <c r="G291"/>
      <c r="H291" s="68">
        <v>0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x14ac:dyDescent="0.25">
      <c r="A292"/>
      <c r="B292"/>
      <c r="C292"/>
      <c r="D292"/>
      <c r="E292"/>
      <c r="F292"/>
      <c r="G292"/>
      <c r="H292" s="68">
        <v>0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x14ac:dyDescent="0.25">
      <c r="A293"/>
      <c r="B293"/>
      <c r="C293"/>
      <c r="D293"/>
      <c r="E293"/>
      <c r="F293"/>
      <c r="G293"/>
      <c r="H293" s="68">
        <v>0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x14ac:dyDescent="0.25">
      <c r="A294"/>
      <c r="B294"/>
      <c r="C294"/>
      <c r="D294"/>
      <c r="E294"/>
      <c r="F294"/>
      <c r="G294"/>
      <c r="H294" s="68">
        <v>0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x14ac:dyDescent="0.25">
      <c r="A295"/>
      <c r="B295"/>
      <c r="C295"/>
      <c r="D295"/>
      <c r="E295"/>
      <c r="F295"/>
      <c r="G295"/>
      <c r="H295" s="68">
        <v>0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x14ac:dyDescent="0.25">
      <c r="A296"/>
      <c r="B296"/>
      <c r="C296"/>
      <c r="D296"/>
      <c r="E296"/>
      <c r="F296"/>
      <c r="G296"/>
      <c r="H296" s="68">
        <v>0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x14ac:dyDescent="0.25">
      <c r="A297"/>
      <c r="B297"/>
      <c r="C297"/>
      <c r="D297"/>
      <c r="E297"/>
      <c r="F297"/>
      <c r="G297"/>
      <c r="H297" s="68">
        <v>0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x14ac:dyDescent="0.25">
      <c r="A298"/>
      <c r="B298"/>
      <c r="C298"/>
      <c r="D298"/>
      <c r="E298"/>
      <c r="F298"/>
      <c r="G298"/>
      <c r="H298" s="68">
        <v>0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x14ac:dyDescent="0.25">
      <c r="A299"/>
      <c r="B299"/>
      <c r="C299"/>
      <c r="D299"/>
      <c r="E299"/>
      <c r="F299"/>
      <c r="G299"/>
      <c r="H299" s="68">
        <v>0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x14ac:dyDescent="0.25">
      <c r="A300"/>
      <c r="B300"/>
      <c r="C300"/>
      <c r="D300"/>
      <c r="E300"/>
      <c r="F300"/>
      <c r="G300"/>
      <c r="H300" s="68">
        <v>0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x14ac:dyDescent="0.25">
      <c r="A301"/>
      <c r="B301"/>
      <c r="C301"/>
      <c r="D301"/>
      <c r="E301"/>
      <c r="F301"/>
      <c r="G301"/>
      <c r="H301" s="68">
        <v>0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x14ac:dyDescent="0.25">
      <c r="A302"/>
      <c r="B302"/>
      <c r="C302"/>
      <c r="D302"/>
      <c r="E302"/>
      <c r="F302"/>
      <c r="G302"/>
      <c r="H302" s="68">
        <v>0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x14ac:dyDescent="0.25">
      <c r="A303"/>
      <c r="B303"/>
      <c r="C303"/>
      <c r="D303"/>
      <c r="E303"/>
      <c r="F303"/>
      <c r="G303"/>
      <c r="H303" s="68">
        <v>0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x14ac:dyDescent="0.25">
      <c r="A304"/>
      <c r="B304"/>
      <c r="C304"/>
      <c r="D304"/>
      <c r="E304"/>
      <c r="F304"/>
      <c r="G304"/>
      <c r="H304" s="68">
        <v>0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x14ac:dyDescent="0.25">
      <c r="A305"/>
      <c r="B305"/>
      <c r="C305"/>
      <c r="D305"/>
      <c r="E305"/>
      <c r="F305"/>
      <c r="G305"/>
      <c r="H305" s="68">
        <v>0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x14ac:dyDescent="0.25">
      <c r="A306"/>
      <c r="B306"/>
      <c r="C306"/>
      <c r="D306"/>
      <c r="E306"/>
      <c r="F306"/>
      <c r="G306"/>
      <c r="H306" s="68">
        <v>0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x14ac:dyDescent="0.25">
      <c r="A307"/>
      <c r="B307"/>
      <c r="C307"/>
      <c r="D307"/>
      <c r="E307"/>
      <c r="F307"/>
      <c r="G307"/>
      <c r="H307" s="68">
        <v>0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x14ac:dyDescent="0.25">
      <c r="A308"/>
      <c r="B308"/>
      <c r="C308"/>
      <c r="D308"/>
      <c r="E308"/>
      <c r="F308"/>
      <c r="G308"/>
      <c r="H308" s="68">
        <v>0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x14ac:dyDescent="0.25">
      <c r="A309"/>
      <c r="B309"/>
      <c r="C309"/>
      <c r="D309"/>
      <c r="E309"/>
      <c r="F309"/>
      <c r="G309"/>
      <c r="H309" s="68">
        <v>0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x14ac:dyDescent="0.25">
      <c r="A310"/>
      <c r="B310"/>
      <c r="C310"/>
      <c r="D310"/>
      <c r="E310"/>
      <c r="F310"/>
      <c r="G310"/>
      <c r="H310" s="68">
        <v>0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x14ac:dyDescent="0.25">
      <c r="A311"/>
      <c r="B311"/>
      <c r="C311"/>
      <c r="D311"/>
      <c r="E311"/>
      <c r="F311"/>
      <c r="G311"/>
      <c r="H311" s="68">
        <v>0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x14ac:dyDescent="0.25">
      <c r="A312"/>
      <c r="B312"/>
      <c r="C312"/>
      <c r="D312"/>
      <c r="E312"/>
      <c r="F312"/>
      <c r="G312"/>
      <c r="H312" s="68">
        <v>0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x14ac:dyDescent="0.25">
      <c r="A313"/>
      <c r="B313"/>
      <c r="C313"/>
      <c r="D313"/>
      <c r="E313"/>
      <c r="F313"/>
      <c r="G313"/>
      <c r="H313" s="68">
        <v>0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x14ac:dyDescent="0.25">
      <c r="A314"/>
      <c r="B314"/>
      <c r="C314"/>
      <c r="D314"/>
      <c r="E314"/>
      <c r="F314"/>
      <c r="G314"/>
      <c r="H314" s="68">
        <v>0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x14ac:dyDescent="0.25">
      <c r="A315"/>
      <c r="B315"/>
      <c r="C315"/>
      <c r="D315"/>
      <c r="E315"/>
      <c r="F315"/>
      <c r="G315"/>
      <c r="H315" s="68">
        <v>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 spans="1:5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 spans="1:5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 spans="1:5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 spans="1:5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 spans="1:5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 spans="1:5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 spans="1:5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 spans="1:5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 spans="1:5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 spans="1:5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 spans="1:5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 spans="1:5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 spans="1:5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 spans="1:5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 spans="1:5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 spans="1:5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 spans="1:5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 spans="1:5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 spans="1:5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 spans="1:5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 spans="1:5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 spans="1:5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 spans="1:5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 spans="1:5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 spans="1:5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 spans="1:5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 spans="1:5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 spans="1:5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 spans="1:5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 spans="1:5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 spans="1:28" x14ac:dyDescent="0.25">
      <c r="A513" s="7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</row>
    <row r="514" spans="1:28" x14ac:dyDescent="0.25">
      <c r="A514" s="7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</row>
    <row r="515" spans="1:28" x14ac:dyDescent="0.25">
      <c r="A515" s="7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</row>
    <row r="516" spans="1:28" x14ac:dyDescent="0.25">
      <c r="A516" s="7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</row>
    <row r="517" spans="1:28" x14ac:dyDescent="0.25">
      <c r="A517" s="7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</row>
    <row r="518" spans="1:28" x14ac:dyDescent="0.25">
      <c r="A518" s="7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</row>
    <row r="519" spans="1:28" x14ac:dyDescent="0.25">
      <c r="A519" s="7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</row>
    <row r="520" spans="1:28" x14ac:dyDescent="0.25">
      <c r="A520" s="7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</row>
    <row r="521" spans="1:28" x14ac:dyDescent="0.25">
      <c r="A521" s="7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</row>
    <row r="522" spans="1:28" x14ac:dyDescent="0.25">
      <c r="A522" s="7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</row>
    <row r="523" spans="1:28" x14ac:dyDescent="0.25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I21"/>
  <sheetViews>
    <sheetView workbookViewId="0">
      <selection activeCell="H14" sqref="H14"/>
    </sheetView>
  </sheetViews>
  <sheetFormatPr defaultRowHeight="13.2" x14ac:dyDescent="0.25"/>
  <cols>
    <col min="4" max="4" width="9.33203125" bestFit="1" customWidth="1"/>
  </cols>
  <sheetData>
    <row r="3" spans="2:9" x14ac:dyDescent="0.25">
      <c r="B3" t="s">
        <v>228</v>
      </c>
      <c r="C3" t="s">
        <v>229</v>
      </c>
      <c r="D3" s="257">
        <v>4.5199999999999996</v>
      </c>
      <c r="G3" t="s">
        <v>229</v>
      </c>
      <c r="H3" s="257">
        <v>4.67</v>
      </c>
      <c r="I3">
        <v>-4.7500000000000001E-2</v>
      </c>
    </row>
    <row r="4" spans="2:9" x14ac:dyDescent="0.25">
      <c r="C4" t="s">
        <v>230</v>
      </c>
      <c r="D4" s="257">
        <f>SUM(STRADDLES!H5:H6)</f>
        <v>3.886927152317881</v>
      </c>
      <c r="G4" t="s">
        <v>230</v>
      </c>
      <c r="H4" s="257">
        <f>SUM(STRADDLES!H5:H6)</f>
        <v>3.886927152317881</v>
      </c>
      <c r="I4">
        <v>0.01</v>
      </c>
    </row>
    <row r="5" spans="2:9" x14ac:dyDescent="0.25">
      <c r="C5" t="s">
        <v>22</v>
      </c>
      <c r="D5" s="257">
        <f>0.43*0.9</f>
        <v>0.38700000000000001</v>
      </c>
      <c r="H5" s="257"/>
    </row>
    <row r="6" spans="2:9" x14ac:dyDescent="0.25">
      <c r="D6" s="257">
        <v>0.99</v>
      </c>
      <c r="G6" t="s">
        <v>238</v>
      </c>
      <c r="H6" s="257">
        <v>0.97799999999999998</v>
      </c>
    </row>
    <row r="7" spans="2:9" x14ac:dyDescent="0.25">
      <c r="C7" t="s">
        <v>21</v>
      </c>
      <c r="D7" s="257">
        <v>0.97599999999999998</v>
      </c>
      <c r="G7" t="s">
        <v>239</v>
      </c>
      <c r="H7" s="257">
        <v>0.91300000000000003</v>
      </c>
    </row>
    <row r="8" spans="2:9" x14ac:dyDescent="0.25">
      <c r="C8" t="s">
        <v>234</v>
      </c>
      <c r="D8" s="258">
        <v>36950</v>
      </c>
      <c r="F8" t="s">
        <v>24</v>
      </c>
      <c r="G8" t="s">
        <v>234</v>
      </c>
      <c r="H8" s="258">
        <v>36981</v>
      </c>
    </row>
    <row r="9" spans="2:9" x14ac:dyDescent="0.25">
      <c r="C9" t="s">
        <v>231</v>
      </c>
      <c r="D9">
        <v>6</v>
      </c>
      <c r="G9" t="s">
        <v>231</v>
      </c>
      <c r="H9">
        <v>5</v>
      </c>
    </row>
    <row r="10" spans="2:9" x14ac:dyDescent="0.25">
      <c r="C10" t="s">
        <v>232</v>
      </c>
      <c r="D10">
        <v>6</v>
      </c>
      <c r="G10" t="s">
        <v>232</v>
      </c>
      <c r="H10">
        <v>5</v>
      </c>
    </row>
    <row r="12" spans="2:9" x14ac:dyDescent="0.25">
      <c r="C12" t="s">
        <v>233</v>
      </c>
      <c r="D12" s="257">
        <v>4.03</v>
      </c>
      <c r="G12" t="s">
        <v>233</v>
      </c>
      <c r="H12" s="257">
        <f>STRADDLES!H11</f>
        <v>3.98</v>
      </c>
    </row>
    <row r="13" spans="2:9" x14ac:dyDescent="0.25">
      <c r="C13" t="s">
        <v>235</v>
      </c>
      <c r="D13">
        <v>2</v>
      </c>
    </row>
    <row r="14" spans="2:9" x14ac:dyDescent="0.25">
      <c r="C14" t="s">
        <v>236</v>
      </c>
      <c r="D14" s="257">
        <f ca="1">bsd(1,D$13,D$4,D$12,D$8-TODAY(),D$5,D$7,0)</f>
        <v>0.31083901267206948</v>
      </c>
      <c r="E14" s="257"/>
      <c r="G14" t="s">
        <v>236</v>
      </c>
      <c r="H14" s="257">
        <f ca="1">STRADDLES!H12</f>
        <v>0.70165775045249656</v>
      </c>
      <c r="I14">
        <f ca="1">H14*(H7/H6)</f>
        <v>0.65502405538152297</v>
      </c>
    </row>
    <row r="15" spans="2:9" x14ac:dyDescent="0.25">
      <c r="C15" t="s">
        <v>29</v>
      </c>
      <c r="D15" s="257">
        <f ca="1">bsd(2,D$13,D$4,D$12,D$8-TODAY(),D$5,D$7,0)</f>
        <v>-0.30728486727925158</v>
      </c>
      <c r="E15" s="257"/>
      <c r="H15" s="257"/>
    </row>
    <row r="18" spans="4:8" x14ac:dyDescent="0.25">
      <c r="D18" s="257">
        <f>(D3-D12)*D9</f>
        <v>2.9399999999999959</v>
      </c>
      <c r="H18" s="257">
        <f>(H3-H12)*H9</f>
        <v>3.4499999999999997</v>
      </c>
    </row>
    <row r="19" spans="4:8" x14ac:dyDescent="0.25">
      <c r="D19">
        <f ca="1">D14*D10</f>
        <v>1.8650340760324169</v>
      </c>
      <c r="H19">
        <f ca="1">I14*H10</f>
        <v>3.2751202769076149</v>
      </c>
    </row>
    <row r="21" spans="4:8" x14ac:dyDescent="0.25">
      <c r="D21" s="257">
        <f ca="1">D18-D19</f>
        <v>1.0749659239675791</v>
      </c>
      <c r="H21" s="257">
        <f ca="1">H18-H19</f>
        <v>0.17487972309238486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Q223"/>
  <sheetViews>
    <sheetView workbookViewId="0">
      <pane xSplit="1" ySplit="30" topLeftCell="M42" activePane="bottomRight" state="frozen"/>
      <selection pane="topRight" activeCell="B1" sqref="B1"/>
      <selection pane="bottomLeft" activeCell="A31" sqref="A31"/>
      <selection pane="bottomRight" activeCell="T28" sqref="T28"/>
    </sheetView>
  </sheetViews>
  <sheetFormatPr defaultRowHeight="13.2" x14ac:dyDescent="0.25"/>
  <cols>
    <col min="1" max="1" width="12.6640625" style="77" customWidth="1"/>
    <col min="2" max="2" width="15.6640625" style="77" customWidth="1"/>
    <col min="3" max="4" width="12.6640625" style="77" customWidth="1"/>
    <col min="5" max="5" width="10.109375" style="77" customWidth="1"/>
    <col min="6" max="26" width="9.109375" style="77" customWidth="1"/>
    <col min="27" max="27" width="10" style="77" bestFit="1" customWidth="1"/>
    <col min="28" max="28" width="9.109375" style="77" customWidth="1"/>
    <col min="29" max="29" width="12.88671875" style="77" bestFit="1" customWidth="1"/>
    <col min="30" max="30" width="16" style="77" bestFit="1" customWidth="1"/>
    <col min="31" max="36" width="9.109375" style="77" customWidth="1"/>
    <col min="38" max="47" width="9.109375" style="77" customWidth="1"/>
    <col min="49" max="58" width="9.109375" style="77" customWidth="1"/>
    <col min="60" max="69" width="9.109375" style="77" customWidth="1"/>
  </cols>
  <sheetData>
    <row r="1" spans="1:61" x14ac:dyDescent="0.25">
      <c r="A1" s="76" t="s">
        <v>122</v>
      </c>
      <c r="B1" s="158">
        <v>0</v>
      </c>
      <c r="C1" s="80"/>
      <c r="D1" s="57" t="s">
        <v>157</v>
      </c>
      <c r="E1" s="57">
        <f>summerstrip</f>
        <v>4.8109999999999999</v>
      </c>
      <c r="F1" s="57"/>
      <c r="G1" s="188" t="s">
        <v>191</v>
      </c>
      <c r="I1"/>
      <c r="J1"/>
      <c r="K1"/>
      <c r="L1"/>
      <c r="M1"/>
      <c r="N1"/>
      <c r="O1"/>
      <c r="P1"/>
      <c r="Q1"/>
      <c r="R1"/>
    </row>
    <row r="2" spans="1:61" x14ac:dyDescent="0.25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J2"/>
      <c r="K2"/>
      <c r="L2"/>
      <c r="M2"/>
      <c r="N2"/>
      <c r="O2"/>
      <c r="P2"/>
      <c r="Q2"/>
      <c r="R2"/>
      <c r="T2" s="77" t="e">
        <f>IF(#REF!=1,"ATM",B16)</f>
        <v>#REF!</v>
      </c>
      <c r="U2" s="77" t="e">
        <f>IF(#REF!=3,IF(B17=1,"CALL","PUT"),"STRADDLE")</f>
        <v>#REF!</v>
      </c>
      <c r="Y2" s="83"/>
      <c r="Z2" s="84"/>
      <c r="AA2" s="83"/>
      <c r="AB2" s="84"/>
      <c r="AL2" s="83"/>
      <c r="AM2" s="84"/>
      <c r="AW2" s="83"/>
      <c r="AX2" s="84"/>
      <c r="BH2" s="83"/>
      <c r="BI2" s="84"/>
    </row>
    <row r="3" spans="1:61" x14ac:dyDescent="0.25">
      <c r="A3" s="76"/>
      <c r="B3" s="158"/>
      <c r="D3" s="57"/>
      <c r="E3" s="57"/>
      <c r="F3" s="57"/>
      <c r="G3" s="57"/>
      <c r="I3"/>
      <c r="J3"/>
      <c r="K3" s="160" t="s">
        <v>85</v>
      </c>
      <c r="L3"/>
      <c r="M3"/>
      <c r="N3"/>
      <c r="O3"/>
      <c r="P3"/>
      <c r="Q3"/>
      <c r="R3"/>
      <c r="T3" s="77" t="e">
        <f>IF(#REF!=1,"ATM",D16)</f>
        <v>#REF!</v>
      </c>
      <c r="U3" s="77" t="e">
        <f>IF(#REF!=3,IF(D17=1,"CALL","PUT"),"STRADDLE")</f>
        <v>#REF!</v>
      </c>
      <c r="Y3" s="83"/>
      <c r="Z3" s="84"/>
      <c r="AA3" s="83"/>
      <c r="AB3" s="84"/>
      <c r="AL3" s="83"/>
      <c r="AM3" s="84"/>
      <c r="AW3" s="83"/>
      <c r="AX3" s="84"/>
      <c r="BH3" s="83"/>
      <c r="BI3" s="84"/>
    </row>
    <row r="4" spans="1:61" x14ac:dyDescent="0.25">
      <c r="A4" s="76" t="s">
        <v>47</v>
      </c>
      <c r="B4" s="158">
        <v>1</v>
      </c>
      <c r="C4" s="131" t="s">
        <v>44</v>
      </c>
      <c r="D4" s="57"/>
      <c r="E4" s="57"/>
      <c r="F4" s="57"/>
      <c r="G4" s="57"/>
      <c r="H4" s="195">
        <v>28</v>
      </c>
      <c r="I4" s="195">
        <v>33</v>
      </c>
      <c r="J4"/>
      <c r="K4" s="160" t="s">
        <v>105</v>
      </c>
      <c r="L4"/>
      <c r="M4"/>
      <c r="N4"/>
      <c r="O4"/>
      <c r="P4"/>
      <c r="Q4"/>
      <c r="R4"/>
      <c r="Y4" s="83"/>
      <c r="Z4" s="84"/>
      <c r="AA4" s="83"/>
      <c r="AB4" s="84"/>
      <c r="AL4" s="83"/>
      <c r="AM4" s="84"/>
      <c r="AW4" s="83"/>
      <c r="AX4" s="84"/>
      <c r="BH4" s="83"/>
      <c r="BI4" s="84"/>
    </row>
    <row r="5" spans="1:61" x14ac:dyDescent="0.25">
      <c r="A5" s="57" t="s">
        <v>115</v>
      </c>
      <c r="B5" s="160" t="s">
        <v>192</v>
      </c>
      <c r="D5" s="57"/>
      <c r="E5" s="57"/>
      <c r="F5" s="57"/>
      <c r="G5" s="57"/>
      <c r="H5" s="195">
        <v>32</v>
      </c>
      <c r="I5" s="195">
        <v>34</v>
      </c>
      <c r="J5"/>
      <c r="K5" s="160" t="s">
        <v>97</v>
      </c>
      <c r="L5"/>
      <c r="M5"/>
      <c r="N5"/>
      <c r="O5"/>
      <c r="P5"/>
      <c r="Q5"/>
      <c r="R5"/>
      <c r="Y5" s="83"/>
      <c r="Z5" s="84"/>
      <c r="AA5" s="83"/>
      <c r="AB5" s="84"/>
      <c r="AL5" s="83"/>
      <c r="AM5" s="84"/>
      <c r="AW5" s="83"/>
      <c r="AX5" s="84"/>
      <c r="BH5" s="83"/>
      <c r="BI5" s="84"/>
    </row>
    <row r="6" spans="1:61" x14ac:dyDescent="0.25">
      <c r="A6" s="76"/>
      <c r="B6" s="157"/>
      <c r="C6" s="131"/>
      <c r="D6" s="57"/>
      <c r="E6" s="57"/>
      <c r="F6" s="57"/>
      <c r="G6" s="57"/>
      <c r="I6"/>
      <c r="J6"/>
      <c r="K6" s="160" t="s">
        <v>95</v>
      </c>
      <c r="L6"/>
      <c r="M6"/>
      <c r="N6"/>
      <c r="O6"/>
      <c r="P6"/>
      <c r="Q6"/>
      <c r="R6"/>
      <c r="Y6" s="83"/>
      <c r="Z6" s="84"/>
      <c r="AA6" s="83"/>
      <c r="AB6" s="84"/>
      <c r="AL6" s="83"/>
      <c r="AM6" s="84"/>
      <c r="AW6" s="83"/>
      <c r="AX6" s="84"/>
      <c r="BH6" s="83"/>
      <c r="BI6" s="84"/>
    </row>
    <row r="7" spans="1:61" x14ac:dyDescent="0.25">
      <c r="A7" s="76"/>
      <c r="B7" s="158"/>
      <c r="C7" s="131"/>
      <c r="D7" s="57"/>
      <c r="E7" s="57"/>
      <c r="F7" s="57"/>
      <c r="G7" s="57"/>
      <c r="I7" s="137"/>
      <c r="J7" s="140"/>
      <c r="K7" s="160" t="s">
        <v>78</v>
      </c>
      <c r="L7" s="140"/>
      <c r="M7" s="140"/>
      <c r="N7" s="140"/>
      <c r="O7" s="140"/>
      <c r="P7" s="140"/>
      <c r="Q7" s="137"/>
      <c r="R7" s="137"/>
      <c r="Y7" s="83"/>
      <c r="Z7" s="84"/>
      <c r="AA7" s="83"/>
      <c r="AB7" s="84"/>
      <c r="AL7" s="83"/>
      <c r="AM7" s="84"/>
      <c r="AW7" s="83"/>
      <c r="AX7" s="84"/>
      <c r="BH7" s="83"/>
      <c r="BI7" s="84"/>
    </row>
    <row r="8" spans="1:61" x14ac:dyDescent="0.25">
      <c r="A8" s="57"/>
      <c r="B8" s="57"/>
      <c r="D8" s="57" t="s">
        <v>52</v>
      </c>
      <c r="F8" s="57" t="s">
        <v>160</v>
      </c>
      <c r="H8" s="57" t="s">
        <v>159</v>
      </c>
      <c r="K8" s="160" t="s">
        <v>98</v>
      </c>
      <c r="Y8" s="83"/>
      <c r="Z8" s="84"/>
      <c r="AA8" s="83"/>
      <c r="AB8" s="84"/>
      <c r="AL8" s="83"/>
      <c r="AM8" s="84"/>
      <c r="AW8" s="83"/>
      <c r="AX8" s="84"/>
      <c r="BH8" s="83"/>
      <c r="BI8" s="84"/>
    </row>
    <row r="9" spans="1:61" x14ac:dyDescent="0.25">
      <c r="A9" s="57" t="s">
        <v>35</v>
      </c>
      <c r="B9" s="195">
        <v>2</v>
      </c>
      <c r="C9" s="184">
        <f>VLOOKUP(B9,datelook,2,FALSE)</f>
        <v>36831</v>
      </c>
      <c r="D9" s="195">
        <v>2</v>
      </c>
      <c r="E9" s="184">
        <f>VLOOKUP(D9,datelook,2,FALSE)</f>
        <v>36831</v>
      </c>
      <c r="F9" s="195">
        <v>21</v>
      </c>
      <c r="G9" s="184">
        <f>VLOOKUP(F9,datelook,2,FALSE)</f>
        <v>37408</v>
      </c>
      <c r="H9" s="195">
        <v>33</v>
      </c>
      <c r="I9" s="184">
        <f>VLOOKUP(H9,datelook,2,FALSE)</f>
        <v>37773</v>
      </c>
      <c r="K9" s="160" t="s">
        <v>70</v>
      </c>
      <c r="Y9" s="83"/>
      <c r="Z9" s="84"/>
      <c r="AA9" s="83"/>
      <c r="AB9" s="84"/>
      <c r="AL9" s="83"/>
      <c r="AM9" s="84"/>
      <c r="AW9" s="83"/>
      <c r="AX9" s="84"/>
      <c r="BH9" s="83"/>
      <c r="BI9" s="84"/>
    </row>
    <row r="10" spans="1:61" x14ac:dyDescent="0.25">
      <c r="A10" s="76" t="s">
        <v>53</v>
      </c>
      <c r="B10" s="195">
        <v>13</v>
      </c>
      <c r="C10" s="184">
        <f>VLOOKUP(B10,datelook,2,FALSE)</f>
        <v>37165</v>
      </c>
      <c r="D10" s="195">
        <v>13</v>
      </c>
      <c r="E10" s="184">
        <f>VLOOKUP(D10,datelook,2,FALSE)</f>
        <v>37165</v>
      </c>
      <c r="F10" s="195">
        <v>27</v>
      </c>
      <c r="G10" s="184">
        <f>VLOOKUP(F10,datelook,2,FALSE)</f>
        <v>37591</v>
      </c>
      <c r="H10" s="195">
        <v>34</v>
      </c>
      <c r="I10" s="184">
        <f>VLOOKUP(H10,datelook,2,FALSE)</f>
        <v>37803</v>
      </c>
      <c r="J10" s="177"/>
      <c r="K10" s="160" t="s">
        <v>100</v>
      </c>
      <c r="L10" s="177"/>
      <c r="M10" s="177"/>
      <c r="N10" s="177"/>
      <c r="O10" s="177"/>
      <c r="R10" s="160" t="s">
        <v>95</v>
      </c>
      <c r="Y10" s="83"/>
      <c r="Z10" s="84"/>
      <c r="AA10" s="83"/>
      <c r="AB10" s="84"/>
      <c r="AL10" s="83"/>
      <c r="AM10" s="84"/>
      <c r="AW10" s="83"/>
      <c r="AX10" s="84"/>
      <c r="BH10" s="83"/>
      <c r="BI10" s="84"/>
    </row>
    <row r="11" spans="1:61" x14ac:dyDescent="0.25">
      <c r="A11" s="75" t="s">
        <v>40</v>
      </c>
      <c r="B11" s="196">
        <f>AD24</f>
        <v>4.3219627507163345</v>
      </c>
      <c r="C11" s="197"/>
      <c r="D11" s="196">
        <f>AO24</f>
        <v>4.351962750716333</v>
      </c>
      <c r="E11" s="197"/>
      <c r="F11" s="196" t="e">
        <f>AZ24</f>
        <v>#DIV/0!</v>
      </c>
      <c r="G11" s="197"/>
      <c r="H11" s="196" t="e">
        <f>BK24</f>
        <v>#DIV/0!</v>
      </c>
      <c r="I11" s="197"/>
      <c r="K11" s="160" t="s">
        <v>76</v>
      </c>
      <c r="R11" s="160" t="s">
        <v>78</v>
      </c>
      <c r="Y11" s="83"/>
      <c r="Z11" s="84"/>
      <c r="AA11" s="83"/>
      <c r="AB11" s="84"/>
      <c r="AL11" s="83"/>
      <c r="AM11" s="84"/>
      <c r="AW11" s="83"/>
      <c r="AX11" s="84"/>
      <c r="BH11" s="83"/>
      <c r="BI11" s="84"/>
    </row>
    <row r="12" spans="1:61" x14ac:dyDescent="0.25">
      <c r="A12" s="75" t="s">
        <v>123</v>
      </c>
      <c r="B12" s="196" t="e">
        <f>AC24</f>
        <v>#N/A</v>
      </c>
      <c r="C12" s="197"/>
      <c r="D12" s="196" t="e">
        <f>AN24</f>
        <v>#N/A</v>
      </c>
      <c r="E12" s="197"/>
      <c r="F12" s="196" t="e">
        <f>AY24</f>
        <v>#N/A</v>
      </c>
      <c r="G12" s="197"/>
      <c r="H12" s="196" t="e">
        <f>BJ24</f>
        <v>#N/A</v>
      </c>
      <c r="I12" s="197"/>
      <c r="K12" s="160"/>
      <c r="R12" s="160"/>
      <c r="Y12" s="83"/>
      <c r="Z12" s="84"/>
      <c r="AA12" s="83"/>
      <c r="AB12" s="84"/>
      <c r="AL12" s="83"/>
      <c r="AM12" s="84"/>
      <c r="AW12" s="83"/>
      <c r="AX12" s="84"/>
      <c r="BH12" s="83"/>
      <c r="BI12" s="84"/>
    </row>
    <row r="13" spans="1:61" x14ac:dyDescent="0.25">
      <c r="A13" s="75" t="s">
        <v>172</v>
      </c>
      <c r="B13" s="196">
        <v>0</v>
      </c>
      <c r="C13" s="197"/>
      <c r="D13" s="196">
        <v>0.03</v>
      </c>
      <c r="E13" s="197"/>
      <c r="F13" s="196">
        <v>0.03</v>
      </c>
      <c r="G13" s="197"/>
      <c r="H13" s="196">
        <v>0.03</v>
      </c>
      <c r="I13" s="197"/>
      <c r="K13" s="160" t="s">
        <v>102</v>
      </c>
      <c r="R13" s="160"/>
      <c r="Y13" s="83"/>
      <c r="Z13" s="84"/>
      <c r="AA13" s="83"/>
      <c r="AB13" s="84"/>
      <c r="AL13" s="83"/>
      <c r="AM13" s="84"/>
      <c r="AW13" s="83"/>
      <c r="AX13" s="84"/>
      <c r="BH13" s="83"/>
      <c r="BI13" s="84"/>
    </row>
    <row r="14" spans="1:61" x14ac:dyDescent="0.25">
      <c r="A14" s="75" t="s">
        <v>36</v>
      </c>
      <c r="B14" s="196" t="e">
        <f>B11-B12</f>
        <v>#N/A</v>
      </c>
      <c r="C14" s="196"/>
      <c r="D14" s="196" t="e">
        <f>D11-D12</f>
        <v>#N/A</v>
      </c>
      <c r="E14" s="196"/>
      <c r="F14" s="196" t="e">
        <f>F11-F12</f>
        <v>#DIV/0!</v>
      </c>
      <c r="G14" s="196"/>
      <c r="H14" s="196" t="e">
        <f>H11-H12</f>
        <v>#DIV/0!</v>
      </c>
      <c r="I14" s="197"/>
      <c r="K14" s="160" t="s">
        <v>74</v>
      </c>
      <c r="R14" s="160" t="s">
        <v>98</v>
      </c>
      <c r="Y14" s="83"/>
      <c r="Z14" s="84"/>
      <c r="AA14" s="83"/>
      <c r="AB14" s="84"/>
      <c r="AL14" s="83"/>
      <c r="AM14" s="84"/>
      <c r="AW14" s="83"/>
      <c r="AX14" s="84"/>
      <c r="BH14" s="83"/>
      <c r="BI14" s="84"/>
    </row>
    <row r="15" spans="1:61" x14ac:dyDescent="0.25">
      <c r="A15" s="75" t="s">
        <v>121</v>
      </c>
      <c r="B15" s="198">
        <v>0</v>
      </c>
      <c r="C15" s="197"/>
      <c r="D15" s="198">
        <v>0</v>
      </c>
      <c r="E15" s="197"/>
      <c r="F15" s="198">
        <v>5.0000000000000001E-3</v>
      </c>
      <c r="G15" s="197"/>
      <c r="H15" s="198">
        <v>5.0000000000000001E-3</v>
      </c>
      <c r="I15" s="197"/>
      <c r="K15" s="160" t="s">
        <v>94</v>
      </c>
      <c r="R15" s="160" t="s">
        <v>70</v>
      </c>
      <c r="Y15" s="83"/>
      <c r="Z15" s="84"/>
      <c r="AA15" s="83"/>
      <c r="AB15" s="84"/>
      <c r="AL15" s="83"/>
      <c r="AM15" s="84"/>
      <c r="AW15" s="83"/>
      <c r="AX15" s="84"/>
      <c r="BH15" s="83"/>
      <c r="BI15" s="84"/>
    </row>
    <row r="16" spans="1:61" x14ac:dyDescent="0.25">
      <c r="A16" s="62" t="s">
        <v>119</v>
      </c>
      <c r="B16" s="200">
        <v>4.92</v>
      </c>
      <c r="C16" s="199"/>
      <c r="D16" s="210">
        <v>3.5</v>
      </c>
      <c r="E16" s="199"/>
      <c r="F16" s="200">
        <v>2.96</v>
      </c>
      <c r="G16" s="199"/>
      <c r="H16" s="200">
        <v>2.99</v>
      </c>
      <c r="I16" s="199"/>
      <c r="K16" s="160" t="s">
        <v>67</v>
      </c>
      <c r="R16" s="160"/>
      <c r="Y16" s="83"/>
      <c r="Z16" s="84"/>
      <c r="AA16" s="83"/>
      <c r="AB16" s="84"/>
      <c r="AL16" s="83"/>
      <c r="AM16" s="84"/>
      <c r="AW16" s="83"/>
      <c r="AX16" s="84"/>
      <c r="BH16" s="83"/>
      <c r="BI16" s="84"/>
    </row>
    <row r="17" spans="1:69" x14ac:dyDescent="0.25">
      <c r="A17" s="62" t="s">
        <v>126</v>
      </c>
      <c r="B17" s="201">
        <v>1</v>
      </c>
      <c r="C17" s="199"/>
      <c r="D17" s="201">
        <v>2</v>
      </c>
      <c r="E17" s="199"/>
      <c r="F17" s="201">
        <v>1</v>
      </c>
      <c r="G17" s="199"/>
      <c r="H17" s="201">
        <v>1</v>
      </c>
      <c r="I17" s="199"/>
      <c r="J17" s="83"/>
      <c r="K17" s="160" t="s">
        <v>68</v>
      </c>
      <c r="L17" s="83"/>
      <c r="M17" s="83"/>
      <c r="N17" s="83"/>
      <c r="R17" s="160" t="s">
        <v>100</v>
      </c>
      <c r="Y17" s="83"/>
      <c r="Z17" s="84"/>
      <c r="AA17" s="83"/>
      <c r="AB17" s="84"/>
      <c r="AL17" s="83"/>
      <c r="AM17" s="84"/>
      <c r="AW17" s="83"/>
      <c r="AX17" s="84"/>
      <c r="BH17" s="83"/>
      <c r="BI17" s="84"/>
    </row>
    <row r="18" spans="1:69" x14ac:dyDescent="0.25">
      <c r="A18" s="62" t="s">
        <v>57</v>
      </c>
      <c r="B18" s="202">
        <v>0</v>
      </c>
      <c r="C18" s="202"/>
      <c r="D18" s="202">
        <v>0</v>
      </c>
      <c r="E18" s="202"/>
      <c r="F18" s="202">
        <v>0.02</v>
      </c>
      <c r="G18" s="202"/>
      <c r="H18" s="202">
        <v>0.02</v>
      </c>
      <c r="I18" s="199"/>
      <c r="J18" s="83"/>
      <c r="K18" s="83"/>
      <c r="L18" s="83"/>
      <c r="M18" s="83"/>
      <c r="N18" s="83"/>
      <c r="P18" s="99"/>
      <c r="R18" s="160" t="s">
        <v>76</v>
      </c>
      <c r="U18" s="137"/>
      <c r="Y18" s="83"/>
      <c r="Z18" s="84"/>
      <c r="AA18" s="83"/>
      <c r="AB18" s="84"/>
      <c r="AL18" s="83"/>
      <c r="AM18" s="84"/>
      <c r="AW18" s="83"/>
      <c r="AX18" s="84"/>
      <c r="BH18" s="83"/>
      <c r="BI18" s="84"/>
    </row>
    <row r="19" spans="1:69" x14ac:dyDescent="0.25">
      <c r="A19" s="56" t="s">
        <v>162</v>
      </c>
      <c r="B19" s="203">
        <v>1</v>
      </c>
      <c r="C19" s="204"/>
      <c r="D19" s="199">
        <v>1</v>
      </c>
      <c r="E19" s="199"/>
      <c r="F19" s="199">
        <v>1</v>
      </c>
      <c r="G19" s="199"/>
      <c r="H19" s="199">
        <v>1</v>
      </c>
      <c r="I19" s="205"/>
      <c r="J19" s="83"/>
      <c r="K19" s="83"/>
      <c r="L19" s="83"/>
      <c r="M19" s="83"/>
      <c r="N19" s="83"/>
      <c r="P19" s="99"/>
      <c r="R19" s="160"/>
      <c r="U19" s="137"/>
      <c r="Y19" s="83"/>
      <c r="Z19" s="84"/>
      <c r="AA19" s="83"/>
      <c r="AB19" s="84"/>
      <c r="AL19" s="83"/>
      <c r="AM19" s="84"/>
      <c r="AW19" s="83"/>
      <c r="AX19" s="84"/>
      <c r="BH19" s="83"/>
      <c r="BI19" s="84"/>
    </row>
    <row r="20" spans="1:69" x14ac:dyDescent="0.25">
      <c r="A20" s="62" t="s">
        <v>38</v>
      </c>
      <c r="B20" s="194">
        <f ca="1">AH24</f>
        <v>0.38487367810604683</v>
      </c>
      <c r="C20" s="199"/>
      <c r="D20" s="194">
        <f ca="1">AS24</f>
        <v>0.20127924297371802</v>
      </c>
      <c r="E20" s="199"/>
      <c r="F20" s="194" t="e">
        <f>BD24</f>
        <v>#DIV/0!</v>
      </c>
      <c r="G20" s="199"/>
      <c r="H20" s="194" t="e">
        <f>BO24</f>
        <v>#DIV/0!</v>
      </c>
      <c r="I20" s="199"/>
      <c r="J20" s="83"/>
      <c r="K20" s="208">
        <f ca="1">B21-D21</f>
        <v>0.61281171157025283</v>
      </c>
      <c r="L20" s="216">
        <f ca="1">K20*1.5</f>
        <v>0.91921756735537929</v>
      </c>
      <c r="M20" s="83"/>
      <c r="N20" s="83"/>
      <c r="P20" s="99"/>
      <c r="R20" s="160"/>
      <c r="U20" s="137"/>
      <c r="Y20" s="83"/>
      <c r="Z20" s="84"/>
      <c r="AA20" s="83"/>
      <c r="AB20" s="84"/>
      <c r="AL20" s="83"/>
      <c r="AM20" s="84"/>
      <c r="AW20" s="83"/>
      <c r="AX20" s="84"/>
      <c r="BH20" s="83"/>
      <c r="BI20" s="84"/>
    </row>
    <row r="21" spans="1:69" x14ac:dyDescent="0.25">
      <c r="A21" s="62" t="s">
        <v>29</v>
      </c>
      <c r="B21" s="194">
        <f ca="1">AI24</f>
        <v>0.41284720595167451</v>
      </c>
      <c r="C21" s="199"/>
      <c r="D21" s="194">
        <f ca="1">AT24</f>
        <v>-0.19996450561857834</v>
      </c>
      <c r="E21" s="199"/>
      <c r="F21" s="194" t="e">
        <f>BE24</f>
        <v>#DIV/0!</v>
      </c>
      <c r="G21" s="199"/>
      <c r="H21" s="194" t="e">
        <f>BP24</f>
        <v>#DIV/0!</v>
      </c>
      <c r="I21" s="199"/>
      <c r="J21" s="83"/>
      <c r="K21" s="83"/>
      <c r="L21" s="216">
        <f ca="1">K20*4.5</f>
        <v>2.7576527020661379</v>
      </c>
      <c r="M21" s="83"/>
      <c r="N21" s="83"/>
      <c r="P21" s="99"/>
      <c r="R21" s="160"/>
      <c r="U21" s="137"/>
      <c r="Y21" s="83"/>
      <c r="Z21" s="84"/>
      <c r="AA21" s="83"/>
      <c r="AB21" s="84"/>
      <c r="AL21" s="83"/>
      <c r="AM21" s="84"/>
      <c r="AW21" s="83"/>
      <c r="AX21" s="84"/>
      <c r="BH21" s="83"/>
      <c r="BI21" s="84"/>
    </row>
    <row r="22" spans="1:69" x14ac:dyDescent="0.25">
      <c r="A22" s="62" t="str">
        <f>G1</f>
        <v>vega</v>
      </c>
      <c r="B22" s="194">
        <f ca="1">AJ24</f>
        <v>1.1118499428304493E-2</v>
      </c>
      <c r="C22" s="199"/>
      <c r="D22" s="194">
        <f ca="1">AU24</f>
        <v>8.3979621940326547E-3</v>
      </c>
      <c r="E22" s="199"/>
      <c r="F22" s="194" t="e">
        <f>BF24</f>
        <v>#DIV/0!</v>
      </c>
      <c r="G22" s="199"/>
      <c r="H22" s="194" t="e">
        <f>BQ24</f>
        <v>#DIV/0!</v>
      </c>
      <c r="I22" s="199"/>
      <c r="J22" s="83"/>
      <c r="K22" s="83"/>
      <c r="L22" s="83"/>
      <c r="M22" s="83"/>
      <c r="N22" s="83"/>
      <c r="P22" s="99"/>
      <c r="R22" s="160"/>
      <c r="U22" s="137"/>
      <c r="Y22" s="83"/>
      <c r="Z22" s="84"/>
      <c r="AA22" s="83"/>
      <c r="AB22" s="84"/>
      <c r="AL22" s="83"/>
      <c r="AM22" s="84"/>
      <c r="AW22" s="83"/>
      <c r="AX22" s="84"/>
      <c r="BH22" s="83"/>
      <c r="BI22" s="84"/>
    </row>
    <row r="23" spans="1:69" x14ac:dyDescent="0.25">
      <c r="B23" s="194"/>
      <c r="C23" s="199"/>
      <c r="D23" s="194"/>
      <c r="E23" s="199"/>
      <c r="F23" s="194"/>
      <c r="G23" s="199"/>
      <c r="H23" s="194"/>
      <c r="J23" s="83"/>
      <c r="K23" s="83"/>
      <c r="L23" s="83"/>
      <c r="M23" s="83"/>
      <c r="N23" s="83"/>
      <c r="R23" s="160" t="s">
        <v>102</v>
      </c>
      <c r="Y23" s="83"/>
      <c r="Z23" s="84"/>
      <c r="AA23" s="83"/>
      <c r="AB23" s="84"/>
      <c r="AL23" s="83"/>
      <c r="AM23" s="84"/>
      <c r="AW23" s="83"/>
      <c r="AX23" s="84"/>
      <c r="BH23" s="83"/>
      <c r="BI23" s="84"/>
    </row>
    <row r="24" spans="1:69" x14ac:dyDescent="0.25">
      <c r="A24" s="83"/>
      <c r="B24" s="194">
        <f ca="1">B20-D20</f>
        <v>0.18359443513232881</v>
      </c>
      <c r="C24" s="83"/>
      <c r="D24" s="83"/>
      <c r="E24" s="83"/>
      <c r="F24" s="194" t="e">
        <f>F20-H20</f>
        <v>#DIV/0!</v>
      </c>
      <c r="G24" s="83"/>
      <c r="H24" s="83"/>
      <c r="I24" s="83"/>
      <c r="J24" s="83"/>
      <c r="K24" s="83"/>
      <c r="L24" s="83"/>
      <c r="M24" s="83"/>
      <c r="N24" s="83"/>
      <c r="R24" s="160" t="s">
        <v>74</v>
      </c>
      <c r="V24" s="93"/>
      <c r="W24" s="93"/>
      <c r="X24" s="93"/>
      <c r="Y24" s="83"/>
      <c r="Z24" s="84"/>
      <c r="AA24" s="83"/>
      <c r="AC24" s="77" t="e">
        <f>AC26/AA28</f>
        <v>#N/A</v>
      </c>
      <c r="AD24" s="77">
        <f>AD26/AA28</f>
        <v>4.3219627507163345</v>
      </c>
      <c r="AH24" s="132">
        <f ca="1">AH26/AA28</f>
        <v>0.38487367810604683</v>
      </c>
      <c r="AI24" s="132">
        <f ca="1">AI26/AA28</f>
        <v>0.41284720595167451</v>
      </c>
      <c r="AJ24" s="132">
        <f ca="1">AJ26/AA28</f>
        <v>1.1118499428304493E-2</v>
      </c>
      <c r="AL24" s="83"/>
      <c r="AN24" s="77" t="e">
        <f>AN26/AL28</f>
        <v>#N/A</v>
      </c>
      <c r="AO24" s="77">
        <f>AO26/AL28</f>
        <v>4.351962750716333</v>
      </c>
      <c r="AS24" s="132">
        <f ca="1">AS26/AL28</f>
        <v>0.20127924297371802</v>
      </c>
      <c r="AT24" s="132">
        <f ca="1">AT26/AL28</f>
        <v>-0.19996450561857834</v>
      </c>
      <c r="AU24" s="132">
        <f ca="1">AU26/AL28</f>
        <v>8.3979621940326547E-3</v>
      </c>
      <c r="AW24" s="83"/>
      <c r="AY24" s="77" t="e">
        <f>AY26/AW28</f>
        <v>#N/A</v>
      </c>
      <c r="AZ24" s="77" t="e">
        <f>AZ26/AW28</f>
        <v>#DIV/0!</v>
      </c>
      <c r="BD24" s="132" t="e">
        <f>BD26/AW28</f>
        <v>#DIV/0!</v>
      </c>
      <c r="BE24" s="132" t="e">
        <f>BE26/AW28</f>
        <v>#DIV/0!</v>
      </c>
      <c r="BF24" s="132" t="e">
        <f>BF26/AW28</f>
        <v>#DIV/0!</v>
      </c>
      <c r="BH24" s="83"/>
      <c r="BJ24" s="77" t="e">
        <f>BJ26/BH28</f>
        <v>#N/A</v>
      </c>
      <c r="BK24" s="77" t="e">
        <f>BK26/BH28</f>
        <v>#DIV/0!</v>
      </c>
      <c r="BO24" s="132" t="e">
        <f>BO26/BH28</f>
        <v>#DIV/0!</v>
      </c>
      <c r="BP24" s="132" t="e">
        <f>BP26/BH28</f>
        <v>#DIV/0!</v>
      </c>
      <c r="BQ24" s="132" t="e">
        <f>BQ26/BH28</f>
        <v>#DIV/0!</v>
      </c>
    </row>
    <row r="25" spans="1:69" x14ac:dyDescent="0.25">
      <c r="A25" s="83"/>
      <c r="B25" s="83"/>
      <c r="C25" s="83"/>
      <c r="D25" s="83"/>
      <c r="E25" s="83"/>
      <c r="F25" s="208"/>
      <c r="G25" s="83"/>
      <c r="H25" s="83"/>
      <c r="I25" s="83"/>
      <c r="J25" s="83"/>
      <c r="K25" s="83"/>
      <c r="L25" s="83"/>
      <c r="M25" s="83"/>
      <c r="N25" s="83"/>
      <c r="R25" s="160" t="s">
        <v>94</v>
      </c>
      <c r="S25" s="88"/>
      <c r="V25" s="93"/>
      <c r="W25" s="93"/>
      <c r="X25" s="93"/>
      <c r="Y25" s="83"/>
      <c r="Z25" s="84"/>
      <c r="AA25" s="83"/>
      <c r="AB25" s="78">
        <f>C9</f>
        <v>36831</v>
      </c>
      <c r="AJ25"/>
      <c r="AL25" s="83"/>
      <c r="AM25" s="78">
        <f>E9</f>
        <v>36831</v>
      </c>
      <c r="AU25"/>
      <c r="AW25" s="83"/>
      <c r="AX25" s="78">
        <f>G9</f>
        <v>37408</v>
      </c>
      <c r="BF25"/>
      <c r="BH25" s="83"/>
      <c r="BI25" s="78">
        <f>I9</f>
        <v>37773</v>
      </c>
      <c r="BQ25"/>
    </row>
    <row r="26" spans="1:69" x14ac:dyDescent="0.25">
      <c r="A26" s="83"/>
      <c r="B26" s="209"/>
      <c r="C26" s="209"/>
      <c r="D26" s="209"/>
      <c r="E26" s="83"/>
      <c r="F26" s="83"/>
      <c r="G26" s="83"/>
      <c r="H26" s="83"/>
      <c r="I26" s="209"/>
      <c r="J26" s="133"/>
      <c r="K26" s="133"/>
      <c r="L26" s="133"/>
      <c r="M26" s="133"/>
      <c r="N26" s="133"/>
      <c r="O26" s="185"/>
      <c r="P26" s="87"/>
      <c r="Q26" s="85"/>
      <c r="R26" s="87"/>
      <c r="S26" s="87"/>
      <c r="T26" s="90"/>
      <c r="U26" s="91"/>
      <c r="V26" s="94"/>
      <c r="W26" s="94"/>
      <c r="X26" s="94"/>
      <c r="Y26" s="83"/>
      <c r="Z26" s="84"/>
      <c r="AA26" s="83" t="s">
        <v>161</v>
      </c>
      <c r="AB26" s="78">
        <f>C10</f>
        <v>37165</v>
      </c>
      <c r="AC26" s="108" t="e">
        <f>SUM(AC31:AC151)</f>
        <v>#N/A</v>
      </c>
      <c r="AD26" s="108">
        <f>SUM(AD31:AD151)</f>
        <v>75.418250000000015</v>
      </c>
      <c r="AE26" s="108"/>
      <c r="AF26" s="108"/>
      <c r="AG26" s="108"/>
      <c r="AH26" s="108">
        <f ca="1">SUM(AH31:AH151)</f>
        <v>6.716045682950516</v>
      </c>
      <c r="AI26" s="108">
        <f ca="1">SUM(AI31:AI151)</f>
        <v>7.204183743856718</v>
      </c>
      <c r="AJ26" s="108">
        <f ca="1">SUM(AJ31:AJ151)</f>
        <v>0.19401781502391335</v>
      </c>
      <c r="AL26" s="83" t="s">
        <v>176</v>
      </c>
      <c r="AM26" s="78">
        <f>E10</f>
        <v>37165</v>
      </c>
      <c r="AN26" s="108" t="e">
        <f>SUM(AN31:AN151)</f>
        <v>#N/A</v>
      </c>
      <c r="AO26" s="108">
        <f>SUM(AO31:AO151)</f>
        <v>75.941749999999999</v>
      </c>
      <c r="AP26" s="108"/>
      <c r="AQ26" s="108"/>
      <c r="AR26" s="108"/>
      <c r="AS26" s="108">
        <f ca="1">SUM(AS31:AS151)</f>
        <v>3.5123227898913787</v>
      </c>
      <c r="AT26" s="108">
        <f ca="1">SUM(AT31:AT151)</f>
        <v>-3.4893806230441911</v>
      </c>
      <c r="AU26" s="108">
        <f ca="1">SUM(AU31:AU151)</f>
        <v>0.1465444402858698</v>
      </c>
      <c r="AW26" s="83" t="s">
        <v>177</v>
      </c>
      <c r="AX26" s="78">
        <f>G10</f>
        <v>37591</v>
      </c>
      <c r="AY26" s="108" t="e">
        <f>SUM(AY31:AY151)</f>
        <v>#N/A</v>
      </c>
      <c r="AZ26" s="108">
        <f>SUM(AZ31:AZ151)</f>
        <v>0</v>
      </c>
      <c r="BA26" s="108"/>
      <c r="BB26" s="108"/>
      <c r="BC26" s="108"/>
      <c r="BD26" s="108">
        <f>SUM(BD31:BD151)</f>
        <v>0</v>
      </c>
      <c r="BE26" s="108">
        <f>SUM(BE31:BE151)</f>
        <v>0</v>
      </c>
      <c r="BF26" s="108">
        <f>SUM(BF31:BF151)</f>
        <v>0</v>
      </c>
      <c r="BH26" s="83" t="s">
        <v>178</v>
      </c>
      <c r="BI26" s="78">
        <f>I10</f>
        <v>37803</v>
      </c>
      <c r="BJ26" s="108" t="e">
        <f>SUM(BJ31:BJ151)</f>
        <v>#N/A</v>
      </c>
      <c r="BK26" s="108">
        <f>SUM(BK31:BK151)</f>
        <v>0</v>
      </c>
      <c r="BL26" s="108"/>
      <c r="BM26" s="108"/>
      <c r="BN26" s="108"/>
      <c r="BO26" s="108">
        <f>SUM(BO31:BO151)</f>
        <v>0</v>
      </c>
      <c r="BP26" s="108">
        <f>SUM(BP31:BP151)</f>
        <v>0</v>
      </c>
      <c r="BQ26" s="108">
        <f>SUM(BQ31:BQ151)</f>
        <v>0</v>
      </c>
    </row>
    <row r="27" spans="1:69" x14ac:dyDescent="0.25">
      <c r="A27" s="83"/>
      <c r="B27" s="83"/>
      <c r="C27" s="83"/>
      <c r="D27" s="83"/>
      <c r="E27" s="83"/>
      <c r="F27" s="83"/>
      <c r="G27" s="208"/>
      <c r="H27" s="83"/>
      <c r="I27" s="209"/>
      <c r="J27" s="106"/>
      <c r="K27" s="106"/>
      <c r="L27" s="106"/>
      <c r="M27" s="106"/>
      <c r="N27" s="106"/>
      <c r="O27" s="106"/>
      <c r="P27" s="106"/>
      <c r="R27" s="106"/>
      <c r="S27" s="106"/>
      <c r="Y27" s="83"/>
      <c r="Z27" s="84"/>
      <c r="AA27" s="83"/>
      <c r="AE27" s="77" t="s">
        <v>126</v>
      </c>
      <c r="AF27" s="77">
        <f>IF(B17=4,3,B17)</f>
        <v>1</v>
      </c>
      <c r="AJ27"/>
      <c r="AL27" s="83"/>
      <c r="AP27" s="77" t="s">
        <v>126</v>
      </c>
      <c r="AQ27" s="77">
        <f>IF(D17=4,3,D17)</f>
        <v>2</v>
      </c>
      <c r="AU27"/>
      <c r="AW27" s="83"/>
      <c r="BA27" s="77" t="s">
        <v>126</v>
      </c>
      <c r="BB27" s="77">
        <f>IF(F17=4,3,F17)</f>
        <v>1</v>
      </c>
      <c r="BF27"/>
      <c r="BH27" s="83"/>
      <c r="BL27" s="77" t="s">
        <v>126</v>
      </c>
      <c r="BM27" s="77">
        <f>IF(H17=4,3,H17)</f>
        <v>1</v>
      </c>
      <c r="BQ27"/>
    </row>
    <row r="28" spans="1:69" x14ac:dyDescent="0.25">
      <c r="A28" s="83"/>
      <c r="B28" s="139"/>
      <c r="C28" s="139"/>
      <c r="D28" s="113"/>
      <c r="E28" s="139"/>
      <c r="F28" s="113"/>
      <c r="G28" s="113"/>
      <c r="H28" s="139"/>
      <c r="I28" s="139"/>
      <c r="J28" s="139"/>
      <c r="K28" s="139"/>
      <c r="L28" s="139"/>
      <c r="M28" s="139"/>
      <c r="N28" s="139"/>
      <c r="O28" s="139"/>
      <c r="P28" s="139"/>
      <c r="R28" s="133"/>
      <c r="S28" s="133"/>
      <c r="V28" s="94"/>
      <c r="W28" s="94"/>
      <c r="X28" s="94"/>
      <c r="Z28" s="84"/>
      <c r="AA28" s="136">
        <f>SUM(AA31:AA151)</f>
        <v>17.449999999999996</v>
      </c>
      <c r="AE28" s="77" t="s">
        <v>167</v>
      </c>
      <c r="AF28" s="77">
        <f>IF($G$1="GAMMA",3,IF($G$1="THETA",4,5))</f>
        <v>5</v>
      </c>
      <c r="AJ28"/>
      <c r="AL28" s="136">
        <f>SUM(AL31:AL151)</f>
        <v>17.449999999999996</v>
      </c>
      <c r="AP28" s="77" t="s">
        <v>167</v>
      </c>
      <c r="AQ28" s="77">
        <f>IF($G$1="GAMMA",3,IF($G$1="THETA",4,5))</f>
        <v>5</v>
      </c>
      <c r="AU28"/>
      <c r="AW28" s="136">
        <f>SUM(AW31:AW151)</f>
        <v>0</v>
      </c>
      <c r="BA28" s="77" t="s">
        <v>167</v>
      </c>
      <c r="BB28" s="77">
        <f>IF($G$1="GAMMA",3,IF($G$1="THETA",4,5))</f>
        <v>5</v>
      </c>
      <c r="BF28"/>
      <c r="BH28" s="136">
        <f>SUM(BH31:BH151)</f>
        <v>0</v>
      </c>
      <c r="BL28" s="77" t="s">
        <v>167</v>
      </c>
      <c r="BM28" s="77">
        <f>IF($G$1="GAMMA",3,IF($G$1="THETA",4,5))</f>
        <v>5</v>
      </c>
      <c r="BQ28"/>
    </row>
    <row r="29" spans="1:69" ht="13.8" thickBot="1" x14ac:dyDescent="0.3">
      <c r="B29" s="186"/>
      <c r="C29" s="186"/>
      <c r="D29" s="186"/>
      <c r="E29" s="186"/>
      <c r="F29" s="186"/>
      <c r="G29" s="186"/>
      <c r="H29" s="187"/>
      <c r="I29" s="187"/>
      <c r="J29" s="187"/>
      <c r="K29" s="187"/>
      <c r="L29" s="187"/>
      <c r="M29" s="187"/>
      <c r="N29" s="187"/>
      <c r="O29" s="85"/>
      <c r="P29" s="85"/>
      <c r="Q29" s="85"/>
      <c r="R29" s="77" t="s">
        <v>45</v>
      </c>
      <c r="T29" s="83"/>
      <c r="U29" s="83"/>
      <c r="V29" s="83"/>
      <c r="W29" s="83"/>
      <c r="X29" s="83"/>
      <c r="AB29" s="77" t="s">
        <v>41</v>
      </c>
      <c r="AC29" s="96" t="s">
        <v>37</v>
      </c>
      <c r="AD29" s="96" t="s">
        <v>168</v>
      </c>
      <c r="AE29" s="96" t="s">
        <v>38</v>
      </c>
      <c r="AF29" s="96" t="s">
        <v>29</v>
      </c>
      <c r="AG29" s="96" t="str">
        <f>$G1</f>
        <v>vega</v>
      </c>
      <c r="AH29" s="80" t="s">
        <v>38</v>
      </c>
      <c r="AI29" s="80" t="s">
        <v>29</v>
      </c>
      <c r="AJ29" s="80" t="str">
        <f>AG29</f>
        <v>vega</v>
      </c>
      <c r="AM29" s="77" t="s">
        <v>41</v>
      </c>
      <c r="AN29" s="96" t="s">
        <v>37</v>
      </c>
      <c r="AO29" s="96" t="s">
        <v>168</v>
      </c>
      <c r="AP29" s="96" t="s">
        <v>38</v>
      </c>
      <c r="AQ29" s="96" t="s">
        <v>29</v>
      </c>
      <c r="AR29" s="96" t="str">
        <f>$G1</f>
        <v>vega</v>
      </c>
      <c r="AS29" s="80" t="s">
        <v>38</v>
      </c>
      <c r="AT29" s="80" t="s">
        <v>29</v>
      </c>
      <c r="AU29" s="80" t="str">
        <f>AR29</f>
        <v>vega</v>
      </c>
      <c r="AX29" s="77" t="s">
        <v>41</v>
      </c>
      <c r="AY29" s="96" t="s">
        <v>37</v>
      </c>
      <c r="AZ29" s="96" t="s">
        <v>168</v>
      </c>
      <c r="BA29" s="96" t="s">
        <v>38</v>
      </c>
      <c r="BB29" s="96" t="s">
        <v>29</v>
      </c>
      <c r="BC29" s="96" t="str">
        <f>$G1</f>
        <v>vega</v>
      </c>
      <c r="BD29" s="80" t="s">
        <v>38</v>
      </c>
      <c r="BE29" s="80" t="s">
        <v>29</v>
      </c>
      <c r="BF29" s="80" t="str">
        <f>BC29</f>
        <v>vega</v>
      </c>
      <c r="BI29" s="77" t="s">
        <v>41</v>
      </c>
      <c r="BJ29" s="96" t="s">
        <v>37</v>
      </c>
      <c r="BK29" s="96" t="s">
        <v>168</v>
      </c>
      <c r="BL29" s="96" t="s">
        <v>38</v>
      </c>
      <c r="BM29" s="96" t="s">
        <v>29</v>
      </c>
      <c r="BN29" s="96" t="str">
        <f>$G1</f>
        <v>vega</v>
      </c>
      <c r="BO29" s="80" t="s">
        <v>38</v>
      </c>
      <c r="BP29" s="80" t="s">
        <v>29</v>
      </c>
      <c r="BQ29" s="80" t="str">
        <f>BN29</f>
        <v>vega</v>
      </c>
    </row>
    <row r="30" spans="1:69" ht="14.4" thickTop="1" thickBot="1" x14ac:dyDescent="0.3">
      <c r="A30" s="100" t="s">
        <v>24</v>
      </c>
      <c r="B30" s="100" t="s">
        <v>61</v>
      </c>
      <c r="C30" s="100" t="s">
        <v>36</v>
      </c>
      <c r="D30" s="100" t="s">
        <v>28</v>
      </c>
      <c r="E30" s="100" t="s">
        <v>57</v>
      </c>
      <c r="F30" s="100" t="s">
        <v>49</v>
      </c>
      <c r="G30" s="100" t="s">
        <v>50</v>
      </c>
      <c r="H30" s="100" t="s">
        <v>163</v>
      </c>
      <c r="I30" s="100" t="s">
        <v>164</v>
      </c>
      <c r="J30" s="100" t="s">
        <v>124</v>
      </c>
      <c r="K30" s="100" t="s">
        <v>125</v>
      </c>
      <c r="L30" s="100" t="s">
        <v>169</v>
      </c>
      <c r="M30" s="100" t="s">
        <v>170</v>
      </c>
      <c r="N30" s="100" t="s">
        <v>54</v>
      </c>
      <c r="O30" s="100" t="s">
        <v>55</v>
      </c>
      <c r="P30" s="100" t="s">
        <v>165</v>
      </c>
      <c r="Q30" s="100" t="s">
        <v>166</v>
      </c>
      <c r="R30" s="100" t="s">
        <v>25</v>
      </c>
      <c r="S30" s="100" t="s">
        <v>27</v>
      </c>
      <c r="T30" s="83"/>
      <c r="W30" s="83"/>
      <c r="X30" s="83"/>
      <c r="AA30" s="77" t="s">
        <v>46</v>
      </c>
      <c r="AD30" s="84"/>
      <c r="AE30" s="83"/>
      <c r="AF30" s="83"/>
      <c r="AG30" s="83"/>
      <c r="AJ30" t="s">
        <v>175</v>
      </c>
      <c r="AL30" s="77" t="s">
        <v>46</v>
      </c>
      <c r="AO30" s="84"/>
      <c r="AP30" s="83"/>
      <c r="AQ30" s="83"/>
      <c r="AR30" s="83"/>
      <c r="AU30" t="s">
        <v>175</v>
      </c>
      <c r="AW30" s="77" t="s">
        <v>46</v>
      </c>
      <c r="AZ30" s="84"/>
      <c r="BA30" s="83"/>
      <c r="BB30" s="83"/>
      <c r="BC30" s="83"/>
      <c r="BF30" t="s">
        <v>175</v>
      </c>
      <c r="BH30" s="77" t="s">
        <v>46</v>
      </c>
      <c r="BK30" s="84"/>
      <c r="BL30" s="83"/>
      <c r="BM30" s="83"/>
      <c r="BN30" s="83"/>
      <c r="BQ30" t="s">
        <v>175</v>
      </c>
    </row>
    <row r="31" spans="1:69" ht="13.8" thickTop="1" x14ac:dyDescent="0.25">
      <c r="A31" s="101">
        <v>36770</v>
      </c>
      <c r="B31" s="102" t="e">
        <f>VLOOKUP(A31,STRADDLE,5,FALSE)</f>
        <v>#N/A</v>
      </c>
      <c r="C31" s="102">
        <f t="shared" ref="C31:C53" si="0">IF(B$4=1,VLOOKUP(A31,curvesettle,HLOOKUP($B$5,curvesettle,2,FALSE),0),0)</f>
        <v>7.000000000000001E-3</v>
      </c>
      <c r="D31" s="80" t="e">
        <f>VLOOKUP(A31,STRADDLE,8,FALSE)</f>
        <v>#N/A</v>
      </c>
      <c r="E31" s="106">
        <f t="shared" ref="E31:E53" si="1">IF(ISNUMBER(VLOOKUP(A31,VOLCURVES,HLOOKUP(B$5,VOLCURVES,2,FALSE),FALSE)),VLOOKUP(A31,VOLCURVES,HLOOKUP(B$5,VOLCURVES,2,FALSE),FALSE),1)</f>
        <v>1</v>
      </c>
      <c r="F31" s="104">
        <f>IF($B$17=4,$AB31,$B$16)</f>
        <v>4.92</v>
      </c>
      <c r="G31" s="104">
        <f>IF($D$17=4,$AM31,$D$16)</f>
        <v>3.5</v>
      </c>
      <c r="H31" s="104">
        <f>IF($F$17=4,$AX31,$F$16)</f>
        <v>2.96</v>
      </c>
      <c r="I31" s="104">
        <f>IF($H$17=4,$BI31,$H$16)</f>
        <v>2.99</v>
      </c>
      <c r="J31" s="80" t="e">
        <f t="shared" ref="J31:J53" si="2">IF($B$19=1,VLOOKUP($A31,SkewTable,HLOOKUP(ROUND(F31-AB31,1),SkewTable,2,FALSE),FALSE)/100,0)</f>
        <v>#DIV/0!</v>
      </c>
      <c r="K31" s="80" t="e">
        <f t="shared" ref="K31:K53" si="3">IF($D$19=1,VLOOKUP($A31,SkewTable,HLOOKUP(ROUND(G31-AM31,1),SkewTable,2,FALSE),FALSE)/100,0)</f>
        <v>#DIV/0!</v>
      </c>
      <c r="L31" s="80" t="e">
        <f t="shared" ref="L31:L53" si="4">IF($F$19=1,VLOOKUP($A31,SkewTable,HLOOKUP(ROUND(H31-AX31,1),SkewTable,2,FALSE),FALSE)/100,0)</f>
        <v>#DIV/0!</v>
      </c>
      <c r="M31" s="80" t="e">
        <f t="shared" ref="M31:M53" si="5">IF($H$19=1,VLOOKUP($A31,SkewTable,HLOOKUP(ROUND(I31-BI31,1),SkewTable,2,FALSE),FALSE)/100,0)</f>
        <v>#DIV/0!</v>
      </c>
      <c r="N31" s="80" t="e">
        <f t="shared" ref="N31:N53" si="6">(($D31+J31)*$E31)+B$18</f>
        <v>#N/A</v>
      </c>
      <c r="O31" s="80" t="e">
        <f t="shared" ref="O31:O53" si="7">(($D31+K31)*$E31)+D$18</f>
        <v>#N/A</v>
      </c>
      <c r="P31" s="80" t="e">
        <f t="shared" ref="P31:P53" si="8">(($D31+L31)*$E31)+F$18</f>
        <v>#N/A</v>
      </c>
      <c r="Q31" s="80" t="e">
        <f t="shared" ref="Q31:Q53" si="9">(($D31+M31)*$E31)+H$18</f>
        <v>#N/A</v>
      </c>
      <c r="R31" s="105">
        <f t="shared" ref="R31:R53" ca="1" si="10">IF(B$4=1,VLOOKUP(A31,expiration,2,FALSE),VLOOKUP(A31,expiration,3,FALSE))-B$2+$B$1</f>
        <v>-1</v>
      </c>
      <c r="S31" s="80" t="e">
        <f>VLOOKUP($A31,STRADDLE,12,FALSE)</f>
        <v>#N/A</v>
      </c>
      <c r="T31" s="77">
        <v>0.9</v>
      </c>
      <c r="U31" s="182">
        <v>6</v>
      </c>
      <c r="V31" s="77">
        <v>3</v>
      </c>
      <c r="X31" s="182"/>
      <c r="Z31" s="82"/>
      <c r="AA31" s="82">
        <f t="shared" ref="AA31:AA53" si="11">IF($A31&gt;=AB$25,IF($A31&lt;=AB$26,$T31,0),0)</f>
        <v>0</v>
      </c>
      <c r="AB31" s="82" t="e">
        <f>IF(T31&gt;0,AD31/AA31,0)</f>
        <v>#DIV/0!</v>
      </c>
      <c r="AC31" s="77" t="e">
        <f t="shared" ref="AC31:AC53" si="12">AA31*($B31+B$13)</f>
        <v>#N/A</v>
      </c>
      <c r="AD31" s="108">
        <f t="shared" ref="AD31:AD53" si="13">IF(ISNUMBER(((AC31/AA31)+B$15+$C31)*AA31),((AC31/AA31)+B$15+$C31)*AA31,0)</f>
        <v>0</v>
      </c>
      <c r="AE31" s="107">
        <f>IF(AA31=0,0,bsd(1,AF$27,AB31,$F31,$R31,$N31,$S31,0.1))</f>
        <v>0</v>
      </c>
      <c r="AF31" s="107">
        <f>IF(AA31=0,0,bsd(2,AF$27,AB31,$F31,$R31,$N31,$S31,0.1))</f>
        <v>0</v>
      </c>
      <c r="AG31" s="107">
        <f t="shared" ref="AG31:AG53" si="14">IF(AA31=0,0,bsd(AF$28,AF$27,AB31,$F31,$R31,$N31,$S31,0.1))</f>
        <v>0</v>
      </c>
      <c r="AH31" s="109">
        <f t="shared" ref="AH31:AH53" si="15">AA31*AE31</f>
        <v>0</v>
      </c>
      <c r="AI31" s="109">
        <f t="shared" ref="AI31:AI53" si="16">AA31*AF31</f>
        <v>0</v>
      </c>
      <c r="AJ31" s="109">
        <f t="shared" ref="AJ31:AJ53" si="17">AA31*AG31</f>
        <v>0</v>
      </c>
      <c r="AL31" s="82">
        <f t="shared" ref="AL31:AL53" si="18">IF($A31&gt;=AM$25,IF($A31&lt;=AM$26,$T31,0),0)</f>
        <v>0</v>
      </c>
      <c r="AM31" s="82" t="e">
        <f>AO31/AL31</f>
        <v>#DIV/0!</v>
      </c>
      <c r="AN31" s="77" t="e">
        <f t="shared" ref="AN31:AN53" si="19">AL31*($B31+D$13)</f>
        <v>#N/A</v>
      </c>
      <c r="AO31" s="108">
        <f>IF(ISNUMBER(((AN31/AL31)+D$15+$C31)*AL31),((AN31/AL31)+D$15+$C31)*AL31,0)</f>
        <v>0</v>
      </c>
      <c r="AP31" s="107">
        <f t="shared" ref="AP31:AP53" si="20">IF(AL31=0,0,bsd(1,AQ$27,AM31,$G31,$R31,$O31,$S31,0.1))</f>
        <v>0</v>
      </c>
      <c r="AQ31" s="107">
        <f t="shared" ref="AQ31:AQ53" si="21">IF(AL31=0,0,bsd(2,AQ$27,AM31,$G31,$R31,$O31,$S31,0.1))</f>
        <v>0</v>
      </c>
      <c r="AR31" s="107">
        <f t="shared" ref="AR31:AR53" si="22">IF(AL31=0,0,bsd(AQ$28,AQ$27,AM31,$G31,$R31,$O31,$S31,0.1))</f>
        <v>0</v>
      </c>
      <c r="AS31" s="109">
        <f t="shared" ref="AS31:AS53" si="23">AL31*AP31</f>
        <v>0</v>
      </c>
      <c r="AT31" s="109">
        <f t="shared" ref="AT31:AT53" si="24">AL31*AQ31</f>
        <v>0</v>
      </c>
      <c r="AU31" s="109">
        <f t="shared" ref="AU31:AU53" si="25">AL31*AR31</f>
        <v>0</v>
      </c>
      <c r="AW31" s="82">
        <f t="shared" ref="AW31:AW53" si="26">IF($A31&gt;=AX$25,IF($A31&lt;=AX$26,$T31,0),0)</f>
        <v>0</v>
      </c>
      <c r="AX31" s="82" t="e">
        <f t="shared" ref="AX31:AX53" si="27">AZ31/AW31</f>
        <v>#DIV/0!</v>
      </c>
      <c r="AY31" s="77" t="e">
        <f t="shared" ref="AY31:AY53" si="28">AW31*($B31+F$13)</f>
        <v>#N/A</v>
      </c>
      <c r="AZ31" s="108">
        <f t="shared" ref="AZ31:AZ53" si="29">IF(ISNUMBER(((AY31/AW31)+F$15+$C31)*AW31),((AY31/AW31)+F$15+$C31)*AW31,0)</f>
        <v>0</v>
      </c>
      <c r="BA31" s="107">
        <f t="shared" ref="BA31:BA53" si="30">IF(AW31=0,0,bsd(1,BB$27,AX31,$H31,$R31,$P31,$S31,0.1))</f>
        <v>0</v>
      </c>
      <c r="BB31" s="107">
        <f t="shared" ref="BB31:BB53" si="31">IF(AW31=0,0,bsd(2,BB$27,AX31,$H31,$R31,$P31,$S31,0.1))</f>
        <v>0</v>
      </c>
      <c r="BC31" s="107">
        <f t="shared" ref="BC31:BC53" si="32">IF(AW31=0,0,bsd(BB$28,BB$27,AX31,$H31,$R31,$P31,$S31,0.1))</f>
        <v>0</v>
      </c>
      <c r="BD31" s="109">
        <f t="shared" ref="BD31:BD53" si="33">AW31*BA31</f>
        <v>0</v>
      </c>
      <c r="BE31" s="109">
        <f t="shared" ref="BE31:BE53" si="34">AW31*BB31</f>
        <v>0</v>
      </c>
      <c r="BF31" s="109">
        <f t="shared" ref="BF31:BF53" si="35">AW31*BC31</f>
        <v>0</v>
      </c>
      <c r="BH31" s="82">
        <f t="shared" ref="BH31:BH53" si="36">IF($A31&gt;=BI$25,IF($A31&lt;=BI$26,$T31,0),0)</f>
        <v>0</v>
      </c>
      <c r="BI31" s="82" t="e">
        <f t="shared" ref="BI31:BI53" si="37">BK31/BH31</f>
        <v>#DIV/0!</v>
      </c>
      <c r="BJ31" s="77" t="e">
        <f t="shared" ref="BJ31:BJ53" si="38">BH31*($B31+H$13)</f>
        <v>#N/A</v>
      </c>
      <c r="BK31" s="108">
        <f t="shared" ref="BK31:BK53" si="39">IF(ISNUMBER(((BJ31/BH31)+H$15+$C31)*BH31),((BJ31/BH31)+H$15+$C31)*BH31,0)</f>
        <v>0</v>
      </c>
      <c r="BL31" s="107">
        <f t="shared" ref="BL31:BL53" si="40">IF(BH31=0,0,bsd(1,BM$27,BI31,$I31,$R31,$Q31,$S31,0.1))</f>
        <v>0</v>
      </c>
      <c r="BM31" s="107">
        <f t="shared" ref="BM31:BM53" si="41">IF(BH31=0,0,bsd(2,BM$27,BI31,$I31,$R31,$Q31,$S31,0.1))</f>
        <v>0</v>
      </c>
      <c r="BN31" s="107">
        <f t="shared" ref="BN31:BN53" si="42">IF(BH31=0,0,bsd(BM$28,BM$27,BI31,$I31,$R31,$Q31,$S31,0.1))</f>
        <v>0</v>
      </c>
      <c r="BO31" s="109">
        <f t="shared" ref="BO31:BO53" si="43">BH31*BL31</f>
        <v>0</v>
      </c>
      <c r="BP31" s="109">
        <f t="shared" ref="BP31:BP53" si="44">BH31*BM31</f>
        <v>0</v>
      </c>
      <c r="BQ31" s="109">
        <f t="shared" ref="BQ31:BQ53" si="45">BH31*BN31</f>
        <v>0</v>
      </c>
    </row>
    <row r="32" spans="1:69" x14ac:dyDescent="0.25">
      <c r="A32" s="101">
        <f t="shared" ref="A32:A53" si="46">DATE(YEAR(A31),MONTH(A31)+1,1)</f>
        <v>36800</v>
      </c>
      <c r="B32" s="102">
        <f t="shared" ref="B32:B150" si="47">VLOOKUP(A32,STRADDLE,5,FALSE)</f>
        <v>4.782</v>
      </c>
      <c r="C32" s="102">
        <f t="shared" si="0"/>
        <v>0</v>
      </c>
      <c r="D32" s="80">
        <f t="shared" ref="D32:D95" si="48">VLOOKUP(A32,STRADDLE,8,FALSE)</f>
        <v>0.54</v>
      </c>
      <c r="E32" s="106">
        <f t="shared" si="1"/>
        <v>1</v>
      </c>
      <c r="F32" s="104">
        <f t="shared" ref="F32:F150" si="49">IF($B$17=4,$AB32,$B$16)</f>
        <v>4.92</v>
      </c>
      <c r="G32" s="104">
        <f t="shared" ref="G32:G150" si="50">IF($D$17=4,$AM32,$D$16)</f>
        <v>3.5</v>
      </c>
      <c r="H32" s="104">
        <f t="shared" ref="H32:H150" si="51">IF($F$17=4,$AX32,$F$16)</f>
        <v>2.96</v>
      </c>
      <c r="I32" s="104">
        <f t="shared" ref="I32:I150" si="52">IF($H$17=4,$BI32,$H$16)</f>
        <v>2.99</v>
      </c>
      <c r="J32" s="80" t="e">
        <f t="shared" si="2"/>
        <v>#DIV/0!</v>
      </c>
      <c r="K32" s="80" t="e">
        <f t="shared" si="3"/>
        <v>#DIV/0!</v>
      </c>
      <c r="L32" s="80" t="e">
        <f t="shared" si="4"/>
        <v>#DIV/0!</v>
      </c>
      <c r="M32" s="80" t="e">
        <f t="shared" si="5"/>
        <v>#DIV/0!</v>
      </c>
      <c r="N32" s="80" t="e">
        <f t="shared" si="6"/>
        <v>#DIV/0!</v>
      </c>
      <c r="O32" s="80" t="e">
        <f t="shared" si="7"/>
        <v>#DIV/0!</v>
      </c>
      <c r="P32" s="80" t="e">
        <f t="shared" si="8"/>
        <v>#DIV/0!</v>
      </c>
      <c r="Q32" s="80" t="e">
        <f t="shared" si="9"/>
        <v>#DIV/0!</v>
      </c>
      <c r="R32" s="105">
        <f t="shared" ca="1" si="10"/>
        <v>27</v>
      </c>
      <c r="S32" s="80">
        <f t="shared" ref="S32:S150" si="53">VLOOKUP($A32,STRADDLE,12,FALSE)</f>
        <v>6.7998663678555019E-2</v>
      </c>
      <c r="T32" s="77">
        <v>0.9</v>
      </c>
      <c r="U32" s="182">
        <v>6</v>
      </c>
      <c r="V32" s="77">
        <v>3</v>
      </c>
      <c r="X32" s="182"/>
      <c r="Z32" s="82"/>
      <c r="AA32" s="82">
        <f t="shared" si="11"/>
        <v>0</v>
      </c>
      <c r="AB32" s="82" t="e">
        <f t="shared" ref="AB32:AB95" si="54">IF(T32&gt;0,AD32/AA32,0)</f>
        <v>#DIV/0!</v>
      </c>
      <c r="AC32" s="77">
        <f t="shared" si="12"/>
        <v>0</v>
      </c>
      <c r="AD32" s="108">
        <f t="shared" si="13"/>
        <v>0</v>
      </c>
      <c r="AE32" s="107">
        <f t="shared" ref="AE32:AE53" si="55">IF(AA32=0,0,bsd(1,AF$27,AB32,$F32,$R32,$N32,$S32,0.1))</f>
        <v>0</v>
      </c>
      <c r="AF32" s="107">
        <f t="shared" ref="AF32:AF53" si="56">IF(AA32=0,0,bsd(2,AF$27,AB32,$F32,$R32,$N32,$S32,0.1))</f>
        <v>0</v>
      </c>
      <c r="AG32" s="107">
        <f t="shared" si="14"/>
        <v>0</v>
      </c>
      <c r="AH32" s="109">
        <f t="shared" si="15"/>
        <v>0</v>
      </c>
      <c r="AI32" s="109">
        <f t="shared" si="16"/>
        <v>0</v>
      </c>
      <c r="AJ32" s="109">
        <f t="shared" si="17"/>
        <v>0</v>
      </c>
      <c r="AL32" s="82">
        <f t="shared" si="18"/>
        <v>0</v>
      </c>
      <c r="AM32" s="82" t="e">
        <f t="shared" ref="AM32:AM53" si="57">AO32/AL32</f>
        <v>#DIV/0!</v>
      </c>
      <c r="AN32" s="77">
        <f t="shared" si="19"/>
        <v>0</v>
      </c>
      <c r="AO32" s="108">
        <f t="shared" ref="AO32:AO53" si="58">IF(ISNUMBER(((AN32/AL32)+D$15+$C32)*AL32),((AN32/AL32)+D$15+$C32)*AL32,0)</f>
        <v>0</v>
      </c>
      <c r="AP32" s="107">
        <f t="shared" si="20"/>
        <v>0</v>
      </c>
      <c r="AQ32" s="107">
        <f t="shared" si="21"/>
        <v>0</v>
      </c>
      <c r="AR32" s="107">
        <f t="shared" si="22"/>
        <v>0</v>
      </c>
      <c r="AS32" s="109">
        <f t="shared" si="23"/>
        <v>0</v>
      </c>
      <c r="AT32" s="109">
        <f t="shared" si="24"/>
        <v>0</v>
      </c>
      <c r="AU32" s="109">
        <f t="shared" si="25"/>
        <v>0</v>
      </c>
      <c r="AW32" s="82">
        <f t="shared" si="26"/>
        <v>0</v>
      </c>
      <c r="AX32" s="82" t="e">
        <f t="shared" si="27"/>
        <v>#DIV/0!</v>
      </c>
      <c r="AY32" s="77">
        <f t="shared" si="28"/>
        <v>0</v>
      </c>
      <c r="AZ32" s="108">
        <f t="shared" si="29"/>
        <v>0</v>
      </c>
      <c r="BA32" s="107">
        <f t="shared" si="30"/>
        <v>0</v>
      </c>
      <c r="BB32" s="107">
        <f t="shared" si="31"/>
        <v>0</v>
      </c>
      <c r="BC32" s="107">
        <f t="shared" si="32"/>
        <v>0</v>
      </c>
      <c r="BD32" s="109">
        <f t="shared" si="33"/>
        <v>0</v>
      </c>
      <c r="BE32" s="109">
        <f t="shared" si="34"/>
        <v>0</v>
      </c>
      <c r="BF32" s="109">
        <f t="shared" si="35"/>
        <v>0</v>
      </c>
      <c r="BH32" s="82">
        <f t="shared" si="36"/>
        <v>0</v>
      </c>
      <c r="BI32" s="82" t="e">
        <f t="shared" si="37"/>
        <v>#DIV/0!</v>
      </c>
      <c r="BJ32" s="77">
        <f t="shared" si="38"/>
        <v>0</v>
      </c>
      <c r="BK32" s="108">
        <f t="shared" si="39"/>
        <v>0</v>
      </c>
      <c r="BL32" s="107">
        <f t="shared" si="40"/>
        <v>0</v>
      </c>
      <c r="BM32" s="107">
        <f t="shared" si="41"/>
        <v>0</v>
      </c>
      <c r="BN32" s="107">
        <f t="shared" si="42"/>
        <v>0</v>
      </c>
      <c r="BO32" s="109">
        <f t="shared" si="43"/>
        <v>0</v>
      </c>
      <c r="BP32" s="109">
        <f t="shared" si="44"/>
        <v>0</v>
      </c>
      <c r="BQ32" s="109">
        <f t="shared" si="45"/>
        <v>0</v>
      </c>
    </row>
    <row r="33" spans="1:69" x14ac:dyDescent="0.25">
      <c r="A33" s="101">
        <f t="shared" si="46"/>
        <v>36831</v>
      </c>
      <c r="B33" s="102">
        <f t="shared" si="47"/>
        <v>4.84</v>
      </c>
      <c r="C33" s="102">
        <f t="shared" si="0"/>
        <v>5.0000000000000001E-3</v>
      </c>
      <c r="D33" s="80">
        <f t="shared" si="48"/>
        <v>0.55999999999999994</v>
      </c>
      <c r="E33" s="106">
        <f t="shared" si="1"/>
        <v>1</v>
      </c>
      <c r="F33" s="104">
        <f t="shared" si="49"/>
        <v>4.92</v>
      </c>
      <c r="G33" s="104">
        <f t="shared" si="50"/>
        <v>3.5</v>
      </c>
      <c r="H33" s="104">
        <f t="shared" si="51"/>
        <v>2.96</v>
      </c>
      <c r="I33" s="104">
        <f t="shared" si="52"/>
        <v>2.99</v>
      </c>
      <c r="J33" s="80">
        <f t="shared" si="2"/>
        <v>3.0000000000000001E-3</v>
      </c>
      <c r="K33" s="80">
        <f t="shared" si="3"/>
        <v>-3.1586904914062505E-2</v>
      </c>
      <c r="L33" s="80" t="e">
        <f t="shared" si="4"/>
        <v>#DIV/0!</v>
      </c>
      <c r="M33" s="80" t="e">
        <f t="shared" si="5"/>
        <v>#DIV/0!</v>
      </c>
      <c r="N33" s="80">
        <f t="shared" si="6"/>
        <v>0.56299999999999994</v>
      </c>
      <c r="O33" s="80">
        <f t="shared" si="7"/>
        <v>0.52841309508593748</v>
      </c>
      <c r="P33" s="80" t="e">
        <f t="shared" si="8"/>
        <v>#DIV/0!</v>
      </c>
      <c r="Q33" s="80" t="e">
        <f t="shared" si="9"/>
        <v>#DIV/0!</v>
      </c>
      <c r="R33" s="105">
        <f t="shared" ca="1" si="10"/>
        <v>57</v>
      </c>
      <c r="S33" s="80">
        <f t="shared" si="53"/>
        <v>6.8040372818879022E-2</v>
      </c>
      <c r="T33" s="77">
        <v>1.8</v>
      </c>
      <c r="U33" s="182">
        <v>6</v>
      </c>
      <c r="V33" s="77">
        <v>3</v>
      </c>
      <c r="X33" s="182"/>
      <c r="Z33" s="82"/>
      <c r="AA33" s="82">
        <f t="shared" si="11"/>
        <v>1.8</v>
      </c>
      <c r="AB33" s="82">
        <f t="shared" si="54"/>
        <v>4.8449999999999998</v>
      </c>
      <c r="AC33" s="77">
        <f t="shared" si="12"/>
        <v>8.7119999999999997</v>
      </c>
      <c r="AD33" s="108">
        <f t="shared" si="13"/>
        <v>8.7210000000000001</v>
      </c>
      <c r="AE33" s="107">
        <f t="shared" ca="1" si="55"/>
        <v>0.39181220108691805</v>
      </c>
      <c r="AF33" s="107">
        <f t="shared" ca="1" si="56"/>
        <v>0.51136762845357664</v>
      </c>
      <c r="AG33" s="107">
        <f t="shared" ca="1" si="14"/>
        <v>7.5503043329150366E-3</v>
      </c>
      <c r="AH33" s="109">
        <f t="shared" ca="1" si="15"/>
        <v>0.70526196195645252</v>
      </c>
      <c r="AI33" s="109">
        <f t="shared" ca="1" si="16"/>
        <v>0.92046173121643793</v>
      </c>
      <c r="AJ33" s="109">
        <f t="shared" ca="1" si="17"/>
        <v>1.3590547799247066E-2</v>
      </c>
      <c r="AL33" s="82">
        <f t="shared" si="18"/>
        <v>1.8</v>
      </c>
      <c r="AM33" s="82">
        <f t="shared" si="57"/>
        <v>4.875</v>
      </c>
      <c r="AN33" s="77">
        <f t="shared" si="19"/>
        <v>8.766</v>
      </c>
      <c r="AO33" s="108">
        <f t="shared" si="58"/>
        <v>8.7750000000000004</v>
      </c>
      <c r="AP33" s="107">
        <f t="shared" ca="1" si="20"/>
        <v>2.0377920095298208E-2</v>
      </c>
      <c r="AQ33" s="107">
        <f t="shared" ca="1" si="21"/>
        <v>-4.4915415051372864E-2</v>
      </c>
      <c r="AR33" s="107">
        <f t="shared" ca="1" si="22"/>
        <v>1.8625227340964834E-3</v>
      </c>
      <c r="AS33" s="109">
        <f t="shared" ca="1" si="23"/>
        <v>3.6680256171536772E-2</v>
      </c>
      <c r="AT33" s="109">
        <f t="shared" ca="1" si="24"/>
        <v>-8.0847747092471153E-2</v>
      </c>
      <c r="AU33" s="109">
        <f t="shared" ca="1" si="25"/>
        <v>3.3525409213736703E-3</v>
      </c>
      <c r="AW33" s="82">
        <f t="shared" si="26"/>
        <v>0</v>
      </c>
      <c r="AX33" s="82" t="e">
        <f t="shared" si="27"/>
        <v>#DIV/0!</v>
      </c>
      <c r="AY33" s="77">
        <f t="shared" si="28"/>
        <v>0</v>
      </c>
      <c r="AZ33" s="108">
        <f t="shared" si="29"/>
        <v>0</v>
      </c>
      <c r="BA33" s="107">
        <f t="shared" si="30"/>
        <v>0</v>
      </c>
      <c r="BB33" s="107">
        <f t="shared" si="31"/>
        <v>0</v>
      </c>
      <c r="BC33" s="107">
        <f t="shared" si="32"/>
        <v>0</v>
      </c>
      <c r="BD33" s="109">
        <f t="shared" si="33"/>
        <v>0</v>
      </c>
      <c r="BE33" s="109">
        <f t="shared" si="34"/>
        <v>0</v>
      </c>
      <c r="BF33" s="109">
        <f t="shared" si="35"/>
        <v>0</v>
      </c>
      <c r="BH33" s="82">
        <f t="shared" si="36"/>
        <v>0</v>
      </c>
      <c r="BI33" s="82" t="e">
        <f t="shared" si="37"/>
        <v>#DIV/0!</v>
      </c>
      <c r="BJ33" s="77">
        <f t="shared" si="38"/>
        <v>0</v>
      </c>
      <c r="BK33" s="108">
        <f t="shared" si="39"/>
        <v>0</v>
      </c>
      <c r="BL33" s="107">
        <f t="shared" si="40"/>
        <v>0</v>
      </c>
      <c r="BM33" s="107">
        <f t="shared" si="41"/>
        <v>0</v>
      </c>
      <c r="BN33" s="107">
        <f t="shared" si="42"/>
        <v>0</v>
      </c>
      <c r="BO33" s="109">
        <f t="shared" si="43"/>
        <v>0</v>
      </c>
      <c r="BP33" s="109">
        <f t="shared" si="44"/>
        <v>0</v>
      </c>
      <c r="BQ33" s="109">
        <f t="shared" si="45"/>
        <v>0</v>
      </c>
    </row>
    <row r="34" spans="1:69" x14ac:dyDescent="0.25">
      <c r="A34" s="101">
        <f t="shared" si="46"/>
        <v>36861</v>
      </c>
      <c r="B34" s="102">
        <f t="shared" si="47"/>
        <v>4.91</v>
      </c>
      <c r="C34" s="102">
        <f t="shared" si="0"/>
        <v>5.0000000000000001E-3</v>
      </c>
      <c r="D34" s="80">
        <f t="shared" si="48"/>
        <v>0.59</v>
      </c>
      <c r="E34" s="106">
        <f t="shared" si="1"/>
        <v>1</v>
      </c>
      <c r="F34" s="104">
        <f t="shared" si="49"/>
        <v>4.92</v>
      </c>
      <c r="G34" s="104">
        <f t="shared" si="50"/>
        <v>3.5</v>
      </c>
      <c r="H34" s="104">
        <f t="shared" si="51"/>
        <v>2.96</v>
      </c>
      <c r="I34" s="104">
        <f t="shared" si="52"/>
        <v>2.99</v>
      </c>
      <c r="J34" s="80">
        <f t="shared" si="2"/>
        <v>0</v>
      </c>
      <c r="K34" s="80">
        <f t="shared" si="3"/>
        <v>-3.1586904914062505E-2</v>
      </c>
      <c r="L34" s="80" t="e">
        <f t="shared" si="4"/>
        <v>#DIV/0!</v>
      </c>
      <c r="M34" s="80" t="e">
        <f t="shared" si="5"/>
        <v>#DIV/0!</v>
      </c>
      <c r="N34" s="80">
        <f t="shared" si="6"/>
        <v>0.59</v>
      </c>
      <c r="O34" s="80">
        <f t="shared" si="7"/>
        <v>0.55841309508593751</v>
      </c>
      <c r="P34" s="80" t="e">
        <f t="shared" si="8"/>
        <v>#DIV/0!</v>
      </c>
      <c r="Q34" s="80" t="e">
        <f t="shared" si="9"/>
        <v>#DIV/0!</v>
      </c>
      <c r="R34" s="105">
        <f t="shared" ca="1" si="10"/>
        <v>89</v>
      </c>
      <c r="S34" s="80">
        <f t="shared" si="53"/>
        <v>6.8247886953399006E-2</v>
      </c>
      <c r="T34" s="77">
        <v>1.7</v>
      </c>
      <c r="U34" s="182">
        <v>6</v>
      </c>
      <c r="V34" s="77">
        <v>3</v>
      </c>
      <c r="X34" s="182"/>
      <c r="Z34" s="82"/>
      <c r="AA34" s="82">
        <f t="shared" si="11"/>
        <v>1.7</v>
      </c>
      <c r="AB34" s="82">
        <f t="shared" si="54"/>
        <v>4.915</v>
      </c>
      <c r="AC34" s="77">
        <f t="shared" si="12"/>
        <v>8.3469999999999995</v>
      </c>
      <c r="AD34" s="108">
        <f t="shared" si="13"/>
        <v>8.3554999999999993</v>
      </c>
      <c r="AE34" s="107">
        <f t="shared" ca="1" si="55"/>
        <v>0.55768254301797704</v>
      </c>
      <c r="AF34" s="107">
        <f t="shared" ca="1" si="56"/>
        <v>0.54734737055090998</v>
      </c>
      <c r="AG34" s="107">
        <f t="shared" ca="1" si="14"/>
        <v>9.4251132143159388E-3</v>
      </c>
      <c r="AH34" s="109">
        <f t="shared" ca="1" si="15"/>
        <v>0.94806032313056099</v>
      </c>
      <c r="AI34" s="109">
        <f t="shared" ca="1" si="16"/>
        <v>0.93049052993654691</v>
      </c>
      <c r="AJ34" s="109">
        <f t="shared" ca="1" si="17"/>
        <v>1.6022692464337095E-2</v>
      </c>
      <c r="AL34" s="82">
        <f t="shared" si="18"/>
        <v>1.7</v>
      </c>
      <c r="AM34" s="82">
        <f t="shared" si="57"/>
        <v>4.9449999999999994</v>
      </c>
      <c r="AN34" s="77">
        <f t="shared" si="19"/>
        <v>8.3979999999999997</v>
      </c>
      <c r="AO34" s="108">
        <f t="shared" si="58"/>
        <v>8.4064999999999994</v>
      </c>
      <c r="AP34" s="107">
        <f t="shared" ca="1" si="20"/>
        <v>5.6303212169443007E-2</v>
      </c>
      <c r="AQ34" s="107">
        <f t="shared" ca="1" si="21"/>
        <v>-8.0718380805758966E-2</v>
      </c>
      <c r="AR34" s="107">
        <f t="shared" ca="1" si="22"/>
        <v>3.6899503918146337E-3</v>
      </c>
      <c r="AS34" s="109">
        <f t="shared" ca="1" si="23"/>
        <v>9.5715460688053103E-2</v>
      </c>
      <c r="AT34" s="109">
        <f t="shared" ca="1" si="24"/>
        <v>-0.13722124736979024</v>
      </c>
      <c r="AU34" s="109">
        <f t="shared" ca="1" si="25"/>
        <v>6.2729156660848769E-3</v>
      </c>
      <c r="AW34" s="82">
        <f t="shared" si="26"/>
        <v>0</v>
      </c>
      <c r="AX34" s="82" t="e">
        <f t="shared" si="27"/>
        <v>#DIV/0!</v>
      </c>
      <c r="AY34" s="77">
        <f t="shared" si="28"/>
        <v>0</v>
      </c>
      <c r="AZ34" s="108">
        <f t="shared" si="29"/>
        <v>0</v>
      </c>
      <c r="BA34" s="107">
        <f t="shared" si="30"/>
        <v>0</v>
      </c>
      <c r="BB34" s="107">
        <f t="shared" si="31"/>
        <v>0</v>
      </c>
      <c r="BC34" s="107">
        <f t="shared" si="32"/>
        <v>0</v>
      </c>
      <c r="BD34" s="109">
        <f t="shared" si="33"/>
        <v>0</v>
      </c>
      <c r="BE34" s="109">
        <f t="shared" si="34"/>
        <v>0</v>
      </c>
      <c r="BF34" s="109">
        <f t="shared" si="35"/>
        <v>0</v>
      </c>
      <c r="BH34" s="82">
        <f t="shared" si="36"/>
        <v>0</v>
      </c>
      <c r="BI34" s="82" t="e">
        <f t="shared" si="37"/>
        <v>#DIV/0!</v>
      </c>
      <c r="BJ34" s="77">
        <f t="shared" si="38"/>
        <v>0</v>
      </c>
      <c r="BK34" s="108">
        <f t="shared" si="39"/>
        <v>0</v>
      </c>
      <c r="BL34" s="107">
        <f t="shared" si="40"/>
        <v>0</v>
      </c>
      <c r="BM34" s="107">
        <f t="shared" si="41"/>
        <v>0</v>
      </c>
      <c r="BN34" s="107">
        <f t="shared" si="42"/>
        <v>0</v>
      </c>
      <c r="BO34" s="109">
        <f t="shared" si="43"/>
        <v>0</v>
      </c>
      <c r="BP34" s="109">
        <f t="shared" si="44"/>
        <v>0</v>
      </c>
      <c r="BQ34" s="109">
        <f t="shared" si="45"/>
        <v>0</v>
      </c>
    </row>
    <row r="35" spans="1:69" x14ac:dyDescent="0.25">
      <c r="A35" s="101">
        <f t="shared" si="46"/>
        <v>36892</v>
      </c>
      <c r="B35" s="102">
        <f t="shared" si="47"/>
        <v>4.8499999999999996</v>
      </c>
      <c r="C35" s="102">
        <f t="shared" si="0"/>
        <v>5.0000000000000001E-3</v>
      </c>
      <c r="D35" s="80">
        <f t="shared" si="48"/>
        <v>0.6</v>
      </c>
      <c r="E35" s="106">
        <f t="shared" si="1"/>
        <v>1</v>
      </c>
      <c r="F35" s="104">
        <f t="shared" si="49"/>
        <v>4.92</v>
      </c>
      <c r="G35" s="104">
        <f t="shared" si="50"/>
        <v>3.5</v>
      </c>
      <c r="H35" s="104">
        <f t="shared" si="51"/>
        <v>2.96</v>
      </c>
      <c r="I35" s="104">
        <f t="shared" si="52"/>
        <v>2.99</v>
      </c>
      <c r="J35" s="80">
        <f t="shared" si="2"/>
        <v>3.0000000000000001E-3</v>
      </c>
      <c r="K35" s="80">
        <f t="shared" si="3"/>
        <v>-3.1586904914062505E-2</v>
      </c>
      <c r="L35" s="80" t="e">
        <f t="shared" si="4"/>
        <v>#DIV/0!</v>
      </c>
      <c r="M35" s="80" t="e">
        <f t="shared" si="5"/>
        <v>#DIV/0!</v>
      </c>
      <c r="N35" s="80">
        <f t="shared" si="6"/>
        <v>0.60299999999999998</v>
      </c>
      <c r="O35" s="80">
        <f t="shared" si="7"/>
        <v>0.56841309508593751</v>
      </c>
      <c r="P35" s="80" t="e">
        <f t="shared" si="8"/>
        <v>#DIV/0!</v>
      </c>
      <c r="Q35" s="80" t="e">
        <f t="shared" si="9"/>
        <v>#DIV/0!</v>
      </c>
      <c r="R35" s="105">
        <f t="shared" ca="1" si="10"/>
        <v>118</v>
      </c>
      <c r="S35" s="80">
        <f t="shared" si="53"/>
        <v>6.8245902043498008E-2</v>
      </c>
      <c r="T35" s="77">
        <v>1.7</v>
      </c>
      <c r="U35" s="182">
        <v>6</v>
      </c>
      <c r="V35" s="77">
        <v>4</v>
      </c>
      <c r="X35" s="182"/>
      <c r="Z35" s="82"/>
      <c r="AA35" s="82">
        <f t="shared" si="11"/>
        <v>1.7</v>
      </c>
      <c r="AB35" s="82">
        <f t="shared" si="54"/>
        <v>4.8549999999999995</v>
      </c>
      <c r="AC35" s="77">
        <f t="shared" si="12"/>
        <v>8.2449999999999992</v>
      </c>
      <c r="AD35" s="108">
        <f t="shared" si="13"/>
        <v>8.2534999999999989</v>
      </c>
      <c r="AE35" s="107">
        <f t="shared" ca="1" si="55"/>
        <v>0.61942992210654513</v>
      </c>
      <c r="AF35" s="107">
        <f t="shared" ca="1" si="56"/>
        <v>0.54069937709412197</v>
      </c>
      <c r="AG35" s="107">
        <f t="shared" ca="1" si="14"/>
        <v>1.0675564003595817E-2</v>
      </c>
      <c r="AH35" s="109">
        <f t="shared" ca="1" si="15"/>
        <v>1.0530308675811266</v>
      </c>
      <c r="AI35" s="109">
        <f t="shared" ca="1" si="16"/>
        <v>0.91918894106000737</v>
      </c>
      <c r="AJ35" s="109">
        <f t="shared" ca="1" si="17"/>
        <v>1.8148458806112888E-2</v>
      </c>
      <c r="AL35" s="82">
        <f t="shared" si="18"/>
        <v>1.7</v>
      </c>
      <c r="AM35" s="82">
        <f t="shared" si="57"/>
        <v>4.8849999999999998</v>
      </c>
      <c r="AN35" s="77">
        <f t="shared" si="19"/>
        <v>8.2959999999999994</v>
      </c>
      <c r="AO35" s="108">
        <f t="shared" si="58"/>
        <v>8.3044999999999991</v>
      </c>
      <c r="AP35" s="107">
        <f t="shared" ca="1" si="20"/>
        <v>0.10165652057594543</v>
      </c>
      <c r="AQ35" s="107">
        <f t="shared" ca="1" si="21"/>
        <v>-0.11385508451375659</v>
      </c>
      <c r="AR35" s="107">
        <f t="shared" ca="1" si="22"/>
        <v>5.3669487262135718E-3</v>
      </c>
      <c r="AS35" s="109">
        <f t="shared" ca="1" si="23"/>
        <v>0.17281608497910722</v>
      </c>
      <c r="AT35" s="109">
        <f t="shared" ca="1" si="24"/>
        <v>-0.19355364367338621</v>
      </c>
      <c r="AU35" s="109">
        <f t="shared" ca="1" si="25"/>
        <v>9.1238128345630717E-3</v>
      </c>
      <c r="AW35" s="82">
        <f t="shared" si="26"/>
        <v>0</v>
      </c>
      <c r="AX35" s="82" t="e">
        <f t="shared" si="27"/>
        <v>#DIV/0!</v>
      </c>
      <c r="AY35" s="77">
        <f t="shared" si="28"/>
        <v>0</v>
      </c>
      <c r="AZ35" s="108">
        <f t="shared" si="29"/>
        <v>0</v>
      </c>
      <c r="BA35" s="107">
        <f t="shared" si="30"/>
        <v>0</v>
      </c>
      <c r="BB35" s="107">
        <f t="shared" si="31"/>
        <v>0</v>
      </c>
      <c r="BC35" s="107">
        <f t="shared" si="32"/>
        <v>0</v>
      </c>
      <c r="BD35" s="109">
        <f t="shared" si="33"/>
        <v>0</v>
      </c>
      <c r="BE35" s="109">
        <f t="shared" si="34"/>
        <v>0</v>
      </c>
      <c r="BF35" s="109">
        <f t="shared" si="35"/>
        <v>0</v>
      </c>
      <c r="BH35" s="82">
        <f t="shared" si="36"/>
        <v>0</v>
      </c>
      <c r="BI35" s="82" t="e">
        <f t="shared" si="37"/>
        <v>#DIV/0!</v>
      </c>
      <c r="BJ35" s="77">
        <f t="shared" si="38"/>
        <v>0</v>
      </c>
      <c r="BK35" s="108">
        <f t="shared" si="39"/>
        <v>0</v>
      </c>
      <c r="BL35" s="107">
        <f t="shared" si="40"/>
        <v>0</v>
      </c>
      <c r="BM35" s="107">
        <f t="shared" si="41"/>
        <v>0</v>
      </c>
      <c r="BN35" s="107">
        <f t="shared" si="42"/>
        <v>0</v>
      </c>
      <c r="BO35" s="109">
        <f t="shared" si="43"/>
        <v>0</v>
      </c>
      <c r="BP35" s="109">
        <f t="shared" si="44"/>
        <v>0</v>
      </c>
      <c r="BQ35" s="109">
        <f t="shared" si="45"/>
        <v>0</v>
      </c>
    </row>
    <row r="36" spans="1:69" x14ac:dyDescent="0.25">
      <c r="A36" s="101">
        <f t="shared" si="46"/>
        <v>36923</v>
      </c>
      <c r="B36" s="102">
        <f t="shared" si="47"/>
        <v>4.58</v>
      </c>
      <c r="C36" s="102">
        <f t="shared" si="0"/>
        <v>5.0000000000000001E-3</v>
      </c>
      <c r="D36" s="80">
        <f t="shared" si="48"/>
        <v>0.59250000000000003</v>
      </c>
      <c r="E36" s="106">
        <f t="shared" si="1"/>
        <v>1</v>
      </c>
      <c r="F36" s="104">
        <f t="shared" si="49"/>
        <v>4.92</v>
      </c>
      <c r="G36" s="104">
        <f t="shared" si="50"/>
        <v>3.5</v>
      </c>
      <c r="H36" s="104">
        <f t="shared" si="51"/>
        <v>2.96</v>
      </c>
      <c r="I36" s="104">
        <f t="shared" si="52"/>
        <v>2.99</v>
      </c>
      <c r="J36" s="80">
        <f t="shared" si="2"/>
        <v>9.0000000000000011E-3</v>
      </c>
      <c r="K36" s="80">
        <f t="shared" si="3"/>
        <v>-2.9314315715625008E-2</v>
      </c>
      <c r="L36" s="80" t="e">
        <f t="shared" si="4"/>
        <v>#DIV/0!</v>
      </c>
      <c r="M36" s="80" t="e">
        <f t="shared" si="5"/>
        <v>#DIV/0!</v>
      </c>
      <c r="N36" s="80">
        <f t="shared" si="6"/>
        <v>0.60150000000000003</v>
      </c>
      <c r="O36" s="80">
        <f t="shared" si="7"/>
        <v>0.56318568428437499</v>
      </c>
      <c r="P36" s="80" t="e">
        <f t="shared" si="8"/>
        <v>#DIV/0!</v>
      </c>
      <c r="Q36" s="80" t="e">
        <f t="shared" si="9"/>
        <v>#DIV/0!</v>
      </c>
      <c r="R36" s="105">
        <f t="shared" ca="1" si="10"/>
        <v>151</v>
      </c>
      <c r="S36" s="80">
        <f t="shared" si="53"/>
        <v>6.8477342037279024E-2</v>
      </c>
      <c r="T36" s="77">
        <v>1.65</v>
      </c>
      <c r="U36" s="182">
        <v>6</v>
      </c>
      <c r="V36" s="77">
        <v>4</v>
      </c>
      <c r="X36" s="182"/>
      <c r="Z36" s="82"/>
      <c r="AA36" s="82">
        <f t="shared" si="11"/>
        <v>1.65</v>
      </c>
      <c r="AB36" s="82">
        <f t="shared" si="54"/>
        <v>4.585</v>
      </c>
      <c r="AC36" s="77">
        <f t="shared" si="12"/>
        <v>7.5569999999999995</v>
      </c>
      <c r="AD36" s="108">
        <f t="shared" si="13"/>
        <v>7.5652499999999998</v>
      </c>
      <c r="AE36" s="107">
        <f t="shared" ca="1" si="55"/>
        <v>0.55737342673767576</v>
      </c>
      <c r="AF36" s="107">
        <f t="shared" ca="1" si="56"/>
        <v>0.49036600839149047</v>
      </c>
      <c r="AG36" s="107">
        <f t="shared" ca="1" si="14"/>
        <v>1.1435273654584854E-2</v>
      </c>
      <c r="AH36" s="109">
        <f t="shared" ca="1" si="15"/>
        <v>0.9196661541171649</v>
      </c>
      <c r="AI36" s="109">
        <f t="shared" ca="1" si="16"/>
        <v>0.80910391384595926</v>
      </c>
      <c r="AJ36" s="109">
        <f t="shared" ca="1" si="17"/>
        <v>1.886820153006501E-2</v>
      </c>
      <c r="AL36" s="82">
        <f t="shared" si="18"/>
        <v>1.65</v>
      </c>
      <c r="AM36" s="82">
        <f t="shared" si="57"/>
        <v>4.6150000000000002</v>
      </c>
      <c r="AN36" s="77">
        <f t="shared" si="19"/>
        <v>7.6065000000000005</v>
      </c>
      <c r="AO36" s="108">
        <f t="shared" si="58"/>
        <v>7.6147499999999999</v>
      </c>
      <c r="AP36" s="107">
        <f t="shared" ca="1" si="20"/>
        <v>0.17963190898767101</v>
      </c>
      <c r="AQ36" s="107">
        <f t="shared" ca="1" si="21"/>
        <v>-0.16762451324987718</v>
      </c>
      <c r="AR36" s="107">
        <f t="shared" ca="1" si="22"/>
        <v>7.4040197810085751E-3</v>
      </c>
      <c r="AS36" s="109">
        <f t="shared" ca="1" si="23"/>
        <v>0.29639264982965713</v>
      </c>
      <c r="AT36" s="109">
        <f t="shared" ca="1" si="24"/>
        <v>-0.27658044686229732</v>
      </c>
      <c r="AU36" s="109">
        <f t="shared" ca="1" si="25"/>
        <v>1.2216632638664147E-2</v>
      </c>
      <c r="AW36" s="82">
        <f t="shared" si="26"/>
        <v>0</v>
      </c>
      <c r="AX36" s="82" t="e">
        <f t="shared" si="27"/>
        <v>#DIV/0!</v>
      </c>
      <c r="AY36" s="77">
        <f t="shared" si="28"/>
        <v>0</v>
      </c>
      <c r="AZ36" s="108">
        <f t="shared" si="29"/>
        <v>0</v>
      </c>
      <c r="BA36" s="107">
        <f t="shared" si="30"/>
        <v>0</v>
      </c>
      <c r="BB36" s="107">
        <f t="shared" si="31"/>
        <v>0</v>
      </c>
      <c r="BC36" s="107">
        <f t="shared" si="32"/>
        <v>0</v>
      </c>
      <c r="BD36" s="109">
        <f t="shared" si="33"/>
        <v>0</v>
      </c>
      <c r="BE36" s="109">
        <f t="shared" si="34"/>
        <v>0</v>
      </c>
      <c r="BF36" s="109">
        <f t="shared" si="35"/>
        <v>0</v>
      </c>
      <c r="BH36" s="82">
        <f t="shared" si="36"/>
        <v>0</v>
      </c>
      <c r="BI36" s="82" t="e">
        <f t="shared" si="37"/>
        <v>#DIV/0!</v>
      </c>
      <c r="BJ36" s="77">
        <f t="shared" si="38"/>
        <v>0</v>
      </c>
      <c r="BK36" s="108">
        <f t="shared" si="39"/>
        <v>0</v>
      </c>
      <c r="BL36" s="107">
        <f t="shared" si="40"/>
        <v>0</v>
      </c>
      <c r="BM36" s="107">
        <f t="shared" si="41"/>
        <v>0</v>
      </c>
      <c r="BN36" s="107">
        <f t="shared" si="42"/>
        <v>0</v>
      </c>
      <c r="BO36" s="109">
        <f t="shared" si="43"/>
        <v>0</v>
      </c>
      <c r="BP36" s="109">
        <f t="shared" si="44"/>
        <v>0</v>
      </c>
      <c r="BQ36" s="109">
        <f t="shared" si="45"/>
        <v>0</v>
      </c>
    </row>
    <row r="37" spans="1:69" x14ac:dyDescent="0.25">
      <c r="A37" s="101">
        <f t="shared" si="46"/>
        <v>36951</v>
      </c>
      <c r="B37" s="102">
        <f t="shared" si="47"/>
        <v>4.3150000000000004</v>
      </c>
      <c r="C37" s="102">
        <f t="shared" si="0"/>
        <v>5.0000000000000001E-3</v>
      </c>
      <c r="D37" s="80">
        <f t="shared" si="48"/>
        <v>0.53</v>
      </c>
      <c r="E37" s="106">
        <f t="shared" si="1"/>
        <v>1</v>
      </c>
      <c r="F37" s="104">
        <f t="shared" si="49"/>
        <v>4.92</v>
      </c>
      <c r="G37" s="104">
        <f t="shared" si="50"/>
        <v>3.5</v>
      </c>
      <c r="H37" s="104">
        <f t="shared" si="51"/>
        <v>2.96</v>
      </c>
      <c r="I37" s="104">
        <f t="shared" si="52"/>
        <v>2.99</v>
      </c>
      <c r="J37" s="80">
        <f t="shared" si="2"/>
        <v>1.8000000000000002E-2</v>
      </c>
      <c r="K37" s="80">
        <f t="shared" si="3"/>
        <v>-2.7799256250000005E-2</v>
      </c>
      <c r="L37" s="80" t="e">
        <f t="shared" si="4"/>
        <v>#DIV/0!</v>
      </c>
      <c r="M37" s="80" t="e">
        <f t="shared" si="5"/>
        <v>#DIV/0!</v>
      </c>
      <c r="N37" s="80">
        <f t="shared" si="6"/>
        <v>0.54800000000000004</v>
      </c>
      <c r="O37" s="80">
        <f t="shared" si="7"/>
        <v>0.50220074375000001</v>
      </c>
      <c r="P37" s="80" t="e">
        <f t="shared" si="8"/>
        <v>#DIV/0!</v>
      </c>
      <c r="Q37" s="80" t="e">
        <f t="shared" si="9"/>
        <v>#DIV/0!</v>
      </c>
      <c r="R37" s="105">
        <f t="shared" ca="1" si="10"/>
        <v>179</v>
      </c>
      <c r="S37" s="80">
        <f t="shared" si="53"/>
        <v>6.8686384627542008E-2</v>
      </c>
      <c r="T37" s="77">
        <v>1.7</v>
      </c>
      <c r="U37" s="182">
        <v>3</v>
      </c>
      <c r="V37" s="77">
        <v>2</v>
      </c>
      <c r="X37" s="182"/>
      <c r="Z37" s="82"/>
      <c r="AA37" s="82">
        <f t="shared" si="11"/>
        <v>1.7</v>
      </c>
      <c r="AB37" s="82">
        <f t="shared" si="54"/>
        <v>4.32</v>
      </c>
      <c r="AC37" s="77">
        <f t="shared" si="12"/>
        <v>7.3355000000000006</v>
      </c>
      <c r="AD37" s="108">
        <f t="shared" si="13"/>
        <v>7.3440000000000003</v>
      </c>
      <c r="AE37" s="107">
        <f t="shared" ca="1" si="55"/>
        <v>0.42777397346973545</v>
      </c>
      <c r="AF37" s="107">
        <f t="shared" ca="1" si="56"/>
        <v>0.42693717033147632</v>
      </c>
      <c r="AG37" s="107">
        <f t="shared" ca="1" si="14"/>
        <v>1.1551863065519585E-2</v>
      </c>
      <c r="AH37" s="109">
        <f t="shared" ca="1" si="15"/>
        <v>0.72721575489855028</v>
      </c>
      <c r="AI37" s="109">
        <f t="shared" ca="1" si="16"/>
        <v>0.72579318956350969</v>
      </c>
      <c r="AJ37" s="109">
        <f t="shared" ca="1" si="17"/>
        <v>1.9638167211383294E-2</v>
      </c>
      <c r="AL37" s="82">
        <f t="shared" si="18"/>
        <v>1.7</v>
      </c>
      <c r="AM37" s="82">
        <f t="shared" si="57"/>
        <v>4.3500000000000005</v>
      </c>
      <c r="AN37" s="77">
        <f t="shared" si="19"/>
        <v>7.3865000000000007</v>
      </c>
      <c r="AO37" s="108">
        <f t="shared" si="58"/>
        <v>7.3950000000000005</v>
      </c>
      <c r="AP37" s="107">
        <f t="shared" ca="1" si="20"/>
        <v>0.21543168217858921</v>
      </c>
      <c r="AQ37" s="107">
        <f t="shared" ca="1" si="21"/>
        <v>-0.20651135909412766</v>
      </c>
      <c r="AR37" s="107">
        <f t="shared" ca="1" si="22"/>
        <v>8.6025663762594462E-3</v>
      </c>
      <c r="AS37" s="109">
        <f t="shared" ca="1" si="23"/>
        <v>0.36623385970360167</v>
      </c>
      <c r="AT37" s="109">
        <f t="shared" ca="1" si="24"/>
        <v>-0.35106931046001699</v>
      </c>
      <c r="AU37" s="109">
        <f t="shared" ca="1" si="25"/>
        <v>1.4624362839641058E-2</v>
      </c>
      <c r="AW37" s="82">
        <f t="shared" si="26"/>
        <v>0</v>
      </c>
      <c r="AX37" s="82" t="e">
        <f t="shared" si="27"/>
        <v>#DIV/0!</v>
      </c>
      <c r="AY37" s="77">
        <f t="shared" si="28"/>
        <v>0</v>
      </c>
      <c r="AZ37" s="108">
        <f t="shared" si="29"/>
        <v>0</v>
      </c>
      <c r="BA37" s="107">
        <f t="shared" si="30"/>
        <v>0</v>
      </c>
      <c r="BB37" s="107">
        <f t="shared" si="31"/>
        <v>0</v>
      </c>
      <c r="BC37" s="107">
        <f t="shared" si="32"/>
        <v>0</v>
      </c>
      <c r="BD37" s="109">
        <f t="shared" si="33"/>
        <v>0</v>
      </c>
      <c r="BE37" s="109">
        <f t="shared" si="34"/>
        <v>0</v>
      </c>
      <c r="BF37" s="109">
        <f t="shared" si="35"/>
        <v>0</v>
      </c>
      <c r="BH37" s="82">
        <f t="shared" si="36"/>
        <v>0</v>
      </c>
      <c r="BI37" s="82" t="e">
        <f t="shared" si="37"/>
        <v>#DIV/0!</v>
      </c>
      <c r="BJ37" s="77">
        <f t="shared" si="38"/>
        <v>0</v>
      </c>
      <c r="BK37" s="108">
        <f t="shared" si="39"/>
        <v>0</v>
      </c>
      <c r="BL37" s="107">
        <f t="shared" si="40"/>
        <v>0</v>
      </c>
      <c r="BM37" s="107">
        <f t="shared" si="41"/>
        <v>0</v>
      </c>
      <c r="BN37" s="107">
        <f t="shared" si="42"/>
        <v>0</v>
      </c>
      <c r="BO37" s="109">
        <f t="shared" si="43"/>
        <v>0</v>
      </c>
      <c r="BP37" s="109">
        <f t="shared" si="44"/>
        <v>0</v>
      </c>
      <c r="BQ37" s="109">
        <f t="shared" si="45"/>
        <v>0</v>
      </c>
    </row>
    <row r="38" spans="1:69" x14ac:dyDescent="0.25">
      <c r="A38" s="101">
        <f t="shared" si="46"/>
        <v>36982</v>
      </c>
      <c r="B38" s="102">
        <f t="shared" si="47"/>
        <v>4.0549999999999997</v>
      </c>
      <c r="C38" s="102">
        <f t="shared" si="0"/>
        <v>5.0000000000000001E-3</v>
      </c>
      <c r="D38" s="80">
        <f t="shared" si="48"/>
        <v>0.435</v>
      </c>
      <c r="E38" s="106">
        <f t="shared" si="1"/>
        <v>1</v>
      </c>
      <c r="F38" s="104">
        <f t="shared" si="49"/>
        <v>4.92</v>
      </c>
      <c r="G38" s="104">
        <f t="shared" si="50"/>
        <v>3.5</v>
      </c>
      <c r="H38" s="104">
        <f t="shared" si="51"/>
        <v>2.96</v>
      </c>
      <c r="I38" s="104">
        <f t="shared" si="52"/>
        <v>2.99</v>
      </c>
      <c r="J38" s="80">
        <f t="shared" si="2"/>
        <v>2.18E-2</v>
      </c>
      <c r="K38" s="80">
        <f t="shared" si="3"/>
        <v>-1.2840625000000001E-2</v>
      </c>
      <c r="L38" s="80" t="e">
        <f t="shared" si="4"/>
        <v>#DIV/0!</v>
      </c>
      <c r="M38" s="80" t="e">
        <f t="shared" si="5"/>
        <v>#DIV/0!</v>
      </c>
      <c r="N38" s="80">
        <f t="shared" si="6"/>
        <v>0.45679999999999998</v>
      </c>
      <c r="O38" s="80">
        <f t="shared" si="7"/>
        <v>0.422159375</v>
      </c>
      <c r="P38" s="80" t="e">
        <f t="shared" si="8"/>
        <v>#DIV/0!</v>
      </c>
      <c r="Q38" s="80" t="e">
        <f t="shared" si="9"/>
        <v>#DIV/0!</v>
      </c>
      <c r="R38" s="105">
        <f t="shared" ca="1" si="10"/>
        <v>209</v>
      </c>
      <c r="S38" s="80">
        <f t="shared" si="53"/>
        <v>6.8834971958648017E-2</v>
      </c>
      <c r="T38" s="77">
        <v>1.5</v>
      </c>
      <c r="U38" s="182">
        <v>3</v>
      </c>
      <c r="V38" s="77">
        <v>2</v>
      </c>
      <c r="X38" s="182"/>
      <c r="Z38" s="82"/>
      <c r="AA38" s="82">
        <f t="shared" si="11"/>
        <v>1.5</v>
      </c>
      <c r="AB38" s="82">
        <f t="shared" si="54"/>
        <v>4.0599999999999996</v>
      </c>
      <c r="AC38" s="77">
        <f t="shared" si="12"/>
        <v>6.0824999999999996</v>
      </c>
      <c r="AD38" s="108">
        <f t="shared" si="13"/>
        <v>6.09</v>
      </c>
      <c r="AE38" s="107">
        <f t="shared" ca="1" si="55"/>
        <v>0.26689182703315129</v>
      </c>
      <c r="AF38" s="107">
        <f t="shared" ca="1" si="56"/>
        <v>0.33730605229236027</v>
      </c>
      <c r="AG38" s="107">
        <f t="shared" ca="1" si="14"/>
        <v>1.0982255438387156E-2</v>
      </c>
      <c r="AH38" s="109">
        <f t="shared" ca="1" si="15"/>
        <v>0.40033774054972693</v>
      </c>
      <c r="AI38" s="109">
        <f t="shared" ca="1" si="16"/>
        <v>0.50595907843854038</v>
      </c>
      <c r="AJ38" s="109">
        <f t="shared" ca="1" si="17"/>
        <v>1.6473383157580734E-2</v>
      </c>
      <c r="AL38" s="82">
        <f t="shared" si="18"/>
        <v>1.5</v>
      </c>
      <c r="AM38" s="82">
        <f t="shared" si="57"/>
        <v>4.09</v>
      </c>
      <c r="AN38" s="77">
        <f t="shared" si="19"/>
        <v>6.1274999999999995</v>
      </c>
      <c r="AO38" s="108">
        <f t="shared" si="58"/>
        <v>6.1349999999999998</v>
      </c>
      <c r="AP38" s="107">
        <f t="shared" ca="1" si="20"/>
        <v>0.23277717642303619</v>
      </c>
      <c r="AQ38" s="107">
        <f t="shared" ca="1" si="21"/>
        <v>-0.24869535771225423</v>
      </c>
      <c r="AR38" s="107">
        <f t="shared" ca="1" si="22"/>
        <v>9.649390791890422E-3</v>
      </c>
      <c r="AS38" s="109">
        <f t="shared" ca="1" si="23"/>
        <v>0.34916576463455429</v>
      </c>
      <c r="AT38" s="109">
        <f t="shared" ca="1" si="24"/>
        <v>-0.37304303656838134</v>
      </c>
      <c r="AU38" s="109">
        <f t="shared" ca="1" si="25"/>
        <v>1.4474086187835633E-2</v>
      </c>
      <c r="AW38" s="82">
        <f t="shared" si="26"/>
        <v>0</v>
      </c>
      <c r="AX38" s="82" t="e">
        <f t="shared" si="27"/>
        <v>#DIV/0!</v>
      </c>
      <c r="AY38" s="77">
        <f t="shared" si="28"/>
        <v>0</v>
      </c>
      <c r="AZ38" s="108">
        <f t="shared" si="29"/>
        <v>0</v>
      </c>
      <c r="BA38" s="107">
        <f t="shared" si="30"/>
        <v>0</v>
      </c>
      <c r="BB38" s="107">
        <f t="shared" si="31"/>
        <v>0</v>
      </c>
      <c r="BC38" s="107">
        <f t="shared" si="32"/>
        <v>0</v>
      </c>
      <c r="BD38" s="109">
        <f t="shared" si="33"/>
        <v>0</v>
      </c>
      <c r="BE38" s="109">
        <f t="shared" si="34"/>
        <v>0</v>
      </c>
      <c r="BF38" s="109">
        <f t="shared" si="35"/>
        <v>0</v>
      </c>
      <c r="BH38" s="82">
        <f t="shared" si="36"/>
        <v>0</v>
      </c>
      <c r="BI38" s="82" t="e">
        <f t="shared" si="37"/>
        <v>#DIV/0!</v>
      </c>
      <c r="BJ38" s="77">
        <f t="shared" si="38"/>
        <v>0</v>
      </c>
      <c r="BK38" s="108">
        <f t="shared" si="39"/>
        <v>0</v>
      </c>
      <c r="BL38" s="107">
        <f t="shared" si="40"/>
        <v>0</v>
      </c>
      <c r="BM38" s="107">
        <f t="shared" si="41"/>
        <v>0</v>
      </c>
      <c r="BN38" s="107">
        <f t="shared" si="42"/>
        <v>0</v>
      </c>
      <c r="BO38" s="109">
        <f t="shared" si="43"/>
        <v>0</v>
      </c>
      <c r="BP38" s="109">
        <f t="shared" si="44"/>
        <v>0</v>
      </c>
      <c r="BQ38" s="109">
        <f t="shared" si="45"/>
        <v>0</v>
      </c>
    </row>
    <row r="39" spans="1:69" x14ac:dyDescent="0.25">
      <c r="A39" s="101">
        <f t="shared" si="46"/>
        <v>37012</v>
      </c>
      <c r="B39" s="102">
        <f t="shared" si="47"/>
        <v>3.95</v>
      </c>
      <c r="C39" s="102">
        <f t="shared" si="0"/>
        <v>5.0000000000000001E-3</v>
      </c>
      <c r="D39" s="80">
        <f t="shared" si="48"/>
        <v>0.4</v>
      </c>
      <c r="E39" s="106">
        <f t="shared" si="1"/>
        <v>1</v>
      </c>
      <c r="F39" s="104">
        <f t="shared" si="49"/>
        <v>4.92</v>
      </c>
      <c r="G39" s="104">
        <f t="shared" si="50"/>
        <v>3.5</v>
      </c>
      <c r="H39" s="104">
        <f t="shared" si="51"/>
        <v>2.96</v>
      </c>
      <c r="I39" s="104">
        <f t="shared" si="52"/>
        <v>2.99</v>
      </c>
      <c r="J39" s="80">
        <f t="shared" si="2"/>
        <v>2.3649000000000003E-2</v>
      </c>
      <c r="K39" s="80">
        <f t="shared" si="3"/>
        <v>-1.2500000000000001E-2</v>
      </c>
      <c r="L39" s="80" t="e">
        <f t="shared" si="4"/>
        <v>#DIV/0!</v>
      </c>
      <c r="M39" s="80" t="e">
        <f t="shared" si="5"/>
        <v>#DIV/0!</v>
      </c>
      <c r="N39" s="80">
        <f t="shared" si="6"/>
        <v>0.42364900000000005</v>
      </c>
      <c r="O39" s="80">
        <f t="shared" si="7"/>
        <v>0.38750000000000001</v>
      </c>
      <c r="P39" s="80" t="e">
        <f t="shared" si="8"/>
        <v>#DIV/0!</v>
      </c>
      <c r="Q39" s="80" t="e">
        <f t="shared" si="9"/>
        <v>#DIV/0!</v>
      </c>
      <c r="R39" s="105">
        <f t="shared" ca="1" si="10"/>
        <v>238</v>
      </c>
      <c r="S39" s="80">
        <f t="shared" si="53"/>
        <v>6.8844146311537027E-2</v>
      </c>
      <c r="T39" s="77">
        <v>1.6</v>
      </c>
      <c r="U39" s="182">
        <v>3</v>
      </c>
      <c r="V39" s="77">
        <v>2</v>
      </c>
      <c r="X39" s="182"/>
      <c r="Z39" s="82"/>
      <c r="AA39" s="82">
        <f t="shared" si="11"/>
        <v>1.6</v>
      </c>
      <c r="AB39" s="82">
        <f t="shared" si="54"/>
        <v>3.9550000000000001</v>
      </c>
      <c r="AC39" s="77">
        <f t="shared" si="12"/>
        <v>6.32</v>
      </c>
      <c r="AD39" s="108">
        <f t="shared" si="13"/>
        <v>6.3280000000000003</v>
      </c>
      <c r="AE39" s="107">
        <f t="shared" ca="1" si="55"/>
        <v>0.22676725334048387</v>
      </c>
      <c r="AF39" s="107">
        <f t="shared" ca="1" si="56"/>
        <v>0.30613910591143612</v>
      </c>
      <c r="AG39" s="107">
        <f t="shared" ca="1" si="14"/>
        <v>1.0970016445861819E-2</v>
      </c>
      <c r="AH39" s="109">
        <f t="shared" ca="1" si="15"/>
        <v>0.36282760534477421</v>
      </c>
      <c r="AI39" s="109">
        <f t="shared" ca="1" si="16"/>
        <v>0.48982256945829783</v>
      </c>
      <c r="AJ39" s="109">
        <f t="shared" ca="1" si="17"/>
        <v>1.7552026313378911E-2</v>
      </c>
      <c r="AL39" s="82">
        <f t="shared" si="18"/>
        <v>1.6</v>
      </c>
      <c r="AM39" s="82">
        <f t="shared" si="57"/>
        <v>3.9849999999999999</v>
      </c>
      <c r="AN39" s="77">
        <f t="shared" si="19"/>
        <v>6.3680000000000003</v>
      </c>
      <c r="AO39" s="108">
        <f t="shared" si="58"/>
        <v>6.3760000000000003</v>
      </c>
      <c r="AP39" s="107">
        <f t="shared" ca="1" si="20"/>
        <v>0.25035285397481655</v>
      </c>
      <c r="AQ39" s="107">
        <f t="shared" ca="1" si="21"/>
        <v>-0.2714718985464567</v>
      </c>
      <c r="AR39" s="107">
        <f t="shared" ca="1" si="22"/>
        <v>1.0445773365299615E-2</v>
      </c>
      <c r="AS39" s="109">
        <f t="shared" ca="1" si="23"/>
        <v>0.4005645663597065</v>
      </c>
      <c r="AT39" s="109">
        <f t="shared" ca="1" si="24"/>
        <v>-0.43435503767433076</v>
      </c>
      <c r="AU39" s="109">
        <f t="shared" ca="1" si="25"/>
        <v>1.6713237384479385E-2</v>
      </c>
      <c r="AW39" s="82">
        <f t="shared" si="26"/>
        <v>0</v>
      </c>
      <c r="AX39" s="82" t="e">
        <f t="shared" si="27"/>
        <v>#DIV/0!</v>
      </c>
      <c r="AY39" s="77">
        <f t="shared" si="28"/>
        <v>0</v>
      </c>
      <c r="AZ39" s="108">
        <f t="shared" si="29"/>
        <v>0</v>
      </c>
      <c r="BA39" s="107">
        <f t="shared" si="30"/>
        <v>0</v>
      </c>
      <c r="BB39" s="107">
        <f t="shared" si="31"/>
        <v>0</v>
      </c>
      <c r="BC39" s="107">
        <f t="shared" si="32"/>
        <v>0</v>
      </c>
      <c r="BD39" s="109">
        <f t="shared" si="33"/>
        <v>0</v>
      </c>
      <c r="BE39" s="109">
        <f t="shared" si="34"/>
        <v>0</v>
      </c>
      <c r="BF39" s="109">
        <f t="shared" si="35"/>
        <v>0</v>
      </c>
      <c r="BH39" s="82">
        <f t="shared" si="36"/>
        <v>0</v>
      </c>
      <c r="BI39" s="82" t="e">
        <f t="shared" si="37"/>
        <v>#DIV/0!</v>
      </c>
      <c r="BJ39" s="77">
        <f t="shared" si="38"/>
        <v>0</v>
      </c>
      <c r="BK39" s="108">
        <f t="shared" si="39"/>
        <v>0</v>
      </c>
      <c r="BL39" s="107">
        <f t="shared" si="40"/>
        <v>0</v>
      </c>
      <c r="BM39" s="107">
        <f t="shared" si="41"/>
        <v>0</v>
      </c>
      <c r="BN39" s="107">
        <f t="shared" si="42"/>
        <v>0</v>
      </c>
      <c r="BO39" s="109">
        <f t="shared" si="43"/>
        <v>0</v>
      </c>
      <c r="BP39" s="109">
        <f t="shared" si="44"/>
        <v>0</v>
      </c>
      <c r="BQ39" s="109">
        <f t="shared" si="45"/>
        <v>0</v>
      </c>
    </row>
    <row r="40" spans="1:69" x14ac:dyDescent="0.25">
      <c r="A40" s="101">
        <f t="shared" si="46"/>
        <v>37043</v>
      </c>
      <c r="B40" s="102">
        <f t="shared" si="47"/>
        <v>3.9350000000000001</v>
      </c>
      <c r="C40" s="102">
        <f t="shared" si="0"/>
        <v>5.0000000000000001E-3</v>
      </c>
      <c r="D40" s="80">
        <f t="shared" si="48"/>
        <v>0.39500000000000002</v>
      </c>
      <c r="E40" s="106">
        <f t="shared" si="1"/>
        <v>1</v>
      </c>
      <c r="F40" s="104">
        <f t="shared" si="49"/>
        <v>4.92</v>
      </c>
      <c r="G40" s="104">
        <f t="shared" si="50"/>
        <v>3.5</v>
      </c>
      <c r="H40" s="104">
        <f t="shared" si="51"/>
        <v>2.96</v>
      </c>
      <c r="I40" s="104">
        <f t="shared" si="52"/>
        <v>2.99</v>
      </c>
      <c r="J40" s="80">
        <f t="shared" si="2"/>
        <v>2.3649000000000003E-2</v>
      </c>
      <c r="K40" s="80">
        <f t="shared" si="3"/>
        <v>-1.2500000000000001E-2</v>
      </c>
      <c r="L40" s="80" t="e">
        <f t="shared" si="4"/>
        <v>#DIV/0!</v>
      </c>
      <c r="M40" s="80" t="e">
        <f t="shared" si="5"/>
        <v>#DIV/0!</v>
      </c>
      <c r="N40" s="80">
        <f t="shared" si="6"/>
        <v>0.41864900000000005</v>
      </c>
      <c r="O40" s="80">
        <f t="shared" si="7"/>
        <v>0.38250000000000001</v>
      </c>
      <c r="P40" s="80" t="e">
        <f t="shared" si="8"/>
        <v>#DIV/0!</v>
      </c>
      <c r="Q40" s="80" t="e">
        <f t="shared" si="9"/>
        <v>#DIV/0!</v>
      </c>
      <c r="R40" s="105">
        <f t="shared" ca="1" si="10"/>
        <v>271</v>
      </c>
      <c r="S40" s="80">
        <f t="shared" si="53"/>
        <v>6.8853626476217011E-2</v>
      </c>
      <c r="T40" s="77">
        <v>1.6</v>
      </c>
      <c r="U40" s="182">
        <v>0</v>
      </c>
      <c r="V40" s="77">
        <v>2</v>
      </c>
      <c r="X40" s="182"/>
      <c r="Z40" s="82"/>
      <c r="AA40" s="82">
        <f t="shared" si="11"/>
        <v>1.6</v>
      </c>
      <c r="AB40" s="82">
        <f t="shared" si="54"/>
        <v>3.94</v>
      </c>
      <c r="AC40" s="77">
        <f t="shared" si="12"/>
        <v>6.2960000000000003</v>
      </c>
      <c r="AD40" s="108">
        <f t="shared" si="13"/>
        <v>6.3040000000000003</v>
      </c>
      <c r="AE40" s="107">
        <f t="shared" ca="1" si="55"/>
        <v>0.24590421067038337</v>
      </c>
      <c r="AF40" s="107">
        <f t="shared" ca="1" si="56"/>
        <v>0.31511111937982111</v>
      </c>
      <c r="AG40" s="107">
        <f t="shared" ca="1" si="14"/>
        <v>1.1752595175663072E-2</v>
      </c>
      <c r="AH40" s="109">
        <f t="shared" ca="1" si="15"/>
        <v>0.39344673707261341</v>
      </c>
      <c r="AI40" s="109">
        <f t="shared" ca="1" si="16"/>
        <v>0.50417779100771376</v>
      </c>
      <c r="AJ40" s="109">
        <f t="shared" ca="1" si="17"/>
        <v>1.8804152281060915E-2</v>
      </c>
      <c r="AL40" s="82">
        <f t="shared" si="18"/>
        <v>1.6</v>
      </c>
      <c r="AM40" s="82">
        <f t="shared" si="57"/>
        <v>3.97</v>
      </c>
      <c r="AN40" s="77">
        <f t="shared" si="19"/>
        <v>6.3440000000000003</v>
      </c>
      <c r="AO40" s="108">
        <f t="shared" si="58"/>
        <v>6.3520000000000003</v>
      </c>
      <c r="AP40" s="107">
        <f t="shared" ca="1" si="20"/>
        <v>0.27441753594250518</v>
      </c>
      <c r="AQ40" s="107">
        <f t="shared" ca="1" si="21"/>
        <v>-0.27759646044095876</v>
      </c>
      <c r="AR40" s="107">
        <f t="shared" ca="1" si="22"/>
        <v>1.1181364854689235E-2</v>
      </c>
      <c r="AS40" s="109">
        <f t="shared" ca="1" si="23"/>
        <v>0.43906805750800831</v>
      </c>
      <c r="AT40" s="109">
        <f t="shared" ca="1" si="24"/>
        <v>-0.44415433670553406</v>
      </c>
      <c r="AU40" s="109">
        <f t="shared" ca="1" si="25"/>
        <v>1.7890183767502777E-2</v>
      </c>
      <c r="AW40" s="82">
        <f t="shared" si="26"/>
        <v>0</v>
      </c>
      <c r="AX40" s="82" t="e">
        <f t="shared" si="27"/>
        <v>#DIV/0!</v>
      </c>
      <c r="AY40" s="77">
        <f t="shared" si="28"/>
        <v>0</v>
      </c>
      <c r="AZ40" s="108">
        <f t="shared" si="29"/>
        <v>0</v>
      </c>
      <c r="BA40" s="107">
        <f t="shared" si="30"/>
        <v>0</v>
      </c>
      <c r="BB40" s="107">
        <f t="shared" si="31"/>
        <v>0</v>
      </c>
      <c r="BC40" s="107">
        <f t="shared" si="32"/>
        <v>0</v>
      </c>
      <c r="BD40" s="109">
        <f t="shared" si="33"/>
        <v>0</v>
      </c>
      <c r="BE40" s="109">
        <f t="shared" si="34"/>
        <v>0</v>
      </c>
      <c r="BF40" s="109">
        <f t="shared" si="35"/>
        <v>0</v>
      </c>
      <c r="BH40" s="82">
        <f t="shared" si="36"/>
        <v>0</v>
      </c>
      <c r="BI40" s="82" t="e">
        <f t="shared" si="37"/>
        <v>#DIV/0!</v>
      </c>
      <c r="BJ40" s="77">
        <f t="shared" si="38"/>
        <v>0</v>
      </c>
      <c r="BK40" s="108">
        <f t="shared" si="39"/>
        <v>0</v>
      </c>
      <c r="BL40" s="107">
        <f t="shared" si="40"/>
        <v>0</v>
      </c>
      <c r="BM40" s="107">
        <f t="shared" si="41"/>
        <v>0</v>
      </c>
      <c r="BN40" s="107">
        <f t="shared" si="42"/>
        <v>0</v>
      </c>
      <c r="BO40" s="109">
        <f t="shared" si="43"/>
        <v>0</v>
      </c>
      <c r="BP40" s="109">
        <f t="shared" si="44"/>
        <v>0</v>
      </c>
      <c r="BQ40" s="109">
        <f t="shared" si="45"/>
        <v>0</v>
      </c>
    </row>
    <row r="41" spans="1:69" x14ac:dyDescent="0.25">
      <c r="A41" s="101">
        <f t="shared" si="46"/>
        <v>37073</v>
      </c>
      <c r="B41" s="102">
        <f t="shared" si="47"/>
        <v>3.92</v>
      </c>
      <c r="C41" s="102">
        <f t="shared" si="0"/>
        <v>5.0000000000000001E-3</v>
      </c>
      <c r="D41" s="80">
        <f t="shared" si="48"/>
        <v>0.39500000000000002</v>
      </c>
      <c r="E41" s="106">
        <f t="shared" si="1"/>
        <v>1</v>
      </c>
      <c r="F41" s="104">
        <f t="shared" si="49"/>
        <v>4.92</v>
      </c>
      <c r="G41" s="104">
        <f t="shared" si="50"/>
        <v>3.5</v>
      </c>
      <c r="H41" s="104">
        <f t="shared" si="51"/>
        <v>2.96</v>
      </c>
      <c r="I41" s="104">
        <f t="shared" si="52"/>
        <v>2.99</v>
      </c>
      <c r="J41" s="80">
        <f t="shared" si="2"/>
        <v>2.3649000000000003E-2</v>
      </c>
      <c r="K41" s="80">
        <f t="shared" si="3"/>
        <v>-1.2500000000000001E-2</v>
      </c>
      <c r="L41" s="80" t="e">
        <f t="shared" si="4"/>
        <v>#DIV/0!</v>
      </c>
      <c r="M41" s="80" t="e">
        <f t="shared" si="5"/>
        <v>#DIV/0!</v>
      </c>
      <c r="N41" s="80">
        <f t="shared" si="6"/>
        <v>0.41864900000000005</v>
      </c>
      <c r="O41" s="80">
        <f t="shared" si="7"/>
        <v>0.38250000000000001</v>
      </c>
      <c r="P41" s="80" t="e">
        <f t="shared" si="8"/>
        <v>#DIV/0!</v>
      </c>
      <c r="Q41" s="80" t="e">
        <f t="shared" si="9"/>
        <v>#DIV/0!</v>
      </c>
      <c r="R41" s="105">
        <f t="shared" ca="1" si="10"/>
        <v>300</v>
      </c>
      <c r="S41" s="80">
        <f t="shared" si="53"/>
        <v>6.8863830234299026E-2</v>
      </c>
      <c r="T41" s="77">
        <v>1.4</v>
      </c>
      <c r="U41" s="182">
        <v>0</v>
      </c>
      <c r="V41" s="77">
        <v>2</v>
      </c>
      <c r="X41" s="182"/>
      <c r="Z41" s="82"/>
      <c r="AA41" s="82">
        <f t="shared" si="11"/>
        <v>1.4</v>
      </c>
      <c r="AB41" s="82">
        <f t="shared" si="54"/>
        <v>3.9249999999999998</v>
      </c>
      <c r="AC41" s="77">
        <f t="shared" si="12"/>
        <v>5.4879999999999995</v>
      </c>
      <c r="AD41" s="108">
        <f t="shared" si="13"/>
        <v>5.4949999999999992</v>
      </c>
      <c r="AE41" s="107">
        <f t="shared" ca="1" si="55"/>
        <v>0.26531109287099142</v>
      </c>
      <c r="AF41" s="107">
        <f t="shared" ca="1" si="56"/>
        <v>0.32369863695767248</v>
      </c>
      <c r="AG41" s="107">
        <f t="shared" ca="1" si="14"/>
        <v>1.2401799547556713E-2</v>
      </c>
      <c r="AH41" s="109">
        <f t="shared" ca="1" si="15"/>
        <v>0.37143553001938795</v>
      </c>
      <c r="AI41" s="109">
        <f t="shared" ca="1" si="16"/>
        <v>0.45317809174074142</v>
      </c>
      <c r="AJ41" s="109">
        <f t="shared" ca="1" si="17"/>
        <v>1.7362519366579399E-2</v>
      </c>
      <c r="AL41" s="82">
        <f t="shared" si="18"/>
        <v>1.4</v>
      </c>
      <c r="AM41" s="82">
        <f t="shared" si="57"/>
        <v>3.9549999999999996</v>
      </c>
      <c r="AN41" s="77">
        <f t="shared" si="19"/>
        <v>5.5299999999999994</v>
      </c>
      <c r="AO41" s="108">
        <f t="shared" si="58"/>
        <v>5.536999999999999</v>
      </c>
      <c r="AP41" s="107">
        <f t="shared" ca="1" si="20"/>
        <v>0.29934809393428208</v>
      </c>
      <c r="AQ41" s="107">
        <f t="shared" ca="1" si="21"/>
        <v>-0.28302391758957496</v>
      </c>
      <c r="AR41" s="107">
        <f t="shared" ca="1" si="22"/>
        <v>1.1785963682565015E-2</v>
      </c>
      <c r="AS41" s="109">
        <f t="shared" ca="1" si="23"/>
        <v>0.41908733150799488</v>
      </c>
      <c r="AT41" s="109">
        <f t="shared" ca="1" si="24"/>
        <v>-0.39623348462540492</v>
      </c>
      <c r="AU41" s="109">
        <f t="shared" ca="1" si="25"/>
        <v>1.650034915559102E-2</v>
      </c>
      <c r="AW41" s="82">
        <f t="shared" si="26"/>
        <v>0</v>
      </c>
      <c r="AX41" s="82" t="e">
        <f t="shared" si="27"/>
        <v>#DIV/0!</v>
      </c>
      <c r="AY41" s="77">
        <f t="shared" si="28"/>
        <v>0</v>
      </c>
      <c r="AZ41" s="108">
        <f t="shared" si="29"/>
        <v>0</v>
      </c>
      <c r="BA41" s="107">
        <f t="shared" si="30"/>
        <v>0</v>
      </c>
      <c r="BB41" s="107">
        <f t="shared" si="31"/>
        <v>0</v>
      </c>
      <c r="BC41" s="107">
        <f t="shared" si="32"/>
        <v>0</v>
      </c>
      <c r="BD41" s="109">
        <f t="shared" si="33"/>
        <v>0</v>
      </c>
      <c r="BE41" s="109">
        <f t="shared" si="34"/>
        <v>0</v>
      </c>
      <c r="BF41" s="109">
        <f t="shared" si="35"/>
        <v>0</v>
      </c>
      <c r="BH41" s="82">
        <f t="shared" si="36"/>
        <v>0</v>
      </c>
      <c r="BI41" s="82" t="e">
        <f t="shared" si="37"/>
        <v>#DIV/0!</v>
      </c>
      <c r="BJ41" s="77">
        <f t="shared" si="38"/>
        <v>0</v>
      </c>
      <c r="BK41" s="108">
        <f t="shared" si="39"/>
        <v>0</v>
      </c>
      <c r="BL41" s="107">
        <f t="shared" si="40"/>
        <v>0</v>
      </c>
      <c r="BM41" s="107">
        <f t="shared" si="41"/>
        <v>0</v>
      </c>
      <c r="BN41" s="107">
        <f t="shared" si="42"/>
        <v>0</v>
      </c>
      <c r="BO41" s="109">
        <f t="shared" si="43"/>
        <v>0</v>
      </c>
      <c r="BP41" s="109">
        <f t="shared" si="44"/>
        <v>0</v>
      </c>
      <c r="BQ41" s="109">
        <f t="shared" si="45"/>
        <v>0</v>
      </c>
    </row>
    <row r="42" spans="1:69" x14ac:dyDescent="0.25">
      <c r="A42" s="101">
        <f t="shared" si="46"/>
        <v>37104</v>
      </c>
      <c r="B42" s="102">
        <f t="shared" si="47"/>
        <v>3.92</v>
      </c>
      <c r="C42" s="102">
        <f t="shared" si="0"/>
        <v>5.0000000000000001E-3</v>
      </c>
      <c r="D42" s="80">
        <f t="shared" si="48"/>
        <v>0.39500000000000002</v>
      </c>
      <c r="E42" s="106">
        <f t="shared" si="1"/>
        <v>1</v>
      </c>
      <c r="F42" s="104">
        <f t="shared" si="49"/>
        <v>4.92</v>
      </c>
      <c r="G42" s="104">
        <f t="shared" si="50"/>
        <v>3.5</v>
      </c>
      <c r="H42" s="104">
        <f t="shared" si="51"/>
        <v>2.96</v>
      </c>
      <c r="I42" s="104">
        <f t="shared" si="52"/>
        <v>2.99</v>
      </c>
      <c r="J42" s="80">
        <f t="shared" si="2"/>
        <v>2.3649000000000003E-2</v>
      </c>
      <c r="K42" s="80">
        <f t="shared" si="3"/>
        <v>-1.2500000000000001E-2</v>
      </c>
      <c r="L42" s="80" t="e">
        <f t="shared" si="4"/>
        <v>#DIV/0!</v>
      </c>
      <c r="M42" s="80" t="e">
        <f t="shared" si="5"/>
        <v>#DIV/0!</v>
      </c>
      <c r="N42" s="80">
        <f t="shared" si="6"/>
        <v>0.41864900000000005</v>
      </c>
      <c r="O42" s="80">
        <f t="shared" si="7"/>
        <v>0.38250000000000001</v>
      </c>
      <c r="P42" s="80" t="e">
        <f t="shared" si="8"/>
        <v>#DIV/0!</v>
      </c>
      <c r="Q42" s="80" t="e">
        <f t="shared" si="9"/>
        <v>#DIV/0!</v>
      </c>
      <c r="R42" s="105">
        <f t="shared" ca="1" si="10"/>
        <v>330</v>
      </c>
      <c r="S42" s="80">
        <f t="shared" si="53"/>
        <v>6.8876303277673023E-2</v>
      </c>
      <c r="T42" s="77">
        <v>1.4</v>
      </c>
      <c r="U42" s="182">
        <v>0</v>
      </c>
      <c r="V42" s="77">
        <v>3</v>
      </c>
      <c r="X42" s="182"/>
      <c r="Z42" s="82"/>
      <c r="AA42" s="82">
        <f t="shared" si="11"/>
        <v>1.4</v>
      </c>
      <c r="AB42" s="82">
        <f t="shared" si="54"/>
        <v>3.9249999999999998</v>
      </c>
      <c r="AC42" s="77">
        <f t="shared" si="12"/>
        <v>5.4879999999999995</v>
      </c>
      <c r="AD42" s="108">
        <f t="shared" si="13"/>
        <v>5.4949999999999992</v>
      </c>
      <c r="AE42" s="107">
        <f t="shared" ca="1" si="55"/>
        <v>0.28910146281632421</v>
      </c>
      <c r="AF42" s="107">
        <f ca="1">IF(AA42=0,0,bsd(2,AF$27,AB42,$F42,$R42,$N42,$S42,0.1))</f>
        <v>0.33472474437282074</v>
      </c>
      <c r="AG42" s="107">
        <f t="shared" ca="1" si="14"/>
        <v>1.3114422064246734E-2</v>
      </c>
      <c r="AH42" s="109">
        <f t="shared" ca="1" si="15"/>
        <v>0.40474204794285384</v>
      </c>
      <c r="AI42" s="109">
        <f t="shared" ca="1" si="16"/>
        <v>0.46861464212194898</v>
      </c>
      <c r="AJ42" s="109">
        <f t="shared" ca="1" si="17"/>
        <v>1.8360190889945425E-2</v>
      </c>
      <c r="AL42" s="82">
        <f t="shared" si="18"/>
        <v>1.4</v>
      </c>
      <c r="AM42" s="82">
        <f t="shared" si="57"/>
        <v>3.9549999999999996</v>
      </c>
      <c r="AN42" s="77">
        <f t="shared" si="19"/>
        <v>5.5299999999999994</v>
      </c>
      <c r="AO42" s="108">
        <f t="shared" si="58"/>
        <v>5.536999999999999</v>
      </c>
      <c r="AP42" s="107">
        <f t="shared" ca="1" si="20"/>
        <v>0.31955561959933698</v>
      </c>
      <c r="AQ42" s="107">
        <f t="shared" ca="1" si="21"/>
        <v>-0.28402064271622507</v>
      </c>
      <c r="AR42" s="107">
        <f t="shared" ca="1" si="22"/>
        <v>1.2340090853834251E-2</v>
      </c>
      <c r="AS42" s="109">
        <f t="shared" ca="1" si="23"/>
        <v>0.44737786743907176</v>
      </c>
      <c r="AT42" s="109">
        <f t="shared" ca="1" si="24"/>
        <v>-0.3976288998027151</v>
      </c>
      <c r="AU42" s="109">
        <f t="shared" ca="1" si="25"/>
        <v>1.727612719536795E-2</v>
      </c>
      <c r="AW42" s="82">
        <f t="shared" si="26"/>
        <v>0</v>
      </c>
      <c r="AX42" s="82" t="e">
        <f t="shared" si="27"/>
        <v>#DIV/0!</v>
      </c>
      <c r="AY42" s="77">
        <f t="shared" si="28"/>
        <v>0</v>
      </c>
      <c r="AZ42" s="108">
        <f t="shared" si="29"/>
        <v>0</v>
      </c>
      <c r="BA42" s="107">
        <f t="shared" si="30"/>
        <v>0</v>
      </c>
      <c r="BB42" s="107">
        <f t="shared" si="31"/>
        <v>0</v>
      </c>
      <c r="BC42" s="107">
        <f t="shared" si="32"/>
        <v>0</v>
      </c>
      <c r="BD42" s="109">
        <f t="shared" si="33"/>
        <v>0</v>
      </c>
      <c r="BE42" s="109">
        <f t="shared" si="34"/>
        <v>0</v>
      </c>
      <c r="BF42" s="109">
        <f t="shared" si="35"/>
        <v>0</v>
      </c>
      <c r="BH42" s="82">
        <f t="shared" si="36"/>
        <v>0</v>
      </c>
      <c r="BI42" s="82" t="e">
        <f t="shared" si="37"/>
        <v>#DIV/0!</v>
      </c>
      <c r="BJ42" s="77">
        <f t="shared" si="38"/>
        <v>0</v>
      </c>
      <c r="BK42" s="108">
        <f t="shared" si="39"/>
        <v>0</v>
      </c>
      <c r="BL42" s="107">
        <f t="shared" si="40"/>
        <v>0</v>
      </c>
      <c r="BM42" s="107">
        <f t="shared" si="41"/>
        <v>0</v>
      </c>
      <c r="BN42" s="107">
        <f t="shared" si="42"/>
        <v>0</v>
      </c>
      <c r="BO42" s="109">
        <f t="shared" si="43"/>
        <v>0</v>
      </c>
      <c r="BP42" s="109">
        <f t="shared" si="44"/>
        <v>0</v>
      </c>
      <c r="BQ42" s="109">
        <f t="shared" si="45"/>
        <v>0</v>
      </c>
    </row>
    <row r="43" spans="1:69" x14ac:dyDescent="0.25">
      <c r="A43" s="101">
        <f t="shared" si="46"/>
        <v>37135</v>
      </c>
      <c r="B43" s="102">
        <f t="shared" si="47"/>
        <v>3.9</v>
      </c>
      <c r="C43" s="102">
        <f t="shared" si="0"/>
        <v>5.0000000000000001E-3</v>
      </c>
      <c r="D43" s="80">
        <f t="shared" si="48"/>
        <v>0.39500000000000002</v>
      </c>
      <c r="E43" s="106">
        <f t="shared" si="1"/>
        <v>1</v>
      </c>
      <c r="F43" s="104">
        <f t="shared" si="49"/>
        <v>4.92</v>
      </c>
      <c r="G43" s="104">
        <f t="shared" si="50"/>
        <v>3.5</v>
      </c>
      <c r="H43" s="104">
        <f t="shared" si="51"/>
        <v>2.96</v>
      </c>
      <c r="I43" s="104">
        <f t="shared" si="52"/>
        <v>2.99</v>
      </c>
      <c r="J43" s="80">
        <f t="shared" si="2"/>
        <v>2.3649000000000003E-2</v>
      </c>
      <c r="K43" s="80">
        <f t="shared" si="3"/>
        <v>-0.01</v>
      </c>
      <c r="L43" s="80" t="e">
        <f t="shared" si="4"/>
        <v>#DIV/0!</v>
      </c>
      <c r="M43" s="80" t="e">
        <f t="shared" si="5"/>
        <v>#DIV/0!</v>
      </c>
      <c r="N43" s="80">
        <f t="shared" si="6"/>
        <v>0.41864900000000005</v>
      </c>
      <c r="O43" s="80">
        <f t="shared" si="7"/>
        <v>0.38500000000000001</v>
      </c>
      <c r="P43" s="80" t="e">
        <f t="shared" si="8"/>
        <v>#DIV/0!</v>
      </c>
      <c r="Q43" s="80" t="e">
        <f t="shared" si="9"/>
        <v>#DIV/0!</v>
      </c>
      <c r="R43" s="105">
        <f t="shared" ca="1" si="10"/>
        <v>363</v>
      </c>
      <c r="S43" s="80">
        <f t="shared" si="53"/>
        <v>6.8888776321097023E-2</v>
      </c>
      <c r="T43" s="77">
        <v>1.4</v>
      </c>
      <c r="U43" s="182">
        <v>0</v>
      </c>
      <c r="V43" s="77">
        <v>3</v>
      </c>
      <c r="X43" s="182"/>
      <c r="Z43" s="82"/>
      <c r="AA43" s="82">
        <f t="shared" si="11"/>
        <v>1.4</v>
      </c>
      <c r="AB43" s="82">
        <f t="shared" si="54"/>
        <v>3.9049999999999998</v>
      </c>
      <c r="AC43" s="77">
        <f t="shared" si="12"/>
        <v>5.46</v>
      </c>
      <c r="AD43" s="108">
        <f t="shared" si="13"/>
        <v>5.4669999999999996</v>
      </c>
      <c r="AE43" s="107">
        <f t="shared" ca="1" si="55"/>
        <v>0.30715782881235998</v>
      </c>
      <c r="AF43" s="107">
        <f t="shared" ca="1" si="56"/>
        <v>0.3409951896192957</v>
      </c>
      <c r="AG43" s="107">
        <f t="shared" ca="1" si="14"/>
        <v>1.3712482288730454E-2</v>
      </c>
      <c r="AH43" s="109">
        <f t="shared" ca="1" si="15"/>
        <v>0.43002096033730397</v>
      </c>
      <c r="AI43" s="109">
        <f t="shared" ca="1" si="16"/>
        <v>0.47739326546701394</v>
      </c>
      <c r="AJ43" s="109">
        <f t="shared" ca="1" si="17"/>
        <v>1.9197475204222634E-2</v>
      </c>
      <c r="AL43" s="82">
        <f t="shared" si="18"/>
        <v>1.4</v>
      </c>
      <c r="AM43" s="82">
        <f t="shared" si="57"/>
        <v>3.9349999999999992</v>
      </c>
      <c r="AN43" s="77">
        <f t="shared" si="19"/>
        <v>5.5019999999999989</v>
      </c>
      <c r="AO43" s="108">
        <f t="shared" si="58"/>
        <v>5.5089999999999986</v>
      </c>
      <c r="AP43" s="107">
        <f t="shared" ca="1" si="20"/>
        <v>0.34944349362149074</v>
      </c>
      <c r="AQ43" s="107">
        <f t="shared" ca="1" si="21"/>
        <v>-0.28906673729275939</v>
      </c>
      <c r="AR43" s="107">
        <f t="shared" ca="1" si="22"/>
        <v>1.2928708353404428E-2</v>
      </c>
      <c r="AS43" s="109">
        <f t="shared" ca="1" si="23"/>
        <v>0.48922089107008698</v>
      </c>
      <c r="AT43" s="109">
        <f t="shared" ca="1" si="24"/>
        <v>-0.40469343220986315</v>
      </c>
      <c r="AU43" s="109">
        <f t="shared" ca="1" si="25"/>
        <v>1.8100191694766198E-2</v>
      </c>
      <c r="AW43" s="82">
        <f t="shared" si="26"/>
        <v>0</v>
      </c>
      <c r="AX43" s="82" t="e">
        <f t="shared" si="27"/>
        <v>#DIV/0!</v>
      </c>
      <c r="AY43" s="77">
        <f t="shared" si="28"/>
        <v>0</v>
      </c>
      <c r="AZ43" s="108">
        <f t="shared" si="29"/>
        <v>0</v>
      </c>
      <c r="BA43" s="107">
        <f t="shared" si="30"/>
        <v>0</v>
      </c>
      <c r="BB43" s="107">
        <f t="shared" si="31"/>
        <v>0</v>
      </c>
      <c r="BC43" s="107">
        <f t="shared" si="32"/>
        <v>0</v>
      </c>
      <c r="BD43" s="109">
        <f t="shared" si="33"/>
        <v>0</v>
      </c>
      <c r="BE43" s="109">
        <f t="shared" si="34"/>
        <v>0</v>
      </c>
      <c r="BF43" s="109">
        <f t="shared" si="35"/>
        <v>0</v>
      </c>
      <c r="BH43" s="82">
        <f t="shared" si="36"/>
        <v>0</v>
      </c>
      <c r="BI43" s="82" t="e">
        <f t="shared" si="37"/>
        <v>#DIV/0!</v>
      </c>
      <c r="BJ43" s="77">
        <f t="shared" si="38"/>
        <v>0</v>
      </c>
      <c r="BK43" s="108">
        <f t="shared" si="39"/>
        <v>0</v>
      </c>
      <c r="BL43" s="107">
        <f t="shared" si="40"/>
        <v>0</v>
      </c>
      <c r="BM43" s="107">
        <f t="shared" si="41"/>
        <v>0</v>
      </c>
      <c r="BN43" s="107">
        <f t="shared" si="42"/>
        <v>0</v>
      </c>
      <c r="BO43" s="109">
        <f t="shared" si="43"/>
        <v>0</v>
      </c>
      <c r="BP43" s="109">
        <f t="shared" si="44"/>
        <v>0</v>
      </c>
      <c r="BQ43" s="109">
        <f t="shared" si="45"/>
        <v>0</v>
      </c>
    </row>
    <row r="44" spans="1:69" x14ac:dyDescent="0.25">
      <c r="A44" s="101">
        <f t="shared" si="46"/>
        <v>37165</v>
      </c>
      <c r="B44" s="102">
        <f t="shared" si="47"/>
        <v>3.8849999999999998</v>
      </c>
      <c r="C44" s="102">
        <f t="shared" si="0"/>
        <v>5.0000000000000001E-3</v>
      </c>
      <c r="D44" s="80">
        <f t="shared" si="48"/>
        <v>0.39750000000000002</v>
      </c>
      <c r="E44" s="106">
        <f t="shared" si="1"/>
        <v>1</v>
      </c>
      <c r="F44" s="104">
        <f t="shared" si="49"/>
        <v>4.92</v>
      </c>
      <c r="G44" s="104">
        <f t="shared" si="50"/>
        <v>3.5</v>
      </c>
      <c r="H44" s="104">
        <f t="shared" si="51"/>
        <v>2.96</v>
      </c>
      <c r="I44" s="104">
        <f t="shared" si="52"/>
        <v>2.99</v>
      </c>
      <c r="J44" s="80">
        <f t="shared" si="2"/>
        <v>5.3825987922705973E-2</v>
      </c>
      <c r="K44" s="80" t="e">
        <f t="shared" si="3"/>
        <v>#DIV/0!</v>
      </c>
      <c r="L44" s="80" t="e">
        <f t="shared" si="4"/>
        <v>#DIV/0!</v>
      </c>
      <c r="M44" s="80" t="e">
        <f t="shared" si="5"/>
        <v>#DIV/0!</v>
      </c>
      <c r="N44" s="80">
        <f t="shared" si="6"/>
        <v>0.45132598792270601</v>
      </c>
      <c r="O44" s="80" t="e">
        <f t="shared" si="7"/>
        <v>#DIV/0!</v>
      </c>
      <c r="P44" s="80" t="e">
        <f t="shared" si="8"/>
        <v>#DIV/0!</v>
      </c>
      <c r="Q44" s="80" t="e">
        <f t="shared" si="9"/>
        <v>#DIV/0!</v>
      </c>
      <c r="R44" s="105">
        <f t="shared" ca="1" si="10"/>
        <v>391</v>
      </c>
      <c r="S44" s="80">
        <f t="shared" si="53"/>
        <v>6.890251912361102E-2</v>
      </c>
      <c r="T44" s="77">
        <v>0</v>
      </c>
      <c r="U44" s="182">
        <v>0</v>
      </c>
      <c r="V44" s="77">
        <v>3</v>
      </c>
      <c r="X44" s="182"/>
      <c r="Z44" s="82"/>
      <c r="AA44" s="82">
        <f t="shared" si="11"/>
        <v>0</v>
      </c>
      <c r="AB44" s="82">
        <f t="shared" si="54"/>
        <v>0</v>
      </c>
      <c r="AC44" s="77">
        <f t="shared" si="12"/>
        <v>0</v>
      </c>
      <c r="AD44" s="108">
        <f t="shared" si="13"/>
        <v>0</v>
      </c>
      <c r="AE44" s="107">
        <f t="shared" si="55"/>
        <v>0</v>
      </c>
      <c r="AF44" s="107">
        <f t="shared" si="56"/>
        <v>0</v>
      </c>
      <c r="AG44" s="107">
        <f t="shared" si="14"/>
        <v>0</v>
      </c>
      <c r="AH44" s="109">
        <f t="shared" si="15"/>
        <v>0</v>
      </c>
      <c r="AI44" s="109">
        <f t="shared" si="16"/>
        <v>0</v>
      </c>
      <c r="AJ44" s="109">
        <f t="shared" si="17"/>
        <v>0</v>
      </c>
      <c r="AL44" s="82">
        <f t="shared" si="18"/>
        <v>0</v>
      </c>
      <c r="AM44" s="82" t="e">
        <f t="shared" si="57"/>
        <v>#DIV/0!</v>
      </c>
      <c r="AN44" s="77">
        <f t="shared" si="19"/>
        <v>0</v>
      </c>
      <c r="AO44" s="108">
        <f t="shared" si="58"/>
        <v>0</v>
      </c>
      <c r="AP44" s="107">
        <f t="shared" si="20"/>
        <v>0</v>
      </c>
      <c r="AQ44" s="107">
        <f t="shared" si="21"/>
        <v>0</v>
      </c>
      <c r="AR44" s="107">
        <f t="shared" si="22"/>
        <v>0</v>
      </c>
      <c r="AS44" s="109">
        <f t="shared" si="23"/>
        <v>0</v>
      </c>
      <c r="AT44" s="109">
        <f t="shared" si="24"/>
        <v>0</v>
      </c>
      <c r="AU44" s="109">
        <f t="shared" si="25"/>
        <v>0</v>
      </c>
      <c r="AW44" s="82">
        <f t="shared" si="26"/>
        <v>0</v>
      </c>
      <c r="AX44" s="82" t="e">
        <f t="shared" si="27"/>
        <v>#DIV/0!</v>
      </c>
      <c r="AY44" s="77">
        <f t="shared" si="28"/>
        <v>0</v>
      </c>
      <c r="AZ44" s="108">
        <f t="shared" si="29"/>
        <v>0</v>
      </c>
      <c r="BA44" s="107">
        <f t="shared" si="30"/>
        <v>0</v>
      </c>
      <c r="BB44" s="107">
        <f t="shared" si="31"/>
        <v>0</v>
      </c>
      <c r="BC44" s="107">
        <f t="shared" si="32"/>
        <v>0</v>
      </c>
      <c r="BD44" s="109">
        <f t="shared" si="33"/>
        <v>0</v>
      </c>
      <c r="BE44" s="109">
        <f t="shared" si="34"/>
        <v>0</v>
      </c>
      <c r="BF44" s="109">
        <f t="shared" si="35"/>
        <v>0</v>
      </c>
      <c r="BH44" s="82">
        <f t="shared" si="36"/>
        <v>0</v>
      </c>
      <c r="BI44" s="82" t="e">
        <f t="shared" si="37"/>
        <v>#DIV/0!</v>
      </c>
      <c r="BJ44" s="77">
        <f t="shared" si="38"/>
        <v>0</v>
      </c>
      <c r="BK44" s="108">
        <f t="shared" si="39"/>
        <v>0</v>
      </c>
      <c r="BL44" s="107">
        <f t="shared" si="40"/>
        <v>0</v>
      </c>
      <c r="BM44" s="107">
        <f t="shared" si="41"/>
        <v>0</v>
      </c>
      <c r="BN44" s="107">
        <f t="shared" si="42"/>
        <v>0</v>
      </c>
      <c r="BO44" s="109">
        <f t="shared" si="43"/>
        <v>0</v>
      </c>
      <c r="BP44" s="109">
        <f t="shared" si="44"/>
        <v>0</v>
      </c>
      <c r="BQ44" s="109">
        <f t="shared" si="45"/>
        <v>0</v>
      </c>
    </row>
    <row r="45" spans="1:69" x14ac:dyDescent="0.25">
      <c r="A45" s="101">
        <f t="shared" si="46"/>
        <v>37196</v>
      </c>
      <c r="B45" s="102">
        <f t="shared" si="47"/>
        <v>3.99</v>
      </c>
      <c r="C45" s="102">
        <f t="shared" si="0"/>
        <v>5.0000000000000001E-3</v>
      </c>
      <c r="D45" s="80">
        <f t="shared" si="48"/>
        <v>0.40749999999999997</v>
      </c>
      <c r="E45" s="106">
        <f t="shared" si="1"/>
        <v>1</v>
      </c>
      <c r="F45" s="104">
        <f t="shared" si="49"/>
        <v>4.92</v>
      </c>
      <c r="G45" s="104">
        <f t="shared" si="50"/>
        <v>3.5</v>
      </c>
      <c r="H45" s="104">
        <f t="shared" si="51"/>
        <v>2.96</v>
      </c>
      <c r="I45" s="104">
        <f t="shared" si="52"/>
        <v>2.99</v>
      </c>
      <c r="J45" s="80">
        <f t="shared" si="2"/>
        <v>5.8368282562399919E-2</v>
      </c>
      <c r="K45" s="80" t="e">
        <f t="shared" si="3"/>
        <v>#DIV/0!</v>
      </c>
      <c r="L45" s="80" t="e">
        <f t="shared" si="4"/>
        <v>#DIV/0!</v>
      </c>
      <c r="M45" s="80" t="e">
        <f t="shared" si="5"/>
        <v>#DIV/0!</v>
      </c>
      <c r="N45" s="80">
        <f t="shared" si="6"/>
        <v>0.46586828256239987</v>
      </c>
      <c r="O45" s="80" t="e">
        <f t="shared" si="7"/>
        <v>#DIV/0!</v>
      </c>
      <c r="P45" s="80" t="e">
        <f t="shared" si="8"/>
        <v>#DIV/0!</v>
      </c>
      <c r="Q45" s="80" t="e">
        <f t="shared" si="9"/>
        <v>#DIV/0!</v>
      </c>
      <c r="R45" s="105">
        <f t="shared" ca="1" si="10"/>
        <v>424</v>
      </c>
      <c r="S45" s="80">
        <f t="shared" si="53"/>
        <v>6.8919453955852014E-2</v>
      </c>
      <c r="T45" s="77">
        <v>0</v>
      </c>
      <c r="U45" s="182">
        <v>0</v>
      </c>
      <c r="V45" s="77">
        <v>3</v>
      </c>
      <c r="X45" s="182"/>
      <c r="Z45" s="82"/>
      <c r="AA45" s="82">
        <f t="shared" si="11"/>
        <v>0</v>
      </c>
      <c r="AB45" s="82">
        <f t="shared" si="54"/>
        <v>0</v>
      </c>
      <c r="AC45" s="77">
        <f t="shared" si="12"/>
        <v>0</v>
      </c>
      <c r="AD45" s="108">
        <f t="shared" si="13"/>
        <v>0</v>
      </c>
      <c r="AE45" s="107">
        <f t="shared" si="55"/>
        <v>0</v>
      </c>
      <c r="AF45" s="107">
        <f t="shared" si="56"/>
        <v>0</v>
      </c>
      <c r="AG45" s="107">
        <f t="shared" si="14"/>
        <v>0</v>
      </c>
      <c r="AH45" s="109">
        <f t="shared" si="15"/>
        <v>0</v>
      </c>
      <c r="AI45" s="109">
        <f t="shared" si="16"/>
        <v>0</v>
      </c>
      <c r="AJ45" s="109">
        <f t="shared" si="17"/>
        <v>0</v>
      </c>
      <c r="AL45" s="82">
        <f t="shared" si="18"/>
        <v>0</v>
      </c>
      <c r="AM45" s="82" t="e">
        <f t="shared" si="57"/>
        <v>#DIV/0!</v>
      </c>
      <c r="AN45" s="77">
        <f t="shared" si="19"/>
        <v>0</v>
      </c>
      <c r="AO45" s="108">
        <f t="shared" si="58"/>
        <v>0</v>
      </c>
      <c r="AP45" s="107">
        <f t="shared" si="20"/>
        <v>0</v>
      </c>
      <c r="AQ45" s="107">
        <f t="shared" si="21"/>
        <v>0</v>
      </c>
      <c r="AR45" s="107">
        <f t="shared" si="22"/>
        <v>0</v>
      </c>
      <c r="AS45" s="109">
        <f t="shared" si="23"/>
        <v>0</v>
      </c>
      <c r="AT45" s="109">
        <f t="shared" si="24"/>
        <v>0</v>
      </c>
      <c r="AU45" s="109">
        <f t="shared" si="25"/>
        <v>0</v>
      </c>
      <c r="AW45" s="82">
        <f t="shared" si="26"/>
        <v>0</v>
      </c>
      <c r="AX45" s="82" t="e">
        <f t="shared" si="27"/>
        <v>#DIV/0!</v>
      </c>
      <c r="AY45" s="77">
        <f t="shared" si="28"/>
        <v>0</v>
      </c>
      <c r="AZ45" s="108">
        <f t="shared" si="29"/>
        <v>0</v>
      </c>
      <c r="BA45" s="107">
        <f t="shared" si="30"/>
        <v>0</v>
      </c>
      <c r="BB45" s="107">
        <f t="shared" si="31"/>
        <v>0</v>
      </c>
      <c r="BC45" s="107">
        <f t="shared" si="32"/>
        <v>0</v>
      </c>
      <c r="BD45" s="109">
        <f t="shared" si="33"/>
        <v>0</v>
      </c>
      <c r="BE45" s="109">
        <f t="shared" si="34"/>
        <v>0</v>
      </c>
      <c r="BF45" s="109">
        <f t="shared" si="35"/>
        <v>0</v>
      </c>
      <c r="BH45" s="82">
        <f t="shared" si="36"/>
        <v>0</v>
      </c>
      <c r="BI45" s="82" t="e">
        <f t="shared" si="37"/>
        <v>#DIV/0!</v>
      </c>
      <c r="BJ45" s="77">
        <f t="shared" si="38"/>
        <v>0</v>
      </c>
      <c r="BK45" s="108">
        <f t="shared" si="39"/>
        <v>0</v>
      </c>
      <c r="BL45" s="107">
        <f t="shared" si="40"/>
        <v>0</v>
      </c>
      <c r="BM45" s="107">
        <f t="shared" si="41"/>
        <v>0</v>
      </c>
      <c r="BN45" s="107">
        <f t="shared" si="42"/>
        <v>0</v>
      </c>
      <c r="BO45" s="109">
        <f t="shared" si="43"/>
        <v>0</v>
      </c>
      <c r="BP45" s="109">
        <f t="shared" si="44"/>
        <v>0</v>
      </c>
      <c r="BQ45" s="109">
        <f t="shared" si="45"/>
        <v>0</v>
      </c>
    </row>
    <row r="46" spans="1:69" x14ac:dyDescent="0.25">
      <c r="A46" s="101">
        <f t="shared" si="46"/>
        <v>37226</v>
      </c>
      <c r="B46" s="102">
        <f t="shared" si="47"/>
        <v>4.0750000000000002</v>
      </c>
      <c r="C46" s="102">
        <f t="shared" si="0"/>
        <v>5.0000000000000001E-3</v>
      </c>
      <c r="D46" s="80">
        <f t="shared" si="48"/>
        <v>0.41249999999999998</v>
      </c>
      <c r="E46" s="106">
        <f t="shared" si="1"/>
        <v>1</v>
      </c>
      <c r="F46" s="104">
        <f t="shared" si="49"/>
        <v>4.92</v>
      </c>
      <c r="G46" s="104">
        <f t="shared" si="50"/>
        <v>3.5</v>
      </c>
      <c r="H46" s="104">
        <f t="shared" si="51"/>
        <v>2.96</v>
      </c>
      <c r="I46" s="104">
        <f t="shared" si="52"/>
        <v>2.99</v>
      </c>
      <c r="J46" s="80">
        <f t="shared" si="2"/>
        <v>5.8368282562399919E-2</v>
      </c>
      <c r="K46" s="80" t="e">
        <f t="shared" si="3"/>
        <v>#DIV/0!</v>
      </c>
      <c r="L46" s="80" t="e">
        <f t="shared" si="4"/>
        <v>#DIV/0!</v>
      </c>
      <c r="M46" s="80" t="e">
        <f t="shared" si="5"/>
        <v>#DIV/0!</v>
      </c>
      <c r="N46" s="80">
        <f t="shared" si="6"/>
        <v>0.47086828256239988</v>
      </c>
      <c r="O46" s="80" t="e">
        <f t="shared" si="7"/>
        <v>#DIV/0!</v>
      </c>
      <c r="P46" s="80" t="e">
        <f t="shared" si="8"/>
        <v>#DIV/0!</v>
      </c>
      <c r="Q46" s="80" t="e">
        <f t="shared" si="9"/>
        <v>#DIV/0!</v>
      </c>
      <c r="R46" s="105">
        <f t="shared" ca="1" si="10"/>
        <v>454</v>
      </c>
      <c r="S46" s="80">
        <f t="shared" si="53"/>
        <v>6.8935842503271005E-2</v>
      </c>
      <c r="T46" s="77">
        <v>0</v>
      </c>
      <c r="U46" s="182">
        <v>0</v>
      </c>
      <c r="V46" s="77">
        <v>3</v>
      </c>
      <c r="X46" s="182"/>
      <c r="Z46" s="82"/>
      <c r="AA46" s="82">
        <f t="shared" si="11"/>
        <v>0</v>
      </c>
      <c r="AB46" s="82">
        <f t="shared" si="54"/>
        <v>0</v>
      </c>
      <c r="AC46" s="77">
        <f t="shared" si="12"/>
        <v>0</v>
      </c>
      <c r="AD46" s="108">
        <f t="shared" si="13"/>
        <v>0</v>
      </c>
      <c r="AE46" s="107">
        <f t="shared" si="55"/>
        <v>0</v>
      </c>
      <c r="AF46" s="107">
        <f t="shared" si="56"/>
        <v>0</v>
      </c>
      <c r="AG46" s="107">
        <f t="shared" si="14"/>
        <v>0</v>
      </c>
      <c r="AH46" s="109">
        <f t="shared" si="15"/>
        <v>0</v>
      </c>
      <c r="AI46" s="109">
        <f t="shared" si="16"/>
        <v>0</v>
      </c>
      <c r="AJ46" s="109">
        <f t="shared" si="17"/>
        <v>0</v>
      </c>
      <c r="AL46" s="82">
        <f t="shared" si="18"/>
        <v>0</v>
      </c>
      <c r="AM46" s="82" t="e">
        <f t="shared" si="57"/>
        <v>#DIV/0!</v>
      </c>
      <c r="AN46" s="77">
        <f t="shared" si="19"/>
        <v>0</v>
      </c>
      <c r="AO46" s="108">
        <f t="shared" si="58"/>
        <v>0</v>
      </c>
      <c r="AP46" s="107">
        <f t="shared" si="20"/>
        <v>0</v>
      </c>
      <c r="AQ46" s="107">
        <f t="shared" si="21"/>
        <v>0</v>
      </c>
      <c r="AR46" s="107">
        <f t="shared" si="22"/>
        <v>0</v>
      </c>
      <c r="AS46" s="109">
        <f t="shared" si="23"/>
        <v>0</v>
      </c>
      <c r="AT46" s="109">
        <f t="shared" si="24"/>
        <v>0</v>
      </c>
      <c r="AU46" s="109">
        <f t="shared" si="25"/>
        <v>0</v>
      </c>
      <c r="AW46" s="82">
        <f t="shared" si="26"/>
        <v>0</v>
      </c>
      <c r="AX46" s="82" t="e">
        <f t="shared" si="27"/>
        <v>#DIV/0!</v>
      </c>
      <c r="AY46" s="77">
        <f t="shared" si="28"/>
        <v>0</v>
      </c>
      <c r="AZ46" s="108">
        <f t="shared" si="29"/>
        <v>0</v>
      </c>
      <c r="BA46" s="107">
        <f t="shared" si="30"/>
        <v>0</v>
      </c>
      <c r="BB46" s="107">
        <f t="shared" si="31"/>
        <v>0</v>
      </c>
      <c r="BC46" s="107">
        <f t="shared" si="32"/>
        <v>0</v>
      </c>
      <c r="BD46" s="109">
        <f t="shared" si="33"/>
        <v>0</v>
      </c>
      <c r="BE46" s="109">
        <f t="shared" si="34"/>
        <v>0</v>
      </c>
      <c r="BF46" s="109">
        <f t="shared" si="35"/>
        <v>0</v>
      </c>
      <c r="BH46" s="82">
        <f t="shared" si="36"/>
        <v>0</v>
      </c>
      <c r="BI46" s="82" t="e">
        <f t="shared" si="37"/>
        <v>#DIV/0!</v>
      </c>
      <c r="BJ46" s="77">
        <f t="shared" si="38"/>
        <v>0</v>
      </c>
      <c r="BK46" s="108">
        <f t="shared" si="39"/>
        <v>0</v>
      </c>
      <c r="BL46" s="107">
        <f t="shared" si="40"/>
        <v>0</v>
      </c>
      <c r="BM46" s="107">
        <f t="shared" si="41"/>
        <v>0</v>
      </c>
      <c r="BN46" s="107">
        <f t="shared" si="42"/>
        <v>0</v>
      </c>
      <c r="BO46" s="109">
        <f t="shared" si="43"/>
        <v>0</v>
      </c>
      <c r="BP46" s="109">
        <f t="shared" si="44"/>
        <v>0</v>
      </c>
      <c r="BQ46" s="109">
        <f t="shared" si="45"/>
        <v>0</v>
      </c>
    </row>
    <row r="47" spans="1:69" x14ac:dyDescent="0.25">
      <c r="A47" s="101">
        <f t="shared" si="46"/>
        <v>37257</v>
      </c>
      <c r="B47" s="102">
        <f t="shared" si="47"/>
        <v>4.0449999999999999</v>
      </c>
      <c r="C47" s="102">
        <f t="shared" si="0"/>
        <v>5.0000000000000001E-3</v>
      </c>
      <c r="D47" s="80">
        <f t="shared" si="48"/>
        <v>0.41749999999999998</v>
      </c>
      <c r="E47" s="106">
        <f t="shared" si="1"/>
        <v>1</v>
      </c>
      <c r="F47" s="104">
        <f t="shared" si="49"/>
        <v>4.92</v>
      </c>
      <c r="G47" s="104">
        <f t="shared" si="50"/>
        <v>3.5</v>
      </c>
      <c r="H47" s="104">
        <f t="shared" si="51"/>
        <v>2.96</v>
      </c>
      <c r="I47" s="104">
        <f t="shared" si="52"/>
        <v>2.99</v>
      </c>
      <c r="J47" s="80">
        <f t="shared" si="2"/>
        <v>5.8368282562399919E-2</v>
      </c>
      <c r="K47" s="80" t="e">
        <f t="shared" si="3"/>
        <v>#DIV/0!</v>
      </c>
      <c r="L47" s="80" t="e">
        <f t="shared" si="4"/>
        <v>#DIV/0!</v>
      </c>
      <c r="M47" s="80" t="e">
        <f t="shared" si="5"/>
        <v>#DIV/0!</v>
      </c>
      <c r="N47" s="80">
        <f t="shared" si="6"/>
        <v>0.47586828256239988</v>
      </c>
      <c r="O47" s="80" t="e">
        <f t="shared" si="7"/>
        <v>#DIV/0!</v>
      </c>
      <c r="P47" s="80" t="e">
        <f t="shared" si="8"/>
        <v>#DIV/0!</v>
      </c>
      <c r="Q47" s="80" t="e">
        <f t="shared" si="9"/>
        <v>#DIV/0!</v>
      </c>
      <c r="R47" s="105">
        <f t="shared" ca="1" si="10"/>
        <v>483</v>
      </c>
      <c r="S47" s="80">
        <f t="shared" si="53"/>
        <v>6.896655729440701E-2</v>
      </c>
      <c r="T47" s="77">
        <v>0</v>
      </c>
      <c r="U47" s="182">
        <v>0</v>
      </c>
      <c r="V47" s="77">
        <v>4</v>
      </c>
      <c r="X47" s="182"/>
      <c r="Z47" s="82"/>
      <c r="AA47" s="82">
        <f t="shared" si="11"/>
        <v>0</v>
      </c>
      <c r="AB47" s="82">
        <f t="shared" si="54"/>
        <v>0</v>
      </c>
      <c r="AC47" s="77">
        <f t="shared" si="12"/>
        <v>0</v>
      </c>
      <c r="AD47" s="108">
        <f t="shared" si="13"/>
        <v>0</v>
      </c>
      <c r="AE47" s="107">
        <f t="shared" si="55"/>
        <v>0</v>
      </c>
      <c r="AF47" s="107">
        <f t="shared" si="56"/>
        <v>0</v>
      </c>
      <c r="AG47" s="107">
        <f t="shared" si="14"/>
        <v>0</v>
      </c>
      <c r="AH47" s="109">
        <f t="shared" si="15"/>
        <v>0</v>
      </c>
      <c r="AI47" s="109">
        <f t="shared" si="16"/>
        <v>0</v>
      </c>
      <c r="AJ47" s="109">
        <f t="shared" si="17"/>
        <v>0</v>
      </c>
      <c r="AL47" s="82">
        <f t="shared" si="18"/>
        <v>0</v>
      </c>
      <c r="AM47" s="82" t="e">
        <f t="shared" si="57"/>
        <v>#DIV/0!</v>
      </c>
      <c r="AN47" s="77">
        <f t="shared" si="19"/>
        <v>0</v>
      </c>
      <c r="AO47" s="108">
        <f t="shared" si="58"/>
        <v>0</v>
      </c>
      <c r="AP47" s="107">
        <f t="shared" si="20"/>
        <v>0</v>
      </c>
      <c r="AQ47" s="107">
        <f t="shared" si="21"/>
        <v>0</v>
      </c>
      <c r="AR47" s="107">
        <f t="shared" si="22"/>
        <v>0</v>
      </c>
      <c r="AS47" s="109">
        <f t="shared" si="23"/>
        <v>0</v>
      </c>
      <c r="AT47" s="109">
        <f t="shared" si="24"/>
        <v>0</v>
      </c>
      <c r="AU47" s="109">
        <f t="shared" si="25"/>
        <v>0</v>
      </c>
      <c r="AW47" s="82">
        <f t="shared" si="26"/>
        <v>0</v>
      </c>
      <c r="AX47" s="82" t="e">
        <f t="shared" si="27"/>
        <v>#DIV/0!</v>
      </c>
      <c r="AY47" s="77">
        <f t="shared" si="28"/>
        <v>0</v>
      </c>
      <c r="AZ47" s="108">
        <f t="shared" si="29"/>
        <v>0</v>
      </c>
      <c r="BA47" s="107">
        <f t="shared" si="30"/>
        <v>0</v>
      </c>
      <c r="BB47" s="107">
        <f t="shared" si="31"/>
        <v>0</v>
      </c>
      <c r="BC47" s="107">
        <f t="shared" si="32"/>
        <v>0</v>
      </c>
      <c r="BD47" s="109">
        <f t="shared" si="33"/>
        <v>0</v>
      </c>
      <c r="BE47" s="109">
        <f t="shared" si="34"/>
        <v>0</v>
      </c>
      <c r="BF47" s="109">
        <f t="shared" si="35"/>
        <v>0</v>
      </c>
      <c r="BH47" s="82">
        <f t="shared" si="36"/>
        <v>0</v>
      </c>
      <c r="BI47" s="82" t="e">
        <f t="shared" si="37"/>
        <v>#DIV/0!</v>
      </c>
      <c r="BJ47" s="77">
        <f t="shared" si="38"/>
        <v>0</v>
      </c>
      <c r="BK47" s="108">
        <f t="shared" si="39"/>
        <v>0</v>
      </c>
      <c r="BL47" s="107">
        <f t="shared" si="40"/>
        <v>0</v>
      </c>
      <c r="BM47" s="107">
        <f t="shared" si="41"/>
        <v>0</v>
      </c>
      <c r="BN47" s="107">
        <f t="shared" si="42"/>
        <v>0</v>
      </c>
      <c r="BO47" s="109">
        <f t="shared" si="43"/>
        <v>0</v>
      </c>
      <c r="BP47" s="109">
        <f t="shared" si="44"/>
        <v>0</v>
      </c>
      <c r="BQ47" s="109">
        <f t="shared" si="45"/>
        <v>0</v>
      </c>
    </row>
    <row r="48" spans="1:69" x14ac:dyDescent="0.25">
      <c r="A48" s="101">
        <f t="shared" si="46"/>
        <v>37288</v>
      </c>
      <c r="B48" s="102">
        <f t="shared" si="47"/>
        <v>3.8740000000000006</v>
      </c>
      <c r="C48" s="102">
        <f t="shared" si="0"/>
        <v>5.0000000000000001E-3</v>
      </c>
      <c r="D48" s="80">
        <f t="shared" si="48"/>
        <v>0.4</v>
      </c>
      <c r="E48" s="106">
        <f t="shared" si="1"/>
        <v>1</v>
      </c>
      <c r="F48" s="104">
        <f t="shared" si="49"/>
        <v>4.92</v>
      </c>
      <c r="G48" s="104">
        <f t="shared" si="50"/>
        <v>3.5</v>
      </c>
      <c r="H48" s="104">
        <f t="shared" si="51"/>
        <v>2.96</v>
      </c>
      <c r="I48" s="104">
        <f t="shared" si="52"/>
        <v>2.99</v>
      </c>
      <c r="J48" s="80">
        <f t="shared" si="2"/>
        <v>5.8368282562399919E-2</v>
      </c>
      <c r="K48" s="80" t="e">
        <f t="shared" si="3"/>
        <v>#DIV/0!</v>
      </c>
      <c r="L48" s="80" t="e">
        <f t="shared" si="4"/>
        <v>#DIV/0!</v>
      </c>
      <c r="M48" s="80" t="e">
        <f t="shared" si="5"/>
        <v>#DIV/0!</v>
      </c>
      <c r="N48" s="80">
        <f t="shared" si="6"/>
        <v>0.45836828256239992</v>
      </c>
      <c r="O48" s="80" t="e">
        <f t="shared" si="7"/>
        <v>#DIV/0!</v>
      </c>
      <c r="P48" s="80" t="e">
        <f t="shared" si="8"/>
        <v>#DIV/0!</v>
      </c>
      <c r="Q48" s="80" t="e">
        <f t="shared" si="9"/>
        <v>#DIV/0!</v>
      </c>
      <c r="R48" s="105">
        <f t="shared" ca="1" si="10"/>
        <v>516</v>
      </c>
      <c r="S48" s="80">
        <f t="shared" si="53"/>
        <v>6.9016352028977018E-2</v>
      </c>
      <c r="T48" s="77">
        <v>0</v>
      </c>
      <c r="U48" s="182">
        <v>0</v>
      </c>
      <c r="V48" s="77">
        <v>4</v>
      </c>
      <c r="X48" s="182"/>
      <c r="Z48" s="82"/>
      <c r="AA48" s="82">
        <f t="shared" si="11"/>
        <v>0</v>
      </c>
      <c r="AB48" s="82">
        <f t="shared" si="54"/>
        <v>0</v>
      </c>
      <c r="AC48" s="77">
        <f t="shared" si="12"/>
        <v>0</v>
      </c>
      <c r="AD48" s="108">
        <f t="shared" si="13"/>
        <v>0</v>
      </c>
      <c r="AE48" s="107">
        <f t="shared" si="55"/>
        <v>0</v>
      </c>
      <c r="AF48" s="107">
        <f t="shared" si="56"/>
        <v>0</v>
      </c>
      <c r="AG48" s="107">
        <f t="shared" si="14"/>
        <v>0</v>
      </c>
      <c r="AH48" s="109">
        <f t="shared" si="15"/>
        <v>0</v>
      </c>
      <c r="AI48" s="109">
        <f t="shared" si="16"/>
        <v>0</v>
      </c>
      <c r="AJ48" s="109">
        <f t="shared" si="17"/>
        <v>0</v>
      </c>
      <c r="AL48" s="82">
        <f t="shared" si="18"/>
        <v>0</v>
      </c>
      <c r="AM48" s="82" t="e">
        <f t="shared" si="57"/>
        <v>#DIV/0!</v>
      </c>
      <c r="AN48" s="77">
        <f t="shared" si="19"/>
        <v>0</v>
      </c>
      <c r="AO48" s="108">
        <f t="shared" si="58"/>
        <v>0</v>
      </c>
      <c r="AP48" s="107">
        <f t="shared" si="20"/>
        <v>0</v>
      </c>
      <c r="AQ48" s="107">
        <f t="shared" si="21"/>
        <v>0</v>
      </c>
      <c r="AR48" s="107">
        <f t="shared" si="22"/>
        <v>0</v>
      </c>
      <c r="AS48" s="109">
        <f t="shared" si="23"/>
        <v>0</v>
      </c>
      <c r="AT48" s="109">
        <f t="shared" si="24"/>
        <v>0</v>
      </c>
      <c r="AU48" s="109">
        <f t="shared" si="25"/>
        <v>0</v>
      </c>
      <c r="AW48" s="82">
        <f t="shared" si="26"/>
        <v>0</v>
      </c>
      <c r="AX48" s="82" t="e">
        <f t="shared" si="27"/>
        <v>#DIV/0!</v>
      </c>
      <c r="AY48" s="77">
        <f t="shared" si="28"/>
        <v>0</v>
      </c>
      <c r="AZ48" s="108">
        <f t="shared" si="29"/>
        <v>0</v>
      </c>
      <c r="BA48" s="107">
        <f t="shared" si="30"/>
        <v>0</v>
      </c>
      <c r="BB48" s="107">
        <f t="shared" si="31"/>
        <v>0</v>
      </c>
      <c r="BC48" s="107">
        <f t="shared" si="32"/>
        <v>0</v>
      </c>
      <c r="BD48" s="109">
        <f t="shared" si="33"/>
        <v>0</v>
      </c>
      <c r="BE48" s="109">
        <f t="shared" si="34"/>
        <v>0</v>
      </c>
      <c r="BF48" s="109">
        <f t="shared" si="35"/>
        <v>0</v>
      </c>
      <c r="BH48" s="82">
        <f t="shared" si="36"/>
        <v>0</v>
      </c>
      <c r="BI48" s="82" t="e">
        <f t="shared" si="37"/>
        <v>#DIV/0!</v>
      </c>
      <c r="BJ48" s="77">
        <f t="shared" si="38"/>
        <v>0</v>
      </c>
      <c r="BK48" s="108">
        <f t="shared" si="39"/>
        <v>0</v>
      </c>
      <c r="BL48" s="107">
        <f t="shared" si="40"/>
        <v>0</v>
      </c>
      <c r="BM48" s="107">
        <f t="shared" si="41"/>
        <v>0</v>
      </c>
      <c r="BN48" s="107">
        <f t="shared" si="42"/>
        <v>0</v>
      </c>
      <c r="BO48" s="109">
        <f t="shared" si="43"/>
        <v>0</v>
      </c>
      <c r="BP48" s="109">
        <f t="shared" si="44"/>
        <v>0</v>
      </c>
      <c r="BQ48" s="109">
        <f t="shared" si="45"/>
        <v>0</v>
      </c>
    </row>
    <row r="49" spans="1:69" x14ac:dyDescent="0.25">
      <c r="A49" s="101">
        <f t="shared" si="46"/>
        <v>37316</v>
      </c>
      <c r="B49" s="102">
        <f t="shared" si="47"/>
        <v>3.7090000000000005</v>
      </c>
      <c r="C49" s="102">
        <f t="shared" si="0"/>
        <v>5.0000000000000001E-3</v>
      </c>
      <c r="D49" s="80">
        <f t="shared" si="48"/>
        <v>0.36749999999999999</v>
      </c>
      <c r="E49" s="106">
        <f t="shared" si="1"/>
        <v>1</v>
      </c>
      <c r="F49" s="104">
        <f t="shared" si="49"/>
        <v>4.92</v>
      </c>
      <c r="G49" s="104">
        <f t="shared" si="50"/>
        <v>3.5</v>
      </c>
      <c r="H49" s="104">
        <f t="shared" si="51"/>
        <v>2.96</v>
      </c>
      <c r="I49" s="104">
        <f t="shared" si="52"/>
        <v>2.99</v>
      </c>
      <c r="J49" s="80">
        <f t="shared" si="2"/>
        <v>5.8368282562399919E-2</v>
      </c>
      <c r="K49" s="80" t="e">
        <f t="shared" si="3"/>
        <v>#DIV/0!</v>
      </c>
      <c r="L49" s="80" t="e">
        <f t="shared" si="4"/>
        <v>#DIV/0!</v>
      </c>
      <c r="M49" s="80" t="e">
        <f t="shared" si="5"/>
        <v>#DIV/0!</v>
      </c>
      <c r="N49" s="80">
        <f t="shared" si="6"/>
        <v>0.42586828256239989</v>
      </c>
      <c r="O49" s="80" t="e">
        <f t="shared" si="7"/>
        <v>#DIV/0!</v>
      </c>
      <c r="P49" s="80" t="e">
        <f t="shared" si="8"/>
        <v>#DIV/0!</v>
      </c>
      <c r="Q49" s="80" t="e">
        <f t="shared" si="9"/>
        <v>#DIV/0!</v>
      </c>
      <c r="R49" s="105">
        <f t="shared" ca="1" si="10"/>
        <v>544</v>
      </c>
      <c r="S49" s="80">
        <f t="shared" si="53"/>
        <v>6.9061327918971016E-2</v>
      </c>
      <c r="T49" s="77">
        <v>0</v>
      </c>
      <c r="U49" s="182">
        <v>0</v>
      </c>
      <c r="V49" s="77">
        <v>2</v>
      </c>
      <c r="X49" s="182"/>
      <c r="Z49" s="82"/>
      <c r="AA49" s="82">
        <f t="shared" si="11"/>
        <v>0</v>
      </c>
      <c r="AB49" s="82">
        <f t="shared" si="54"/>
        <v>0</v>
      </c>
      <c r="AC49" s="77">
        <f t="shared" si="12"/>
        <v>0</v>
      </c>
      <c r="AD49" s="108">
        <f t="shared" si="13"/>
        <v>0</v>
      </c>
      <c r="AE49" s="107">
        <f t="shared" si="55"/>
        <v>0</v>
      </c>
      <c r="AF49" s="107">
        <f t="shared" si="56"/>
        <v>0</v>
      </c>
      <c r="AG49" s="107">
        <f t="shared" si="14"/>
        <v>0</v>
      </c>
      <c r="AH49" s="109">
        <f t="shared" si="15"/>
        <v>0</v>
      </c>
      <c r="AI49" s="109">
        <f t="shared" si="16"/>
        <v>0</v>
      </c>
      <c r="AJ49" s="109">
        <f t="shared" si="17"/>
        <v>0</v>
      </c>
      <c r="AL49" s="82">
        <f t="shared" si="18"/>
        <v>0</v>
      </c>
      <c r="AM49" s="82" t="e">
        <f t="shared" si="57"/>
        <v>#DIV/0!</v>
      </c>
      <c r="AN49" s="77">
        <f t="shared" si="19"/>
        <v>0</v>
      </c>
      <c r="AO49" s="108">
        <f t="shared" si="58"/>
        <v>0</v>
      </c>
      <c r="AP49" s="107">
        <f t="shared" si="20"/>
        <v>0</v>
      </c>
      <c r="AQ49" s="107">
        <f t="shared" si="21"/>
        <v>0</v>
      </c>
      <c r="AR49" s="107">
        <f t="shared" si="22"/>
        <v>0</v>
      </c>
      <c r="AS49" s="109">
        <f t="shared" si="23"/>
        <v>0</v>
      </c>
      <c r="AT49" s="109">
        <f t="shared" si="24"/>
        <v>0</v>
      </c>
      <c r="AU49" s="109">
        <f t="shared" si="25"/>
        <v>0</v>
      </c>
      <c r="AW49" s="82">
        <f t="shared" si="26"/>
        <v>0</v>
      </c>
      <c r="AX49" s="82" t="e">
        <f t="shared" si="27"/>
        <v>#DIV/0!</v>
      </c>
      <c r="AY49" s="77">
        <f t="shared" si="28"/>
        <v>0</v>
      </c>
      <c r="AZ49" s="108">
        <f t="shared" si="29"/>
        <v>0</v>
      </c>
      <c r="BA49" s="107">
        <f t="shared" si="30"/>
        <v>0</v>
      </c>
      <c r="BB49" s="107">
        <f t="shared" si="31"/>
        <v>0</v>
      </c>
      <c r="BC49" s="107">
        <f t="shared" si="32"/>
        <v>0</v>
      </c>
      <c r="BD49" s="109">
        <f t="shared" si="33"/>
        <v>0</v>
      </c>
      <c r="BE49" s="109">
        <f t="shared" si="34"/>
        <v>0</v>
      </c>
      <c r="BF49" s="109">
        <f t="shared" si="35"/>
        <v>0</v>
      </c>
      <c r="BH49" s="82">
        <f t="shared" si="36"/>
        <v>0</v>
      </c>
      <c r="BI49" s="82" t="e">
        <f t="shared" si="37"/>
        <v>#DIV/0!</v>
      </c>
      <c r="BJ49" s="77">
        <f t="shared" si="38"/>
        <v>0</v>
      </c>
      <c r="BK49" s="108">
        <f t="shared" si="39"/>
        <v>0</v>
      </c>
      <c r="BL49" s="107">
        <f t="shared" si="40"/>
        <v>0</v>
      </c>
      <c r="BM49" s="107">
        <f t="shared" si="41"/>
        <v>0</v>
      </c>
      <c r="BN49" s="107">
        <f t="shared" si="42"/>
        <v>0</v>
      </c>
      <c r="BO49" s="109">
        <f t="shared" si="43"/>
        <v>0</v>
      </c>
      <c r="BP49" s="109">
        <f t="shared" si="44"/>
        <v>0</v>
      </c>
      <c r="BQ49" s="109">
        <f t="shared" si="45"/>
        <v>0</v>
      </c>
    </row>
    <row r="50" spans="1:69" x14ac:dyDescent="0.25">
      <c r="A50" s="101">
        <f t="shared" si="46"/>
        <v>37347</v>
      </c>
      <c r="B50" s="102">
        <f t="shared" si="47"/>
        <v>3.532</v>
      </c>
      <c r="C50" s="102">
        <f t="shared" si="0"/>
        <v>6.0000000000000001E-3</v>
      </c>
      <c r="D50" s="80">
        <f t="shared" si="48"/>
        <v>0.30249999999999999</v>
      </c>
      <c r="E50" s="106">
        <f t="shared" si="1"/>
        <v>1</v>
      </c>
      <c r="F50" s="104">
        <f t="shared" si="49"/>
        <v>4.92</v>
      </c>
      <c r="G50" s="104">
        <f t="shared" si="50"/>
        <v>3.5</v>
      </c>
      <c r="H50" s="104">
        <f t="shared" si="51"/>
        <v>2.96</v>
      </c>
      <c r="I50" s="104">
        <f t="shared" si="52"/>
        <v>2.99</v>
      </c>
      <c r="J50" s="80">
        <f t="shared" si="2"/>
        <v>0.114</v>
      </c>
      <c r="K50" s="80" t="e">
        <f t="shared" si="3"/>
        <v>#DIV/0!</v>
      </c>
      <c r="L50" s="80" t="e">
        <f t="shared" si="4"/>
        <v>#DIV/0!</v>
      </c>
      <c r="M50" s="80" t="e">
        <f t="shared" si="5"/>
        <v>#DIV/0!</v>
      </c>
      <c r="N50" s="80">
        <f t="shared" si="6"/>
        <v>0.41649999999999998</v>
      </c>
      <c r="O50" s="80" t="e">
        <f t="shared" si="7"/>
        <v>#DIV/0!</v>
      </c>
      <c r="P50" s="80" t="e">
        <f t="shared" si="8"/>
        <v>#DIV/0!</v>
      </c>
      <c r="Q50" s="80" t="e">
        <f t="shared" si="9"/>
        <v>#DIV/0!</v>
      </c>
      <c r="R50" s="105">
        <f t="shared" ca="1" si="10"/>
        <v>572</v>
      </c>
      <c r="S50" s="80">
        <f t="shared" si="53"/>
        <v>6.9092023437082997E-2</v>
      </c>
      <c r="T50" s="77">
        <v>0</v>
      </c>
      <c r="U50" s="182">
        <v>0</v>
      </c>
      <c r="V50" s="77">
        <v>2</v>
      </c>
      <c r="X50" s="182"/>
      <c r="Z50" s="82"/>
      <c r="AA50" s="82">
        <f t="shared" si="11"/>
        <v>0</v>
      </c>
      <c r="AB50" s="82">
        <f t="shared" si="54"/>
        <v>0</v>
      </c>
      <c r="AC50" s="77">
        <f t="shared" si="12"/>
        <v>0</v>
      </c>
      <c r="AD50" s="108">
        <f t="shared" si="13"/>
        <v>0</v>
      </c>
      <c r="AE50" s="107">
        <f t="shared" si="55"/>
        <v>0</v>
      </c>
      <c r="AF50" s="107">
        <f t="shared" si="56"/>
        <v>0</v>
      </c>
      <c r="AG50" s="107">
        <f t="shared" si="14"/>
        <v>0</v>
      </c>
      <c r="AH50" s="109">
        <f t="shared" si="15"/>
        <v>0</v>
      </c>
      <c r="AI50" s="109">
        <f t="shared" si="16"/>
        <v>0</v>
      </c>
      <c r="AJ50" s="109">
        <f t="shared" si="17"/>
        <v>0</v>
      </c>
      <c r="AL50" s="82">
        <f t="shared" si="18"/>
        <v>0</v>
      </c>
      <c r="AM50" s="82" t="e">
        <f t="shared" si="57"/>
        <v>#DIV/0!</v>
      </c>
      <c r="AN50" s="77">
        <f t="shared" si="19"/>
        <v>0</v>
      </c>
      <c r="AO50" s="108">
        <f t="shared" si="58"/>
        <v>0</v>
      </c>
      <c r="AP50" s="107">
        <f t="shared" si="20"/>
        <v>0</v>
      </c>
      <c r="AQ50" s="107">
        <f t="shared" si="21"/>
        <v>0</v>
      </c>
      <c r="AR50" s="107">
        <f t="shared" si="22"/>
        <v>0</v>
      </c>
      <c r="AS50" s="109">
        <f t="shared" si="23"/>
        <v>0</v>
      </c>
      <c r="AT50" s="109">
        <f t="shared" si="24"/>
        <v>0</v>
      </c>
      <c r="AU50" s="109">
        <f t="shared" si="25"/>
        <v>0</v>
      </c>
      <c r="AW50" s="82">
        <f t="shared" si="26"/>
        <v>0</v>
      </c>
      <c r="AX50" s="82" t="e">
        <f t="shared" si="27"/>
        <v>#DIV/0!</v>
      </c>
      <c r="AY50" s="77">
        <f t="shared" si="28"/>
        <v>0</v>
      </c>
      <c r="AZ50" s="108">
        <f t="shared" si="29"/>
        <v>0</v>
      </c>
      <c r="BA50" s="107">
        <f t="shared" si="30"/>
        <v>0</v>
      </c>
      <c r="BB50" s="107">
        <f t="shared" si="31"/>
        <v>0</v>
      </c>
      <c r="BC50" s="107">
        <f t="shared" si="32"/>
        <v>0</v>
      </c>
      <c r="BD50" s="109">
        <f t="shared" si="33"/>
        <v>0</v>
      </c>
      <c r="BE50" s="109">
        <f t="shared" si="34"/>
        <v>0</v>
      </c>
      <c r="BF50" s="109">
        <f t="shared" si="35"/>
        <v>0</v>
      </c>
      <c r="BH50" s="82">
        <f t="shared" si="36"/>
        <v>0</v>
      </c>
      <c r="BI50" s="82" t="e">
        <f t="shared" si="37"/>
        <v>#DIV/0!</v>
      </c>
      <c r="BJ50" s="77">
        <f t="shared" si="38"/>
        <v>0</v>
      </c>
      <c r="BK50" s="108">
        <f t="shared" si="39"/>
        <v>0</v>
      </c>
      <c r="BL50" s="107">
        <f t="shared" si="40"/>
        <v>0</v>
      </c>
      <c r="BM50" s="107">
        <f t="shared" si="41"/>
        <v>0</v>
      </c>
      <c r="BN50" s="107">
        <f t="shared" si="42"/>
        <v>0</v>
      </c>
      <c r="BO50" s="109">
        <f t="shared" si="43"/>
        <v>0</v>
      </c>
      <c r="BP50" s="109">
        <f t="shared" si="44"/>
        <v>0</v>
      </c>
      <c r="BQ50" s="109">
        <f t="shared" si="45"/>
        <v>0</v>
      </c>
    </row>
    <row r="51" spans="1:69" x14ac:dyDescent="0.25">
      <c r="A51" s="101">
        <f t="shared" si="46"/>
        <v>37377</v>
      </c>
      <c r="B51" s="102">
        <f t="shared" si="47"/>
        <v>3.4470000000000001</v>
      </c>
      <c r="C51" s="102">
        <f t="shared" si="0"/>
        <v>6.0000000000000001E-3</v>
      </c>
      <c r="D51" s="80">
        <f t="shared" si="48"/>
        <v>0.28749999999999998</v>
      </c>
      <c r="E51" s="106">
        <f t="shared" si="1"/>
        <v>1</v>
      </c>
      <c r="F51" s="104">
        <f t="shared" si="49"/>
        <v>4.92</v>
      </c>
      <c r="G51" s="104">
        <f t="shared" si="50"/>
        <v>3.5</v>
      </c>
      <c r="H51" s="104">
        <f t="shared" si="51"/>
        <v>2.96</v>
      </c>
      <c r="I51" s="104">
        <f t="shared" si="52"/>
        <v>2.99</v>
      </c>
      <c r="J51" s="80">
        <f t="shared" si="2"/>
        <v>0.114</v>
      </c>
      <c r="K51" s="80" t="e">
        <f t="shared" si="3"/>
        <v>#DIV/0!</v>
      </c>
      <c r="L51" s="80" t="e">
        <f t="shared" si="4"/>
        <v>#DIV/0!</v>
      </c>
      <c r="M51" s="80" t="e">
        <f t="shared" si="5"/>
        <v>#DIV/0!</v>
      </c>
      <c r="N51" s="80">
        <f t="shared" si="6"/>
        <v>0.40149999999999997</v>
      </c>
      <c r="O51" s="80" t="e">
        <f t="shared" si="7"/>
        <v>#DIV/0!</v>
      </c>
      <c r="P51" s="80" t="e">
        <f t="shared" si="8"/>
        <v>#DIV/0!</v>
      </c>
      <c r="Q51" s="80" t="e">
        <f t="shared" si="9"/>
        <v>#DIV/0!</v>
      </c>
      <c r="R51" s="105">
        <f t="shared" ca="1" si="10"/>
        <v>603</v>
      </c>
      <c r="S51" s="80">
        <f t="shared" si="53"/>
        <v>6.909369805104501E-2</v>
      </c>
      <c r="T51" s="77">
        <v>0</v>
      </c>
      <c r="U51" s="182">
        <v>0</v>
      </c>
      <c r="V51" s="77">
        <v>2</v>
      </c>
      <c r="X51" s="182"/>
      <c r="Z51" s="82"/>
      <c r="AA51" s="82">
        <f t="shared" si="11"/>
        <v>0</v>
      </c>
      <c r="AB51" s="82">
        <f t="shared" si="54"/>
        <v>0</v>
      </c>
      <c r="AC51" s="77">
        <f t="shared" si="12"/>
        <v>0</v>
      </c>
      <c r="AD51" s="108">
        <f t="shared" si="13"/>
        <v>0</v>
      </c>
      <c r="AE51" s="107">
        <f t="shared" si="55"/>
        <v>0</v>
      </c>
      <c r="AF51" s="107">
        <f t="shared" si="56"/>
        <v>0</v>
      </c>
      <c r="AG51" s="107">
        <f t="shared" si="14"/>
        <v>0</v>
      </c>
      <c r="AH51" s="109">
        <f t="shared" si="15"/>
        <v>0</v>
      </c>
      <c r="AI51" s="109">
        <f t="shared" si="16"/>
        <v>0</v>
      </c>
      <c r="AJ51" s="109">
        <f t="shared" si="17"/>
        <v>0</v>
      </c>
      <c r="AL51" s="82">
        <f t="shared" si="18"/>
        <v>0</v>
      </c>
      <c r="AM51" s="82" t="e">
        <f t="shared" si="57"/>
        <v>#DIV/0!</v>
      </c>
      <c r="AN51" s="77">
        <f t="shared" si="19"/>
        <v>0</v>
      </c>
      <c r="AO51" s="108">
        <f t="shared" si="58"/>
        <v>0</v>
      </c>
      <c r="AP51" s="107">
        <f t="shared" si="20"/>
        <v>0</v>
      </c>
      <c r="AQ51" s="107">
        <f t="shared" si="21"/>
        <v>0</v>
      </c>
      <c r="AR51" s="107">
        <f t="shared" si="22"/>
        <v>0</v>
      </c>
      <c r="AS51" s="109">
        <f t="shared" si="23"/>
        <v>0</v>
      </c>
      <c r="AT51" s="109">
        <f t="shared" si="24"/>
        <v>0</v>
      </c>
      <c r="AU51" s="109">
        <f t="shared" si="25"/>
        <v>0</v>
      </c>
      <c r="AW51" s="82">
        <f t="shared" si="26"/>
        <v>0</v>
      </c>
      <c r="AX51" s="82" t="e">
        <f t="shared" si="27"/>
        <v>#DIV/0!</v>
      </c>
      <c r="AY51" s="77">
        <f t="shared" si="28"/>
        <v>0</v>
      </c>
      <c r="AZ51" s="108">
        <f t="shared" si="29"/>
        <v>0</v>
      </c>
      <c r="BA51" s="107">
        <f t="shared" si="30"/>
        <v>0</v>
      </c>
      <c r="BB51" s="107">
        <f t="shared" si="31"/>
        <v>0</v>
      </c>
      <c r="BC51" s="107">
        <f t="shared" si="32"/>
        <v>0</v>
      </c>
      <c r="BD51" s="109">
        <f t="shared" si="33"/>
        <v>0</v>
      </c>
      <c r="BE51" s="109">
        <f t="shared" si="34"/>
        <v>0</v>
      </c>
      <c r="BF51" s="109">
        <f t="shared" si="35"/>
        <v>0</v>
      </c>
      <c r="BH51" s="82">
        <f t="shared" si="36"/>
        <v>0</v>
      </c>
      <c r="BI51" s="82" t="e">
        <f t="shared" si="37"/>
        <v>#DIV/0!</v>
      </c>
      <c r="BJ51" s="77">
        <f t="shared" si="38"/>
        <v>0</v>
      </c>
      <c r="BK51" s="108">
        <f t="shared" si="39"/>
        <v>0</v>
      </c>
      <c r="BL51" s="107">
        <f t="shared" si="40"/>
        <v>0</v>
      </c>
      <c r="BM51" s="107">
        <f t="shared" si="41"/>
        <v>0</v>
      </c>
      <c r="BN51" s="107">
        <f t="shared" si="42"/>
        <v>0</v>
      </c>
      <c r="BO51" s="109">
        <f t="shared" si="43"/>
        <v>0</v>
      </c>
      <c r="BP51" s="109">
        <f t="shared" si="44"/>
        <v>0</v>
      </c>
      <c r="BQ51" s="109">
        <f t="shared" si="45"/>
        <v>0</v>
      </c>
    </row>
    <row r="52" spans="1:69" x14ac:dyDescent="0.25">
      <c r="A52" s="101">
        <f t="shared" si="46"/>
        <v>37408</v>
      </c>
      <c r="B52" s="102">
        <f t="shared" si="47"/>
        <v>3.427</v>
      </c>
      <c r="C52" s="102">
        <f t="shared" si="0"/>
        <v>6.0000000000000001E-3</v>
      </c>
      <c r="D52" s="80">
        <f t="shared" si="48"/>
        <v>0.28499999999999998</v>
      </c>
      <c r="E52" s="106">
        <f t="shared" si="1"/>
        <v>1</v>
      </c>
      <c r="F52" s="104">
        <f t="shared" si="49"/>
        <v>4.92</v>
      </c>
      <c r="G52" s="104">
        <f t="shared" si="50"/>
        <v>3.5</v>
      </c>
      <c r="H52" s="104">
        <f t="shared" si="51"/>
        <v>2.96</v>
      </c>
      <c r="I52" s="104">
        <f t="shared" si="52"/>
        <v>2.99</v>
      </c>
      <c r="J52" s="80">
        <f t="shared" si="2"/>
        <v>0.114</v>
      </c>
      <c r="K52" s="80" t="e">
        <f t="shared" si="3"/>
        <v>#DIV/0!</v>
      </c>
      <c r="L52" s="80" t="e">
        <f t="shared" si="4"/>
        <v>#DIV/0!</v>
      </c>
      <c r="M52" s="80" t="e">
        <f t="shared" si="5"/>
        <v>#DIV/0!</v>
      </c>
      <c r="N52" s="80">
        <f t="shared" si="6"/>
        <v>0.39899999999999997</v>
      </c>
      <c r="O52" s="80" t="e">
        <f t="shared" si="7"/>
        <v>#DIV/0!</v>
      </c>
      <c r="P52" s="80" t="e">
        <f t="shared" si="8"/>
        <v>#DIV/0!</v>
      </c>
      <c r="Q52" s="80" t="e">
        <f t="shared" si="9"/>
        <v>#DIV/0!</v>
      </c>
      <c r="R52" s="105">
        <f t="shared" ca="1" si="10"/>
        <v>636</v>
      </c>
      <c r="S52" s="80">
        <f t="shared" si="53"/>
        <v>6.9095428485473995E-2</v>
      </c>
      <c r="T52" s="77">
        <v>0</v>
      </c>
      <c r="U52" s="182">
        <v>0</v>
      </c>
      <c r="V52" s="77">
        <v>2</v>
      </c>
      <c r="X52" s="182"/>
      <c r="Z52" s="82"/>
      <c r="AA52" s="82">
        <f t="shared" si="11"/>
        <v>0</v>
      </c>
      <c r="AB52" s="82">
        <f t="shared" si="54"/>
        <v>0</v>
      </c>
      <c r="AC52" s="77">
        <f t="shared" si="12"/>
        <v>0</v>
      </c>
      <c r="AD52" s="108">
        <f t="shared" si="13"/>
        <v>0</v>
      </c>
      <c r="AE52" s="107">
        <f t="shared" si="55"/>
        <v>0</v>
      </c>
      <c r="AF52" s="107">
        <f t="shared" si="56"/>
        <v>0</v>
      </c>
      <c r="AG52" s="107">
        <f t="shared" si="14"/>
        <v>0</v>
      </c>
      <c r="AH52" s="109">
        <f t="shared" si="15"/>
        <v>0</v>
      </c>
      <c r="AI52" s="109">
        <f t="shared" si="16"/>
        <v>0</v>
      </c>
      <c r="AJ52" s="109">
        <f t="shared" si="17"/>
        <v>0</v>
      </c>
      <c r="AL52" s="82">
        <f t="shared" si="18"/>
        <v>0</v>
      </c>
      <c r="AM52" s="82" t="e">
        <f t="shared" si="57"/>
        <v>#DIV/0!</v>
      </c>
      <c r="AN52" s="77">
        <f t="shared" si="19"/>
        <v>0</v>
      </c>
      <c r="AO52" s="108">
        <f t="shared" si="58"/>
        <v>0</v>
      </c>
      <c r="AP52" s="107">
        <f t="shared" si="20"/>
        <v>0</v>
      </c>
      <c r="AQ52" s="107">
        <f t="shared" si="21"/>
        <v>0</v>
      </c>
      <c r="AR52" s="107">
        <f t="shared" si="22"/>
        <v>0</v>
      </c>
      <c r="AS52" s="109">
        <f t="shared" si="23"/>
        <v>0</v>
      </c>
      <c r="AT52" s="109">
        <f t="shared" si="24"/>
        <v>0</v>
      </c>
      <c r="AU52" s="109">
        <f t="shared" si="25"/>
        <v>0</v>
      </c>
      <c r="AW52" s="82">
        <f t="shared" si="26"/>
        <v>0</v>
      </c>
      <c r="AX52" s="82" t="e">
        <f t="shared" si="27"/>
        <v>#DIV/0!</v>
      </c>
      <c r="AY52" s="77">
        <f t="shared" si="28"/>
        <v>0</v>
      </c>
      <c r="AZ52" s="108">
        <f t="shared" si="29"/>
        <v>0</v>
      </c>
      <c r="BA52" s="107">
        <f t="shared" si="30"/>
        <v>0</v>
      </c>
      <c r="BB52" s="107">
        <f t="shared" si="31"/>
        <v>0</v>
      </c>
      <c r="BC52" s="107">
        <f t="shared" si="32"/>
        <v>0</v>
      </c>
      <c r="BD52" s="109">
        <f t="shared" si="33"/>
        <v>0</v>
      </c>
      <c r="BE52" s="109">
        <f t="shared" si="34"/>
        <v>0</v>
      </c>
      <c r="BF52" s="109">
        <f t="shared" si="35"/>
        <v>0</v>
      </c>
      <c r="BH52" s="82">
        <f t="shared" si="36"/>
        <v>0</v>
      </c>
      <c r="BI52" s="82" t="e">
        <f t="shared" si="37"/>
        <v>#DIV/0!</v>
      </c>
      <c r="BJ52" s="77">
        <f t="shared" si="38"/>
        <v>0</v>
      </c>
      <c r="BK52" s="108">
        <f t="shared" si="39"/>
        <v>0</v>
      </c>
      <c r="BL52" s="107">
        <f t="shared" si="40"/>
        <v>0</v>
      </c>
      <c r="BM52" s="107">
        <f t="shared" si="41"/>
        <v>0</v>
      </c>
      <c r="BN52" s="107">
        <f t="shared" si="42"/>
        <v>0</v>
      </c>
      <c r="BO52" s="109">
        <f t="shared" si="43"/>
        <v>0</v>
      </c>
      <c r="BP52" s="109">
        <f t="shared" si="44"/>
        <v>0</v>
      </c>
      <c r="BQ52" s="109">
        <f t="shared" si="45"/>
        <v>0</v>
      </c>
    </row>
    <row r="53" spans="1:69" x14ac:dyDescent="0.25">
      <c r="A53" s="101">
        <f t="shared" si="46"/>
        <v>37438</v>
      </c>
      <c r="B53" s="102">
        <f t="shared" si="47"/>
        <v>3.42</v>
      </c>
      <c r="C53" s="102">
        <f t="shared" si="0"/>
        <v>6.0000000000000001E-3</v>
      </c>
      <c r="D53" s="80">
        <f t="shared" si="48"/>
        <v>0.28499999999999998</v>
      </c>
      <c r="E53" s="106">
        <f t="shared" si="1"/>
        <v>1</v>
      </c>
      <c r="F53" s="104">
        <f t="shared" si="49"/>
        <v>4.92</v>
      </c>
      <c r="G53" s="104">
        <f t="shared" si="50"/>
        <v>3.5</v>
      </c>
      <c r="H53" s="104">
        <f t="shared" si="51"/>
        <v>2.96</v>
      </c>
      <c r="I53" s="104">
        <f t="shared" si="52"/>
        <v>2.99</v>
      </c>
      <c r="J53" s="80">
        <f t="shared" si="2"/>
        <v>0.114</v>
      </c>
      <c r="K53" s="80" t="e">
        <f t="shared" si="3"/>
        <v>#DIV/0!</v>
      </c>
      <c r="L53" s="80" t="e">
        <f t="shared" si="4"/>
        <v>#DIV/0!</v>
      </c>
      <c r="M53" s="80" t="e">
        <f t="shared" si="5"/>
        <v>#DIV/0!</v>
      </c>
      <c r="N53" s="80">
        <f t="shared" si="6"/>
        <v>0.39899999999999997</v>
      </c>
      <c r="O53" s="80" t="e">
        <f t="shared" si="7"/>
        <v>#DIV/0!</v>
      </c>
      <c r="P53" s="80" t="e">
        <f t="shared" si="8"/>
        <v>#DIV/0!</v>
      </c>
      <c r="Q53" s="80" t="e">
        <f t="shared" si="9"/>
        <v>#DIV/0!</v>
      </c>
      <c r="R53" s="105">
        <f t="shared" ca="1" si="10"/>
        <v>664</v>
      </c>
      <c r="S53" s="80">
        <f t="shared" si="53"/>
        <v>6.9097118524442017E-2</v>
      </c>
      <c r="T53" s="77">
        <v>0</v>
      </c>
      <c r="U53" s="182">
        <v>0</v>
      </c>
      <c r="V53" s="77">
        <v>2</v>
      </c>
      <c r="X53" s="182"/>
      <c r="Z53" s="82"/>
      <c r="AA53" s="82">
        <f t="shared" si="11"/>
        <v>0</v>
      </c>
      <c r="AB53" s="82">
        <f t="shared" si="54"/>
        <v>0</v>
      </c>
      <c r="AC53" s="77">
        <f t="shared" si="12"/>
        <v>0</v>
      </c>
      <c r="AD53" s="108">
        <f t="shared" si="13"/>
        <v>0</v>
      </c>
      <c r="AE53" s="107">
        <f t="shared" si="55"/>
        <v>0</v>
      </c>
      <c r="AF53" s="107">
        <f t="shared" si="56"/>
        <v>0</v>
      </c>
      <c r="AG53" s="107">
        <f t="shared" si="14"/>
        <v>0</v>
      </c>
      <c r="AH53" s="109">
        <f t="shared" si="15"/>
        <v>0</v>
      </c>
      <c r="AI53" s="109">
        <f t="shared" si="16"/>
        <v>0</v>
      </c>
      <c r="AJ53" s="109">
        <f t="shared" si="17"/>
        <v>0</v>
      </c>
      <c r="AL53" s="82">
        <f t="shared" si="18"/>
        <v>0</v>
      </c>
      <c r="AM53" s="82" t="e">
        <f t="shared" si="57"/>
        <v>#DIV/0!</v>
      </c>
      <c r="AN53" s="77">
        <f t="shared" si="19"/>
        <v>0</v>
      </c>
      <c r="AO53" s="108">
        <f t="shared" si="58"/>
        <v>0</v>
      </c>
      <c r="AP53" s="107">
        <f t="shared" si="20"/>
        <v>0</v>
      </c>
      <c r="AQ53" s="107">
        <f t="shared" si="21"/>
        <v>0</v>
      </c>
      <c r="AR53" s="107">
        <f t="shared" si="22"/>
        <v>0</v>
      </c>
      <c r="AS53" s="109">
        <f t="shared" si="23"/>
        <v>0</v>
      </c>
      <c r="AT53" s="109">
        <f t="shared" si="24"/>
        <v>0</v>
      </c>
      <c r="AU53" s="109">
        <f t="shared" si="25"/>
        <v>0</v>
      </c>
      <c r="AW53" s="82">
        <f t="shared" si="26"/>
        <v>0</v>
      </c>
      <c r="AX53" s="82" t="e">
        <f t="shared" si="27"/>
        <v>#DIV/0!</v>
      </c>
      <c r="AY53" s="77">
        <f t="shared" si="28"/>
        <v>0</v>
      </c>
      <c r="AZ53" s="108">
        <f t="shared" si="29"/>
        <v>0</v>
      </c>
      <c r="BA53" s="107">
        <f t="shared" si="30"/>
        <v>0</v>
      </c>
      <c r="BB53" s="107">
        <f t="shared" si="31"/>
        <v>0</v>
      </c>
      <c r="BC53" s="107">
        <f t="shared" si="32"/>
        <v>0</v>
      </c>
      <c r="BD53" s="109">
        <f t="shared" si="33"/>
        <v>0</v>
      </c>
      <c r="BE53" s="109">
        <f t="shared" si="34"/>
        <v>0</v>
      </c>
      <c r="BF53" s="109">
        <f t="shared" si="35"/>
        <v>0</v>
      </c>
      <c r="BH53" s="82">
        <f t="shared" si="36"/>
        <v>0</v>
      </c>
      <c r="BI53" s="82" t="e">
        <f t="shared" si="37"/>
        <v>#DIV/0!</v>
      </c>
      <c r="BJ53" s="77">
        <f t="shared" si="38"/>
        <v>0</v>
      </c>
      <c r="BK53" s="108">
        <f t="shared" si="39"/>
        <v>0</v>
      </c>
      <c r="BL53" s="107">
        <f t="shared" si="40"/>
        <v>0</v>
      </c>
      <c r="BM53" s="107">
        <f t="shared" si="41"/>
        <v>0</v>
      </c>
      <c r="BN53" s="107">
        <f t="shared" si="42"/>
        <v>0</v>
      </c>
      <c r="BO53" s="109">
        <f t="shared" si="43"/>
        <v>0</v>
      </c>
      <c r="BP53" s="109">
        <f t="shared" si="44"/>
        <v>0</v>
      </c>
      <c r="BQ53" s="109">
        <f t="shared" si="45"/>
        <v>0</v>
      </c>
    </row>
    <row r="54" spans="1:69" x14ac:dyDescent="0.25">
      <c r="A54" s="101">
        <f t="shared" ref="A54:A89" si="59">DATE(YEAR(A53),MONTH(A53)+1,1)</f>
        <v>37469</v>
      </c>
      <c r="B54" s="102">
        <f t="shared" si="47"/>
        <v>3.4249999999999998</v>
      </c>
      <c r="C54" s="102">
        <f t="shared" ref="C54:C89" si="60">IF(B$4=1,VLOOKUP(A54,curvesettle,HLOOKUP($B$5,curvesettle,2,FALSE),0),0)</f>
        <v>6.0000000000000001E-3</v>
      </c>
      <c r="D54" s="80">
        <f t="shared" si="48"/>
        <v>0.28499999999999998</v>
      </c>
      <c r="E54" s="106">
        <f t="shared" ref="E54:E89" si="61">IF(ISNUMBER(VLOOKUP(A54,VOLCURVES,HLOOKUP(B$5,VOLCURVES,2,FALSE),FALSE)),VLOOKUP(A54,VOLCURVES,HLOOKUP(B$5,VOLCURVES,2,FALSE),FALSE),1)</f>
        <v>1</v>
      </c>
      <c r="F54" s="104">
        <f t="shared" si="49"/>
        <v>4.92</v>
      </c>
      <c r="G54" s="104">
        <f t="shared" si="50"/>
        <v>3.5</v>
      </c>
      <c r="H54" s="104">
        <f t="shared" si="51"/>
        <v>2.96</v>
      </c>
      <c r="I54" s="104">
        <f t="shared" si="52"/>
        <v>2.99</v>
      </c>
      <c r="J54" s="80">
        <f t="shared" ref="J54:J89" si="62">IF($B$19=1,VLOOKUP($A54,SkewTable,HLOOKUP(ROUND(F54-AB54,1),SkewTable,2,FALSE),FALSE)/100,0)</f>
        <v>0.114</v>
      </c>
      <c r="K54" s="80" t="e">
        <f t="shared" ref="K54:K89" si="63">IF($D$19=1,VLOOKUP($A54,SkewTable,HLOOKUP(ROUND(G54-AM54,1),SkewTable,2,FALSE),FALSE)/100,0)</f>
        <v>#DIV/0!</v>
      </c>
      <c r="L54" s="80" t="e">
        <f t="shared" ref="L54:L89" si="64">IF($F$19=1,VLOOKUP($A54,SkewTable,HLOOKUP(ROUND(H54-AX54,1),SkewTable,2,FALSE),FALSE)/100,0)</f>
        <v>#DIV/0!</v>
      </c>
      <c r="M54" s="80" t="e">
        <f t="shared" ref="M54:M89" si="65">IF($H$19=1,VLOOKUP($A54,SkewTable,HLOOKUP(ROUND(I54-BI54,1),SkewTable,2,FALSE),FALSE)/100,0)</f>
        <v>#DIV/0!</v>
      </c>
      <c r="N54" s="80">
        <f t="shared" ref="N54:N89" si="66">(($D54+J54)*$E54)+B$18</f>
        <v>0.39899999999999997</v>
      </c>
      <c r="O54" s="80" t="e">
        <f t="shared" ref="O54:O89" si="67">(($D54+K54)*$E54)+D$18</f>
        <v>#DIV/0!</v>
      </c>
      <c r="P54" s="80" t="e">
        <f t="shared" ref="P54:P89" si="68">(($D54+L54)*$E54)+F$18</f>
        <v>#DIV/0!</v>
      </c>
      <c r="Q54" s="80" t="e">
        <f t="shared" ref="Q54:Q89" si="69">(($D54+M54)*$E54)+H$18</f>
        <v>#DIV/0!</v>
      </c>
      <c r="R54" s="105">
        <f t="shared" ref="R54:R89" ca="1" si="70">IF(B$4=1,VLOOKUP(A54,expiration,2,FALSE),VLOOKUP(A54,expiration,3,FALSE))-B$2+$B$1</f>
        <v>697</v>
      </c>
      <c r="S54" s="80">
        <f t="shared" si="53"/>
        <v>6.9098892085220007E-2</v>
      </c>
      <c r="T54" s="77">
        <v>0</v>
      </c>
      <c r="U54" s="182">
        <v>0</v>
      </c>
      <c r="V54" s="77">
        <v>3</v>
      </c>
      <c r="X54" s="182"/>
      <c r="Z54" s="82"/>
      <c r="AA54" s="82">
        <f t="shared" ref="AA54:AA89" si="71">IF($A54&gt;=AB$25,IF($A54&lt;=AB$26,$T54,0),0)</f>
        <v>0</v>
      </c>
      <c r="AB54" s="82">
        <f t="shared" si="54"/>
        <v>0</v>
      </c>
      <c r="AC54" s="77">
        <f t="shared" ref="AC54:AC89" si="72">AA54*($B54+B$13)</f>
        <v>0</v>
      </c>
      <c r="AD54" s="108">
        <f t="shared" ref="AD54:AD89" si="73">IF(ISNUMBER(((AC54/AA54)+B$15+$C54)*AA54),((AC54/AA54)+B$15+$C54)*AA54,0)</f>
        <v>0</v>
      </c>
      <c r="AE54" s="107">
        <f t="shared" ref="AE54:AE89" si="74">IF(AA54=0,0,bsd(1,AF$27,AB54,$F54,$R54,$N54,$S54,0.1))</f>
        <v>0</v>
      </c>
      <c r="AF54" s="107">
        <f t="shared" ref="AF54:AF89" si="75">IF(AA54=0,0,bsd(2,AF$27,AB54,$F54,$R54,$N54,$S54,0.1))</f>
        <v>0</v>
      </c>
      <c r="AG54" s="107">
        <f t="shared" ref="AG54:AG89" si="76">IF(AA54=0,0,bsd(AF$28,AF$27,AB54,$F54,$R54,$N54,$S54,0.1))</f>
        <v>0</v>
      </c>
      <c r="AH54" s="109">
        <f t="shared" ref="AH54:AH89" si="77">AA54*AE54</f>
        <v>0</v>
      </c>
      <c r="AI54" s="109">
        <f t="shared" ref="AI54:AI89" si="78">AA54*AF54</f>
        <v>0</v>
      </c>
      <c r="AJ54" s="109">
        <f t="shared" ref="AJ54:AJ89" si="79">AA54*AG54</f>
        <v>0</v>
      </c>
      <c r="AL54" s="82">
        <f t="shared" ref="AL54:AL89" si="80">IF($A54&gt;=AM$25,IF($A54&lt;=AM$26,$T54,0),0)</f>
        <v>0</v>
      </c>
      <c r="AM54" s="82" t="e">
        <f t="shared" ref="AM54:AM89" si="81">AO54/AL54</f>
        <v>#DIV/0!</v>
      </c>
      <c r="AN54" s="77">
        <f t="shared" ref="AN54:AN89" si="82">AL54*($B54+D$13)</f>
        <v>0</v>
      </c>
      <c r="AO54" s="108">
        <f t="shared" ref="AO54:AO89" si="83">IF(ISNUMBER(((AN54/AL54)+D$15+$C54)*AL54),((AN54/AL54)+D$15+$C54)*AL54,0)</f>
        <v>0</v>
      </c>
      <c r="AP54" s="107">
        <f t="shared" ref="AP54:AP89" si="84">IF(AL54=0,0,bsd(1,AQ$27,AM54,$G54,$R54,$O54,$S54,0.1))</f>
        <v>0</v>
      </c>
      <c r="AQ54" s="107">
        <f t="shared" ref="AQ54:AQ89" si="85">IF(AL54=0,0,bsd(2,AQ$27,AM54,$G54,$R54,$O54,$S54,0.1))</f>
        <v>0</v>
      </c>
      <c r="AR54" s="107">
        <f t="shared" ref="AR54:AR89" si="86">IF(AL54=0,0,bsd(AQ$28,AQ$27,AM54,$G54,$R54,$O54,$S54,0.1))</f>
        <v>0</v>
      </c>
      <c r="AS54" s="109">
        <f t="shared" ref="AS54:AS89" si="87">AL54*AP54</f>
        <v>0</v>
      </c>
      <c r="AT54" s="109">
        <f t="shared" ref="AT54:AT89" si="88">AL54*AQ54</f>
        <v>0</v>
      </c>
      <c r="AU54" s="109">
        <f t="shared" ref="AU54:AU89" si="89">AL54*AR54</f>
        <v>0</v>
      </c>
      <c r="AW54" s="82">
        <f t="shared" ref="AW54:AW89" si="90">IF($A54&gt;=AX$25,IF($A54&lt;=AX$26,$T54,0),0)</f>
        <v>0</v>
      </c>
      <c r="AX54" s="82" t="e">
        <f t="shared" ref="AX54:AX89" si="91">AZ54/AW54</f>
        <v>#DIV/0!</v>
      </c>
      <c r="AY54" s="77">
        <f t="shared" ref="AY54:AY89" si="92">AW54*($B54+F$13)</f>
        <v>0</v>
      </c>
      <c r="AZ54" s="108">
        <f t="shared" ref="AZ54:AZ89" si="93">IF(ISNUMBER(((AY54/AW54)+F$15+$C54)*AW54),((AY54/AW54)+F$15+$C54)*AW54,0)</f>
        <v>0</v>
      </c>
      <c r="BA54" s="107">
        <f t="shared" ref="BA54:BA89" si="94">IF(AW54=0,0,bsd(1,BB$27,AX54,$H54,$R54,$P54,$S54,0.1))</f>
        <v>0</v>
      </c>
      <c r="BB54" s="107">
        <f t="shared" ref="BB54:BB89" si="95">IF(AW54=0,0,bsd(2,BB$27,AX54,$H54,$R54,$P54,$S54,0.1))</f>
        <v>0</v>
      </c>
      <c r="BC54" s="107">
        <f t="shared" ref="BC54:BC89" si="96">IF(AW54=0,0,bsd(BB$28,BB$27,AX54,$H54,$R54,$P54,$S54,0.1))</f>
        <v>0</v>
      </c>
      <c r="BD54" s="109">
        <f t="shared" ref="BD54:BD89" si="97">AW54*BA54</f>
        <v>0</v>
      </c>
      <c r="BE54" s="109">
        <f t="shared" ref="BE54:BE89" si="98">AW54*BB54</f>
        <v>0</v>
      </c>
      <c r="BF54" s="109">
        <f t="shared" ref="BF54:BF89" si="99">AW54*BC54</f>
        <v>0</v>
      </c>
      <c r="BH54" s="82">
        <f t="shared" ref="BH54:BH89" si="100">IF($A54&gt;=BI$25,IF($A54&lt;=BI$26,$T54,0),0)</f>
        <v>0</v>
      </c>
      <c r="BI54" s="82" t="e">
        <f t="shared" ref="BI54:BI89" si="101">BK54/BH54</f>
        <v>#DIV/0!</v>
      </c>
      <c r="BJ54" s="77">
        <f t="shared" ref="BJ54:BJ89" si="102">BH54*($B54+H$13)</f>
        <v>0</v>
      </c>
      <c r="BK54" s="108">
        <f t="shared" ref="BK54:BK89" si="103">IF(ISNUMBER(((BJ54/BH54)+H$15+$C54)*BH54),((BJ54/BH54)+H$15+$C54)*BH54,0)</f>
        <v>0</v>
      </c>
      <c r="BL54" s="107">
        <f t="shared" ref="BL54:BL89" si="104">IF(BH54=0,0,bsd(1,BM$27,BI54,$I54,$R54,$Q54,$S54,0.1))</f>
        <v>0</v>
      </c>
      <c r="BM54" s="107">
        <f t="shared" ref="BM54:BM89" si="105">IF(BH54=0,0,bsd(2,BM$27,BI54,$I54,$R54,$Q54,$S54,0.1))</f>
        <v>0</v>
      </c>
      <c r="BN54" s="107">
        <f t="shared" ref="BN54:BN89" si="106">IF(BH54=0,0,bsd(BM$28,BM$27,BI54,$I54,$R54,$Q54,$S54,0.1))</f>
        <v>0</v>
      </c>
      <c r="BO54" s="109">
        <f t="shared" ref="BO54:BO89" si="107">BH54*BL54</f>
        <v>0</v>
      </c>
      <c r="BP54" s="109">
        <f t="shared" ref="BP54:BP89" si="108">BH54*BM54</f>
        <v>0</v>
      </c>
      <c r="BQ54" s="109">
        <f t="shared" ref="BQ54:BQ89" si="109">BH54*BN54</f>
        <v>0</v>
      </c>
    </row>
    <row r="55" spans="1:69" x14ac:dyDescent="0.25">
      <c r="A55" s="101">
        <f t="shared" si="59"/>
        <v>37500</v>
      </c>
      <c r="B55" s="102">
        <f t="shared" si="47"/>
        <v>3.42</v>
      </c>
      <c r="C55" s="102">
        <f t="shared" si="60"/>
        <v>6.0000000000000001E-3</v>
      </c>
      <c r="D55" s="80">
        <f t="shared" si="48"/>
        <v>0.28499999999999998</v>
      </c>
      <c r="E55" s="106">
        <f t="shared" si="61"/>
        <v>1</v>
      </c>
      <c r="F55" s="104">
        <f t="shared" si="49"/>
        <v>4.92</v>
      </c>
      <c r="G55" s="104">
        <f t="shared" si="50"/>
        <v>3.5</v>
      </c>
      <c r="H55" s="104">
        <f t="shared" si="51"/>
        <v>2.96</v>
      </c>
      <c r="I55" s="104">
        <f t="shared" si="52"/>
        <v>2.99</v>
      </c>
      <c r="J55" s="80">
        <f t="shared" si="62"/>
        <v>0.114</v>
      </c>
      <c r="K55" s="80" t="e">
        <f t="shared" si="63"/>
        <v>#DIV/0!</v>
      </c>
      <c r="L55" s="80" t="e">
        <f t="shared" si="64"/>
        <v>#DIV/0!</v>
      </c>
      <c r="M55" s="80" t="e">
        <f t="shared" si="65"/>
        <v>#DIV/0!</v>
      </c>
      <c r="N55" s="80">
        <f t="shared" si="66"/>
        <v>0.39899999999999997</v>
      </c>
      <c r="O55" s="80" t="e">
        <f t="shared" si="67"/>
        <v>#DIV/0!</v>
      </c>
      <c r="P55" s="80" t="e">
        <f t="shared" si="68"/>
        <v>#DIV/0!</v>
      </c>
      <c r="Q55" s="80" t="e">
        <f t="shared" si="69"/>
        <v>#DIV/0!</v>
      </c>
      <c r="R55" s="105">
        <f t="shared" ca="1" si="70"/>
        <v>727</v>
      </c>
      <c r="S55" s="80">
        <f t="shared" si="53"/>
        <v>6.9100665646000009E-2</v>
      </c>
      <c r="T55" s="77">
        <v>0</v>
      </c>
      <c r="U55" s="182">
        <v>0</v>
      </c>
      <c r="V55" s="77">
        <v>3</v>
      </c>
      <c r="X55" s="182"/>
      <c r="Z55" s="82"/>
      <c r="AA55" s="82">
        <f t="shared" si="71"/>
        <v>0</v>
      </c>
      <c r="AB55" s="82">
        <f t="shared" si="54"/>
        <v>0</v>
      </c>
      <c r="AC55" s="77">
        <f t="shared" si="72"/>
        <v>0</v>
      </c>
      <c r="AD55" s="108">
        <f t="shared" si="73"/>
        <v>0</v>
      </c>
      <c r="AE55" s="107">
        <f t="shared" si="74"/>
        <v>0</v>
      </c>
      <c r="AF55" s="107">
        <f t="shared" si="75"/>
        <v>0</v>
      </c>
      <c r="AG55" s="107">
        <f t="shared" si="76"/>
        <v>0</v>
      </c>
      <c r="AH55" s="109">
        <f t="shared" si="77"/>
        <v>0</v>
      </c>
      <c r="AI55" s="109">
        <f t="shared" si="78"/>
        <v>0</v>
      </c>
      <c r="AJ55" s="109">
        <f t="shared" si="79"/>
        <v>0</v>
      </c>
      <c r="AL55" s="82">
        <f t="shared" si="80"/>
        <v>0</v>
      </c>
      <c r="AM55" s="82" t="e">
        <f t="shared" si="81"/>
        <v>#DIV/0!</v>
      </c>
      <c r="AN55" s="77">
        <f t="shared" si="82"/>
        <v>0</v>
      </c>
      <c r="AO55" s="108">
        <f t="shared" si="83"/>
        <v>0</v>
      </c>
      <c r="AP55" s="107">
        <f t="shared" si="84"/>
        <v>0</v>
      </c>
      <c r="AQ55" s="107">
        <f t="shared" si="85"/>
        <v>0</v>
      </c>
      <c r="AR55" s="107">
        <f t="shared" si="86"/>
        <v>0</v>
      </c>
      <c r="AS55" s="109">
        <f t="shared" si="87"/>
        <v>0</v>
      </c>
      <c r="AT55" s="109">
        <f t="shared" si="88"/>
        <v>0</v>
      </c>
      <c r="AU55" s="109">
        <f t="shared" si="89"/>
        <v>0</v>
      </c>
      <c r="AW55" s="82">
        <f t="shared" si="90"/>
        <v>0</v>
      </c>
      <c r="AX55" s="82" t="e">
        <f t="shared" si="91"/>
        <v>#DIV/0!</v>
      </c>
      <c r="AY55" s="77">
        <f t="shared" si="92"/>
        <v>0</v>
      </c>
      <c r="AZ55" s="108">
        <f t="shared" si="93"/>
        <v>0</v>
      </c>
      <c r="BA55" s="107">
        <f t="shared" si="94"/>
        <v>0</v>
      </c>
      <c r="BB55" s="107">
        <f t="shared" si="95"/>
        <v>0</v>
      </c>
      <c r="BC55" s="107">
        <f t="shared" si="96"/>
        <v>0</v>
      </c>
      <c r="BD55" s="109">
        <f t="shared" si="97"/>
        <v>0</v>
      </c>
      <c r="BE55" s="109">
        <f t="shared" si="98"/>
        <v>0</v>
      </c>
      <c r="BF55" s="109">
        <f t="shared" si="99"/>
        <v>0</v>
      </c>
      <c r="BH55" s="82">
        <f t="shared" si="100"/>
        <v>0</v>
      </c>
      <c r="BI55" s="82" t="e">
        <f t="shared" si="101"/>
        <v>#DIV/0!</v>
      </c>
      <c r="BJ55" s="77">
        <f t="shared" si="102"/>
        <v>0</v>
      </c>
      <c r="BK55" s="108">
        <f t="shared" si="103"/>
        <v>0</v>
      </c>
      <c r="BL55" s="107">
        <f t="shared" si="104"/>
        <v>0</v>
      </c>
      <c r="BM55" s="107">
        <f t="shared" si="105"/>
        <v>0</v>
      </c>
      <c r="BN55" s="107">
        <f t="shared" si="106"/>
        <v>0</v>
      </c>
      <c r="BO55" s="109">
        <f t="shared" si="107"/>
        <v>0</v>
      </c>
      <c r="BP55" s="109">
        <f t="shared" si="108"/>
        <v>0</v>
      </c>
      <c r="BQ55" s="109">
        <f t="shared" si="109"/>
        <v>0</v>
      </c>
    </row>
    <row r="56" spans="1:69" x14ac:dyDescent="0.25">
      <c r="A56" s="101">
        <f t="shared" si="59"/>
        <v>37530</v>
      </c>
      <c r="B56" s="102">
        <f t="shared" si="47"/>
        <v>3.4350000000000001</v>
      </c>
      <c r="C56" s="102">
        <f t="shared" si="60"/>
        <v>6.0000000000000001E-3</v>
      </c>
      <c r="D56" s="80">
        <f t="shared" si="48"/>
        <v>0.28749999999999998</v>
      </c>
      <c r="E56" s="106">
        <f t="shared" si="61"/>
        <v>1</v>
      </c>
      <c r="F56" s="104">
        <f t="shared" si="49"/>
        <v>4.92</v>
      </c>
      <c r="G56" s="104">
        <f t="shared" si="50"/>
        <v>3.5</v>
      </c>
      <c r="H56" s="104">
        <f t="shared" si="51"/>
        <v>2.96</v>
      </c>
      <c r="I56" s="104">
        <f t="shared" si="52"/>
        <v>2.99</v>
      </c>
      <c r="J56" s="80">
        <f t="shared" si="62"/>
        <v>0.114</v>
      </c>
      <c r="K56" s="80" t="e">
        <f t="shared" si="63"/>
        <v>#DIV/0!</v>
      </c>
      <c r="L56" s="80" t="e">
        <f t="shared" si="64"/>
        <v>#DIV/0!</v>
      </c>
      <c r="M56" s="80" t="e">
        <f t="shared" si="65"/>
        <v>#DIV/0!</v>
      </c>
      <c r="N56" s="80">
        <f t="shared" si="66"/>
        <v>0.40149999999999997</v>
      </c>
      <c r="O56" s="80" t="e">
        <f t="shared" si="67"/>
        <v>#DIV/0!</v>
      </c>
      <c r="P56" s="80" t="e">
        <f t="shared" si="68"/>
        <v>#DIV/0!</v>
      </c>
      <c r="Q56" s="80" t="e">
        <f t="shared" si="69"/>
        <v>#DIV/0!</v>
      </c>
      <c r="R56" s="105">
        <f t="shared" ca="1" si="70"/>
        <v>756</v>
      </c>
      <c r="S56" s="80">
        <f t="shared" si="53"/>
        <v>6.9099982062237011E-2</v>
      </c>
      <c r="T56" s="77">
        <v>0</v>
      </c>
      <c r="U56" s="182">
        <v>0</v>
      </c>
      <c r="V56" s="77">
        <v>3</v>
      </c>
      <c r="X56" s="182"/>
      <c r="Z56" s="82"/>
      <c r="AA56" s="82">
        <f t="shared" si="71"/>
        <v>0</v>
      </c>
      <c r="AB56" s="82">
        <f t="shared" si="54"/>
        <v>0</v>
      </c>
      <c r="AC56" s="77">
        <f t="shared" si="72"/>
        <v>0</v>
      </c>
      <c r="AD56" s="108">
        <f t="shared" si="73"/>
        <v>0</v>
      </c>
      <c r="AE56" s="107">
        <f t="shared" si="74"/>
        <v>0</v>
      </c>
      <c r="AF56" s="107">
        <f t="shared" si="75"/>
        <v>0</v>
      </c>
      <c r="AG56" s="107">
        <f t="shared" si="76"/>
        <v>0</v>
      </c>
      <c r="AH56" s="109">
        <f t="shared" si="77"/>
        <v>0</v>
      </c>
      <c r="AI56" s="109">
        <f t="shared" si="78"/>
        <v>0</v>
      </c>
      <c r="AJ56" s="109">
        <f t="shared" si="79"/>
        <v>0</v>
      </c>
      <c r="AL56" s="82">
        <f t="shared" si="80"/>
        <v>0</v>
      </c>
      <c r="AM56" s="82" t="e">
        <f t="shared" si="81"/>
        <v>#DIV/0!</v>
      </c>
      <c r="AN56" s="77">
        <f t="shared" si="82"/>
        <v>0</v>
      </c>
      <c r="AO56" s="108">
        <f t="shared" si="83"/>
        <v>0</v>
      </c>
      <c r="AP56" s="107">
        <f t="shared" si="84"/>
        <v>0</v>
      </c>
      <c r="AQ56" s="107">
        <f t="shared" si="85"/>
        <v>0</v>
      </c>
      <c r="AR56" s="107">
        <f t="shared" si="86"/>
        <v>0</v>
      </c>
      <c r="AS56" s="109">
        <f t="shared" si="87"/>
        <v>0</v>
      </c>
      <c r="AT56" s="109">
        <f t="shared" si="88"/>
        <v>0</v>
      </c>
      <c r="AU56" s="109">
        <f t="shared" si="89"/>
        <v>0</v>
      </c>
      <c r="AW56" s="82">
        <f t="shared" si="90"/>
        <v>0</v>
      </c>
      <c r="AX56" s="82" t="e">
        <f t="shared" si="91"/>
        <v>#DIV/0!</v>
      </c>
      <c r="AY56" s="77">
        <f t="shared" si="92"/>
        <v>0</v>
      </c>
      <c r="AZ56" s="108">
        <f t="shared" si="93"/>
        <v>0</v>
      </c>
      <c r="BA56" s="107">
        <f t="shared" si="94"/>
        <v>0</v>
      </c>
      <c r="BB56" s="107">
        <f t="shared" si="95"/>
        <v>0</v>
      </c>
      <c r="BC56" s="107">
        <f t="shared" si="96"/>
        <v>0</v>
      </c>
      <c r="BD56" s="109">
        <f t="shared" si="97"/>
        <v>0</v>
      </c>
      <c r="BE56" s="109">
        <f t="shared" si="98"/>
        <v>0</v>
      </c>
      <c r="BF56" s="109">
        <f t="shared" si="99"/>
        <v>0</v>
      </c>
      <c r="BH56" s="82">
        <f t="shared" si="100"/>
        <v>0</v>
      </c>
      <c r="BI56" s="82" t="e">
        <f t="shared" si="101"/>
        <v>#DIV/0!</v>
      </c>
      <c r="BJ56" s="77">
        <f t="shared" si="102"/>
        <v>0</v>
      </c>
      <c r="BK56" s="108">
        <f t="shared" si="103"/>
        <v>0</v>
      </c>
      <c r="BL56" s="107">
        <f t="shared" si="104"/>
        <v>0</v>
      </c>
      <c r="BM56" s="107">
        <f t="shared" si="105"/>
        <v>0</v>
      </c>
      <c r="BN56" s="107">
        <f t="shared" si="106"/>
        <v>0</v>
      </c>
      <c r="BO56" s="109">
        <f t="shared" si="107"/>
        <v>0</v>
      </c>
      <c r="BP56" s="109">
        <f t="shared" si="108"/>
        <v>0</v>
      </c>
      <c r="BQ56" s="109">
        <f t="shared" si="109"/>
        <v>0</v>
      </c>
    </row>
    <row r="57" spans="1:69" x14ac:dyDescent="0.25">
      <c r="A57" s="101">
        <f t="shared" si="59"/>
        <v>37561</v>
      </c>
      <c r="B57" s="102">
        <f t="shared" si="47"/>
        <v>3.5270000000000001</v>
      </c>
      <c r="C57" s="102">
        <f t="shared" si="60"/>
        <v>6.0000000000000001E-3</v>
      </c>
      <c r="D57" s="80">
        <f t="shared" si="48"/>
        <v>0.29499999999999998</v>
      </c>
      <c r="E57" s="106">
        <f t="shared" si="61"/>
        <v>1</v>
      </c>
      <c r="F57" s="104">
        <f t="shared" si="49"/>
        <v>4.92</v>
      </c>
      <c r="G57" s="104">
        <f t="shared" si="50"/>
        <v>3.5</v>
      </c>
      <c r="H57" s="104">
        <f t="shared" si="51"/>
        <v>2.96</v>
      </c>
      <c r="I57" s="104">
        <f t="shared" si="52"/>
        <v>2.99</v>
      </c>
      <c r="J57" s="80">
        <f t="shared" si="62"/>
        <v>0.114</v>
      </c>
      <c r="K57" s="80" t="e">
        <f t="shared" si="63"/>
        <v>#DIV/0!</v>
      </c>
      <c r="L57" s="80" t="e">
        <f t="shared" si="64"/>
        <v>#DIV/0!</v>
      </c>
      <c r="M57" s="80" t="e">
        <f t="shared" si="65"/>
        <v>#DIV/0!</v>
      </c>
      <c r="N57" s="80">
        <f t="shared" si="66"/>
        <v>0.40899999999999997</v>
      </c>
      <c r="O57" s="80" t="e">
        <f t="shared" si="67"/>
        <v>#DIV/0!</v>
      </c>
      <c r="P57" s="80" t="e">
        <f t="shared" si="68"/>
        <v>#DIV/0!</v>
      </c>
      <c r="Q57" s="80" t="e">
        <f t="shared" si="69"/>
        <v>#DIV/0!</v>
      </c>
      <c r="R57" s="105">
        <f t="shared" ca="1" si="70"/>
        <v>789</v>
      </c>
      <c r="S57" s="80">
        <f t="shared" si="53"/>
        <v>6.9095832436425003E-2</v>
      </c>
      <c r="T57" s="77">
        <v>0</v>
      </c>
      <c r="U57" s="182">
        <v>0</v>
      </c>
      <c r="V57" s="77">
        <v>3</v>
      </c>
      <c r="X57" s="182"/>
      <c r="Z57" s="82"/>
      <c r="AA57" s="82">
        <f t="shared" si="71"/>
        <v>0</v>
      </c>
      <c r="AB57" s="82">
        <f t="shared" si="54"/>
        <v>0</v>
      </c>
      <c r="AC57" s="77">
        <f t="shared" si="72"/>
        <v>0</v>
      </c>
      <c r="AD57" s="108">
        <f t="shared" si="73"/>
        <v>0</v>
      </c>
      <c r="AE57" s="107">
        <f t="shared" si="74"/>
        <v>0</v>
      </c>
      <c r="AF57" s="107">
        <f t="shared" si="75"/>
        <v>0</v>
      </c>
      <c r="AG57" s="107">
        <f t="shared" si="76"/>
        <v>0</v>
      </c>
      <c r="AH57" s="109">
        <f t="shared" si="77"/>
        <v>0</v>
      </c>
      <c r="AI57" s="109">
        <f t="shared" si="78"/>
        <v>0</v>
      </c>
      <c r="AJ57" s="109">
        <f t="shared" si="79"/>
        <v>0</v>
      </c>
      <c r="AL57" s="82">
        <f t="shared" si="80"/>
        <v>0</v>
      </c>
      <c r="AM57" s="82" t="e">
        <f t="shared" si="81"/>
        <v>#DIV/0!</v>
      </c>
      <c r="AN57" s="77">
        <f t="shared" si="82"/>
        <v>0</v>
      </c>
      <c r="AO57" s="108">
        <f t="shared" si="83"/>
        <v>0</v>
      </c>
      <c r="AP57" s="107">
        <f t="shared" si="84"/>
        <v>0</v>
      </c>
      <c r="AQ57" s="107">
        <f t="shared" si="85"/>
        <v>0</v>
      </c>
      <c r="AR57" s="107">
        <f t="shared" si="86"/>
        <v>0</v>
      </c>
      <c r="AS57" s="109">
        <f t="shared" si="87"/>
        <v>0</v>
      </c>
      <c r="AT57" s="109">
        <f t="shared" si="88"/>
        <v>0</v>
      </c>
      <c r="AU57" s="109">
        <f t="shared" si="89"/>
        <v>0</v>
      </c>
      <c r="AW57" s="82">
        <f t="shared" si="90"/>
        <v>0</v>
      </c>
      <c r="AX57" s="82" t="e">
        <f t="shared" si="91"/>
        <v>#DIV/0!</v>
      </c>
      <c r="AY57" s="77">
        <f t="shared" si="92"/>
        <v>0</v>
      </c>
      <c r="AZ57" s="108">
        <f t="shared" si="93"/>
        <v>0</v>
      </c>
      <c r="BA57" s="107">
        <f t="shared" si="94"/>
        <v>0</v>
      </c>
      <c r="BB57" s="107">
        <f t="shared" si="95"/>
        <v>0</v>
      </c>
      <c r="BC57" s="107">
        <f t="shared" si="96"/>
        <v>0</v>
      </c>
      <c r="BD57" s="109">
        <f t="shared" si="97"/>
        <v>0</v>
      </c>
      <c r="BE57" s="109">
        <f t="shared" si="98"/>
        <v>0</v>
      </c>
      <c r="BF57" s="109">
        <f t="shared" si="99"/>
        <v>0</v>
      </c>
      <c r="BH57" s="82">
        <f t="shared" si="100"/>
        <v>0</v>
      </c>
      <c r="BI57" s="82" t="e">
        <f t="shared" si="101"/>
        <v>#DIV/0!</v>
      </c>
      <c r="BJ57" s="77">
        <f t="shared" si="102"/>
        <v>0</v>
      </c>
      <c r="BK57" s="108">
        <f t="shared" si="103"/>
        <v>0</v>
      </c>
      <c r="BL57" s="107">
        <f t="shared" si="104"/>
        <v>0</v>
      </c>
      <c r="BM57" s="107">
        <f t="shared" si="105"/>
        <v>0</v>
      </c>
      <c r="BN57" s="107">
        <f t="shared" si="106"/>
        <v>0</v>
      </c>
      <c r="BO57" s="109">
        <f t="shared" si="107"/>
        <v>0</v>
      </c>
      <c r="BP57" s="109">
        <f t="shared" si="108"/>
        <v>0</v>
      </c>
      <c r="BQ57" s="109">
        <f t="shared" si="109"/>
        <v>0</v>
      </c>
    </row>
    <row r="58" spans="1:69" x14ac:dyDescent="0.25">
      <c r="A58" s="101">
        <f t="shared" si="59"/>
        <v>37591</v>
      </c>
      <c r="B58" s="102">
        <f t="shared" si="47"/>
        <v>3.6090000000000004</v>
      </c>
      <c r="C58" s="102">
        <f t="shared" si="60"/>
        <v>6.0000000000000001E-3</v>
      </c>
      <c r="D58" s="80">
        <f t="shared" si="48"/>
        <v>0.29749999999999999</v>
      </c>
      <c r="E58" s="106">
        <f t="shared" si="61"/>
        <v>1</v>
      </c>
      <c r="F58" s="104">
        <f t="shared" si="49"/>
        <v>4.92</v>
      </c>
      <c r="G58" s="104">
        <f t="shared" si="50"/>
        <v>3.5</v>
      </c>
      <c r="H58" s="104">
        <f t="shared" si="51"/>
        <v>2.96</v>
      </c>
      <c r="I58" s="104">
        <f t="shared" si="52"/>
        <v>2.99</v>
      </c>
      <c r="J58" s="80">
        <f t="shared" si="62"/>
        <v>0.114</v>
      </c>
      <c r="K58" s="80" t="e">
        <f t="shared" si="63"/>
        <v>#DIV/0!</v>
      </c>
      <c r="L58" s="80" t="e">
        <f t="shared" si="64"/>
        <v>#DIV/0!</v>
      </c>
      <c r="M58" s="80" t="e">
        <f t="shared" si="65"/>
        <v>#DIV/0!</v>
      </c>
      <c r="N58" s="80">
        <f t="shared" si="66"/>
        <v>0.41149999999999998</v>
      </c>
      <c r="O58" s="80" t="e">
        <f t="shared" si="67"/>
        <v>#DIV/0!</v>
      </c>
      <c r="P58" s="80" t="e">
        <f t="shared" si="68"/>
        <v>#DIV/0!</v>
      </c>
      <c r="Q58" s="80" t="e">
        <f t="shared" si="69"/>
        <v>#DIV/0!</v>
      </c>
      <c r="R58" s="105">
        <f t="shared" ca="1" si="70"/>
        <v>817</v>
      </c>
      <c r="S58" s="80">
        <f t="shared" si="53"/>
        <v>6.9091816669514014E-2</v>
      </c>
      <c r="T58" s="77">
        <v>0</v>
      </c>
      <c r="U58" s="182">
        <v>0</v>
      </c>
      <c r="V58" s="77">
        <v>3</v>
      </c>
      <c r="X58" s="182"/>
      <c r="Z58" s="82"/>
      <c r="AA58" s="82">
        <f t="shared" si="71"/>
        <v>0</v>
      </c>
      <c r="AB58" s="82">
        <f t="shared" si="54"/>
        <v>0</v>
      </c>
      <c r="AC58" s="77">
        <f t="shared" si="72"/>
        <v>0</v>
      </c>
      <c r="AD58" s="108">
        <f t="shared" si="73"/>
        <v>0</v>
      </c>
      <c r="AE58" s="107">
        <f t="shared" si="74"/>
        <v>0</v>
      </c>
      <c r="AF58" s="107">
        <f t="shared" si="75"/>
        <v>0</v>
      </c>
      <c r="AG58" s="107">
        <f t="shared" si="76"/>
        <v>0</v>
      </c>
      <c r="AH58" s="109">
        <f t="shared" si="77"/>
        <v>0</v>
      </c>
      <c r="AI58" s="109">
        <f t="shared" si="78"/>
        <v>0</v>
      </c>
      <c r="AJ58" s="109">
        <f t="shared" si="79"/>
        <v>0</v>
      </c>
      <c r="AL58" s="82">
        <f t="shared" si="80"/>
        <v>0</v>
      </c>
      <c r="AM58" s="82" t="e">
        <f t="shared" si="81"/>
        <v>#DIV/0!</v>
      </c>
      <c r="AN58" s="77">
        <f t="shared" si="82"/>
        <v>0</v>
      </c>
      <c r="AO58" s="108">
        <f t="shared" si="83"/>
        <v>0</v>
      </c>
      <c r="AP58" s="107">
        <f t="shared" si="84"/>
        <v>0</v>
      </c>
      <c r="AQ58" s="107">
        <f t="shared" si="85"/>
        <v>0</v>
      </c>
      <c r="AR58" s="107">
        <f t="shared" si="86"/>
        <v>0</v>
      </c>
      <c r="AS58" s="109">
        <f t="shared" si="87"/>
        <v>0</v>
      </c>
      <c r="AT58" s="109">
        <f t="shared" si="88"/>
        <v>0</v>
      </c>
      <c r="AU58" s="109">
        <f t="shared" si="89"/>
        <v>0</v>
      </c>
      <c r="AW58" s="82">
        <f t="shared" si="90"/>
        <v>0</v>
      </c>
      <c r="AX58" s="82" t="e">
        <f t="shared" si="91"/>
        <v>#DIV/0!</v>
      </c>
      <c r="AY58" s="77">
        <f t="shared" si="92"/>
        <v>0</v>
      </c>
      <c r="AZ58" s="108">
        <f t="shared" si="93"/>
        <v>0</v>
      </c>
      <c r="BA58" s="107">
        <f t="shared" si="94"/>
        <v>0</v>
      </c>
      <c r="BB58" s="107">
        <f t="shared" si="95"/>
        <v>0</v>
      </c>
      <c r="BC58" s="107">
        <f t="shared" si="96"/>
        <v>0</v>
      </c>
      <c r="BD58" s="109">
        <f t="shared" si="97"/>
        <v>0</v>
      </c>
      <c r="BE58" s="109">
        <f t="shared" si="98"/>
        <v>0</v>
      </c>
      <c r="BF58" s="109">
        <f t="shared" si="99"/>
        <v>0</v>
      </c>
      <c r="BH58" s="82">
        <f t="shared" si="100"/>
        <v>0</v>
      </c>
      <c r="BI58" s="82" t="e">
        <f t="shared" si="101"/>
        <v>#DIV/0!</v>
      </c>
      <c r="BJ58" s="77">
        <f t="shared" si="102"/>
        <v>0</v>
      </c>
      <c r="BK58" s="108">
        <f t="shared" si="103"/>
        <v>0</v>
      </c>
      <c r="BL58" s="107">
        <f t="shared" si="104"/>
        <v>0</v>
      </c>
      <c r="BM58" s="107">
        <f t="shared" si="105"/>
        <v>0</v>
      </c>
      <c r="BN58" s="107">
        <f t="shared" si="106"/>
        <v>0</v>
      </c>
      <c r="BO58" s="109">
        <f t="shared" si="107"/>
        <v>0</v>
      </c>
      <c r="BP58" s="109">
        <f t="shared" si="108"/>
        <v>0</v>
      </c>
      <c r="BQ58" s="109">
        <f t="shared" si="109"/>
        <v>0</v>
      </c>
    </row>
    <row r="59" spans="1:69" x14ac:dyDescent="0.25">
      <c r="A59" s="101">
        <f t="shared" si="59"/>
        <v>37622</v>
      </c>
      <c r="B59" s="102">
        <f t="shared" si="47"/>
        <v>3.6019999999999999</v>
      </c>
      <c r="C59" s="102">
        <f t="shared" si="60"/>
        <v>5.0000000000000001E-3</v>
      </c>
      <c r="D59" s="80">
        <f t="shared" si="48"/>
        <v>0.28499999999999998</v>
      </c>
      <c r="E59" s="106">
        <f t="shared" si="61"/>
        <v>1</v>
      </c>
      <c r="F59" s="104">
        <f t="shared" si="49"/>
        <v>4.92</v>
      </c>
      <c r="G59" s="104">
        <f t="shared" si="50"/>
        <v>3.5</v>
      </c>
      <c r="H59" s="104">
        <f t="shared" si="51"/>
        <v>2.96</v>
      </c>
      <c r="I59" s="104">
        <f t="shared" si="52"/>
        <v>2.99</v>
      </c>
      <c r="J59" s="80">
        <f t="shared" si="62"/>
        <v>0.114</v>
      </c>
      <c r="K59" s="80" t="e">
        <f t="shared" si="63"/>
        <v>#DIV/0!</v>
      </c>
      <c r="L59" s="80" t="e">
        <f t="shared" si="64"/>
        <v>#DIV/0!</v>
      </c>
      <c r="M59" s="80" t="e">
        <f t="shared" si="65"/>
        <v>#DIV/0!</v>
      </c>
      <c r="N59" s="80">
        <f t="shared" si="66"/>
        <v>0.39899999999999997</v>
      </c>
      <c r="O59" s="80" t="e">
        <f t="shared" si="67"/>
        <v>#DIV/0!</v>
      </c>
      <c r="P59" s="80" t="e">
        <f t="shared" si="68"/>
        <v>#DIV/0!</v>
      </c>
      <c r="Q59" s="80" t="e">
        <f t="shared" si="69"/>
        <v>#DIV/0!</v>
      </c>
      <c r="R59" s="105">
        <f t="shared" ca="1" si="70"/>
        <v>848</v>
      </c>
      <c r="S59" s="80">
        <f t="shared" si="53"/>
        <v>6.9095762126817992E-2</v>
      </c>
      <c r="T59" s="77">
        <v>0</v>
      </c>
      <c r="U59" s="182">
        <v>0</v>
      </c>
      <c r="V59" s="77">
        <v>4</v>
      </c>
      <c r="X59" s="182"/>
      <c r="Z59" s="82"/>
      <c r="AA59" s="82">
        <f t="shared" si="71"/>
        <v>0</v>
      </c>
      <c r="AB59" s="82">
        <f t="shared" si="54"/>
        <v>0</v>
      </c>
      <c r="AC59" s="77">
        <f t="shared" si="72"/>
        <v>0</v>
      </c>
      <c r="AD59" s="108">
        <f t="shared" si="73"/>
        <v>0</v>
      </c>
      <c r="AE59" s="107">
        <f t="shared" si="74"/>
        <v>0</v>
      </c>
      <c r="AF59" s="107">
        <f t="shared" si="75"/>
        <v>0</v>
      </c>
      <c r="AG59" s="107">
        <f t="shared" si="76"/>
        <v>0</v>
      </c>
      <c r="AH59" s="109">
        <f t="shared" si="77"/>
        <v>0</v>
      </c>
      <c r="AI59" s="109">
        <f t="shared" si="78"/>
        <v>0</v>
      </c>
      <c r="AJ59" s="109">
        <f t="shared" si="79"/>
        <v>0</v>
      </c>
      <c r="AL59" s="82">
        <f t="shared" si="80"/>
        <v>0</v>
      </c>
      <c r="AM59" s="82" t="e">
        <f t="shared" si="81"/>
        <v>#DIV/0!</v>
      </c>
      <c r="AN59" s="77">
        <f t="shared" si="82"/>
        <v>0</v>
      </c>
      <c r="AO59" s="108">
        <f t="shared" si="83"/>
        <v>0</v>
      </c>
      <c r="AP59" s="107">
        <f t="shared" si="84"/>
        <v>0</v>
      </c>
      <c r="AQ59" s="107">
        <f t="shared" si="85"/>
        <v>0</v>
      </c>
      <c r="AR59" s="107">
        <f t="shared" si="86"/>
        <v>0</v>
      </c>
      <c r="AS59" s="109">
        <f t="shared" si="87"/>
        <v>0</v>
      </c>
      <c r="AT59" s="109">
        <f t="shared" si="88"/>
        <v>0</v>
      </c>
      <c r="AU59" s="109">
        <f t="shared" si="89"/>
        <v>0</v>
      </c>
      <c r="AW59" s="82">
        <f t="shared" si="90"/>
        <v>0</v>
      </c>
      <c r="AX59" s="82" t="e">
        <f t="shared" si="91"/>
        <v>#DIV/0!</v>
      </c>
      <c r="AY59" s="77">
        <f t="shared" si="92"/>
        <v>0</v>
      </c>
      <c r="AZ59" s="108">
        <f t="shared" si="93"/>
        <v>0</v>
      </c>
      <c r="BA59" s="107">
        <f t="shared" si="94"/>
        <v>0</v>
      </c>
      <c r="BB59" s="107">
        <f t="shared" si="95"/>
        <v>0</v>
      </c>
      <c r="BC59" s="107">
        <f t="shared" si="96"/>
        <v>0</v>
      </c>
      <c r="BD59" s="109">
        <f t="shared" si="97"/>
        <v>0</v>
      </c>
      <c r="BE59" s="109">
        <f t="shared" si="98"/>
        <v>0</v>
      </c>
      <c r="BF59" s="109">
        <f t="shared" si="99"/>
        <v>0</v>
      </c>
      <c r="BH59" s="82">
        <f t="shared" si="100"/>
        <v>0</v>
      </c>
      <c r="BI59" s="82" t="e">
        <f t="shared" si="101"/>
        <v>#DIV/0!</v>
      </c>
      <c r="BJ59" s="77">
        <f t="shared" si="102"/>
        <v>0</v>
      </c>
      <c r="BK59" s="108">
        <f t="shared" si="103"/>
        <v>0</v>
      </c>
      <c r="BL59" s="107">
        <f t="shared" si="104"/>
        <v>0</v>
      </c>
      <c r="BM59" s="107">
        <f t="shared" si="105"/>
        <v>0</v>
      </c>
      <c r="BN59" s="107">
        <f t="shared" si="106"/>
        <v>0</v>
      </c>
      <c r="BO59" s="109">
        <f t="shared" si="107"/>
        <v>0</v>
      </c>
      <c r="BP59" s="109">
        <f t="shared" si="108"/>
        <v>0</v>
      </c>
      <c r="BQ59" s="109">
        <f t="shared" si="109"/>
        <v>0</v>
      </c>
    </row>
    <row r="60" spans="1:69" x14ac:dyDescent="0.25">
      <c r="A60" s="101">
        <f t="shared" si="59"/>
        <v>37653</v>
      </c>
      <c r="B60" s="102">
        <f t="shared" si="47"/>
        <v>3.46</v>
      </c>
      <c r="C60" s="102">
        <f t="shared" si="60"/>
        <v>5.0000000000000001E-3</v>
      </c>
      <c r="D60" s="80">
        <f t="shared" si="48"/>
        <v>0.28499999999999998</v>
      </c>
      <c r="E60" s="106">
        <f t="shared" si="61"/>
        <v>1</v>
      </c>
      <c r="F60" s="104">
        <f t="shared" si="49"/>
        <v>4.92</v>
      </c>
      <c r="G60" s="104">
        <f t="shared" si="50"/>
        <v>3.5</v>
      </c>
      <c r="H60" s="104">
        <f t="shared" si="51"/>
        <v>2.96</v>
      </c>
      <c r="I60" s="104">
        <f t="shared" si="52"/>
        <v>2.99</v>
      </c>
      <c r="J60" s="80">
        <f t="shared" si="62"/>
        <v>0.114</v>
      </c>
      <c r="K60" s="80" t="e">
        <f t="shared" si="63"/>
        <v>#DIV/0!</v>
      </c>
      <c r="L60" s="80" t="e">
        <f t="shared" si="64"/>
        <v>#DIV/0!</v>
      </c>
      <c r="M60" s="80" t="e">
        <f t="shared" si="65"/>
        <v>#DIV/0!</v>
      </c>
      <c r="N60" s="80">
        <f t="shared" si="66"/>
        <v>0.39899999999999997</v>
      </c>
      <c r="O60" s="80" t="e">
        <f t="shared" si="67"/>
        <v>#DIV/0!</v>
      </c>
      <c r="P60" s="80" t="e">
        <f t="shared" si="68"/>
        <v>#DIV/0!</v>
      </c>
      <c r="Q60" s="80" t="e">
        <f t="shared" si="69"/>
        <v>#DIV/0!</v>
      </c>
      <c r="R60" s="105">
        <f t="shared" ca="1" si="70"/>
        <v>881</v>
      </c>
      <c r="S60" s="80">
        <f t="shared" si="53"/>
        <v>6.9109537327938009E-2</v>
      </c>
      <c r="T60" s="77">
        <v>0</v>
      </c>
      <c r="U60" s="182">
        <v>0</v>
      </c>
      <c r="V60" s="77">
        <v>4</v>
      </c>
      <c r="X60" s="182"/>
      <c r="Z60" s="82"/>
      <c r="AA60" s="82">
        <f t="shared" si="71"/>
        <v>0</v>
      </c>
      <c r="AB60" s="82">
        <f t="shared" si="54"/>
        <v>0</v>
      </c>
      <c r="AC60" s="77">
        <f t="shared" si="72"/>
        <v>0</v>
      </c>
      <c r="AD60" s="108">
        <f t="shared" si="73"/>
        <v>0</v>
      </c>
      <c r="AE60" s="107">
        <f t="shared" si="74"/>
        <v>0</v>
      </c>
      <c r="AF60" s="107">
        <f t="shared" si="75"/>
        <v>0</v>
      </c>
      <c r="AG60" s="107">
        <f t="shared" si="76"/>
        <v>0</v>
      </c>
      <c r="AH60" s="109">
        <f t="shared" si="77"/>
        <v>0</v>
      </c>
      <c r="AI60" s="109">
        <f t="shared" si="78"/>
        <v>0</v>
      </c>
      <c r="AJ60" s="109">
        <f t="shared" si="79"/>
        <v>0</v>
      </c>
      <c r="AL60" s="82">
        <f t="shared" si="80"/>
        <v>0</v>
      </c>
      <c r="AM60" s="82" t="e">
        <f t="shared" si="81"/>
        <v>#DIV/0!</v>
      </c>
      <c r="AN60" s="77">
        <f t="shared" si="82"/>
        <v>0</v>
      </c>
      <c r="AO60" s="108">
        <f t="shared" si="83"/>
        <v>0</v>
      </c>
      <c r="AP60" s="107">
        <f t="shared" si="84"/>
        <v>0</v>
      </c>
      <c r="AQ60" s="107">
        <f t="shared" si="85"/>
        <v>0</v>
      </c>
      <c r="AR60" s="107">
        <f t="shared" si="86"/>
        <v>0</v>
      </c>
      <c r="AS60" s="109">
        <f t="shared" si="87"/>
        <v>0</v>
      </c>
      <c r="AT60" s="109">
        <f t="shared" si="88"/>
        <v>0</v>
      </c>
      <c r="AU60" s="109">
        <f t="shared" si="89"/>
        <v>0</v>
      </c>
      <c r="AW60" s="82">
        <f t="shared" si="90"/>
        <v>0</v>
      </c>
      <c r="AX60" s="82" t="e">
        <f t="shared" si="91"/>
        <v>#DIV/0!</v>
      </c>
      <c r="AY60" s="77">
        <f t="shared" si="92"/>
        <v>0</v>
      </c>
      <c r="AZ60" s="108">
        <f t="shared" si="93"/>
        <v>0</v>
      </c>
      <c r="BA60" s="107">
        <f t="shared" si="94"/>
        <v>0</v>
      </c>
      <c r="BB60" s="107">
        <f t="shared" si="95"/>
        <v>0</v>
      </c>
      <c r="BC60" s="107">
        <f t="shared" si="96"/>
        <v>0</v>
      </c>
      <c r="BD60" s="109">
        <f t="shared" si="97"/>
        <v>0</v>
      </c>
      <c r="BE60" s="109">
        <f t="shared" si="98"/>
        <v>0</v>
      </c>
      <c r="BF60" s="109">
        <f t="shared" si="99"/>
        <v>0</v>
      </c>
      <c r="BH60" s="82">
        <f t="shared" si="100"/>
        <v>0</v>
      </c>
      <c r="BI60" s="82" t="e">
        <f t="shared" si="101"/>
        <v>#DIV/0!</v>
      </c>
      <c r="BJ60" s="77">
        <f t="shared" si="102"/>
        <v>0</v>
      </c>
      <c r="BK60" s="108">
        <f t="shared" si="103"/>
        <v>0</v>
      </c>
      <c r="BL60" s="107">
        <f t="shared" si="104"/>
        <v>0</v>
      </c>
      <c r="BM60" s="107">
        <f t="shared" si="105"/>
        <v>0</v>
      </c>
      <c r="BN60" s="107">
        <f t="shared" si="106"/>
        <v>0</v>
      </c>
      <c r="BO60" s="109">
        <f t="shared" si="107"/>
        <v>0</v>
      </c>
      <c r="BP60" s="109">
        <f t="shared" si="108"/>
        <v>0</v>
      </c>
      <c r="BQ60" s="109">
        <f t="shared" si="109"/>
        <v>0</v>
      </c>
    </row>
    <row r="61" spans="1:69" x14ac:dyDescent="0.25">
      <c r="A61" s="101">
        <f t="shared" si="59"/>
        <v>37681</v>
      </c>
      <c r="B61" s="102">
        <f t="shared" si="47"/>
        <v>3.29</v>
      </c>
      <c r="C61" s="102">
        <f t="shared" si="60"/>
        <v>5.0000000000000001E-3</v>
      </c>
      <c r="D61" s="80">
        <f t="shared" si="48"/>
        <v>0.27500000000000002</v>
      </c>
      <c r="E61" s="106">
        <f t="shared" si="61"/>
        <v>1</v>
      </c>
      <c r="F61" s="104">
        <f t="shared" si="49"/>
        <v>4.92</v>
      </c>
      <c r="G61" s="104">
        <f t="shared" si="50"/>
        <v>3.5</v>
      </c>
      <c r="H61" s="104">
        <f t="shared" si="51"/>
        <v>2.96</v>
      </c>
      <c r="I61" s="104">
        <f t="shared" si="52"/>
        <v>2.99</v>
      </c>
      <c r="J61" s="80">
        <f t="shared" si="62"/>
        <v>0.114</v>
      </c>
      <c r="K61" s="80" t="e">
        <f t="shared" si="63"/>
        <v>#DIV/0!</v>
      </c>
      <c r="L61" s="80" t="e">
        <f t="shared" si="64"/>
        <v>#DIV/0!</v>
      </c>
      <c r="M61" s="80" t="e">
        <f t="shared" si="65"/>
        <v>#DIV/0!</v>
      </c>
      <c r="N61" s="80">
        <f t="shared" si="66"/>
        <v>0.38900000000000001</v>
      </c>
      <c r="O61" s="80" t="e">
        <f t="shared" si="67"/>
        <v>#DIV/0!</v>
      </c>
      <c r="P61" s="80" t="e">
        <f t="shared" si="68"/>
        <v>#DIV/0!</v>
      </c>
      <c r="Q61" s="80" t="e">
        <f t="shared" si="69"/>
        <v>#DIV/0!</v>
      </c>
      <c r="R61" s="105">
        <f t="shared" ca="1" si="70"/>
        <v>909</v>
      </c>
      <c r="S61" s="80">
        <f t="shared" si="53"/>
        <v>6.9121979445132001E-2</v>
      </c>
      <c r="T61" s="77">
        <v>0</v>
      </c>
      <c r="U61" s="182">
        <v>0</v>
      </c>
      <c r="V61" s="77">
        <v>2</v>
      </c>
      <c r="X61" s="182"/>
      <c r="Z61" s="82"/>
      <c r="AA61" s="82">
        <f t="shared" si="71"/>
        <v>0</v>
      </c>
      <c r="AB61" s="82">
        <f t="shared" si="54"/>
        <v>0</v>
      </c>
      <c r="AC61" s="77">
        <f t="shared" si="72"/>
        <v>0</v>
      </c>
      <c r="AD61" s="108">
        <f t="shared" si="73"/>
        <v>0</v>
      </c>
      <c r="AE61" s="107">
        <f t="shared" si="74"/>
        <v>0</v>
      </c>
      <c r="AF61" s="107">
        <f t="shared" si="75"/>
        <v>0</v>
      </c>
      <c r="AG61" s="107">
        <f t="shared" si="76"/>
        <v>0</v>
      </c>
      <c r="AH61" s="109">
        <f t="shared" si="77"/>
        <v>0</v>
      </c>
      <c r="AI61" s="109">
        <f t="shared" si="78"/>
        <v>0</v>
      </c>
      <c r="AJ61" s="109">
        <f t="shared" si="79"/>
        <v>0</v>
      </c>
      <c r="AL61" s="82">
        <f t="shared" si="80"/>
        <v>0</v>
      </c>
      <c r="AM61" s="82" t="e">
        <f t="shared" si="81"/>
        <v>#DIV/0!</v>
      </c>
      <c r="AN61" s="77">
        <f t="shared" si="82"/>
        <v>0</v>
      </c>
      <c r="AO61" s="108">
        <f t="shared" si="83"/>
        <v>0</v>
      </c>
      <c r="AP61" s="107">
        <f t="shared" si="84"/>
        <v>0</v>
      </c>
      <c r="AQ61" s="107">
        <f t="shared" si="85"/>
        <v>0</v>
      </c>
      <c r="AR61" s="107">
        <f t="shared" si="86"/>
        <v>0</v>
      </c>
      <c r="AS61" s="109">
        <f t="shared" si="87"/>
        <v>0</v>
      </c>
      <c r="AT61" s="109">
        <f t="shared" si="88"/>
        <v>0</v>
      </c>
      <c r="AU61" s="109">
        <f t="shared" si="89"/>
        <v>0</v>
      </c>
      <c r="AW61" s="82">
        <f t="shared" si="90"/>
        <v>0</v>
      </c>
      <c r="AX61" s="82" t="e">
        <f t="shared" si="91"/>
        <v>#DIV/0!</v>
      </c>
      <c r="AY61" s="77">
        <f t="shared" si="92"/>
        <v>0</v>
      </c>
      <c r="AZ61" s="108">
        <f t="shared" si="93"/>
        <v>0</v>
      </c>
      <c r="BA61" s="107">
        <f t="shared" si="94"/>
        <v>0</v>
      </c>
      <c r="BB61" s="107">
        <f t="shared" si="95"/>
        <v>0</v>
      </c>
      <c r="BC61" s="107">
        <f t="shared" si="96"/>
        <v>0</v>
      </c>
      <c r="BD61" s="109">
        <f t="shared" si="97"/>
        <v>0</v>
      </c>
      <c r="BE61" s="109">
        <f t="shared" si="98"/>
        <v>0</v>
      </c>
      <c r="BF61" s="109">
        <f t="shared" si="99"/>
        <v>0</v>
      </c>
      <c r="BH61" s="82">
        <f t="shared" si="100"/>
        <v>0</v>
      </c>
      <c r="BI61" s="82" t="e">
        <f t="shared" si="101"/>
        <v>#DIV/0!</v>
      </c>
      <c r="BJ61" s="77">
        <f t="shared" si="102"/>
        <v>0</v>
      </c>
      <c r="BK61" s="108">
        <f t="shared" si="103"/>
        <v>0</v>
      </c>
      <c r="BL61" s="107">
        <f t="shared" si="104"/>
        <v>0</v>
      </c>
      <c r="BM61" s="107">
        <f t="shared" si="105"/>
        <v>0</v>
      </c>
      <c r="BN61" s="107">
        <f t="shared" si="106"/>
        <v>0</v>
      </c>
      <c r="BO61" s="109">
        <f t="shared" si="107"/>
        <v>0</v>
      </c>
      <c r="BP61" s="109">
        <f t="shared" si="108"/>
        <v>0</v>
      </c>
      <c r="BQ61" s="109">
        <f t="shared" si="109"/>
        <v>0</v>
      </c>
    </row>
    <row r="62" spans="1:69" x14ac:dyDescent="0.25">
      <c r="A62" s="101">
        <f t="shared" si="59"/>
        <v>37712</v>
      </c>
      <c r="B62" s="102">
        <f t="shared" si="47"/>
        <v>3.1120000000000001</v>
      </c>
      <c r="C62" s="102">
        <f t="shared" si="60"/>
        <v>5.0000000000000001E-3</v>
      </c>
      <c r="D62" s="80">
        <f t="shared" si="48"/>
        <v>0.26250000000000001</v>
      </c>
      <c r="E62" s="106">
        <f t="shared" si="61"/>
        <v>1</v>
      </c>
      <c r="F62" s="104">
        <f t="shared" si="49"/>
        <v>4.92</v>
      </c>
      <c r="G62" s="104">
        <f t="shared" si="50"/>
        <v>3.5</v>
      </c>
      <c r="H62" s="104">
        <f t="shared" si="51"/>
        <v>2.96</v>
      </c>
      <c r="I62" s="104">
        <f t="shared" si="52"/>
        <v>2.99</v>
      </c>
      <c r="J62" s="80">
        <f t="shared" si="62"/>
        <v>0.114</v>
      </c>
      <c r="K62" s="80" t="e">
        <f t="shared" si="63"/>
        <v>#DIV/0!</v>
      </c>
      <c r="L62" s="80" t="e">
        <f t="shared" si="64"/>
        <v>#DIV/0!</v>
      </c>
      <c r="M62" s="80" t="e">
        <f t="shared" si="65"/>
        <v>#DIV/0!</v>
      </c>
      <c r="N62" s="80">
        <f t="shared" si="66"/>
        <v>0.3765</v>
      </c>
      <c r="O62" s="80" t="e">
        <f t="shared" si="67"/>
        <v>#DIV/0!</v>
      </c>
      <c r="P62" s="80" t="e">
        <f t="shared" si="68"/>
        <v>#DIV/0!</v>
      </c>
      <c r="Q62" s="80" t="e">
        <f t="shared" si="69"/>
        <v>#DIV/0!</v>
      </c>
      <c r="R62" s="105">
        <f t="shared" ca="1" si="70"/>
        <v>938</v>
      </c>
      <c r="S62" s="80">
        <f t="shared" si="53"/>
        <v>6.9125864762811004E-2</v>
      </c>
      <c r="T62" s="77">
        <v>0</v>
      </c>
      <c r="U62" s="182">
        <v>0</v>
      </c>
      <c r="V62" s="77">
        <v>2</v>
      </c>
      <c r="X62" s="182"/>
      <c r="Z62" s="82"/>
      <c r="AA62" s="82">
        <f t="shared" si="71"/>
        <v>0</v>
      </c>
      <c r="AB62" s="82">
        <f t="shared" si="54"/>
        <v>0</v>
      </c>
      <c r="AC62" s="77">
        <f t="shared" si="72"/>
        <v>0</v>
      </c>
      <c r="AD62" s="108">
        <f t="shared" si="73"/>
        <v>0</v>
      </c>
      <c r="AE62" s="107">
        <f t="shared" si="74"/>
        <v>0</v>
      </c>
      <c r="AF62" s="107">
        <f t="shared" si="75"/>
        <v>0</v>
      </c>
      <c r="AG62" s="107">
        <f t="shared" si="76"/>
        <v>0</v>
      </c>
      <c r="AH62" s="109">
        <f t="shared" si="77"/>
        <v>0</v>
      </c>
      <c r="AI62" s="109">
        <f t="shared" si="78"/>
        <v>0</v>
      </c>
      <c r="AJ62" s="109">
        <f t="shared" si="79"/>
        <v>0</v>
      </c>
      <c r="AL62" s="82">
        <f t="shared" si="80"/>
        <v>0</v>
      </c>
      <c r="AM62" s="82" t="e">
        <f t="shared" si="81"/>
        <v>#DIV/0!</v>
      </c>
      <c r="AN62" s="77">
        <f t="shared" si="82"/>
        <v>0</v>
      </c>
      <c r="AO62" s="108">
        <f t="shared" si="83"/>
        <v>0</v>
      </c>
      <c r="AP62" s="107">
        <f t="shared" si="84"/>
        <v>0</v>
      </c>
      <c r="AQ62" s="107">
        <f t="shared" si="85"/>
        <v>0</v>
      </c>
      <c r="AR62" s="107">
        <f t="shared" si="86"/>
        <v>0</v>
      </c>
      <c r="AS62" s="109">
        <f t="shared" si="87"/>
        <v>0</v>
      </c>
      <c r="AT62" s="109">
        <f t="shared" si="88"/>
        <v>0</v>
      </c>
      <c r="AU62" s="109">
        <f t="shared" si="89"/>
        <v>0</v>
      </c>
      <c r="AW62" s="82">
        <f t="shared" si="90"/>
        <v>0</v>
      </c>
      <c r="AX62" s="82" t="e">
        <f t="shared" si="91"/>
        <v>#DIV/0!</v>
      </c>
      <c r="AY62" s="77">
        <f t="shared" si="92"/>
        <v>0</v>
      </c>
      <c r="AZ62" s="108">
        <f t="shared" si="93"/>
        <v>0</v>
      </c>
      <c r="BA62" s="107">
        <f t="shared" si="94"/>
        <v>0</v>
      </c>
      <c r="BB62" s="107">
        <f t="shared" si="95"/>
        <v>0</v>
      </c>
      <c r="BC62" s="107">
        <f t="shared" si="96"/>
        <v>0</v>
      </c>
      <c r="BD62" s="109">
        <f t="shared" si="97"/>
        <v>0</v>
      </c>
      <c r="BE62" s="109">
        <f t="shared" si="98"/>
        <v>0</v>
      </c>
      <c r="BF62" s="109">
        <f t="shared" si="99"/>
        <v>0</v>
      </c>
      <c r="BH62" s="82">
        <f t="shared" si="100"/>
        <v>0</v>
      </c>
      <c r="BI62" s="82" t="e">
        <f t="shared" si="101"/>
        <v>#DIV/0!</v>
      </c>
      <c r="BJ62" s="77">
        <f t="shared" si="102"/>
        <v>0</v>
      </c>
      <c r="BK62" s="108">
        <f t="shared" si="103"/>
        <v>0</v>
      </c>
      <c r="BL62" s="107">
        <f t="shared" si="104"/>
        <v>0</v>
      </c>
      <c r="BM62" s="107">
        <f t="shared" si="105"/>
        <v>0</v>
      </c>
      <c r="BN62" s="107">
        <f t="shared" si="106"/>
        <v>0</v>
      </c>
      <c r="BO62" s="109">
        <f t="shared" si="107"/>
        <v>0</v>
      </c>
      <c r="BP62" s="109">
        <f t="shared" si="108"/>
        <v>0</v>
      </c>
      <c r="BQ62" s="109">
        <f t="shared" si="109"/>
        <v>0</v>
      </c>
    </row>
    <row r="63" spans="1:69" x14ac:dyDescent="0.25">
      <c r="A63" s="101">
        <f t="shared" si="59"/>
        <v>37742</v>
      </c>
      <c r="B63" s="102">
        <f t="shared" si="47"/>
        <v>3.097</v>
      </c>
      <c r="C63" s="102">
        <f t="shared" si="60"/>
        <v>5.0000000000000001E-3</v>
      </c>
      <c r="D63" s="80">
        <f t="shared" si="48"/>
        <v>0.25750000000000001</v>
      </c>
      <c r="E63" s="106">
        <f t="shared" si="61"/>
        <v>1</v>
      </c>
      <c r="F63" s="104">
        <f t="shared" si="49"/>
        <v>4.92</v>
      </c>
      <c r="G63" s="104">
        <f t="shared" si="50"/>
        <v>3.5</v>
      </c>
      <c r="H63" s="104">
        <f t="shared" si="51"/>
        <v>2.96</v>
      </c>
      <c r="I63" s="104">
        <f t="shared" si="52"/>
        <v>2.99</v>
      </c>
      <c r="J63" s="80">
        <f t="shared" si="62"/>
        <v>0.114</v>
      </c>
      <c r="K63" s="80" t="e">
        <f t="shared" si="63"/>
        <v>#DIV/0!</v>
      </c>
      <c r="L63" s="80" t="e">
        <f t="shared" si="64"/>
        <v>#DIV/0!</v>
      </c>
      <c r="M63" s="80" t="e">
        <f t="shared" si="65"/>
        <v>#DIV/0!</v>
      </c>
      <c r="N63" s="80">
        <f t="shared" si="66"/>
        <v>0.3715</v>
      </c>
      <c r="O63" s="80" t="e">
        <f t="shared" si="67"/>
        <v>#DIV/0!</v>
      </c>
      <c r="P63" s="80" t="e">
        <f t="shared" si="68"/>
        <v>#DIV/0!</v>
      </c>
      <c r="Q63" s="80" t="e">
        <f t="shared" si="69"/>
        <v>#DIV/0!</v>
      </c>
      <c r="R63" s="105">
        <f t="shared" ca="1" si="70"/>
        <v>970</v>
      </c>
      <c r="S63" s="80">
        <f t="shared" si="53"/>
        <v>6.9116714336692017E-2</v>
      </c>
      <c r="T63" s="77">
        <v>0</v>
      </c>
      <c r="U63" s="182">
        <v>0</v>
      </c>
      <c r="V63" s="77">
        <v>2</v>
      </c>
      <c r="X63" s="182"/>
      <c r="Z63" s="82"/>
      <c r="AA63" s="82">
        <f t="shared" si="71"/>
        <v>0</v>
      </c>
      <c r="AB63" s="82">
        <f t="shared" si="54"/>
        <v>0</v>
      </c>
      <c r="AC63" s="77">
        <f t="shared" si="72"/>
        <v>0</v>
      </c>
      <c r="AD63" s="108">
        <f t="shared" si="73"/>
        <v>0</v>
      </c>
      <c r="AE63" s="107">
        <f t="shared" si="74"/>
        <v>0</v>
      </c>
      <c r="AF63" s="107">
        <f t="shared" si="75"/>
        <v>0</v>
      </c>
      <c r="AG63" s="107">
        <f t="shared" si="76"/>
        <v>0</v>
      </c>
      <c r="AH63" s="109">
        <f t="shared" si="77"/>
        <v>0</v>
      </c>
      <c r="AI63" s="109">
        <f t="shared" si="78"/>
        <v>0</v>
      </c>
      <c r="AJ63" s="109">
        <f t="shared" si="79"/>
        <v>0</v>
      </c>
      <c r="AL63" s="82">
        <f t="shared" si="80"/>
        <v>0</v>
      </c>
      <c r="AM63" s="82" t="e">
        <f t="shared" si="81"/>
        <v>#DIV/0!</v>
      </c>
      <c r="AN63" s="77">
        <f t="shared" si="82"/>
        <v>0</v>
      </c>
      <c r="AO63" s="108">
        <f t="shared" si="83"/>
        <v>0</v>
      </c>
      <c r="AP63" s="107">
        <f t="shared" si="84"/>
        <v>0</v>
      </c>
      <c r="AQ63" s="107">
        <f t="shared" si="85"/>
        <v>0</v>
      </c>
      <c r="AR63" s="107">
        <f t="shared" si="86"/>
        <v>0</v>
      </c>
      <c r="AS63" s="109">
        <f t="shared" si="87"/>
        <v>0</v>
      </c>
      <c r="AT63" s="109">
        <f t="shared" si="88"/>
        <v>0</v>
      </c>
      <c r="AU63" s="109">
        <f t="shared" si="89"/>
        <v>0</v>
      </c>
      <c r="AW63" s="82">
        <f t="shared" si="90"/>
        <v>0</v>
      </c>
      <c r="AX63" s="82" t="e">
        <f t="shared" si="91"/>
        <v>#DIV/0!</v>
      </c>
      <c r="AY63" s="77">
        <f t="shared" si="92"/>
        <v>0</v>
      </c>
      <c r="AZ63" s="108">
        <f t="shared" si="93"/>
        <v>0</v>
      </c>
      <c r="BA63" s="107">
        <f t="shared" si="94"/>
        <v>0</v>
      </c>
      <c r="BB63" s="107">
        <f t="shared" si="95"/>
        <v>0</v>
      </c>
      <c r="BC63" s="107">
        <f t="shared" si="96"/>
        <v>0</v>
      </c>
      <c r="BD63" s="109">
        <f t="shared" si="97"/>
        <v>0</v>
      </c>
      <c r="BE63" s="109">
        <f t="shared" si="98"/>
        <v>0</v>
      </c>
      <c r="BF63" s="109">
        <f t="shared" si="99"/>
        <v>0</v>
      </c>
      <c r="BH63" s="82">
        <f t="shared" si="100"/>
        <v>0</v>
      </c>
      <c r="BI63" s="82" t="e">
        <f t="shared" si="101"/>
        <v>#DIV/0!</v>
      </c>
      <c r="BJ63" s="77">
        <f t="shared" si="102"/>
        <v>0</v>
      </c>
      <c r="BK63" s="108">
        <f t="shared" si="103"/>
        <v>0</v>
      </c>
      <c r="BL63" s="107">
        <f t="shared" si="104"/>
        <v>0</v>
      </c>
      <c r="BM63" s="107">
        <f t="shared" si="105"/>
        <v>0</v>
      </c>
      <c r="BN63" s="107">
        <f t="shared" si="106"/>
        <v>0</v>
      </c>
      <c r="BO63" s="109">
        <f t="shared" si="107"/>
        <v>0</v>
      </c>
      <c r="BP63" s="109">
        <f t="shared" si="108"/>
        <v>0</v>
      </c>
      <c r="BQ63" s="109">
        <f t="shared" si="109"/>
        <v>0</v>
      </c>
    </row>
    <row r="64" spans="1:69" x14ac:dyDescent="0.25">
      <c r="A64" s="101">
        <f t="shared" si="59"/>
        <v>37773</v>
      </c>
      <c r="B64" s="102">
        <f t="shared" si="47"/>
        <v>3.117</v>
      </c>
      <c r="C64" s="102">
        <f t="shared" si="60"/>
        <v>5.0000000000000001E-3</v>
      </c>
      <c r="D64" s="80">
        <f t="shared" si="48"/>
        <v>0.255</v>
      </c>
      <c r="E64" s="106">
        <f t="shared" si="61"/>
        <v>1</v>
      </c>
      <c r="F64" s="104">
        <f t="shared" si="49"/>
        <v>4.92</v>
      </c>
      <c r="G64" s="104">
        <f t="shared" si="50"/>
        <v>3.5</v>
      </c>
      <c r="H64" s="104">
        <f t="shared" si="51"/>
        <v>2.96</v>
      </c>
      <c r="I64" s="104">
        <f t="shared" si="52"/>
        <v>2.99</v>
      </c>
      <c r="J64" s="80">
        <f t="shared" si="62"/>
        <v>0.114</v>
      </c>
      <c r="K64" s="80" t="e">
        <f t="shared" si="63"/>
        <v>#DIV/0!</v>
      </c>
      <c r="L64" s="80" t="e">
        <f t="shared" si="64"/>
        <v>#DIV/0!</v>
      </c>
      <c r="M64" s="80" t="e">
        <f t="shared" si="65"/>
        <v>#DIV/0!</v>
      </c>
      <c r="N64" s="80">
        <f t="shared" si="66"/>
        <v>0.36899999999999999</v>
      </c>
      <c r="O64" s="80" t="e">
        <f t="shared" si="67"/>
        <v>#DIV/0!</v>
      </c>
      <c r="P64" s="80" t="e">
        <f t="shared" si="68"/>
        <v>#DIV/0!</v>
      </c>
      <c r="Q64" s="80" t="e">
        <f t="shared" si="69"/>
        <v>#DIV/0!</v>
      </c>
      <c r="R64" s="105">
        <f t="shared" ca="1" si="70"/>
        <v>1000</v>
      </c>
      <c r="S64" s="80">
        <f t="shared" si="53"/>
        <v>6.9107258896399015E-2</v>
      </c>
      <c r="T64" s="77">
        <v>0</v>
      </c>
      <c r="U64" s="182">
        <v>0</v>
      </c>
      <c r="V64" s="77">
        <v>2</v>
      </c>
      <c r="X64" s="182"/>
      <c r="Z64" s="82"/>
      <c r="AA64" s="82">
        <f t="shared" si="71"/>
        <v>0</v>
      </c>
      <c r="AB64" s="82">
        <f t="shared" si="54"/>
        <v>0</v>
      </c>
      <c r="AC64" s="77">
        <f t="shared" si="72"/>
        <v>0</v>
      </c>
      <c r="AD64" s="108">
        <f t="shared" si="73"/>
        <v>0</v>
      </c>
      <c r="AE64" s="107">
        <f t="shared" si="74"/>
        <v>0</v>
      </c>
      <c r="AF64" s="107">
        <f t="shared" si="75"/>
        <v>0</v>
      </c>
      <c r="AG64" s="107">
        <f t="shared" si="76"/>
        <v>0</v>
      </c>
      <c r="AH64" s="109">
        <f t="shared" si="77"/>
        <v>0</v>
      </c>
      <c r="AI64" s="109">
        <f t="shared" si="78"/>
        <v>0</v>
      </c>
      <c r="AJ64" s="109">
        <f t="shared" si="79"/>
        <v>0</v>
      </c>
      <c r="AL64" s="82">
        <f t="shared" si="80"/>
        <v>0</v>
      </c>
      <c r="AM64" s="82" t="e">
        <f t="shared" si="81"/>
        <v>#DIV/0!</v>
      </c>
      <c r="AN64" s="77">
        <f t="shared" si="82"/>
        <v>0</v>
      </c>
      <c r="AO64" s="108">
        <f t="shared" si="83"/>
        <v>0</v>
      </c>
      <c r="AP64" s="107">
        <f t="shared" si="84"/>
        <v>0</v>
      </c>
      <c r="AQ64" s="107">
        <f t="shared" si="85"/>
        <v>0</v>
      </c>
      <c r="AR64" s="107">
        <f t="shared" si="86"/>
        <v>0</v>
      </c>
      <c r="AS64" s="109">
        <f t="shared" si="87"/>
        <v>0</v>
      </c>
      <c r="AT64" s="109">
        <f t="shared" si="88"/>
        <v>0</v>
      </c>
      <c r="AU64" s="109">
        <f t="shared" si="89"/>
        <v>0</v>
      </c>
      <c r="AW64" s="82">
        <f t="shared" si="90"/>
        <v>0</v>
      </c>
      <c r="AX64" s="82" t="e">
        <f t="shared" si="91"/>
        <v>#DIV/0!</v>
      </c>
      <c r="AY64" s="77">
        <f t="shared" si="92"/>
        <v>0</v>
      </c>
      <c r="AZ64" s="108">
        <f t="shared" si="93"/>
        <v>0</v>
      </c>
      <c r="BA64" s="107">
        <f t="shared" si="94"/>
        <v>0</v>
      </c>
      <c r="BB64" s="107">
        <f t="shared" si="95"/>
        <v>0</v>
      </c>
      <c r="BC64" s="107">
        <f t="shared" si="96"/>
        <v>0</v>
      </c>
      <c r="BD64" s="109">
        <f t="shared" si="97"/>
        <v>0</v>
      </c>
      <c r="BE64" s="109">
        <f t="shared" si="98"/>
        <v>0</v>
      </c>
      <c r="BF64" s="109">
        <f t="shared" si="99"/>
        <v>0</v>
      </c>
      <c r="BH64" s="82">
        <f t="shared" si="100"/>
        <v>0</v>
      </c>
      <c r="BI64" s="82" t="e">
        <f t="shared" si="101"/>
        <v>#DIV/0!</v>
      </c>
      <c r="BJ64" s="77">
        <f t="shared" si="102"/>
        <v>0</v>
      </c>
      <c r="BK64" s="108">
        <f t="shared" si="103"/>
        <v>0</v>
      </c>
      <c r="BL64" s="107">
        <f t="shared" si="104"/>
        <v>0</v>
      </c>
      <c r="BM64" s="107">
        <f t="shared" si="105"/>
        <v>0</v>
      </c>
      <c r="BN64" s="107">
        <f t="shared" si="106"/>
        <v>0</v>
      </c>
      <c r="BO64" s="109">
        <f t="shared" si="107"/>
        <v>0</v>
      </c>
      <c r="BP64" s="109">
        <f t="shared" si="108"/>
        <v>0</v>
      </c>
      <c r="BQ64" s="109">
        <f t="shared" si="109"/>
        <v>0</v>
      </c>
    </row>
    <row r="65" spans="1:69" x14ac:dyDescent="0.25">
      <c r="A65" s="101">
        <f t="shared" si="59"/>
        <v>37803</v>
      </c>
      <c r="B65" s="102">
        <f t="shared" si="47"/>
        <v>3.1390000000000002</v>
      </c>
      <c r="C65" s="102">
        <f t="shared" si="60"/>
        <v>5.0000000000000001E-3</v>
      </c>
      <c r="D65" s="80">
        <f t="shared" si="48"/>
        <v>0.255</v>
      </c>
      <c r="E65" s="106">
        <f t="shared" si="61"/>
        <v>1</v>
      </c>
      <c r="F65" s="104">
        <f t="shared" si="49"/>
        <v>4.92</v>
      </c>
      <c r="G65" s="104">
        <f t="shared" si="50"/>
        <v>3.5</v>
      </c>
      <c r="H65" s="104">
        <f t="shared" si="51"/>
        <v>2.96</v>
      </c>
      <c r="I65" s="104">
        <f t="shared" si="52"/>
        <v>2.99</v>
      </c>
      <c r="J65" s="80">
        <f t="shared" si="62"/>
        <v>0.114</v>
      </c>
      <c r="K65" s="80" t="e">
        <f t="shared" si="63"/>
        <v>#DIV/0!</v>
      </c>
      <c r="L65" s="80" t="e">
        <f t="shared" si="64"/>
        <v>#DIV/0!</v>
      </c>
      <c r="M65" s="80" t="e">
        <f t="shared" si="65"/>
        <v>#DIV/0!</v>
      </c>
      <c r="N65" s="80">
        <f t="shared" si="66"/>
        <v>0.36899999999999999</v>
      </c>
      <c r="O65" s="80" t="e">
        <f t="shared" si="67"/>
        <v>#DIV/0!</v>
      </c>
      <c r="P65" s="80" t="e">
        <f t="shared" si="68"/>
        <v>#DIV/0!</v>
      </c>
      <c r="Q65" s="80" t="e">
        <f t="shared" si="69"/>
        <v>#DIV/0!</v>
      </c>
      <c r="R65" s="105">
        <f t="shared" ca="1" si="70"/>
        <v>1029</v>
      </c>
      <c r="S65" s="80">
        <f t="shared" si="53"/>
        <v>6.9098977225039007E-2</v>
      </c>
      <c r="T65" s="77">
        <v>0</v>
      </c>
      <c r="U65" s="182">
        <v>0</v>
      </c>
      <c r="V65" s="77">
        <v>2</v>
      </c>
      <c r="X65" s="182"/>
      <c r="Z65" s="82"/>
      <c r="AA65" s="82">
        <f t="shared" si="71"/>
        <v>0</v>
      </c>
      <c r="AB65" s="82">
        <f t="shared" si="54"/>
        <v>0</v>
      </c>
      <c r="AC65" s="77">
        <f t="shared" si="72"/>
        <v>0</v>
      </c>
      <c r="AD65" s="108">
        <f t="shared" si="73"/>
        <v>0</v>
      </c>
      <c r="AE65" s="107">
        <f t="shared" si="74"/>
        <v>0</v>
      </c>
      <c r="AF65" s="107">
        <f t="shared" si="75"/>
        <v>0</v>
      </c>
      <c r="AG65" s="107">
        <f t="shared" si="76"/>
        <v>0</v>
      </c>
      <c r="AH65" s="109">
        <f t="shared" si="77"/>
        <v>0</v>
      </c>
      <c r="AI65" s="109">
        <f t="shared" si="78"/>
        <v>0</v>
      </c>
      <c r="AJ65" s="109">
        <f t="shared" si="79"/>
        <v>0</v>
      </c>
      <c r="AL65" s="82">
        <f t="shared" si="80"/>
        <v>0</v>
      </c>
      <c r="AM65" s="82" t="e">
        <f t="shared" si="81"/>
        <v>#DIV/0!</v>
      </c>
      <c r="AN65" s="77">
        <f t="shared" si="82"/>
        <v>0</v>
      </c>
      <c r="AO65" s="108">
        <f t="shared" si="83"/>
        <v>0</v>
      </c>
      <c r="AP65" s="107">
        <f t="shared" si="84"/>
        <v>0</v>
      </c>
      <c r="AQ65" s="107">
        <f t="shared" si="85"/>
        <v>0</v>
      </c>
      <c r="AR65" s="107">
        <f t="shared" si="86"/>
        <v>0</v>
      </c>
      <c r="AS65" s="109">
        <f t="shared" si="87"/>
        <v>0</v>
      </c>
      <c r="AT65" s="109">
        <f t="shared" si="88"/>
        <v>0</v>
      </c>
      <c r="AU65" s="109">
        <f t="shared" si="89"/>
        <v>0</v>
      </c>
      <c r="AW65" s="82">
        <f t="shared" si="90"/>
        <v>0</v>
      </c>
      <c r="AX65" s="82" t="e">
        <f t="shared" si="91"/>
        <v>#DIV/0!</v>
      </c>
      <c r="AY65" s="77">
        <f t="shared" si="92"/>
        <v>0</v>
      </c>
      <c r="AZ65" s="108">
        <f t="shared" si="93"/>
        <v>0</v>
      </c>
      <c r="BA65" s="107">
        <f t="shared" si="94"/>
        <v>0</v>
      </c>
      <c r="BB65" s="107">
        <f t="shared" si="95"/>
        <v>0</v>
      </c>
      <c r="BC65" s="107">
        <f t="shared" si="96"/>
        <v>0</v>
      </c>
      <c r="BD65" s="109">
        <f t="shared" si="97"/>
        <v>0</v>
      </c>
      <c r="BE65" s="109">
        <f t="shared" si="98"/>
        <v>0</v>
      </c>
      <c r="BF65" s="109">
        <f t="shared" si="99"/>
        <v>0</v>
      </c>
      <c r="BH65" s="82">
        <f t="shared" si="100"/>
        <v>0</v>
      </c>
      <c r="BI65" s="82" t="e">
        <f t="shared" si="101"/>
        <v>#DIV/0!</v>
      </c>
      <c r="BJ65" s="77">
        <f t="shared" si="102"/>
        <v>0</v>
      </c>
      <c r="BK65" s="108">
        <f t="shared" si="103"/>
        <v>0</v>
      </c>
      <c r="BL65" s="107">
        <f t="shared" si="104"/>
        <v>0</v>
      </c>
      <c r="BM65" s="107">
        <f t="shared" si="105"/>
        <v>0</v>
      </c>
      <c r="BN65" s="107">
        <f t="shared" si="106"/>
        <v>0</v>
      </c>
      <c r="BO65" s="109">
        <f t="shared" si="107"/>
        <v>0</v>
      </c>
      <c r="BP65" s="109">
        <f t="shared" si="108"/>
        <v>0</v>
      </c>
      <c r="BQ65" s="109">
        <f t="shared" si="109"/>
        <v>0</v>
      </c>
    </row>
    <row r="66" spans="1:69" x14ac:dyDescent="0.25">
      <c r="A66" s="101">
        <f t="shared" si="59"/>
        <v>37834</v>
      </c>
      <c r="B66" s="102">
        <f t="shared" si="47"/>
        <v>3.16</v>
      </c>
      <c r="C66" s="102">
        <f t="shared" si="60"/>
        <v>5.0000000000000001E-3</v>
      </c>
      <c r="D66" s="80">
        <f t="shared" si="48"/>
        <v>0.255</v>
      </c>
      <c r="E66" s="106">
        <f t="shared" si="61"/>
        <v>1</v>
      </c>
      <c r="F66" s="104">
        <f t="shared" si="49"/>
        <v>4.92</v>
      </c>
      <c r="G66" s="104">
        <f t="shared" si="50"/>
        <v>3.5</v>
      </c>
      <c r="H66" s="104">
        <f t="shared" si="51"/>
        <v>2.96</v>
      </c>
      <c r="I66" s="104">
        <f t="shared" si="52"/>
        <v>2.99</v>
      </c>
      <c r="J66" s="80">
        <f t="shared" si="62"/>
        <v>0.114</v>
      </c>
      <c r="K66" s="80" t="e">
        <f t="shared" si="63"/>
        <v>#DIV/0!</v>
      </c>
      <c r="L66" s="80" t="e">
        <f t="shared" si="64"/>
        <v>#DIV/0!</v>
      </c>
      <c r="M66" s="80" t="e">
        <f t="shared" si="65"/>
        <v>#DIV/0!</v>
      </c>
      <c r="N66" s="80">
        <f t="shared" si="66"/>
        <v>0.36899999999999999</v>
      </c>
      <c r="O66" s="80" t="e">
        <f t="shared" si="67"/>
        <v>#DIV/0!</v>
      </c>
      <c r="P66" s="80" t="e">
        <f t="shared" si="68"/>
        <v>#DIV/0!</v>
      </c>
      <c r="Q66" s="80" t="e">
        <f t="shared" si="69"/>
        <v>#DIV/0!</v>
      </c>
      <c r="R66" s="105">
        <f t="shared" ca="1" si="70"/>
        <v>1062</v>
      </c>
      <c r="S66" s="80">
        <f t="shared" si="53"/>
        <v>6.9091668761529015E-2</v>
      </c>
      <c r="T66" s="77">
        <v>0</v>
      </c>
      <c r="U66" s="182">
        <v>0</v>
      </c>
      <c r="V66" s="77">
        <v>3</v>
      </c>
      <c r="X66" s="182"/>
      <c r="Z66" s="82"/>
      <c r="AA66" s="82">
        <f t="shared" si="71"/>
        <v>0</v>
      </c>
      <c r="AB66" s="82">
        <f t="shared" si="54"/>
        <v>0</v>
      </c>
      <c r="AC66" s="77">
        <f t="shared" si="72"/>
        <v>0</v>
      </c>
      <c r="AD66" s="108">
        <f t="shared" si="73"/>
        <v>0</v>
      </c>
      <c r="AE66" s="107">
        <f t="shared" si="74"/>
        <v>0</v>
      </c>
      <c r="AF66" s="107">
        <f t="shared" si="75"/>
        <v>0</v>
      </c>
      <c r="AG66" s="107">
        <f t="shared" si="76"/>
        <v>0</v>
      </c>
      <c r="AH66" s="109">
        <f t="shared" si="77"/>
        <v>0</v>
      </c>
      <c r="AI66" s="109">
        <f t="shared" si="78"/>
        <v>0</v>
      </c>
      <c r="AJ66" s="109">
        <f t="shared" si="79"/>
        <v>0</v>
      </c>
      <c r="AL66" s="82">
        <f t="shared" si="80"/>
        <v>0</v>
      </c>
      <c r="AM66" s="82" t="e">
        <f t="shared" si="81"/>
        <v>#DIV/0!</v>
      </c>
      <c r="AN66" s="77">
        <f t="shared" si="82"/>
        <v>0</v>
      </c>
      <c r="AO66" s="108">
        <f t="shared" si="83"/>
        <v>0</v>
      </c>
      <c r="AP66" s="107">
        <f t="shared" si="84"/>
        <v>0</v>
      </c>
      <c r="AQ66" s="107">
        <f t="shared" si="85"/>
        <v>0</v>
      </c>
      <c r="AR66" s="107">
        <f t="shared" si="86"/>
        <v>0</v>
      </c>
      <c r="AS66" s="109">
        <f t="shared" si="87"/>
        <v>0</v>
      </c>
      <c r="AT66" s="109">
        <f t="shared" si="88"/>
        <v>0</v>
      </c>
      <c r="AU66" s="109">
        <f t="shared" si="89"/>
        <v>0</v>
      </c>
      <c r="AW66" s="82">
        <f t="shared" si="90"/>
        <v>0</v>
      </c>
      <c r="AX66" s="82" t="e">
        <f t="shared" si="91"/>
        <v>#DIV/0!</v>
      </c>
      <c r="AY66" s="77">
        <f t="shared" si="92"/>
        <v>0</v>
      </c>
      <c r="AZ66" s="108">
        <f t="shared" si="93"/>
        <v>0</v>
      </c>
      <c r="BA66" s="107">
        <f t="shared" si="94"/>
        <v>0</v>
      </c>
      <c r="BB66" s="107">
        <f t="shared" si="95"/>
        <v>0</v>
      </c>
      <c r="BC66" s="107">
        <f t="shared" si="96"/>
        <v>0</v>
      </c>
      <c r="BD66" s="109">
        <f t="shared" si="97"/>
        <v>0</v>
      </c>
      <c r="BE66" s="109">
        <f t="shared" si="98"/>
        <v>0</v>
      </c>
      <c r="BF66" s="109">
        <f t="shared" si="99"/>
        <v>0</v>
      </c>
      <c r="BH66" s="82">
        <f t="shared" si="100"/>
        <v>0</v>
      </c>
      <c r="BI66" s="82" t="e">
        <f t="shared" si="101"/>
        <v>#DIV/0!</v>
      </c>
      <c r="BJ66" s="77">
        <f t="shared" si="102"/>
        <v>0</v>
      </c>
      <c r="BK66" s="108">
        <f t="shared" si="103"/>
        <v>0</v>
      </c>
      <c r="BL66" s="107">
        <f t="shared" si="104"/>
        <v>0</v>
      </c>
      <c r="BM66" s="107">
        <f t="shared" si="105"/>
        <v>0</v>
      </c>
      <c r="BN66" s="107">
        <f t="shared" si="106"/>
        <v>0</v>
      </c>
      <c r="BO66" s="109">
        <f t="shared" si="107"/>
        <v>0</v>
      </c>
      <c r="BP66" s="109">
        <f t="shared" si="108"/>
        <v>0</v>
      </c>
      <c r="BQ66" s="109">
        <f t="shared" si="109"/>
        <v>0</v>
      </c>
    </row>
    <row r="67" spans="1:69" x14ac:dyDescent="0.25">
      <c r="A67" s="101">
        <f t="shared" si="59"/>
        <v>37865</v>
      </c>
      <c r="B67" s="102">
        <f t="shared" si="47"/>
        <v>3.15</v>
      </c>
      <c r="C67" s="102">
        <f t="shared" si="60"/>
        <v>5.0000000000000001E-3</v>
      </c>
      <c r="D67" s="80">
        <f t="shared" si="48"/>
        <v>0.255</v>
      </c>
      <c r="E67" s="106">
        <f t="shared" si="61"/>
        <v>1</v>
      </c>
      <c r="F67" s="104">
        <f t="shared" si="49"/>
        <v>4.92</v>
      </c>
      <c r="G67" s="104">
        <f t="shared" si="50"/>
        <v>3.5</v>
      </c>
      <c r="H67" s="104">
        <f t="shared" si="51"/>
        <v>2.96</v>
      </c>
      <c r="I67" s="104">
        <f t="shared" si="52"/>
        <v>2.99</v>
      </c>
      <c r="J67" s="80">
        <f t="shared" si="62"/>
        <v>0.114</v>
      </c>
      <c r="K67" s="80" t="e">
        <f t="shared" si="63"/>
        <v>#DIV/0!</v>
      </c>
      <c r="L67" s="80" t="e">
        <f t="shared" si="64"/>
        <v>#DIV/0!</v>
      </c>
      <c r="M67" s="80" t="e">
        <f t="shared" si="65"/>
        <v>#DIV/0!</v>
      </c>
      <c r="N67" s="80">
        <f t="shared" si="66"/>
        <v>0.36899999999999999</v>
      </c>
      <c r="O67" s="80" t="e">
        <f t="shared" si="67"/>
        <v>#DIV/0!</v>
      </c>
      <c r="P67" s="80" t="e">
        <f t="shared" si="68"/>
        <v>#DIV/0!</v>
      </c>
      <c r="Q67" s="80" t="e">
        <f t="shared" si="69"/>
        <v>#DIV/0!</v>
      </c>
      <c r="R67" s="105">
        <f t="shared" ca="1" si="70"/>
        <v>1091</v>
      </c>
      <c r="S67" s="80">
        <f t="shared" si="53"/>
        <v>6.9084360298035025E-2</v>
      </c>
      <c r="T67" s="77">
        <v>0</v>
      </c>
      <c r="U67" s="182">
        <v>0</v>
      </c>
      <c r="V67" s="77">
        <v>3</v>
      </c>
      <c r="X67" s="182"/>
      <c r="Z67" s="82"/>
      <c r="AA67" s="82">
        <f t="shared" si="71"/>
        <v>0</v>
      </c>
      <c r="AB67" s="82">
        <f t="shared" si="54"/>
        <v>0</v>
      </c>
      <c r="AC67" s="77">
        <f t="shared" si="72"/>
        <v>0</v>
      </c>
      <c r="AD67" s="108">
        <f t="shared" si="73"/>
        <v>0</v>
      </c>
      <c r="AE67" s="107">
        <f t="shared" si="74"/>
        <v>0</v>
      </c>
      <c r="AF67" s="107">
        <f t="shared" si="75"/>
        <v>0</v>
      </c>
      <c r="AG67" s="107">
        <f t="shared" si="76"/>
        <v>0</v>
      </c>
      <c r="AH67" s="109">
        <f t="shared" si="77"/>
        <v>0</v>
      </c>
      <c r="AI67" s="109">
        <f t="shared" si="78"/>
        <v>0</v>
      </c>
      <c r="AJ67" s="109">
        <f t="shared" si="79"/>
        <v>0</v>
      </c>
      <c r="AL67" s="82">
        <f t="shared" si="80"/>
        <v>0</v>
      </c>
      <c r="AM67" s="82" t="e">
        <f t="shared" si="81"/>
        <v>#DIV/0!</v>
      </c>
      <c r="AN67" s="77">
        <f t="shared" si="82"/>
        <v>0</v>
      </c>
      <c r="AO67" s="108">
        <f t="shared" si="83"/>
        <v>0</v>
      </c>
      <c r="AP67" s="107">
        <f t="shared" si="84"/>
        <v>0</v>
      </c>
      <c r="AQ67" s="107">
        <f t="shared" si="85"/>
        <v>0</v>
      </c>
      <c r="AR67" s="107">
        <f t="shared" si="86"/>
        <v>0</v>
      </c>
      <c r="AS67" s="109">
        <f t="shared" si="87"/>
        <v>0</v>
      </c>
      <c r="AT67" s="109">
        <f t="shared" si="88"/>
        <v>0</v>
      </c>
      <c r="AU67" s="109">
        <f t="shared" si="89"/>
        <v>0</v>
      </c>
      <c r="AW67" s="82">
        <f t="shared" si="90"/>
        <v>0</v>
      </c>
      <c r="AX67" s="82" t="e">
        <f t="shared" si="91"/>
        <v>#DIV/0!</v>
      </c>
      <c r="AY67" s="77">
        <f t="shared" si="92"/>
        <v>0</v>
      </c>
      <c r="AZ67" s="108">
        <f t="shared" si="93"/>
        <v>0</v>
      </c>
      <c r="BA67" s="107">
        <f t="shared" si="94"/>
        <v>0</v>
      </c>
      <c r="BB67" s="107">
        <f t="shared" si="95"/>
        <v>0</v>
      </c>
      <c r="BC67" s="107">
        <f t="shared" si="96"/>
        <v>0</v>
      </c>
      <c r="BD67" s="109">
        <f t="shared" si="97"/>
        <v>0</v>
      </c>
      <c r="BE67" s="109">
        <f t="shared" si="98"/>
        <v>0</v>
      </c>
      <c r="BF67" s="109">
        <f t="shared" si="99"/>
        <v>0</v>
      </c>
      <c r="BH67" s="82">
        <f t="shared" si="100"/>
        <v>0</v>
      </c>
      <c r="BI67" s="82" t="e">
        <f t="shared" si="101"/>
        <v>#DIV/0!</v>
      </c>
      <c r="BJ67" s="77">
        <f t="shared" si="102"/>
        <v>0</v>
      </c>
      <c r="BK67" s="108">
        <f t="shared" si="103"/>
        <v>0</v>
      </c>
      <c r="BL67" s="107">
        <f t="shared" si="104"/>
        <v>0</v>
      </c>
      <c r="BM67" s="107">
        <f t="shared" si="105"/>
        <v>0</v>
      </c>
      <c r="BN67" s="107">
        <f t="shared" si="106"/>
        <v>0</v>
      </c>
      <c r="BO67" s="109">
        <f t="shared" si="107"/>
        <v>0</v>
      </c>
      <c r="BP67" s="109">
        <f t="shared" si="108"/>
        <v>0</v>
      </c>
      <c r="BQ67" s="109">
        <f t="shared" si="109"/>
        <v>0</v>
      </c>
    </row>
    <row r="68" spans="1:69" x14ac:dyDescent="0.25">
      <c r="A68" s="101">
        <f t="shared" si="59"/>
        <v>37895</v>
      </c>
      <c r="B68" s="102">
        <f t="shared" si="47"/>
        <v>3.1549999999999998</v>
      </c>
      <c r="C68" s="102">
        <f t="shared" si="60"/>
        <v>5.0000000000000001E-3</v>
      </c>
      <c r="D68" s="80">
        <f t="shared" si="48"/>
        <v>0.255</v>
      </c>
      <c r="E68" s="106">
        <f t="shared" si="61"/>
        <v>1</v>
      </c>
      <c r="F68" s="104">
        <f t="shared" si="49"/>
        <v>4.92</v>
      </c>
      <c r="G68" s="104">
        <f t="shared" si="50"/>
        <v>3.5</v>
      </c>
      <c r="H68" s="104">
        <f t="shared" si="51"/>
        <v>2.96</v>
      </c>
      <c r="I68" s="104">
        <f t="shared" si="52"/>
        <v>2.99</v>
      </c>
      <c r="J68" s="80">
        <f t="shared" si="62"/>
        <v>0.114</v>
      </c>
      <c r="K68" s="80" t="e">
        <f t="shared" si="63"/>
        <v>#DIV/0!</v>
      </c>
      <c r="L68" s="80" t="e">
        <f t="shared" si="64"/>
        <v>#DIV/0!</v>
      </c>
      <c r="M68" s="80" t="e">
        <f t="shared" si="65"/>
        <v>#DIV/0!</v>
      </c>
      <c r="N68" s="80">
        <f t="shared" si="66"/>
        <v>0.36899999999999999</v>
      </c>
      <c r="O68" s="80" t="e">
        <f t="shared" si="67"/>
        <v>#DIV/0!</v>
      </c>
      <c r="P68" s="80" t="e">
        <f t="shared" si="68"/>
        <v>#DIV/0!</v>
      </c>
      <c r="Q68" s="80" t="e">
        <f t="shared" si="69"/>
        <v>#DIV/0!</v>
      </c>
      <c r="R68" s="105">
        <f t="shared" ca="1" si="70"/>
        <v>1121</v>
      </c>
      <c r="S68" s="80">
        <f t="shared" si="53"/>
        <v>6.9077020617554011E-2</v>
      </c>
      <c r="T68" s="77">
        <v>0</v>
      </c>
      <c r="U68" s="182">
        <v>0</v>
      </c>
      <c r="V68" s="77">
        <v>3</v>
      </c>
      <c r="X68" s="182"/>
      <c r="Z68" s="82"/>
      <c r="AA68" s="82">
        <f t="shared" si="71"/>
        <v>0</v>
      </c>
      <c r="AB68" s="82">
        <f t="shared" si="54"/>
        <v>0</v>
      </c>
      <c r="AC68" s="77">
        <f t="shared" si="72"/>
        <v>0</v>
      </c>
      <c r="AD68" s="108">
        <f t="shared" si="73"/>
        <v>0</v>
      </c>
      <c r="AE68" s="107">
        <f t="shared" si="74"/>
        <v>0</v>
      </c>
      <c r="AF68" s="107">
        <f t="shared" si="75"/>
        <v>0</v>
      </c>
      <c r="AG68" s="107">
        <f t="shared" si="76"/>
        <v>0</v>
      </c>
      <c r="AH68" s="109">
        <f t="shared" si="77"/>
        <v>0</v>
      </c>
      <c r="AI68" s="109">
        <f t="shared" si="78"/>
        <v>0</v>
      </c>
      <c r="AJ68" s="109">
        <f t="shared" si="79"/>
        <v>0</v>
      </c>
      <c r="AL68" s="82">
        <f t="shared" si="80"/>
        <v>0</v>
      </c>
      <c r="AM68" s="82" t="e">
        <f t="shared" si="81"/>
        <v>#DIV/0!</v>
      </c>
      <c r="AN68" s="77">
        <f t="shared" si="82"/>
        <v>0</v>
      </c>
      <c r="AO68" s="108">
        <f t="shared" si="83"/>
        <v>0</v>
      </c>
      <c r="AP68" s="107">
        <f t="shared" si="84"/>
        <v>0</v>
      </c>
      <c r="AQ68" s="107">
        <f t="shared" si="85"/>
        <v>0</v>
      </c>
      <c r="AR68" s="107">
        <f t="shared" si="86"/>
        <v>0</v>
      </c>
      <c r="AS68" s="109">
        <f t="shared" si="87"/>
        <v>0</v>
      </c>
      <c r="AT68" s="109">
        <f t="shared" si="88"/>
        <v>0</v>
      </c>
      <c r="AU68" s="109">
        <f t="shared" si="89"/>
        <v>0</v>
      </c>
      <c r="AW68" s="82">
        <f t="shared" si="90"/>
        <v>0</v>
      </c>
      <c r="AX68" s="82" t="e">
        <f t="shared" si="91"/>
        <v>#DIV/0!</v>
      </c>
      <c r="AY68" s="77">
        <f t="shared" si="92"/>
        <v>0</v>
      </c>
      <c r="AZ68" s="108">
        <f t="shared" si="93"/>
        <v>0</v>
      </c>
      <c r="BA68" s="107">
        <f t="shared" si="94"/>
        <v>0</v>
      </c>
      <c r="BB68" s="107">
        <f t="shared" si="95"/>
        <v>0</v>
      </c>
      <c r="BC68" s="107">
        <f t="shared" si="96"/>
        <v>0</v>
      </c>
      <c r="BD68" s="109">
        <f t="shared" si="97"/>
        <v>0</v>
      </c>
      <c r="BE68" s="109">
        <f t="shared" si="98"/>
        <v>0</v>
      </c>
      <c r="BF68" s="109">
        <f t="shared" si="99"/>
        <v>0</v>
      </c>
      <c r="BH68" s="82">
        <f t="shared" si="100"/>
        <v>0</v>
      </c>
      <c r="BI68" s="82" t="e">
        <f t="shared" si="101"/>
        <v>#DIV/0!</v>
      </c>
      <c r="BJ68" s="77">
        <f t="shared" si="102"/>
        <v>0</v>
      </c>
      <c r="BK68" s="108">
        <f t="shared" si="103"/>
        <v>0</v>
      </c>
      <c r="BL68" s="107">
        <f t="shared" si="104"/>
        <v>0</v>
      </c>
      <c r="BM68" s="107">
        <f t="shared" si="105"/>
        <v>0</v>
      </c>
      <c r="BN68" s="107">
        <f t="shared" si="106"/>
        <v>0</v>
      </c>
      <c r="BO68" s="109">
        <f t="shared" si="107"/>
        <v>0</v>
      </c>
      <c r="BP68" s="109">
        <f t="shared" si="108"/>
        <v>0</v>
      </c>
      <c r="BQ68" s="109">
        <f t="shared" si="109"/>
        <v>0</v>
      </c>
    </row>
    <row r="69" spans="1:69" x14ac:dyDescent="0.25">
      <c r="A69" s="101">
        <f t="shared" si="59"/>
        <v>37926</v>
      </c>
      <c r="B69" s="102">
        <f t="shared" si="47"/>
        <v>3.2469999999999999</v>
      </c>
      <c r="C69" s="102">
        <f t="shared" si="60"/>
        <v>5.0000000000000001E-3</v>
      </c>
      <c r="D69" s="80">
        <f t="shared" si="48"/>
        <v>0.26500000000000001</v>
      </c>
      <c r="E69" s="106">
        <f t="shared" si="61"/>
        <v>1</v>
      </c>
      <c r="F69" s="104">
        <f t="shared" si="49"/>
        <v>4.92</v>
      </c>
      <c r="G69" s="104">
        <f t="shared" si="50"/>
        <v>3.5</v>
      </c>
      <c r="H69" s="104">
        <f t="shared" si="51"/>
        <v>2.96</v>
      </c>
      <c r="I69" s="104">
        <f t="shared" si="52"/>
        <v>2.99</v>
      </c>
      <c r="J69" s="80">
        <f t="shared" si="62"/>
        <v>0.114</v>
      </c>
      <c r="K69" s="80" t="e">
        <f t="shared" si="63"/>
        <v>#DIV/0!</v>
      </c>
      <c r="L69" s="80" t="e">
        <f t="shared" si="64"/>
        <v>#DIV/0!</v>
      </c>
      <c r="M69" s="80" t="e">
        <f t="shared" si="65"/>
        <v>#DIV/0!</v>
      </c>
      <c r="N69" s="80">
        <f t="shared" si="66"/>
        <v>0.379</v>
      </c>
      <c r="O69" s="80" t="e">
        <f t="shared" si="67"/>
        <v>#DIV/0!</v>
      </c>
      <c r="P69" s="80" t="e">
        <f t="shared" si="68"/>
        <v>#DIV/0!</v>
      </c>
      <c r="Q69" s="80" t="e">
        <f t="shared" si="69"/>
        <v>#DIV/0!</v>
      </c>
      <c r="R69" s="105">
        <f t="shared" ca="1" si="70"/>
        <v>1154</v>
      </c>
      <c r="S69" s="80">
        <f t="shared" si="53"/>
        <v>6.9069100944941009E-2</v>
      </c>
      <c r="T69" s="77">
        <v>0</v>
      </c>
      <c r="U69" s="182">
        <v>0</v>
      </c>
      <c r="V69" s="77">
        <v>3</v>
      </c>
      <c r="X69" s="182"/>
      <c r="Z69" s="82"/>
      <c r="AA69" s="82">
        <f t="shared" si="71"/>
        <v>0</v>
      </c>
      <c r="AB69" s="82">
        <f t="shared" si="54"/>
        <v>0</v>
      </c>
      <c r="AC69" s="77">
        <f t="shared" si="72"/>
        <v>0</v>
      </c>
      <c r="AD69" s="108">
        <f t="shared" si="73"/>
        <v>0</v>
      </c>
      <c r="AE69" s="107">
        <f t="shared" si="74"/>
        <v>0</v>
      </c>
      <c r="AF69" s="107">
        <f t="shared" si="75"/>
        <v>0</v>
      </c>
      <c r="AG69" s="107">
        <f t="shared" si="76"/>
        <v>0</v>
      </c>
      <c r="AH69" s="109">
        <f t="shared" si="77"/>
        <v>0</v>
      </c>
      <c r="AI69" s="109">
        <f t="shared" si="78"/>
        <v>0</v>
      </c>
      <c r="AJ69" s="109">
        <f t="shared" si="79"/>
        <v>0</v>
      </c>
      <c r="AL69" s="82">
        <f t="shared" si="80"/>
        <v>0</v>
      </c>
      <c r="AM69" s="82" t="e">
        <f t="shared" si="81"/>
        <v>#DIV/0!</v>
      </c>
      <c r="AN69" s="77">
        <f t="shared" si="82"/>
        <v>0</v>
      </c>
      <c r="AO69" s="108">
        <f t="shared" si="83"/>
        <v>0</v>
      </c>
      <c r="AP69" s="107">
        <f t="shared" si="84"/>
        <v>0</v>
      </c>
      <c r="AQ69" s="107">
        <f t="shared" si="85"/>
        <v>0</v>
      </c>
      <c r="AR69" s="107">
        <f t="shared" si="86"/>
        <v>0</v>
      </c>
      <c r="AS69" s="109">
        <f t="shared" si="87"/>
        <v>0</v>
      </c>
      <c r="AT69" s="109">
        <f t="shared" si="88"/>
        <v>0</v>
      </c>
      <c r="AU69" s="109">
        <f t="shared" si="89"/>
        <v>0</v>
      </c>
      <c r="AW69" s="82">
        <f t="shared" si="90"/>
        <v>0</v>
      </c>
      <c r="AX69" s="82" t="e">
        <f t="shared" si="91"/>
        <v>#DIV/0!</v>
      </c>
      <c r="AY69" s="77">
        <f t="shared" si="92"/>
        <v>0</v>
      </c>
      <c r="AZ69" s="108">
        <f t="shared" si="93"/>
        <v>0</v>
      </c>
      <c r="BA69" s="107">
        <f t="shared" si="94"/>
        <v>0</v>
      </c>
      <c r="BB69" s="107">
        <f t="shared" si="95"/>
        <v>0</v>
      </c>
      <c r="BC69" s="107">
        <f t="shared" si="96"/>
        <v>0</v>
      </c>
      <c r="BD69" s="109">
        <f t="shared" si="97"/>
        <v>0</v>
      </c>
      <c r="BE69" s="109">
        <f t="shared" si="98"/>
        <v>0</v>
      </c>
      <c r="BF69" s="109">
        <f t="shared" si="99"/>
        <v>0</v>
      </c>
      <c r="BH69" s="82">
        <f t="shared" si="100"/>
        <v>0</v>
      </c>
      <c r="BI69" s="82" t="e">
        <f t="shared" si="101"/>
        <v>#DIV/0!</v>
      </c>
      <c r="BJ69" s="77">
        <f t="shared" si="102"/>
        <v>0</v>
      </c>
      <c r="BK69" s="108">
        <f t="shared" si="103"/>
        <v>0</v>
      </c>
      <c r="BL69" s="107">
        <f t="shared" si="104"/>
        <v>0</v>
      </c>
      <c r="BM69" s="107">
        <f t="shared" si="105"/>
        <v>0</v>
      </c>
      <c r="BN69" s="107">
        <f t="shared" si="106"/>
        <v>0</v>
      </c>
      <c r="BO69" s="109">
        <f t="shared" si="107"/>
        <v>0</v>
      </c>
      <c r="BP69" s="109">
        <f t="shared" si="108"/>
        <v>0</v>
      </c>
      <c r="BQ69" s="109">
        <f t="shared" si="109"/>
        <v>0</v>
      </c>
    </row>
    <row r="70" spans="1:69" x14ac:dyDescent="0.25">
      <c r="A70" s="101">
        <f t="shared" si="59"/>
        <v>37956</v>
      </c>
      <c r="B70" s="102">
        <f t="shared" si="47"/>
        <v>3.3290000000000006</v>
      </c>
      <c r="C70" s="102">
        <f t="shared" si="60"/>
        <v>5.0000000000000001E-3</v>
      </c>
      <c r="D70" s="80">
        <f t="shared" si="48"/>
        <v>0.27</v>
      </c>
      <c r="E70" s="106">
        <f t="shared" si="61"/>
        <v>1</v>
      </c>
      <c r="F70" s="104">
        <f t="shared" si="49"/>
        <v>4.92</v>
      </c>
      <c r="G70" s="104">
        <f t="shared" si="50"/>
        <v>3.5</v>
      </c>
      <c r="H70" s="104">
        <f t="shared" si="51"/>
        <v>2.96</v>
      </c>
      <c r="I70" s="104">
        <f t="shared" si="52"/>
        <v>2.99</v>
      </c>
      <c r="J70" s="80">
        <f t="shared" si="62"/>
        <v>0.114</v>
      </c>
      <c r="K70" s="80" t="e">
        <f t="shared" si="63"/>
        <v>#DIV/0!</v>
      </c>
      <c r="L70" s="80" t="e">
        <f t="shared" si="64"/>
        <v>#DIV/0!</v>
      </c>
      <c r="M70" s="80" t="e">
        <f t="shared" si="65"/>
        <v>#DIV/0!</v>
      </c>
      <c r="N70" s="80">
        <f t="shared" si="66"/>
        <v>0.38400000000000001</v>
      </c>
      <c r="O70" s="80" t="e">
        <f t="shared" si="67"/>
        <v>#DIV/0!</v>
      </c>
      <c r="P70" s="80" t="e">
        <f t="shared" si="68"/>
        <v>#DIV/0!</v>
      </c>
      <c r="Q70" s="80" t="e">
        <f t="shared" si="69"/>
        <v>#DIV/0!</v>
      </c>
      <c r="R70" s="105">
        <f t="shared" ca="1" si="70"/>
        <v>1181</v>
      </c>
      <c r="S70" s="80">
        <f t="shared" si="53"/>
        <v>6.9061436745656998E-2</v>
      </c>
      <c r="T70" s="77">
        <v>0</v>
      </c>
      <c r="U70" s="182">
        <v>0</v>
      </c>
      <c r="V70" s="77">
        <v>3</v>
      </c>
      <c r="X70" s="182"/>
      <c r="Z70" s="82"/>
      <c r="AA70" s="82">
        <f t="shared" si="71"/>
        <v>0</v>
      </c>
      <c r="AB70" s="82">
        <f t="shared" si="54"/>
        <v>0</v>
      </c>
      <c r="AC70" s="77">
        <f t="shared" si="72"/>
        <v>0</v>
      </c>
      <c r="AD70" s="108">
        <f t="shared" si="73"/>
        <v>0</v>
      </c>
      <c r="AE70" s="107">
        <f t="shared" si="74"/>
        <v>0</v>
      </c>
      <c r="AF70" s="107">
        <f t="shared" si="75"/>
        <v>0</v>
      </c>
      <c r="AG70" s="107">
        <f t="shared" si="76"/>
        <v>0</v>
      </c>
      <c r="AH70" s="109">
        <f t="shared" si="77"/>
        <v>0</v>
      </c>
      <c r="AI70" s="109">
        <f t="shared" si="78"/>
        <v>0</v>
      </c>
      <c r="AJ70" s="109">
        <f t="shared" si="79"/>
        <v>0</v>
      </c>
      <c r="AL70" s="82">
        <f t="shared" si="80"/>
        <v>0</v>
      </c>
      <c r="AM70" s="82" t="e">
        <f t="shared" si="81"/>
        <v>#DIV/0!</v>
      </c>
      <c r="AN70" s="77">
        <f t="shared" si="82"/>
        <v>0</v>
      </c>
      <c r="AO70" s="108">
        <f t="shared" si="83"/>
        <v>0</v>
      </c>
      <c r="AP70" s="107">
        <f t="shared" si="84"/>
        <v>0</v>
      </c>
      <c r="AQ70" s="107">
        <f t="shared" si="85"/>
        <v>0</v>
      </c>
      <c r="AR70" s="107">
        <f t="shared" si="86"/>
        <v>0</v>
      </c>
      <c r="AS70" s="109">
        <f t="shared" si="87"/>
        <v>0</v>
      </c>
      <c r="AT70" s="109">
        <f t="shared" si="88"/>
        <v>0</v>
      </c>
      <c r="AU70" s="109">
        <f t="shared" si="89"/>
        <v>0</v>
      </c>
      <c r="AW70" s="82">
        <f t="shared" si="90"/>
        <v>0</v>
      </c>
      <c r="AX70" s="82" t="e">
        <f t="shared" si="91"/>
        <v>#DIV/0!</v>
      </c>
      <c r="AY70" s="77">
        <f t="shared" si="92"/>
        <v>0</v>
      </c>
      <c r="AZ70" s="108">
        <f t="shared" si="93"/>
        <v>0</v>
      </c>
      <c r="BA70" s="107">
        <f t="shared" si="94"/>
        <v>0</v>
      </c>
      <c r="BB70" s="107">
        <f t="shared" si="95"/>
        <v>0</v>
      </c>
      <c r="BC70" s="107">
        <f t="shared" si="96"/>
        <v>0</v>
      </c>
      <c r="BD70" s="109">
        <f t="shared" si="97"/>
        <v>0</v>
      </c>
      <c r="BE70" s="109">
        <f t="shared" si="98"/>
        <v>0</v>
      </c>
      <c r="BF70" s="109">
        <f t="shared" si="99"/>
        <v>0</v>
      </c>
      <c r="BH70" s="82">
        <f t="shared" si="100"/>
        <v>0</v>
      </c>
      <c r="BI70" s="82" t="e">
        <f t="shared" si="101"/>
        <v>#DIV/0!</v>
      </c>
      <c r="BJ70" s="77">
        <f t="shared" si="102"/>
        <v>0</v>
      </c>
      <c r="BK70" s="108">
        <f t="shared" si="103"/>
        <v>0</v>
      </c>
      <c r="BL70" s="107">
        <f t="shared" si="104"/>
        <v>0</v>
      </c>
      <c r="BM70" s="107">
        <f t="shared" si="105"/>
        <v>0</v>
      </c>
      <c r="BN70" s="107">
        <f t="shared" si="106"/>
        <v>0</v>
      </c>
      <c r="BO70" s="109">
        <f t="shared" si="107"/>
        <v>0</v>
      </c>
      <c r="BP70" s="109">
        <f t="shared" si="108"/>
        <v>0</v>
      </c>
      <c r="BQ70" s="109">
        <f t="shared" si="109"/>
        <v>0</v>
      </c>
    </row>
    <row r="71" spans="1:69" x14ac:dyDescent="0.25">
      <c r="A71" s="101">
        <f t="shared" si="59"/>
        <v>37987</v>
      </c>
      <c r="B71" s="102">
        <f t="shared" si="47"/>
        <v>3.4740000000000002</v>
      </c>
      <c r="C71" s="102">
        <f t="shared" si="60"/>
        <v>5.0000000000000001E-3</v>
      </c>
      <c r="D71" s="80">
        <f t="shared" si="48"/>
        <v>0.28749999999999998</v>
      </c>
      <c r="E71" s="106">
        <f t="shared" si="61"/>
        <v>1</v>
      </c>
      <c r="F71" s="104">
        <f t="shared" si="49"/>
        <v>4.92</v>
      </c>
      <c r="G71" s="104">
        <f t="shared" si="50"/>
        <v>3.5</v>
      </c>
      <c r="H71" s="104">
        <f t="shared" si="51"/>
        <v>2.96</v>
      </c>
      <c r="I71" s="104">
        <f t="shared" si="52"/>
        <v>2.99</v>
      </c>
      <c r="J71" s="80">
        <f t="shared" si="62"/>
        <v>0.114</v>
      </c>
      <c r="K71" s="80" t="e">
        <f t="shared" si="63"/>
        <v>#DIV/0!</v>
      </c>
      <c r="L71" s="80" t="e">
        <f t="shared" si="64"/>
        <v>#DIV/0!</v>
      </c>
      <c r="M71" s="80" t="e">
        <f t="shared" si="65"/>
        <v>#DIV/0!</v>
      </c>
      <c r="N71" s="80">
        <f t="shared" si="66"/>
        <v>0.40149999999999997</v>
      </c>
      <c r="O71" s="80" t="e">
        <f t="shared" si="67"/>
        <v>#DIV/0!</v>
      </c>
      <c r="P71" s="80" t="e">
        <f t="shared" si="68"/>
        <v>#DIV/0!</v>
      </c>
      <c r="Q71" s="80" t="e">
        <f t="shared" si="69"/>
        <v>#DIV/0!</v>
      </c>
      <c r="R71" s="105">
        <f t="shared" ca="1" si="70"/>
        <v>1215</v>
      </c>
      <c r="S71" s="80">
        <f t="shared" si="53"/>
        <v>6.9060876284692999E-2</v>
      </c>
      <c r="T71" s="77">
        <v>0</v>
      </c>
      <c r="U71" s="182">
        <v>0</v>
      </c>
      <c r="V71" s="77">
        <v>4</v>
      </c>
      <c r="X71" s="182"/>
      <c r="Z71" s="82"/>
      <c r="AA71" s="82">
        <f t="shared" si="71"/>
        <v>0</v>
      </c>
      <c r="AB71" s="82">
        <f t="shared" si="54"/>
        <v>0</v>
      </c>
      <c r="AC71" s="77">
        <f t="shared" si="72"/>
        <v>0</v>
      </c>
      <c r="AD71" s="108">
        <f t="shared" si="73"/>
        <v>0</v>
      </c>
      <c r="AE71" s="107">
        <f t="shared" si="74"/>
        <v>0</v>
      </c>
      <c r="AF71" s="107">
        <f t="shared" si="75"/>
        <v>0</v>
      </c>
      <c r="AG71" s="107">
        <f t="shared" si="76"/>
        <v>0</v>
      </c>
      <c r="AH71" s="109">
        <f t="shared" si="77"/>
        <v>0</v>
      </c>
      <c r="AI71" s="109">
        <f t="shared" si="78"/>
        <v>0</v>
      </c>
      <c r="AJ71" s="109">
        <f t="shared" si="79"/>
        <v>0</v>
      </c>
      <c r="AL71" s="82">
        <f t="shared" si="80"/>
        <v>0</v>
      </c>
      <c r="AM71" s="82" t="e">
        <f t="shared" si="81"/>
        <v>#DIV/0!</v>
      </c>
      <c r="AN71" s="77">
        <f t="shared" si="82"/>
        <v>0</v>
      </c>
      <c r="AO71" s="108">
        <f t="shared" si="83"/>
        <v>0</v>
      </c>
      <c r="AP71" s="107">
        <f t="shared" si="84"/>
        <v>0</v>
      </c>
      <c r="AQ71" s="107">
        <f t="shared" si="85"/>
        <v>0</v>
      </c>
      <c r="AR71" s="107">
        <f t="shared" si="86"/>
        <v>0</v>
      </c>
      <c r="AS71" s="109">
        <f t="shared" si="87"/>
        <v>0</v>
      </c>
      <c r="AT71" s="109">
        <f t="shared" si="88"/>
        <v>0</v>
      </c>
      <c r="AU71" s="109">
        <f t="shared" si="89"/>
        <v>0</v>
      </c>
      <c r="AW71" s="82">
        <f t="shared" si="90"/>
        <v>0</v>
      </c>
      <c r="AX71" s="82" t="e">
        <f t="shared" si="91"/>
        <v>#DIV/0!</v>
      </c>
      <c r="AY71" s="77">
        <f t="shared" si="92"/>
        <v>0</v>
      </c>
      <c r="AZ71" s="108">
        <f t="shared" si="93"/>
        <v>0</v>
      </c>
      <c r="BA71" s="107">
        <f t="shared" si="94"/>
        <v>0</v>
      </c>
      <c r="BB71" s="107">
        <f t="shared" si="95"/>
        <v>0</v>
      </c>
      <c r="BC71" s="107">
        <f t="shared" si="96"/>
        <v>0</v>
      </c>
      <c r="BD71" s="109">
        <f t="shared" si="97"/>
        <v>0</v>
      </c>
      <c r="BE71" s="109">
        <f t="shared" si="98"/>
        <v>0</v>
      </c>
      <c r="BF71" s="109">
        <f t="shared" si="99"/>
        <v>0</v>
      </c>
      <c r="BH71" s="82">
        <f t="shared" si="100"/>
        <v>0</v>
      </c>
      <c r="BI71" s="82" t="e">
        <f t="shared" si="101"/>
        <v>#DIV/0!</v>
      </c>
      <c r="BJ71" s="77">
        <f t="shared" si="102"/>
        <v>0</v>
      </c>
      <c r="BK71" s="108">
        <f t="shared" si="103"/>
        <v>0</v>
      </c>
      <c r="BL71" s="107">
        <f t="shared" si="104"/>
        <v>0</v>
      </c>
      <c r="BM71" s="107">
        <f t="shared" si="105"/>
        <v>0</v>
      </c>
      <c r="BN71" s="107">
        <f t="shared" si="106"/>
        <v>0</v>
      </c>
      <c r="BO71" s="109">
        <f t="shared" si="107"/>
        <v>0</v>
      </c>
      <c r="BP71" s="109">
        <f t="shared" si="108"/>
        <v>0</v>
      </c>
      <c r="BQ71" s="109">
        <f t="shared" si="109"/>
        <v>0</v>
      </c>
    </row>
    <row r="72" spans="1:69" x14ac:dyDescent="0.25">
      <c r="A72" s="101">
        <f t="shared" si="59"/>
        <v>38018</v>
      </c>
      <c r="B72" s="102">
        <f t="shared" si="47"/>
        <v>3.3360000000000003</v>
      </c>
      <c r="C72" s="102">
        <f t="shared" si="60"/>
        <v>5.0000000000000001E-3</v>
      </c>
      <c r="D72" s="80">
        <f t="shared" si="48"/>
        <v>0.27500000000000002</v>
      </c>
      <c r="E72" s="106">
        <f t="shared" si="61"/>
        <v>1</v>
      </c>
      <c r="F72" s="104">
        <f t="shared" si="49"/>
        <v>4.92</v>
      </c>
      <c r="G72" s="104">
        <f t="shared" si="50"/>
        <v>3.5</v>
      </c>
      <c r="H72" s="104">
        <f t="shared" si="51"/>
        <v>2.96</v>
      </c>
      <c r="I72" s="104">
        <f t="shared" si="52"/>
        <v>2.99</v>
      </c>
      <c r="J72" s="80">
        <f t="shared" si="62"/>
        <v>0.114</v>
      </c>
      <c r="K72" s="80" t="e">
        <f t="shared" si="63"/>
        <v>#DIV/0!</v>
      </c>
      <c r="L72" s="80" t="e">
        <f t="shared" si="64"/>
        <v>#DIV/0!</v>
      </c>
      <c r="M72" s="80" t="e">
        <f t="shared" si="65"/>
        <v>#DIV/0!</v>
      </c>
      <c r="N72" s="80">
        <f t="shared" si="66"/>
        <v>0.38900000000000001</v>
      </c>
      <c r="O72" s="80" t="e">
        <f t="shared" si="67"/>
        <v>#DIV/0!</v>
      </c>
      <c r="P72" s="80" t="e">
        <f t="shared" si="68"/>
        <v>#DIV/0!</v>
      </c>
      <c r="Q72" s="80" t="e">
        <f t="shared" si="69"/>
        <v>#DIV/0!</v>
      </c>
      <c r="R72" s="105">
        <f t="shared" ca="1" si="70"/>
        <v>1245</v>
      </c>
      <c r="S72" s="80">
        <f t="shared" si="53"/>
        <v>6.9068165649462027E-2</v>
      </c>
      <c r="T72" s="77">
        <v>0</v>
      </c>
      <c r="U72" s="182">
        <v>0</v>
      </c>
      <c r="V72" s="77">
        <v>4</v>
      </c>
      <c r="X72" s="182"/>
      <c r="Z72" s="82"/>
      <c r="AA72" s="82">
        <f t="shared" si="71"/>
        <v>0</v>
      </c>
      <c r="AB72" s="82">
        <f t="shared" si="54"/>
        <v>0</v>
      </c>
      <c r="AC72" s="77">
        <f t="shared" si="72"/>
        <v>0</v>
      </c>
      <c r="AD72" s="108">
        <f t="shared" si="73"/>
        <v>0</v>
      </c>
      <c r="AE72" s="107">
        <f t="shared" si="74"/>
        <v>0</v>
      </c>
      <c r="AF72" s="107">
        <f t="shared" si="75"/>
        <v>0</v>
      </c>
      <c r="AG72" s="107">
        <f t="shared" si="76"/>
        <v>0</v>
      </c>
      <c r="AH72" s="109">
        <f t="shared" si="77"/>
        <v>0</v>
      </c>
      <c r="AI72" s="109">
        <f t="shared" si="78"/>
        <v>0</v>
      </c>
      <c r="AJ72" s="109">
        <f t="shared" si="79"/>
        <v>0</v>
      </c>
      <c r="AL72" s="82">
        <f t="shared" si="80"/>
        <v>0</v>
      </c>
      <c r="AM72" s="82" t="e">
        <f t="shared" si="81"/>
        <v>#DIV/0!</v>
      </c>
      <c r="AN72" s="77">
        <f t="shared" si="82"/>
        <v>0</v>
      </c>
      <c r="AO72" s="108">
        <f t="shared" si="83"/>
        <v>0</v>
      </c>
      <c r="AP72" s="107">
        <f t="shared" si="84"/>
        <v>0</v>
      </c>
      <c r="AQ72" s="107">
        <f t="shared" si="85"/>
        <v>0</v>
      </c>
      <c r="AR72" s="107">
        <f t="shared" si="86"/>
        <v>0</v>
      </c>
      <c r="AS72" s="109">
        <f t="shared" si="87"/>
        <v>0</v>
      </c>
      <c r="AT72" s="109">
        <f t="shared" si="88"/>
        <v>0</v>
      </c>
      <c r="AU72" s="109">
        <f t="shared" si="89"/>
        <v>0</v>
      </c>
      <c r="AW72" s="82">
        <f t="shared" si="90"/>
        <v>0</v>
      </c>
      <c r="AX72" s="82" t="e">
        <f t="shared" si="91"/>
        <v>#DIV/0!</v>
      </c>
      <c r="AY72" s="77">
        <f t="shared" si="92"/>
        <v>0</v>
      </c>
      <c r="AZ72" s="108">
        <f t="shared" si="93"/>
        <v>0</v>
      </c>
      <c r="BA72" s="107">
        <f t="shared" si="94"/>
        <v>0</v>
      </c>
      <c r="BB72" s="107">
        <f t="shared" si="95"/>
        <v>0</v>
      </c>
      <c r="BC72" s="107">
        <f t="shared" si="96"/>
        <v>0</v>
      </c>
      <c r="BD72" s="109">
        <f t="shared" si="97"/>
        <v>0</v>
      </c>
      <c r="BE72" s="109">
        <f t="shared" si="98"/>
        <v>0</v>
      </c>
      <c r="BF72" s="109">
        <f t="shared" si="99"/>
        <v>0</v>
      </c>
      <c r="BH72" s="82">
        <f t="shared" si="100"/>
        <v>0</v>
      </c>
      <c r="BI72" s="82" t="e">
        <f t="shared" si="101"/>
        <v>#DIV/0!</v>
      </c>
      <c r="BJ72" s="77">
        <f t="shared" si="102"/>
        <v>0</v>
      </c>
      <c r="BK72" s="108">
        <f t="shared" si="103"/>
        <v>0</v>
      </c>
      <c r="BL72" s="107">
        <f t="shared" si="104"/>
        <v>0</v>
      </c>
      <c r="BM72" s="107">
        <f t="shared" si="105"/>
        <v>0</v>
      </c>
      <c r="BN72" s="107">
        <f t="shared" si="106"/>
        <v>0</v>
      </c>
      <c r="BO72" s="109">
        <f t="shared" si="107"/>
        <v>0</v>
      </c>
      <c r="BP72" s="109">
        <f t="shared" si="108"/>
        <v>0</v>
      </c>
      <c r="BQ72" s="109">
        <f t="shared" si="109"/>
        <v>0</v>
      </c>
    </row>
    <row r="73" spans="1:69" x14ac:dyDescent="0.25">
      <c r="A73" s="101">
        <f t="shared" si="59"/>
        <v>38047</v>
      </c>
      <c r="B73" s="102">
        <f t="shared" si="47"/>
        <v>3.1690000000000005</v>
      </c>
      <c r="C73" s="102">
        <f t="shared" si="60"/>
        <v>5.0000000000000001E-3</v>
      </c>
      <c r="D73" s="80">
        <f t="shared" si="48"/>
        <v>0.27250000000000002</v>
      </c>
      <c r="E73" s="106">
        <f t="shared" si="61"/>
        <v>1</v>
      </c>
      <c r="F73" s="104">
        <f t="shared" si="49"/>
        <v>4.92</v>
      </c>
      <c r="G73" s="104">
        <f t="shared" si="50"/>
        <v>3.5</v>
      </c>
      <c r="H73" s="104">
        <f t="shared" si="51"/>
        <v>2.96</v>
      </c>
      <c r="I73" s="104">
        <f t="shared" si="52"/>
        <v>2.99</v>
      </c>
      <c r="J73" s="80">
        <f t="shared" si="62"/>
        <v>0.114</v>
      </c>
      <c r="K73" s="80" t="e">
        <f t="shared" si="63"/>
        <v>#DIV/0!</v>
      </c>
      <c r="L73" s="80" t="e">
        <f t="shared" si="64"/>
        <v>#DIV/0!</v>
      </c>
      <c r="M73" s="80" t="e">
        <f t="shared" si="65"/>
        <v>#DIV/0!</v>
      </c>
      <c r="N73" s="80">
        <f t="shared" si="66"/>
        <v>0.38650000000000001</v>
      </c>
      <c r="O73" s="80" t="e">
        <f t="shared" si="67"/>
        <v>#DIV/0!</v>
      </c>
      <c r="P73" s="80" t="e">
        <f t="shared" si="68"/>
        <v>#DIV/0!</v>
      </c>
      <c r="Q73" s="80" t="e">
        <f t="shared" si="69"/>
        <v>#DIV/0!</v>
      </c>
      <c r="R73" s="105">
        <f t="shared" ca="1" si="70"/>
        <v>1273</v>
      </c>
      <c r="S73" s="80">
        <f t="shared" si="53"/>
        <v>6.9074984732649017E-2</v>
      </c>
      <c r="T73" s="77">
        <v>0</v>
      </c>
      <c r="U73" s="182">
        <v>0</v>
      </c>
      <c r="X73" s="182"/>
      <c r="Z73" s="82"/>
      <c r="AA73" s="82">
        <f t="shared" si="71"/>
        <v>0</v>
      </c>
      <c r="AB73" s="82">
        <f t="shared" si="54"/>
        <v>0</v>
      </c>
      <c r="AC73" s="77">
        <f t="shared" si="72"/>
        <v>0</v>
      </c>
      <c r="AD73" s="108">
        <f t="shared" si="73"/>
        <v>0</v>
      </c>
      <c r="AE73" s="107">
        <f t="shared" si="74"/>
        <v>0</v>
      </c>
      <c r="AF73" s="107">
        <f t="shared" si="75"/>
        <v>0</v>
      </c>
      <c r="AG73" s="107">
        <f t="shared" si="76"/>
        <v>0</v>
      </c>
      <c r="AH73" s="109">
        <f t="shared" si="77"/>
        <v>0</v>
      </c>
      <c r="AI73" s="109">
        <f t="shared" si="78"/>
        <v>0</v>
      </c>
      <c r="AJ73" s="109">
        <f t="shared" si="79"/>
        <v>0</v>
      </c>
      <c r="AL73" s="82">
        <f t="shared" si="80"/>
        <v>0</v>
      </c>
      <c r="AM73" s="82" t="e">
        <f t="shared" si="81"/>
        <v>#DIV/0!</v>
      </c>
      <c r="AN73" s="77">
        <f t="shared" si="82"/>
        <v>0</v>
      </c>
      <c r="AO73" s="108">
        <f t="shared" si="83"/>
        <v>0</v>
      </c>
      <c r="AP73" s="107">
        <f t="shared" si="84"/>
        <v>0</v>
      </c>
      <c r="AQ73" s="107">
        <f t="shared" si="85"/>
        <v>0</v>
      </c>
      <c r="AR73" s="107">
        <f t="shared" si="86"/>
        <v>0</v>
      </c>
      <c r="AS73" s="109">
        <f t="shared" si="87"/>
        <v>0</v>
      </c>
      <c r="AT73" s="109">
        <f t="shared" si="88"/>
        <v>0</v>
      </c>
      <c r="AU73" s="109">
        <f t="shared" si="89"/>
        <v>0</v>
      </c>
      <c r="AW73" s="82">
        <f t="shared" si="90"/>
        <v>0</v>
      </c>
      <c r="AX73" s="82" t="e">
        <f t="shared" si="91"/>
        <v>#DIV/0!</v>
      </c>
      <c r="AY73" s="77">
        <f t="shared" si="92"/>
        <v>0</v>
      </c>
      <c r="AZ73" s="108">
        <f t="shared" si="93"/>
        <v>0</v>
      </c>
      <c r="BA73" s="107">
        <f t="shared" si="94"/>
        <v>0</v>
      </c>
      <c r="BB73" s="107">
        <f t="shared" si="95"/>
        <v>0</v>
      </c>
      <c r="BC73" s="107">
        <f t="shared" si="96"/>
        <v>0</v>
      </c>
      <c r="BD73" s="109">
        <f t="shared" si="97"/>
        <v>0</v>
      </c>
      <c r="BE73" s="109">
        <f t="shared" si="98"/>
        <v>0</v>
      </c>
      <c r="BF73" s="109">
        <f t="shared" si="99"/>
        <v>0</v>
      </c>
      <c r="BH73" s="82">
        <f t="shared" si="100"/>
        <v>0</v>
      </c>
      <c r="BI73" s="82" t="e">
        <f t="shared" si="101"/>
        <v>#DIV/0!</v>
      </c>
      <c r="BJ73" s="77">
        <f t="shared" si="102"/>
        <v>0</v>
      </c>
      <c r="BK73" s="108">
        <f t="shared" si="103"/>
        <v>0</v>
      </c>
      <c r="BL73" s="107">
        <f t="shared" si="104"/>
        <v>0</v>
      </c>
      <c r="BM73" s="107">
        <f t="shared" si="105"/>
        <v>0</v>
      </c>
      <c r="BN73" s="107">
        <f t="shared" si="106"/>
        <v>0</v>
      </c>
      <c r="BO73" s="109">
        <f t="shared" si="107"/>
        <v>0</v>
      </c>
      <c r="BP73" s="109">
        <f t="shared" si="108"/>
        <v>0</v>
      </c>
      <c r="BQ73" s="109">
        <f t="shared" si="109"/>
        <v>0</v>
      </c>
    </row>
    <row r="74" spans="1:69" x14ac:dyDescent="0.25">
      <c r="A74" s="101">
        <f t="shared" si="59"/>
        <v>38078</v>
      </c>
      <c r="B74" s="102">
        <f t="shared" si="47"/>
        <v>2.9940000000000002</v>
      </c>
      <c r="C74" s="102">
        <f t="shared" si="60"/>
        <v>5.0000000000000001E-3</v>
      </c>
      <c r="D74" s="80">
        <f t="shared" si="48"/>
        <v>0.2525</v>
      </c>
      <c r="E74" s="106">
        <f t="shared" si="61"/>
        <v>1</v>
      </c>
      <c r="F74" s="104">
        <f t="shared" si="49"/>
        <v>4.92</v>
      </c>
      <c r="G74" s="104">
        <f t="shared" si="50"/>
        <v>3.5</v>
      </c>
      <c r="H74" s="104">
        <f t="shared" si="51"/>
        <v>2.96</v>
      </c>
      <c r="I74" s="104">
        <f t="shared" si="52"/>
        <v>2.99</v>
      </c>
      <c r="J74" s="80">
        <f t="shared" si="62"/>
        <v>0.114</v>
      </c>
      <c r="K74" s="80" t="e">
        <f t="shared" si="63"/>
        <v>#DIV/0!</v>
      </c>
      <c r="L74" s="80" t="e">
        <f t="shared" si="64"/>
        <v>#DIV/0!</v>
      </c>
      <c r="M74" s="80" t="e">
        <f t="shared" si="65"/>
        <v>#DIV/0!</v>
      </c>
      <c r="N74" s="80">
        <f t="shared" si="66"/>
        <v>0.36649999999999999</v>
      </c>
      <c r="O74" s="80" t="e">
        <f t="shared" si="67"/>
        <v>#DIV/0!</v>
      </c>
      <c r="P74" s="80" t="e">
        <f t="shared" si="68"/>
        <v>#DIV/0!</v>
      </c>
      <c r="Q74" s="80" t="e">
        <f t="shared" si="69"/>
        <v>#DIV/0!</v>
      </c>
      <c r="R74" s="105">
        <f t="shared" ca="1" si="70"/>
        <v>1306</v>
      </c>
      <c r="S74" s="80">
        <f t="shared" si="53"/>
        <v>6.9075819107611999E-2</v>
      </c>
      <c r="T74" s="77">
        <v>0</v>
      </c>
      <c r="U74" s="182">
        <v>0</v>
      </c>
      <c r="X74" s="182"/>
      <c r="Z74" s="82"/>
      <c r="AA74" s="82">
        <f t="shared" si="71"/>
        <v>0</v>
      </c>
      <c r="AB74" s="82">
        <f t="shared" si="54"/>
        <v>0</v>
      </c>
      <c r="AC74" s="77">
        <f t="shared" si="72"/>
        <v>0</v>
      </c>
      <c r="AD74" s="108">
        <f t="shared" si="73"/>
        <v>0</v>
      </c>
      <c r="AE74" s="107">
        <f t="shared" si="74"/>
        <v>0</v>
      </c>
      <c r="AF74" s="107">
        <f t="shared" si="75"/>
        <v>0</v>
      </c>
      <c r="AG74" s="107">
        <f t="shared" si="76"/>
        <v>0</v>
      </c>
      <c r="AH74" s="109">
        <f t="shared" si="77"/>
        <v>0</v>
      </c>
      <c r="AI74" s="109">
        <f t="shared" si="78"/>
        <v>0</v>
      </c>
      <c r="AJ74" s="109">
        <f t="shared" si="79"/>
        <v>0</v>
      </c>
      <c r="AL74" s="82">
        <f t="shared" si="80"/>
        <v>0</v>
      </c>
      <c r="AM74" s="82" t="e">
        <f t="shared" si="81"/>
        <v>#DIV/0!</v>
      </c>
      <c r="AN74" s="77">
        <f t="shared" si="82"/>
        <v>0</v>
      </c>
      <c r="AO74" s="108">
        <f t="shared" si="83"/>
        <v>0</v>
      </c>
      <c r="AP74" s="107">
        <f t="shared" si="84"/>
        <v>0</v>
      </c>
      <c r="AQ74" s="107">
        <f t="shared" si="85"/>
        <v>0</v>
      </c>
      <c r="AR74" s="107">
        <f t="shared" si="86"/>
        <v>0</v>
      </c>
      <c r="AS74" s="109">
        <f t="shared" si="87"/>
        <v>0</v>
      </c>
      <c r="AT74" s="109">
        <f t="shared" si="88"/>
        <v>0</v>
      </c>
      <c r="AU74" s="109">
        <f t="shared" si="89"/>
        <v>0</v>
      </c>
      <c r="AW74" s="82">
        <f t="shared" si="90"/>
        <v>0</v>
      </c>
      <c r="AX74" s="82" t="e">
        <f t="shared" si="91"/>
        <v>#DIV/0!</v>
      </c>
      <c r="AY74" s="77">
        <f t="shared" si="92"/>
        <v>0</v>
      </c>
      <c r="AZ74" s="108">
        <f t="shared" si="93"/>
        <v>0</v>
      </c>
      <c r="BA74" s="107">
        <f t="shared" si="94"/>
        <v>0</v>
      </c>
      <c r="BB74" s="107">
        <f t="shared" si="95"/>
        <v>0</v>
      </c>
      <c r="BC74" s="107">
        <f t="shared" si="96"/>
        <v>0</v>
      </c>
      <c r="BD74" s="109">
        <f t="shared" si="97"/>
        <v>0</v>
      </c>
      <c r="BE74" s="109">
        <f t="shared" si="98"/>
        <v>0</v>
      </c>
      <c r="BF74" s="109">
        <f t="shared" si="99"/>
        <v>0</v>
      </c>
      <c r="BH74" s="82">
        <f t="shared" si="100"/>
        <v>0</v>
      </c>
      <c r="BI74" s="82" t="e">
        <f t="shared" si="101"/>
        <v>#DIV/0!</v>
      </c>
      <c r="BJ74" s="77">
        <f t="shared" si="102"/>
        <v>0</v>
      </c>
      <c r="BK74" s="108">
        <f t="shared" si="103"/>
        <v>0</v>
      </c>
      <c r="BL74" s="107">
        <f t="shared" si="104"/>
        <v>0</v>
      </c>
      <c r="BM74" s="107">
        <f t="shared" si="105"/>
        <v>0</v>
      </c>
      <c r="BN74" s="107">
        <f t="shared" si="106"/>
        <v>0</v>
      </c>
      <c r="BO74" s="109">
        <f t="shared" si="107"/>
        <v>0</v>
      </c>
      <c r="BP74" s="109">
        <f t="shared" si="108"/>
        <v>0</v>
      </c>
      <c r="BQ74" s="109">
        <f t="shared" si="109"/>
        <v>0</v>
      </c>
    </row>
    <row r="75" spans="1:69" x14ac:dyDescent="0.25">
      <c r="A75" s="101">
        <f t="shared" si="59"/>
        <v>38108</v>
      </c>
      <c r="B75" s="102">
        <f t="shared" si="47"/>
        <v>2.98</v>
      </c>
      <c r="C75" s="102">
        <f t="shared" si="60"/>
        <v>5.0000000000000001E-3</v>
      </c>
      <c r="D75" s="80">
        <f t="shared" si="48"/>
        <v>0.2525</v>
      </c>
      <c r="E75" s="106">
        <f t="shared" si="61"/>
        <v>1</v>
      </c>
      <c r="F75" s="104">
        <f t="shared" si="49"/>
        <v>4.92</v>
      </c>
      <c r="G75" s="104">
        <f t="shared" si="50"/>
        <v>3.5</v>
      </c>
      <c r="H75" s="104">
        <f t="shared" si="51"/>
        <v>2.96</v>
      </c>
      <c r="I75" s="104">
        <f t="shared" si="52"/>
        <v>2.99</v>
      </c>
      <c r="J75" s="80">
        <f t="shared" si="62"/>
        <v>0.114</v>
      </c>
      <c r="K75" s="80" t="e">
        <f t="shared" si="63"/>
        <v>#DIV/0!</v>
      </c>
      <c r="L75" s="80" t="e">
        <f t="shared" si="64"/>
        <v>#DIV/0!</v>
      </c>
      <c r="M75" s="80" t="e">
        <f t="shared" si="65"/>
        <v>#DIV/0!</v>
      </c>
      <c r="N75" s="80">
        <f t="shared" si="66"/>
        <v>0.36649999999999999</v>
      </c>
      <c r="O75" s="80" t="e">
        <f t="shared" si="67"/>
        <v>#DIV/0!</v>
      </c>
      <c r="P75" s="80" t="e">
        <f t="shared" si="68"/>
        <v>#DIV/0!</v>
      </c>
      <c r="Q75" s="80" t="e">
        <f t="shared" si="69"/>
        <v>#DIV/0!</v>
      </c>
      <c r="R75" s="105">
        <f t="shared" ca="1" si="70"/>
        <v>1336</v>
      </c>
      <c r="S75" s="80">
        <f t="shared" si="53"/>
        <v>6.9069963351949024E-2</v>
      </c>
      <c r="T75" s="77">
        <v>0</v>
      </c>
      <c r="U75" s="182">
        <v>0</v>
      </c>
      <c r="X75" s="182"/>
      <c r="Z75" s="82"/>
      <c r="AA75" s="82">
        <f t="shared" si="71"/>
        <v>0</v>
      </c>
      <c r="AB75" s="82">
        <f t="shared" si="54"/>
        <v>0</v>
      </c>
      <c r="AC75" s="77">
        <f t="shared" si="72"/>
        <v>0</v>
      </c>
      <c r="AD75" s="108">
        <f t="shared" si="73"/>
        <v>0</v>
      </c>
      <c r="AE75" s="107">
        <f t="shared" si="74"/>
        <v>0</v>
      </c>
      <c r="AF75" s="107">
        <f t="shared" si="75"/>
        <v>0</v>
      </c>
      <c r="AG75" s="107">
        <f t="shared" si="76"/>
        <v>0</v>
      </c>
      <c r="AH75" s="109">
        <f t="shared" si="77"/>
        <v>0</v>
      </c>
      <c r="AI75" s="109">
        <f t="shared" si="78"/>
        <v>0</v>
      </c>
      <c r="AJ75" s="109">
        <f t="shared" si="79"/>
        <v>0</v>
      </c>
      <c r="AL75" s="82">
        <f t="shared" si="80"/>
        <v>0</v>
      </c>
      <c r="AM75" s="82" t="e">
        <f t="shared" si="81"/>
        <v>#DIV/0!</v>
      </c>
      <c r="AN75" s="77">
        <f t="shared" si="82"/>
        <v>0</v>
      </c>
      <c r="AO75" s="108">
        <f t="shared" si="83"/>
        <v>0</v>
      </c>
      <c r="AP75" s="107">
        <f t="shared" si="84"/>
        <v>0</v>
      </c>
      <c r="AQ75" s="107">
        <f t="shared" si="85"/>
        <v>0</v>
      </c>
      <c r="AR75" s="107">
        <f t="shared" si="86"/>
        <v>0</v>
      </c>
      <c r="AS75" s="109">
        <f t="shared" si="87"/>
        <v>0</v>
      </c>
      <c r="AT75" s="109">
        <f t="shared" si="88"/>
        <v>0</v>
      </c>
      <c r="AU75" s="109">
        <f t="shared" si="89"/>
        <v>0</v>
      </c>
      <c r="AW75" s="82">
        <f t="shared" si="90"/>
        <v>0</v>
      </c>
      <c r="AX75" s="82" t="e">
        <f t="shared" si="91"/>
        <v>#DIV/0!</v>
      </c>
      <c r="AY75" s="77">
        <f t="shared" si="92"/>
        <v>0</v>
      </c>
      <c r="AZ75" s="108">
        <f t="shared" si="93"/>
        <v>0</v>
      </c>
      <c r="BA75" s="107">
        <f t="shared" si="94"/>
        <v>0</v>
      </c>
      <c r="BB75" s="107">
        <f t="shared" si="95"/>
        <v>0</v>
      </c>
      <c r="BC75" s="107">
        <f t="shared" si="96"/>
        <v>0</v>
      </c>
      <c r="BD75" s="109">
        <f t="shared" si="97"/>
        <v>0</v>
      </c>
      <c r="BE75" s="109">
        <f t="shared" si="98"/>
        <v>0</v>
      </c>
      <c r="BF75" s="109">
        <f t="shared" si="99"/>
        <v>0</v>
      </c>
      <c r="BH75" s="82">
        <f t="shared" si="100"/>
        <v>0</v>
      </c>
      <c r="BI75" s="82" t="e">
        <f t="shared" si="101"/>
        <v>#DIV/0!</v>
      </c>
      <c r="BJ75" s="77">
        <f t="shared" si="102"/>
        <v>0</v>
      </c>
      <c r="BK75" s="108">
        <f t="shared" si="103"/>
        <v>0</v>
      </c>
      <c r="BL75" s="107">
        <f t="shared" si="104"/>
        <v>0</v>
      </c>
      <c r="BM75" s="107">
        <f t="shared" si="105"/>
        <v>0</v>
      </c>
      <c r="BN75" s="107">
        <f t="shared" si="106"/>
        <v>0</v>
      </c>
      <c r="BO75" s="109">
        <f t="shared" si="107"/>
        <v>0</v>
      </c>
      <c r="BP75" s="109">
        <f t="shared" si="108"/>
        <v>0</v>
      </c>
      <c r="BQ75" s="109">
        <f t="shared" si="109"/>
        <v>0</v>
      </c>
    </row>
    <row r="76" spans="1:69" x14ac:dyDescent="0.25">
      <c r="A76" s="101">
        <f t="shared" si="59"/>
        <v>38139</v>
      </c>
      <c r="B76" s="102">
        <f t="shared" si="47"/>
        <v>3.0010000000000003</v>
      </c>
      <c r="C76" s="102">
        <f t="shared" si="60"/>
        <v>5.0000000000000001E-3</v>
      </c>
      <c r="D76" s="80">
        <f t="shared" si="48"/>
        <v>0.2525</v>
      </c>
      <c r="E76" s="106">
        <f t="shared" si="61"/>
        <v>1</v>
      </c>
      <c r="F76" s="104">
        <f t="shared" si="49"/>
        <v>4.92</v>
      </c>
      <c r="G76" s="104">
        <f t="shared" si="50"/>
        <v>3.5</v>
      </c>
      <c r="H76" s="104">
        <f t="shared" si="51"/>
        <v>2.96</v>
      </c>
      <c r="I76" s="104">
        <f t="shared" si="52"/>
        <v>2.99</v>
      </c>
      <c r="J76" s="80">
        <f t="shared" si="62"/>
        <v>0.114</v>
      </c>
      <c r="K76" s="80" t="e">
        <f t="shared" si="63"/>
        <v>#DIV/0!</v>
      </c>
      <c r="L76" s="80" t="e">
        <f t="shared" si="64"/>
        <v>#DIV/0!</v>
      </c>
      <c r="M76" s="80" t="e">
        <f t="shared" si="65"/>
        <v>#DIV/0!</v>
      </c>
      <c r="N76" s="80">
        <f t="shared" si="66"/>
        <v>0.36649999999999999</v>
      </c>
      <c r="O76" s="80" t="e">
        <f t="shared" si="67"/>
        <v>#DIV/0!</v>
      </c>
      <c r="P76" s="80" t="e">
        <f t="shared" si="68"/>
        <v>#DIV/0!</v>
      </c>
      <c r="Q76" s="80" t="e">
        <f t="shared" si="69"/>
        <v>#DIV/0!</v>
      </c>
      <c r="R76" s="105">
        <f t="shared" ca="1" si="70"/>
        <v>1364</v>
      </c>
      <c r="S76" s="80">
        <f t="shared" si="53"/>
        <v>6.9063912404441014E-2</v>
      </c>
      <c r="T76" s="77">
        <v>0</v>
      </c>
      <c r="U76" s="182">
        <v>0</v>
      </c>
      <c r="X76" s="182"/>
      <c r="Z76" s="82"/>
      <c r="AA76" s="82">
        <f t="shared" si="71"/>
        <v>0</v>
      </c>
      <c r="AB76" s="82">
        <f t="shared" si="54"/>
        <v>0</v>
      </c>
      <c r="AC76" s="77">
        <f t="shared" si="72"/>
        <v>0</v>
      </c>
      <c r="AD76" s="108">
        <f t="shared" si="73"/>
        <v>0</v>
      </c>
      <c r="AE76" s="107">
        <f t="shared" si="74"/>
        <v>0</v>
      </c>
      <c r="AF76" s="107">
        <f t="shared" si="75"/>
        <v>0</v>
      </c>
      <c r="AG76" s="107">
        <f t="shared" si="76"/>
        <v>0</v>
      </c>
      <c r="AH76" s="109">
        <f t="shared" si="77"/>
        <v>0</v>
      </c>
      <c r="AI76" s="109">
        <f t="shared" si="78"/>
        <v>0</v>
      </c>
      <c r="AJ76" s="109">
        <f t="shared" si="79"/>
        <v>0</v>
      </c>
      <c r="AL76" s="82">
        <f t="shared" si="80"/>
        <v>0</v>
      </c>
      <c r="AM76" s="82" t="e">
        <f t="shared" si="81"/>
        <v>#DIV/0!</v>
      </c>
      <c r="AN76" s="77">
        <f t="shared" si="82"/>
        <v>0</v>
      </c>
      <c r="AO76" s="108">
        <f t="shared" si="83"/>
        <v>0</v>
      </c>
      <c r="AP76" s="107">
        <f t="shared" si="84"/>
        <v>0</v>
      </c>
      <c r="AQ76" s="107">
        <f t="shared" si="85"/>
        <v>0</v>
      </c>
      <c r="AR76" s="107">
        <f t="shared" si="86"/>
        <v>0</v>
      </c>
      <c r="AS76" s="109">
        <f t="shared" si="87"/>
        <v>0</v>
      </c>
      <c r="AT76" s="109">
        <f t="shared" si="88"/>
        <v>0</v>
      </c>
      <c r="AU76" s="109">
        <f t="shared" si="89"/>
        <v>0</v>
      </c>
      <c r="AW76" s="82">
        <f t="shared" si="90"/>
        <v>0</v>
      </c>
      <c r="AX76" s="82" t="e">
        <f t="shared" si="91"/>
        <v>#DIV/0!</v>
      </c>
      <c r="AY76" s="77">
        <f t="shared" si="92"/>
        <v>0</v>
      </c>
      <c r="AZ76" s="108">
        <f t="shared" si="93"/>
        <v>0</v>
      </c>
      <c r="BA76" s="107">
        <f t="shared" si="94"/>
        <v>0</v>
      </c>
      <c r="BB76" s="107">
        <f t="shared" si="95"/>
        <v>0</v>
      </c>
      <c r="BC76" s="107">
        <f t="shared" si="96"/>
        <v>0</v>
      </c>
      <c r="BD76" s="109">
        <f t="shared" si="97"/>
        <v>0</v>
      </c>
      <c r="BE76" s="109">
        <f t="shared" si="98"/>
        <v>0</v>
      </c>
      <c r="BF76" s="109">
        <f t="shared" si="99"/>
        <v>0</v>
      </c>
      <c r="BH76" s="82">
        <f t="shared" si="100"/>
        <v>0</v>
      </c>
      <c r="BI76" s="82" t="e">
        <f t="shared" si="101"/>
        <v>#DIV/0!</v>
      </c>
      <c r="BJ76" s="77">
        <f t="shared" si="102"/>
        <v>0</v>
      </c>
      <c r="BK76" s="108">
        <f t="shared" si="103"/>
        <v>0</v>
      </c>
      <c r="BL76" s="107">
        <f t="shared" si="104"/>
        <v>0</v>
      </c>
      <c r="BM76" s="107">
        <f t="shared" si="105"/>
        <v>0</v>
      </c>
      <c r="BN76" s="107">
        <f t="shared" si="106"/>
        <v>0</v>
      </c>
      <c r="BO76" s="109">
        <f t="shared" si="107"/>
        <v>0</v>
      </c>
      <c r="BP76" s="109">
        <f t="shared" si="108"/>
        <v>0</v>
      </c>
      <c r="BQ76" s="109">
        <f t="shared" si="109"/>
        <v>0</v>
      </c>
    </row>
    <row r="77" spans="1:69" x14ac:dyDescent="0.25">
      <c r="A77" s="101">
        <f t="shared" si="59"/>
        <v>38169</v>
      </c>
      <c r="B77" s="102">
        <f t="shared" si="47"/>
        <v>3.0230000000000001</v>
      </c>
      <c r="C77" s="102">
        <f t="shared" si="60"/>
        <v>5.0000000000000001E-3</v>
      </c>
      <c r="D77" s="80">
        <f t="shared" si="48"/>
        <v>0.25</v>
      </c>
      <c r="E77" s="106">
        <f t="shared" si="61"/>
        <v>1</v>
      </c>
      <c r="F77" s="104">
        <f t="shared" si="49"/>
        <v>4.92</v>
      </c>
      <c r="G77" s="104">
        <f t="shared" si="50"/>
        <v>3.5</v>
      </c>
      <c r="H77" s="104">
        <f t="shared" si="51"/>
        <v>2.96</v>
      </c>
      <c r="I77" s="104">
        <f t="shared" si="52"/>
        <v>2.99</v>
      </c>
      <c r="J77" s="80">
        <f t="shared" si="62"/>
        <v>0.114</v>
      </c>
      <c r="K77" s="80" t="e">
        <f t="shared" si="63"/>
        <v>#DIV/0!</v>
      </c>
      <c r="L77" s="80" t="e">
        <f t="shared" si="64"/>
        <v>#DIV/0!</v>
      </c>
      <c r="M77" s="80" t="e">
        <f t="shared" si="65"/>
        <v>#DIV/0!</v>
      </c>
      <c r="N77" s="80">
        <f t="shared" si="66"/>
        <v>0.36399999999999999</v>
      </c>
      <c r="O77" s="80" t="e">
        <f t="shared" si="67"/>
        <v>#DIV/0!</v>
      </c>
      <c r="P77" s="80" t="e">
        <f t="shared" si="68"/>
        <v>#DIV/0!</v>
      </c>
      <c r="Q77" s="80" t="e">
        <f t="shared" si="69"/>
        <v>#DIV/0!</v>
      </c>
      <c r="R77" s="105">
        <f t="shared" ca="1" si="70"/>
        <v>1397</v>
      </c>
      <c r="S77" s="80">
        <f t="shared" si="53"/>
        <v>6.9069004174273016E-2</v>
      </c>
      <c r="T77" s="77">
        <v>0</v>
      </c>
      <c r="U77" s="182">
        <v>0</v>
      </c>
      <c r="X77" s="182"/>
      <c r="Z77" s="82"/>
      <c r="AA77" s="82">
        <f t="shared" si="71"/>
        <v>0</v>
      </c>
      <c r="AB77" s="82">
        <f t="shared" si="54"/>
        <v>0</v>
      </c>
      <c r="AC77" s="77">
        <f t="shared" si="72"/>
        <v>0</v>
      </c>
      <c r="AD77" s="108">
        <f t="shared" si="73"/>
        <v>0</v>
      </c>
      <c r="AE77" s="107">
        <f t="shared" si="74"/>
        <v>0</v>
      </c>
      <c r="AF77" s="107">
        <f t="shared" si="75"/>
        <v>0</v>
      </c>
      <c r="AG77" s="107">
        <f t="shared" si="76"/>
        <v>0</v>
      </c>
      <c r="AH77" s="109">
        <f t="shared" si="77"/>
        <v>0</v>
      </c>
      <c r="AI77" s="109">
        <f t="shared" si="78"/>
        <v>0</v>
      </c>
      <c r="AJ77" s="109">
        <f t="shared" si="79"/>
        <v>0</v>
      </c>
      <c r="AL77" s="82">
        <f t="shared" si="80"/>
        <v>0</v>
      </c>
      <c r="AM77" s="82" t="e">
        <f t="shared" si="81"/>
        <v>#DIV/0!</v>
      </c>
      <c r="AN77" s="77">
        <f t="shared" si="82"/>
        <v>0</v>
      </c>
      <c r="AO77" s="108">
        <f t="shared" si="83"/>
        <v>0</v>
      </c>
      <c r="AP77" s="107">
        <f t="shared" si="84"/>
        <v>0</v>
      </c>
      <c r="AQ77" s="107">
        <f t="shared" si="85"/>
        <v>0</v>
      </c>
      <c r="AR77" s="107">
        <f t="shared" si="86"/>
        <v>0</v>
      </c>
      <c r="AS77" s="109">
        <f t="shared" si="87"/>
        <v>0</v>
      </c>
      <c r="AT77" s="109">
        <f t="shared" si="88"/>
        <v>0</v>
      </c>
      <c r="AU77" s="109">
        <f t="shared" si="89"/>
        <v>0</v>
      </c>
      <c r="AW77" s="82">
        <f t="shared" si="90"/>
        <v>0</v>
      </c>
      <c r="AX77" s="82" t="e">
        <f t="shared" si="91"/>
        <v>#DIV/0!</v>
      </c>
      <c r="AY77" s="77">
        <f t="shared" si="92"/>
        <v>0</v>
      </c>
      <c r="AZ77" s="108">
        <f t="shared" si="93"/>
        <v>0</v>
      </c>
      <c r="BA77" s="107">
        <f t="shared" si="94"/>
        <v>0</v>
      </c>
      <c r="BB77" s="107">
        <f t="shared" si="95"/>
        <v>0</v>
      </c>
      <c r="BC77" s="107">
        <f t="shared" si="96"/>
        <v>0</v>
      </c>
      <c r="BD77" s="109">
        <f t="shared" si="97"/>
        <v>0</v>
      </c>
      <c r="BE77" s="109">
        <f t="shared" si="98"/>
        <v>0</v>
      </c>
      <c r="BF77" s="109">
        <f t="shared" si="99"/>
        <v>0</v>
      </c>
      <c r="BH77" s="82">
        <f t="shared" si="100"/>
        <v>0</v>
      </c>
      <c r="BI77" s="82" t="e">
        <f t="shared" si="101"/>
        <v>#DIV/0!</v>
      </c>
      <c r="BJ77" s="77">
        <f t="shared" si="102"/>
        <v>0</v>
      </c>
      <c r="BK77" s="108">
        <f t="shared" si="103"/>
        <v>0</v>
      </c>
      <c r="BL77" s="107">
        <f t="shared" si="104"/>
        <v>0</v>
      </c>
      <c r="BM77" s="107">
        <f t="shared" si="105"/>
        <v>0</v>
      </c>
      <c r="BN77" s="107">
        <f t="shared" si="106"/>
        <v>0</v>
      </c>
      <c r="BO77" s="109">
        <f t="shared" si="107"/>
        <v>0</v>
      </c>
      <c r="BP77" s="109">
        <f t="shared" si="108"/>
        <v>0</v>
      </c>
      <c r="BQ77" s="109">
        <f t="shared" si="109"/>
        <v>0</v>
      </c>
    </row>
    <row r="78" spans="1:69" x14ac:dyDescent="0.25">
      <c r="A78" s="101">
        <f t="shared" si="59"/>
        <v>38200</v>
      </c>
      <c r="B78" s="102">
        <f t="shared" si="47"/>
        <v>3.0440000000000005</v>
      </c>
      <c r="C78" s="102">
        <f t="shared" si="60"/>
        <v>5.0000000000000001E-3</v>
      </c>
      <c r="D78" s="80">
        <f t="shared" si="48"/>
        <v>0.25</v>
      </c>
      <c r="E78" s="106">
        <f t="shared" si="61"/>
        <v>1</v>
      </c>
      <c r="F78" s="104">
        <f t="shared" si="49"/>
        <v>4.92</v>
      </c>
      <c r="G78" s="104">
        <f t="shared" si="50"/>
        <v>3.5</v>
      </c>
      <c r="H78" s="104">
        <f t="shared" si="51"/>
        <v>2.96</v>
      </c>
      <c r="I78" s="104">
        <f t="shared" si="52"/>
        <v>2.99</v>
      </c>
      <c r="J78" s="80">
        <f t="shared" si="62"/>
        <v>0.114</v>
      </c>
      <c r="K78" s="80" t="e">
        <f t="shared" si="63"/>
        <v>#DIV/0!</v>
      </c>
      <c r="L78" s="80" t="e">
        <f t="shared" si="64"/>
        <v>#DIV/0!</v>
      </c>
      <c r="M78" s="80" t="e">
        <f t="shared" si="65"/>
        <v>#DIV/0!</v>
      </c>
      <c r="N78" s="80">
        <f t="shared" si="66"/>
        <v>0.36399999999999999</v>
      </c>
      <c r="O78" s="80" t="e">
        <f t="shared" si="67"/>
        <v>#DIV/0!</v>
      </c>
      <c r="P78" s="80" t="e">
        <f t="shared" si="68"/>
        <v>#DIV/0!</v>
      </c>
      <c r="Q78" s="80" t="e">
        <f t="shared" si="69"/>
        <v>#DIV/0!</v>
      </c>
      <c r="R78" s="105">
        <f t="shared" ca="1" si="70"/>
        <v>1427</v>
      </c>
      <c r="S78" s="80">
        <f t="shared" si="53"/>
        <v>6.9087194176122024E-2</v>
      </c>
      <c r="T78" s="77">
        <v>0</v>
      </c>
      <c r="U78" s="182">
        <v>0</v>
      </c>
      <c r="X78" s="182"/>
      <c r="Z78" s="82"/>
      <c r="AA78" s="82">
        <f t="shared" si="71"/>
        <v>0</v>
      </c>
      <c r="AB78" s="82">
        <f t="shared" si="54"/>
        <v>0</v>
      </c>
      <c r="AC78" s="77">
        <f t="shared" si="72"/>
        <v>0</v>
      </c>
      <c r="AD78" s="108">
        <f t="shared" si="73"/>
        <v>0</v>
      </c>
      <c r="AE78" s="107">
        <f t="shared" si="74"/>
        <v>0</v>
      </c>
      <c r="AF78" s="107">
        <f t="shared" si="75"/>
        <v>0</v>
      </c>
      <c r="AG78" s="107">
        <f t="shared" si="76"/>
        <v>0</v>
      </c>
      <c r="AH78" s="109">
        <f t="shared" si="77"/>
        <v>0</v>
      </c>
      <c r="AI78" s="109">
        <f t="shared" si="78"/>
        <v>0</v>
      </c>
      <c r="AJ78" s="109">
        <f t="shared" si="79"/>
        <v>0</v>
      </c>
      <c r="AL78" s="82">
        <f t="shared" si="80"/>
        <v>0</v>
      </c>
      <c r="AM78" s="82" t="e">
        <f t="shared" si="81"/>
        <v>#DIV/0!</v>
      </c>
      <c r="AN78" s="77">
        <f t="shared" si="82"/>
        <v>0</v>
      </c>
      <c r="AO78" s="108">
        <f t="shared" si="83"/>
        <v>0</v>
      </c>
      <c r="AP78" s="107">
        <f t="shared" si="84"/>
        <v>0</v>
      </c>
      <c r="AQ78" s="107">
        <f t="shared" si="85"/>
        <v>0</v>
      </c>
      <c r="AR78" s="107">
        <f t="shared" si="86"/>
        <v>0</v>
      </c>
      <c r="AS78" s="109">
        <f t="shared" si="87"/>
        <v>0</v>
      </c>
      <c r="AT78" s="109">
        <f t="shared" si="88"/>
        <v>0</v>
      </c>
      <c r="AU78" s="109">
        <f t="shared" si="89"/>
        <v>0</v>
      </c>
      <c r="AW78" s="82">
        <f t="shared" si="90"/>
        <v>0</v>
      </c>
      <c r="AX78" s="82" t="e">
        <f t="shared" si="91"/>
        <v>#DIV/0!</v>
      </c>
      <c r="AY78" s="77">
        <f t="shared" si="92"/>
        <v>0</v>
      </c>
      <c r="AZ78" s="108">
        <f t="shared" si="93"/>
        <v>0</v>
      </c>
      <c r="BA78" s="107">
        <f t="shared" si="94"/>
        <v>0</v>
      </c>
      <c r="BB78" s="107">
        <f t="shared" si="95"/>
        <v>0</v>
      </c>
      <c r="BC78" s="107">
        <f t="shared" si="96"/>
        <v>0</v>
      </c>
      <c r="BD78" s="109">
        <f t="shared" si="97"/>
        <v>0</v>
      </c>
      <c r="BE78" s="109">
        <f t="shared" si="98"/>
        <v>0</v>
      </c>
      <c r="BF78" s="109">
        <f t="shared" si="99"/>
        <v>0</v>
      </c>
      <c r="BH78" s="82">
        <f t="shared" si="100"/>
        <v>0</v>
      </c>
      <c r="BI78" s="82" t="e">
        <f t="shared" si="101"/>
        <v>#DIV/0!</v>
      </c>
      <c r="BJ78" s="77">
        <f t="shared" si="102"/>
        <v>0</v>
      </c>
      <c r="BK78" s="108">
        <f t="shared" si="103"/>
        <v>0</v>
      </c>
      <c r="BL78" s="107">
        <f t="shared" si="104"/>
        <v>0</v>
      </c>
      <c r="BM78" s="107">
        <f t="shared" si="105"/>
        <v>0</v>
      </c>
      <c r="BN78" s="107">
        <f t="shared" si="106"/>
        <v>0</v>
      </c>
      <c r="BO78" s="109">
        <f t="shared" si="107"/>
        <v>0</v>
      </c>
      <c r="BP78" s="109">
        <f t="shared" si="108"/>
        <v>0</v>
      </c>
      <c r="BQ78" s="109">
        <f t="shared" si="109"/>
        <v>0</v>
      </c>
    </row>
    <row r="79" spans="1:69" x14ac:dyDescent="0.25">
      <c r="A79" s="101">
        <f t="shared" si="59"/>
        <v>38231</v>
      </c>
      <c r="B79" s="102">
        <f t="shared" si="47"/>
        <v>3.0330000000000004</v>
      </c>
      <c r="C79" s="102">
        <f t="shared" si="60"/>
        <v>5.0000000000000001E-3</v>
      </c>
      <c r="D79" s="80">
        <f t="shared" si="48"/>
        <v>0.25</v>
      </c>
      <c r="E79" s="106">
        <f t="shared" si="61"/>
        <v>1</v>
      </c>
      <c r="F79" s="104">
        <f t="shared" si="49"/>
        <v>4.92</v>
      </c>
      <c r="G79" s="104">
        <f t="shared" si="50"/>
        <v>3.5</v>
      </c>
      <c r="H79" s="104">
        <f t="shared" si="51"/>
        <v>2.96</v>
      </c>
      <c r="I79" s="104">
        <f t="shared" si="52"/>
        <v>2.99</v>
      </c>
      <c r="J79" s="80">
        <f t="shared" si="62"/>
        <v>0.114</v>
      </c>
      <c r="K79" s="80" t="e">
        <f t="shared" si="63"/>
        <v>#DIV/0!</v>
      </c>
      <c r="L79" s="80" t="e">
        <f t="shared" si="64"/>
        <v>#DIV/0!</v>
      </c>
      <c r="M79" s="80" t="e">
        <f t="shared" si="65"/>
        <v>#DIV/0!</v>
      </c>
      <c r="N79" s="80">
        <f t="shared" si="66"/>
        <v>0.36399999999999999</v>
      </c>
      <c r="O79" s="80" t="e">
        <f t="shared" si="67"/>
        <v>#DIV/0!</v>
      </c>
      <c r="P79" s="80" t="e">
        <f t="shared" si="68"/>
        <v>#DIV/0!</v>
      </c>
      <c r="Q79" s="80" t="e">
        <f t="shared" si="69"/>
        <v>#DIV/0!</v>
      </c>
      <c r="R79" s="105">
        <f t="shared" ca="1" si="70"/>
        <v>1457</v>
      </c>
      <c r="S79" s="80">
        <f t="shared" si="53"/>
        <v>6.9105384178080001E-2</v>
      </c>
      <c r="T79" s="77">
        <v>0</v>
      </c>
      <c r="U79" s="182">
        <v>0</v>
      </c>
      <c r="X79" s="182"/>
      <c r="Z79" s="82"/>
      <c r="AA79" s="82">
        <f t="shared" si="71"/>
        <v>0</v>
      </c>
      <c r="AB79" s="82">
        <f t="shared" si="54"/>
        <v>0</v>
      </c>
      <c r="AC79" s="77">
        <f t="shared" si="72"/>
        <v>0</v>
      </c>
      <c r="AD79" s="108">
        <f t="shared" si="73"/>
        <v>0</v>
      </c>
      <c r="AE79" s="107">
        <f t="shared" si="74"/>
        <v>0</v>
      </c>
      <c r="AF79" s="107">
        <f t="shared" si="75"/>
        <v>0</v>
      </c>
      <c r="AG79" s="107">
        <f t="shared" si="76"/>
        <v>0</v>
      </c>
      <c r="AH79" s="109">
        <f t="shared" si="77"/>
        <v>0</v>
      </c>
      <c r="AI79" s="109">
        <f t="shared" si="78"/>
        <v>0</v>
      </c>
      <c r="AJ79" s="109">
        <f t="shared" si="79"/>
        <v>0</v>
      </c>
      <c r="AL79" s="82">
        <f t="shared" si="80"/>
        <v>0</v>
      </c>
      <c r="AM79" s="82" t="e">
        <f t="shared" si="81"/>
        <v>#DIV/0!</v>
      </c>
      <c r="AN79" s="77">
        <f t="shared" si="82"/>
        <v>0</v>
      </c>
      <c r="AO79" s="108">
        <f t="shared" si="83"/>
        <v>0</v>
      </c>
      <c r="AP79" s="107">
        <f t="shared" si="84"/>
        <v>0</v>
      </c>
      <c r="AQ79" s="107">
        <f t="shared" si="85"/>
        <v>0</v>
      </c>
      <c r="AR79" s="107">
        <f t="shared" si="86"/>
        <v>0</v>
      </c>
      <c r="AS79" s="109">
        <f t="shared" si="87"/>
        <v>0</v>
      </c>
      <c r="AT79" s="109">
        <f t="shared" si="88"/>
        <v>0</v>
      </c>
      <c r="AU79" s="109">
        <f t="shared" si="89"/>
        <v>0</v>
      </c>
      <c r="AW79" s="82">
        <f t="shared" si="90"/>
        <v>0</v>
      </c>
      <c r="AX79" s="82" t="e">
        <f t="shared" si="91"/>
        <v>#DIV/0!</v>
      </c>
      <c r="AY79" s="77">
        <f t="shared" si="92"/>
        <v>0</v>
      </c>
      <c r="AZ79" s="108">
        <f t="shared" si="93"/>
        <v>0</v>
      </c>
      <c r="BA79" s="107">
        <f t="shared" si="94"/>
        <v>0</v>
      </c>
      <c r="BB79" s="107">
        <f t="shared" si="95"/>
        <v>0</v>
      </c>
      <c r="BC79" s="107">
        <f t="shared" si="96"/>
        <v>0</v>
      </c>
      <c r="BD79" s="109">
        <f t="shared" si="97"/>
        <v>0</v>
      </c>
      <c r="BE79" s="109">
        <f t="shared" si="98"/>
        <v>0</v>
      </c>
      <c r="BF79" s="109">
        <f t="shared" si="99"/>
        <v>0</v>
      </c>
      <c r="BH79" s="82">
        <f t="shared" si="100"/>
        <v>0</v>
      </c>
      <c r="BI79" s="82" t="e">
        <f t="shared" si="101"/>
        <v>#DIV/0!</v>
      </c>
      <c r="BJ79" s="77">
        <f t="shared" si="102"/>
        <v>0</v>
      </c>
      <c r="BK79" s="108">
        <f t="shared" si="103"/>
        <v>0</v>
      </c>
      <c r="BL79" s="107">
        <f t="shared" si="104"/>
        <v>0</v>
      </c>
      <c r="BM79" s="107">
        <f t="shared" si="105"/>
        <v>0</v>
      </c>
      <c r="BN79" s="107">
        <f t="shared" si="106"/>
        <v>0</v>
      </c>
      <c r="BO79" s="109">
        <f t="shared" si="107"/>
        <v>0</v>
      </c>
      <c r="BP79" s="109">
        <f t="shared" si="108"/>
        <v>0</v>
      </c>
      <c r="BQ79" s="109">
        <f t="shared" si="109"/>
        <v>0</v>
      </c>
    </row>
    <row r="80" spans="1:69" x14ac:dyDescent="0.25">
      <c r="A80" s="101">
        <f t="shared" si="59"/>
        <v>38261</v>
      </c>
      <c r="B80" s="102">
        <f t="shared" si="47"/>
        <v>3.0369999999999999</v>
      </c>
      <c r="C80" s="102">
        <f t="shared" si="60"/>
        <v>5.0000000000000001E-3</v>
      </c>
      <c r="D80" s="80">
        <f t="shared" si="48"/>
        <v>0.25</v>
      </c>
      <c r="E80" s="106">
        <f t="shared" si="61"/>
        <v>1</v>
      </c>
      <c r="F80" s="104">
        <f t="shared" si="49"/>
        <v>4.92</v>
      </c>
      <c r="G80" s="104">
        <f t="shared" si="50"/>
        <v>3.5</v>
      </c>
      <c r="H80" s="104">
        <f t="shared" si="51"/>
        <v>2.96</v>
      </c>
      <c r="I80" s="104">
        <f t="shared" si="52"/>
        <v>2.99</v>
      </c>
      <c r="J80" s="80">
        <f t="shared" si="62"/>
        <v>0.114</v>
      </c>
      <c r="K80" s="80" t="e">
        <f t="shared" si="63"/>
        <v>#DIV/0!</v>
      </c>
      <c r="L80" s="80" t="e">
        <f t="shared" si="64"/>
        <v>#DIV/0!</v>
      </c>
      <c r="M80" s="80" t="e">
        <f t="shared" si="65"/>
        <v>#DIV/0!</v>
      </c>
      <c r="N80" s="80">
        <f t="shared" si="66"/>
        <v>0.36399999999999999</v>
      </c>
      <c r="O80" s="80" t="e">
        <f t="shared" si="67"/>
        <v>#DIV/0!</v>
      </c>
      <c r="P80" s="80" t="e">
        <f t="shared" si="68"/>
        <v>#DIV/0!</v>
      </c>
      <c r="Q80" s="80" t="e">
        <f t="shared" si="69"/>
        <v>#DIV/0!</v>
      </c>
      <c r="R80" s="105">
        <f t="shared" ca="1" si="70"/>
        <v>1489</v>
      </c>
      <c r="S80" s="80">
        <f t="shared" si="53"/>
        <v>6.9122987405887029E-2</v>
      </c>
      <c r="T80" s="77">
        <v>0</v>
      </c>
      <c r="U80" s="182">
        <v>0</v>
      </c>
      <c r="X80" s="182"/>
      <c r="Z80" s="82"/>
      <c r="AA80" s="82">
        <f t="shared" si="71"/>
        <v>0</v>
      </c>
      <c r="AB80" s="82">
        <f t="shared" si="54"/>
        <v>0</v>
      </c>
      <c r="AC80" s="77">
        <f t="shared" si="72"/>
        <v>0</v>
      </c>
      <c r="AD80" s="108">
        <f t="shared" si="73"/>
        <v>0</v>
      </c>
      <c r="AE80" s="107">
        <f t="shared" si="74"/>
        <v>0</v>
      </c>
      <c r="AF80" s="107">
        <f t="shared" si="75"/>
        <v>0</v>
      </c>
      <c r="AG80" s="107">
        <f t="shared" si="76"/>
        <v>0</v>
      </c>
      <c r="AH80" s="109">
        <f t="shared" si="77"/>
        <v>0</v>
      </c>
      <c r="AI80" s="109">
        <f t="shared" si="78"/>
        <v>0</v>
      </c>
      <c r="AJ80" s="109">
        <f t="shared" si="79"/>
        <v>0</v>
      </c>
      <c r="AL80" s="82">
        <f t="shared" si="80"/>
        <v>0</v>
      </c>
      <c r="AM80" s="82" t="e">
        <f t="shared" si="81"/>
        <v>#DIV/0!</v>
      </c>
      <c r="AN80" s="77">
        <f t="shared" si="82"/>
        <v>0</v>
      </c>
      <c r="AO80" s="108">
        <f t="shared" si="83"/>
        <v>0</v>
      </c>
      <c r="AP80" s="107">
        <f t="shared" si="84"/>
        <v>0</v>
      </c>
      <c r="AQ80" s="107">
        <f t="shared" si="85"/>
        <v>0</v>
      </c>
      <c r="AR80" s="107">
        <f t="shared" si="86"/>
        <v>0</v>
      </c>
      <c r="AS80" s="109">
        <f t="shared" si="87"/>
        <v>0</v>
      </c>
      <c r="AT80" s="109">
        <f t="shared" si="88"/>
        <v>0</v>
      </c>
      <c r="AU80" s="109">
        <f t="shared" si="89"/>
        <v>0</v>
      </c>
      <c r="AW80" s="82">
        <f t="shared" si="90"/>
        <v>0</v>
      </c>
      <c r="AX80" s="82" t="e">
        <f t="shared" si="91"/>
        <v>#DIV/0!</v>
      </c>
      <c r="AY80" s="77">
        <f t="shared" si="92"/>
        <v>0</v>
      </c>
      <c r="AZ80" s="108">
        <f t="shared" si="93"/>
        <v>0</v>
      </c>
      <c r="BA80" s="107">
        <f t="shared" si="94"/>
        <v>0</v>
      </c>
      <c r="BB80" s="107">
        <f t="shared" si="95"/>
        <v>0</v>
      </c>
      <c r="BC80" s="107">
        <f t="shared" si="96"/>
        <v>0</v>
      </c>
      <c r="BD80" s="109">
        <f t="shared" si="97"/>
        <v>0</v>
      </c>
      <c r="BE80" s="109">
        <f t="shared" si="98"/>
        <v>0</v>
      </c>
      <c r="BF80" s="109">
        <f t="shared" si="99"/>
        <v>0</v>
      </c>
      <c r="BH80" s="82">
        <f t="shared" si="100"/>
        <v>0</v>
      </c>
      <c r="BI80" s="82" t="e">
        <f t="shared" si="101"/>
        <v>#DIV/0!</v>
      </c>
      <c r="BJ80" s="77">
        <f t="shared" si="102"/>
        <v>0</v>
      </c>
      <c r="BK80" s="108">
        <f t="shared" si="103"/>
        <v>0</v>
      </c>
      <c r="BL80" s="107">
        <f t="shared" si="104"/>
        <v>0</v>
      </c>
      <c r="BM80" s="107">
        <f t="shared" si="105"/>
        <v>0</v>
      </c>
      <c r="BN80" s="107">
        <f t="shared" si="106"/>
        <v>0</v>
      </c>
      <c r="BO80" s="109">
        <f t="shared" si="107"/>
        <v>0</v>
      </c>
      <c r="BP80" s="109">
        <f t="shared" si="108"/>
        <v>0</v>
      </c>
      <c r="BQ80" s="109">
        <f t="shared" si="109"/>
        <v>0</v>
      </c>
    </row>
    <row r="81" spans="1:69" x14ac:dyDescent="0.25">
      <c r="A81" s="101">
        <f t="shared" si="59"/>
        <v>38292</v>
      </c>
      <c r="B81" s="102">
        <f t="shared" si="47"/>
        <v>3.1240000000000006</v>
      </c>
      <c r="C81" s="102">
        <f t="shared" si="60"/>
        <v>5.0000000000000001E-3</v>
      </c>
      <c r="D81" s="80">
        <f t="shared" si="48"/>
        <v>0.2525</v>
      </c>
      <c r="E81" s="106">
        <f t="shared" si="61"/>
        <v>1</v>
      </c>
      <c r="F81" s="104">
        <f t="shared" si="49"/>
        <v>4.92</v>
      </c>
      <c r="G81" s="104">
        <f t="shared" si="50"/>
        <v>3.5</v>
      </c>
      <c r="H81" s="104">
        <f t="shared" si="51"/>
        <v>2.96</v>
      </c>
      <c r="I81" s="104">
        <f t="shared" si="52"/>
        <v>2.99</v>
      </c>
      <c r="J81" s="80">
        <f t="shared" si="62"/>
        <v>0.114</v>
      </c>
      <c r="K81" s="80" t="e">
        <f t="shared" si="63"/>
        <v>#DIV/0!</v>
      </c>
      <c r="L81" s="80" t="e">
        <f t="shared" si="64"/>
        <v>#DIV/0!</v>
      </c>
      <c r="M81" s="80" t="e">
        <f t="shared" si="65"/>
        <v>#DIV/0!</v>
      </c>
      <c r="N81" s="80">
        <f t="shared" si="66"/>
        <v>0.36649999999999999</v>
      </c>
      <c r="O81" s="80" t="e">
        <f t="shared" si="67"/>
        <v>#DIV/0!</v>
      </c>
      <c r="P81" s="80" t="e">
        <f t="shared" si="68"/>
        <v>#DIV/0!</v>
      </c>
      <c r="Q81" s="80" t="e">
        <f t="shared" si="69"/>
        <v>#DIV/0!</v>
      </c>
      <c r="R81" s="105">
        <f t="shared" ca="1" si="70"/>
        <v>1518</v>
      </c>
      <c r="S81" s="80">
        <f t="shared" si="53"/>
        <v>6.9141177408060014E-2</v>
      </c>
      <c r="T81" s="77">
        <v>0</v>
      </c>
      <c r="U81" s="182">
        <v>0</v>
      </c>
      <c r="X81" s="182"/>
      <c r="Z81" s="82"/>
      <c r="AA81" s="82">
        <f t="shared" si="71"/>
        <v>0</v>
      </c>
      <c r="AB81" s="82">
        <f t="shared" si="54"/>
        <v>0</v>
      </c>
      <c r="AC81" s="77">
        <f t="shared" si="72"/>
        <v>0</v>
      </c>
      <c r="AD81" s="108">
        <f t="shared" si="73"/>
        <v>0</v>
      </c>
      <c r="AE81" s="107">
        <f t="shared" si="74"/>
        <v>0</v>
      </c>
      <c r="AF81" s="107">
        <f t="shared" si="75"/>
        <v>0</v>
      </c>
      <c r="AG81" s="107">
        <f t="shared" si="76"/>
        <v>0</v>
      </c>
      <c r="AH81" s="109">
        <f t="shared" si="77"/>
        <v>0</v>
      </c>
      <c r="AI81" s="109">
        <f t="shared" si="78"/>
        <v>0</v>
      </c>
      <c r="AJ81" s="109">
        <f t="shared" si="79"/>
        <v>0</v>
      </c>
      <c r="AL81" s="82">
        <f t="shared" si="80"/>
        <v>0</v>
      </c>
      <c r="AM81" s="82" t="e">
        <f t="shared" si="81"/>
        <v>#DIV/0!</v>
      </c>
      <c r="AN81" s="77">
        <f t="shared" si="82"/>
        <v>0</v>
      </c>
      <c r="AO81" s="108">
        <f t="shared" si="83"/>
        <v>0</v>
      </c>
      <c r="AP81" s="107">
        <f t="shared" si="84"/>
        <v>0</v>
      </c>
      <c r="AQ81" s="107">
        <f t="shared" si="85"/>
        <v>0</v>
      </c>
      <c r="AR81" s="107">
        <f t="shared" si="86"/>
        <v>0</v>
      </c>
      <c r="AS81" s="109">
        <f t="shared" si="87"/>
        <v>0</v>
      </c>
      <c r="AT81" s="109">
        <f t="shared" si="88"/>
        <v>0</v>
      </c>
      <c r="AU81" s="109">
        <f t="shared" si="89"/>
        <v>0</v>
      </c>
      <c r="AW81" s="82">
        <f t="shared" si="90"/>
        <v>0</v>
      </c>
      <c r="AX81" s="82" t="e">
        <f t="shared" si="91"/>
        <v>#DIV/0!</v>
      </c>
      <c r="AY81" s="77">
        <f t="shared" si="92"/>
        <v>0</v>
      </c>
      <c r="AZ81" s="108">
        <f t="shared" si="93"/>
        <v>0</v>
      </c>
      <c r="BA81" s="107">
        <f t="shared" si="94"/>
        <v>0</v>
      </c>
      <c r="BB81" s="107">
        <f t="shared" si="95"/>
        <v>0</v>
      </c>
      <c r="BC81" s="107">
        <f t="shared" si="96"/>
        <v>0</v>
      </c>
      <c r="BD81" s="109">
        <f t="shared" si="97"/>
        <v>0</v>
      </c>
      <c r="BE81" s="109">
        <f t="shared" si="98"/>
        <v>0</v>
      </c>
      <c r="BF81" s="109">
        <f t="shared" si="99"/>
        <v>0</v>
      </c>
      <c r="BH81" s="82">
        <f t="shared" si="100"/>
        <v>0</v>
      </c>
      <c r="BI81" s="82" t="e">
        <f t="shared" si="101"/>
        <v>#DIV/0!</v>
      </c>
      <c r="BJ81" s="77">
        <f t="shared" si="102"/>
        <v>0</v>
      </c>
      <c r="BK81" s="108">
        <f t="shared" si="103"/>
        <v>0</v>
      </c>
      <c r="BL81" s="107">
        <f t="shared" si="104"/>
        <v>0</v>
      </c>
      <c r="BM81" s="107">
        <f t="shared" si="105"/>
        <v>0</v>
      </c>
      <c r="BN81" s="107">
        <f t="shared" si="106"/>
        <v>0</v>
      </c>
      <c r="BO81" s="109">
        <f t="shared" si="107"/>
        <v>0</v>
      </c>
      <c r="BP81" s="109">
        <f t="shared" si="108"/>
        <v>0</v>
      </c>
      <c r="BQ81" s="109">
        <f t="shared" si="109"/>
        <v>0</v>
      </c>
    </row>
    <row r="82" spans="1:69" x14ac:dyDescent="0.25">
      <c r="A82" s="101">
        <f t="shared" si="59"/>
        <v>38322</v>
      </c>
      <c r="B82" s="102">
        <f t="shared" si="47"/>
        <v>3.2030000000000003</v>
      </c>
      <c r="C82" s="102">
        <f t="shared" si="60"/>
        <v>5.0000000000000001E-3</v>
      </c>
      <c r="D82" s="80">
        <f t="shared" si="48"/>
        <v>0.255</v>
      </c>
      <c r="E82" s="106">
        <f t="shared" si="61"/>
        <v>1</v>
      </c>
      <c r="F82" s="104">
        <f t="shared" si="49"/>
        <v>4.92</v>
      </c>
      <c r="G82" s="104">
        <f t="shared" si="50"/>
        <v>3.5</v>
      </c>
      <c r="H82" s="104">
        <f t="shared" si="51"/>
        <v>2.96</v>
      </c>
      <c r="I82" s="104">
        <f t="shared" si="52"/>
        <v>2.99</v>
      </c>
      <c r="J82" s="80">
        <f t="shared" si="62"/>
        <v>0.114</v>
      </c>
      <c r="K82" s="80" t="e">
        <f t="shared" si="63"/>
        <v>#DIV/0!</v>
      </c>
      <c r="L82" s="80" t="e">
        <f t="shared" si="64"/>
        <v>#DIV/0!</v>
      </c>
      <c r="M82" s="80" t="e">
        <f t="shared" si="65"/>
        <v>#DIV/0!</v>
      </c>
      <c r="N82" s="80">
        <f t="shared" si="66"/>
        <v>0.36899999999999999</v>
      </c>
      <c r="O82" s="80" t="e">
        <f t="shared" si="67"/>
        <v>#DIV/0!</v>
      </c>
      <c r="P82" s="80" t="e">
        <f t="shared" si="68"/>
        <v>#DIV/0!</v>
      </c>
      <c r="Q82" s="80" t="e">
        <f t="shared" si="69"/>
        <v>#DIV/0!</v>
      </c>
      <c r="R82" s="105">
        <f t="shared" ca="1" si="70"/>
        <v>1548</v>
      </c>
      <c r="S82" s="80">
        <f t="shared" si="53"/>
        <v>6.9158780636075001E-2</v>
      </c>
      <c r="T82" s="77">
        <v>0</v>
      </c>
      <c r="U82" s="182">
        <v>0</v>
      </c>
      <c r="X82" s="182"/>
      <c r="Z82" s="82"/>
      <c r="AA82" s="82">
        <f t="shared" si="71"/>
        <v>0</v>
      </c>
      <c r="AB82" s="82">
        <f t="shared" si="54"/>
        <v>0</v>
      </c>
      <c r="AC82" s="77">
        <f t="shared" si="72"/>
        <v>0</v>
      </c>
      <c r="AD82" s="108">
        <f t="shared" si="73"/>
        <v>0</v>
      </c>
      <c r="AE82" s="107">
        <f t="shared" si="74"/>
        <v>0</v>
      </c>
      <c r="AF82" s="107">
        <f t="shared" si="75"/>
        <v>0</v>
      </c>
      <c r="AG82" s="107">
        <f t="shared" si="76"/>
        <v>0</v>
      </c>
      <c r="AH82" s="109">
        <f t="shared" si="77"/>
        <v>0</v>
      </c>
      <c r="AI82" s="109">
        <f t="shared" si="78"/>
        <v>0</v>
      </c>
      <c r="AJ82" s="109">
        <f t="shared" si="79"/>
        <v>0</v>
      </c>
      <c r="AL82" s="82">
        <f t="shared" si="80"/>
        <v>0</v>
      </c>
      <c r="AM82" s="82" t="e">
        <f t="shared" si="81"/>
        <v>#DIV/0!</v>
      </c>
      <c r="AN82" s="77">
        <f t="shared" si="82"/>
        <v>0</v>
      </c>
      <c r="AO82" s="108">
        <f t="shared" si="83"/>
        <v>0</v>
      </c>
      <c r="AP82" s="107">
        <f t="shared" si="84"/>
        <v>0</v>
      </c>
      <c r="AQ82" s="107">
        <f t="shared" si="85"/>
        <v>0</v>
      </c>
      <c r="AR82" s="107">
        <f t="shared" si="86"/>
        <v>0</v>
      </c>
      <c r="AS82" s="109">
        <f t="shared" si="87"/>
        <v>0</v>
      </c>
      <c r="AT82" s="109">
        <f t="shared" si="88"/>
        <v>0</v>
      </c>
      <c r="AU82" s="109">
        <f t="shared" si="89"/>
        <v>0</v>
      </c>
      <c r="AW82" s="82">
        <f t="shared" si="90"/>
        <v>0</v>
      </c>
      <c r="AX82" s="82" t="e">
        <f t="shared" si="91"/>
        <v>#DIV/0!</v>
      </c>
      <c r="AY82" s="77">
        <f t="shared" si="92"/>
        <v>0</v>
      </c>
      <c r="AZ82" s="108">
        <f t="shared" si="93"/>
        <v>0</v>
      </c>
      <c r="BA82" s="107">
        <f t="shared" si="94"/>
        <v>0</v>
      </c>
      <c r="BB82" s="107">
        <f t="shared" si="95"/>
        <v>0</v>
      </c>
      <c r="BC82" s="107">
        <f t="shared" si="96"/>
        <v>0</v>
      </c>
      <c r="BD82" s="109">
        <f t="shared" si="97"/>
        <v>0</v>
      </c>
      <c r="BE82" s="109">
        <f t="shared" si="98"/>
        <v>0</v>
      </c>
      <c r="BF82" s="109">
        <f t="shared" si="99"/>
        <v>0</v>
      </c>
      <c r="BH82" s="82">
        <f t="shared" si="100"/>
        <v>0</v>
      </c>
      <c r="BI82" s="82" t="e">
        <f t="shared" si="101"/>
        <v>#DIV/0!</v>
      </c>
      <c r="BJ82" s="77">
        <f t="shared" si="102"/>
        <v>0</v>
      </c>
      <c r="BK82" s="108">
        <f t="shared" si="103"/>
        <v>0</v>
      </c>
      <c r="BL82" s="107">
        <f t="shared" si="104"/>
        <v>0</v>
      </c>
      <c r="BM82" s="107">
        <f t="shared" si="105"/>
        <v>0</v>
      </c>
      <c r="BN82" s="107">
        <f t="shared" si="106"/>
        <v>0</v>
      </c>
      <c r="BO82" s="109">
        <f t="shared" si="107"/>
        <v>0</v>
      </c>
      <c r="BP82" s="109">
        <f t="shared" si="108"/>
        <v>0</v>
      </c>
      <c r="BQ82" s="109">
        <f t="shared" si="109"/>
        <v>0</v>
      </c>
    </row>
    <row r="83" spans="1:69" x14ac:dyDescent="0.25">
      <c r="A83" s="101">
        <f t="shared" si="59"/>
        <v>38353</v>
      </c>
      <c r="B83" s="102">
        <f t="shared" si="47"/>
        <v>3.4160000000000004</v>
      </c>
      <c r="C83" s="102">
        <f t="shared" si="60"/>
        <v>5.0000000000000001E-3</v>
      </c>
      <c r="D83" s="80">
        <f t="shared" si="48"/>
        <v>0.26</v>
      </c>
      <c r="E83" s="106">
        <f t="shared" si="61"/>
        <v>1</v>
      </c>
      <c r="F83" s="104">
        <f t="shared" si="49"/>
        <v>4.92</v>
      </c>
      <c r="G83" s="104">
        <f t="shared" si="50"/>
        <v>3.5</v>
      </c>
      <c r="H83" s="104">
        <f t="shared" si="51"/>
        <v>2.96</v>
      </c>
      <c r="I83" s="104">
        <f t="shared" si="52"/>
        <v>2.99</v>
      </c>
      <c r="J83" s="80">
        <f t="shared" si="62"/>
        <v>0.114</v>
      </c>
      <c r="K83" s="80" t="e">
        <f t="shared" si="63"/>
        <v>#DIV/0!</v>
      </c>
      <c r="L83" s="80" t="e">
        <f t="shared" si="64"/>
        <v>#DIV/0!</v>
      </c>
      <c r="M83" s="80" t="e">
        <f t="shared" si="65"/>
        <v>#DIV/0!</v>
      </c>
      <c r="N83" s="80">
        <f t="shared" si="66"/>
        <v>0.374</v>
      </c>
      <c r="O83" s="80" t="e">
        <f t="shared" si="67"/>
        <v>#DIV/0!</v>
      </c>
      <c r="P83" s="80" t="e">
        <f t="shared" si="68"/>
        <v>#DIV/0!</v>
      </c>
      <c r="Q83" s="80" t="e">
        <f t="shared" si="69"/>
        <v>#DIV/0!</v>
      </c>
      <c r="R83" s="105">
        <f t="shared" ca="1" si="70"/>
        <v>1580</v>
      </c>
      <c r="S83" s="80">
        <f t="shared" si="53"/>
        <v>6.9176970638464022E-2</v>
      </c>
      <c r="T83" s="77">
        <v>0</v>
      </c>
      <c r="U83" s="182">
        <v>0</v>
      </c>
      <c r="X83" s="182"/>
      <c r="Z83" s="82"/>
      <c r="AA83" s="82">
        <f t="shared" si="71"/>
        <v>0</v>
      </c>
      <c r="AB83" s="82">
        <f t="shared" si="54"/>
        <v>0</v>
      </c>
      <c r="AC83" s="77">
        <f t="shared" si="72"/>
        <v>0</v>
      </c>
      <c r="AD83" s="108">
        <f t="shared" si="73"/>
        <v>0</v>
      </c>
      <c r="AE83" s="107">
        <f t="shared" si="74"/>
        <v>0</v>
      </c>
      <c r="AF83" s="107">
        <f t="shared" si="75"/>
        <v>0</v>
      </c>
      <c r="AG83" s="107">
        <f t="shared" si="76"/>
        <v>0</v>
      </c>
      <c r="AH83" s="109">
        <f t="shared" si="77"/>
        <v>0</v>
      </c>
      <c r="AI83" s="109">
        <f t="shared" si="78"/>
        <v>0</v>
      </c>
      <c r="AJ83" s="109">
        <f t="shared" si="79"/>
        <v>0</v>
      </c>
      <c r="AL83" s="82">
        <f t="shared" si="80"/>
        <v>0</v>
      </c>
      <c r="AM83" s="82" t="e">
        <f t="shared" si="81"/>
        <v>#DIV/0!</v>
      </c>
      <c r="AN83" s="77">
        <f t="shared" si="82"/>
        <v>0</v>
      </c>
      <c r="AO83" s="108">
        <f t="shared" si="83"/>
        <v>0</v>
      </c>
      <c r="AP83" s="107">
        <f t="shared" si="84"/>
        <v>0</v>
      </c>
      <c r="AQ83" s="107">
        <f t="shared" si="85"/>
        <v>0</v>
      </c>
      <c r="AR83" s="107">
        <f t="shared" si="86"/>
        <v>0</v>
      </c>
      <c r="AS83" s="109">
        <f t="shared" si="87"/>
        <v>0</v>
      </c>
      <c r="AT83" s="109">
        <f t="shared" si="88"/>
        <v>0</v>
      </c>
      <c r="AU83" s="109">
        <f t="shared" si="89"/>
        <v>0</v>
      </c>
      <c r="AW83" s="82">
        <f t="shared" si="90"/>
        <v>0</v>
      </c>
      <c r="AX83" s="82" t="e">
        <f t="shared" si="91"/>
        <v>#DIV/0!</v>
      </c>
      <c r="AY83" s="77">
        <f t="shared" si="92"/>
        <v>0</v>
      </c>
      <c r="AZ83" s="108">
        <f t="shared" si="93"/>
        <v>0</v>
      </c>
      <c r="BA83" s="107">
        <f t="shared" si="94"/>
        <v>0</v>
      </c>
      <c r="BB83" s="107">
        <f t="shared" si="95"/>
        <v>0</v>
      </c>
      <c r="BC83" s="107">
        <f t="shared" si="96"/>
        <v>0</v>
      </c>
      <c r="BD83" s="109">
        <f t="shared" si="97"/>
        <v>0</v>
      </c>
      <c r="BE83" s="109">
        <f t="shared" si="98"/>
        <v>0</v>
      </c>
      <c r="BF83" s="109">
        <f t="shared" si="99"/>
        <v>0</v>
      </c>
      <c r="BH83" s="82">
        <f t="shared" si="100"/>
        <v>0</v>
      </c>
      <c r="BI83" s="82" t="e">
        <f t="shared" si="101"/>
        <v>#DIV/0!</v>
      </c>
      <c r="BJ83" s="77">
        <f t="shared" si="102"/>
        <v>0</v>
      </c>
      <c r="BK83" s="108">
        <f t="shared" si="103"/>
        <v>0</v>
      </c>
      <c r="BL83" s="107">
        <f t="shared" si="104"/>
        <v>0</v>
      </c>
      <c r="BM83" s="107">
        <f t="shared" si="105"/>
        <v>0</v>
      </c>
      <c r="BN83" s="107">
        <f t="shared" si="106"/>
        <v>0</v>
      </c>
      <c r="BO83" s="109">
        <f t="shared" si="107"/>
        <v>0</v>
      </c>
      <c r="BP83" s="109">
        <f t="shared" si="108"/>
        <v>0</v>
      </c>
      <c r="BQ83" s="109">
        <f t="shared" si="109"/>
        <v>0</v>
      </c>
    </row>
    <row r="84" spans="1:69" x14ac:dyDescent="0.25">
      <c r="A84" s="101">
        <f t="shared" si="59"/>
        <v>38384</v>
      </c>
      <c r="B84" s="102">
        <f t="shared" si="47"/>
        <v>3.282</v>
      </c>
      <c r="C84" s="102">
        <f t="shared" si="60"/>
        <v>5.0000000000000001E-3</v>
      </c>
      <c r="D84" s="80">
        <f t="shared" si="48"/>
        <v>0.2475</v>
      </c>
      <c r="E84" s="106">
        <f t="shared" si="61"/>
        <v>1</v>
      </c>
      <c r="F84" s="104">
        <f t="shared" si="49"/>
        <v>4.92</v>
      </c>
      <c r="G84" s="104">
        <f t="shared" si="50"/>
        <v>3.5</v>
      </c>
      <c r="H84" s="104">
        <f t="shared" si="51"/>
        <v>2.96</v>
      </c>
      <c r="I84" s="104">
        <f t="shared" si="52"/>
        <v>2.99</v>
      </c>
      <c r="J84" s="80">
        <f t="shared" si="62"/>
        <v>0.114</v>
      </c>
      <c r="K84" s="80" t="e">
        <f t="shared" si="63"/>
        <v>#DIV/0!</v>
      </c>
      <c r="L84" s="80" t="e">
        <f t="shared" si="64"/>
        <v>#DIV/0!</v>
      </c>
      <c r="M84" s="80" t="e">
        <f t="shared" si="65"/>
        <v>#DIV/0!</v>
      </c>
      <c r="N84" s="80">
        <f t="shared" si="66"/>
        <v>0.36149999999999999</v>
      </c>
      <c r="O84" s="80" t="e">
        <f t="shared" si="67"/>
        <v>#DIV/0!</v>
      </c>
      <c r="P84" s="80" t="e">
        <f t="shared" si="68"/>
        <v>#DIV/0!</v>
      </c>
      <c r="Q84" s="80" t="e">
        <f t="shared" si="69"/>
        <v>#DIV/0!</v>
      </c>
      <c r="R84" s="105">
        <f t="shared" ca="1" si="70"/>
        <v>1610</v>
      </c>
      <c r="S84" s="80">
        <f t="shared" si="53"/>
        <v>6.9195160640961997E-2</v>
      </c>
      <c r="T84" s="77">
        <v>0</v>
      </c>
      <c r="U84" s="182">
        <v>0</v>
      </c>
      <c r="X84" s="182"/>
      <c r="Z84" s="82"/>
      <c r="AA84" s="82">
        <f t="shared" si="71"/>
        <v>0</v>
      </c>
      <c r="AB84" s="82">
        <f t="shared" si="54"/>
        <v>0</v>
      </c>
      <c r="AC84" s="77">
        <f t="shared" si="72"/>
        <v>0</v>
      </c>
      <c r="AD84" s="108">
        <f t="shared" si="73"/>
        <v>0</v>
      </c>
      <c r="AE84" s="107">
        <f t="shared" si="74"/>
        <v>0</v>
      </c>
      <c r="AF84" s="107">
        <f t="shared" si="75"/>
        <v>0</v>
      </c>
      <c r="AG84" s="107">
        <f t="shared" si="76"/>
        <v>0</v>
      </c>
      <c r="AH84" s="109">
        <f t="shared" si="77"/>
        <v>0</v>
      </c>
      <c r="AI84" s="109">
        <f t="shared" si="78"/>
        <v>0</v>
      </c>
      <c r="AJ84" s="109">
        <f t="shared" si="79"/>
        <v>0</v>
      </c>
      <c r="AL84" s="82">
        <f t="shared" si="80"/>
        <v>0</v>
      </c>
      <c r="AM84" s="82" t="e">
        <f t="shared" si="81"/>
        <v>#DIV/0!</v>
      </c>
      <c r="AN84" s="77">
        <f t="shared" si="82"/>
        <v>0</v>
      </c>
      <c r="AO84" s="108">
        <f t="shared" si="83"/>
        <v>0</v>
      </c>
      <c r="AP84" s="107">
        <f t="shared" si="84"/>
        <v>0</v>
      </c>
      <c r="AQ84" s="107">
        <f t="shared" si="85"/>
        <v>0</v>
      </c>
      <c r="AR84" s="107">
        <f t="shared" si="86"/>
        <v>0</v>
      </c>
      <c r="AS84" s="109">
        <f t="shared" si="87"/>
        <v>0</v>
      </c>
      <c r="AT84" s="109">
        <f t="shared" si="88"/>
        <v>0</v>
      </c>
      <c r="AU84" s="109">
        <f t="shared" si="89"/>
        <v>0</v>
      </c>
      <c r="AW84" s="82">
        <f t="shared" si="90"/>
        <v>0</v>
      </c>
      <c r="AX84" s="82" t="e">
        <f t="shared" si="91"/>
        <v>#DIV/0!</v>
      </c>
      <c r="AY84" s="77">
        <f t="shared" si="92"/>
        <v>0</v>
      </c>
      <c r="AZ84" s="108">
        <f t="shared" si="93"/>
        <v>0</v>
      </c>
      <c r="BA84" s="107">
        <f t="shared" si="94"/>
        <v>0</v>
      </c>
      <c r="BB84" s="107">
        <f t="shared" si="95"/>
        <v>0</v>
      </c>
      <c r="BC84" s="107">
        <f t="shared" si="96"/>
        <v>0</v>
      </c>
      <c r="BD84" s="109">
        <f t="shared" si="97"/>
        <v>0</v>
      </c>
      <c r="BE84" s="109">
        <f t="shared" si="98"/>
        <v>0</v>
      </c>
      <c r="BF84" s="109">
        <f t="shared" si="99"/>
        <v>0</v>
      </c>
      <c r="BH84" s="82">
        <f t="shared" si="100"/>
        <v>0</v>
      </c>
      <c r="BI84" s="82" t="e">
        <f t="shared" si="101"/>
        <v>#DIV/0!</v>
      </c>
      <c r="BJ84" s="77">
        <f t="shared" si="102"/>
        <v>0</v>
      </c>
      <c r="BK84" s="108">
        <f t="shared" si="103"/>
        <v>0</v>
      </c>
      <c r="BL84" s="107">
        <f t="shared" si="104"/>
        <v>0</v>
      </c>
      <c r="BM84" s="107">
        <f t="shared" si="105"/>
        <v>0</v>
      </c>
      <c r="BN84" s="107">
        <f t="shared" si="106"/>
        <v>0</v>
      </c>
      <c r="BO84" s="109">
        <f t="shared" si="107"/>
        <v>0</v>
      </c>
      <c r="BP84" s="109">
        <f t="shared" si="108"/>
        <v>0</v>
      </c>
      <c r="BQ84" s="109">
        <f t="shared" si="109"/>
        <v>0</v>
      </c>
    </row>
    <row r="85" spans="1:69" x14ac:dyDescent="0.25">
      <c r="A85" s="101">
        <f t="shared" si="59"/>
        <v>38412</v>
      </c>
      <c r="B85" s="102">
        <f t="shared" si="47"/>
        <v>3.1180000000000003</v>
      </c>
      <c r="C85" s="102">
        <f t="shared" si="60"/>
        <v>5.0000000000000001E-3</v>
      </c>
      <c r="D85" s="80">
        <f t="shared" si="48"/>
        <v>0.24249999999999999</v>
      </c>
      <c r="E85" s="106">
        <f t="shared" si="61"/>
        <v>1</v>
      </c>
      <c r="F85" s="104">
        <f t="shared" si="49"/>
        <v>4.92</v>
      </c>
      <c r="G85" s="104">
        <f t="shared" si="50"/>
        <v>3.5</v>
      </c>
      <c r="H85" s="104">
        <f t="shared" si="51"/>
        <v>2.96</v>
      </c>
      <c r="I85" s="104">
        <f t="shared" si="52"/>
        <v>2.99</v>
      </c>
      <c r="J85" s="80">
        <f t="shared" si="62"/>
        <v>0.114</v>
      </c>
      <c r="K85" s="80" t="e">
        <f t="shared" si="63"/>
        <v>#DIV/0!</v>
      </c>
      <c r="L85" s="80" t="e">
        <f t="shared" si="64"/>
        <v>#DIV/0!</v>
      </c>
      <c r="M85" s="80" t="e">
        <f t="shared" si="65"/>
        <v>#DIV/0!</v>
      </c>
      <c r="N85" s="80">
        <f t="shared" si="66"/>
        <v>0.35649999999999998</v>
      </c>
      <c r="O85" s="80" t="e">
        <f t="shared" si="67"/>
        <v>#DIV/0!</v>
      </c>
      <c r="P85" s="80" t="e">
        <f t="shared" si="68"/>
        <v>#DIV/0!</v>
      </c>
      <c r="Q85" s="80" t="e">
        <f t="shared" si="69"/>
        <v>#DIV/0!</v>
      </c>
      <c r="R85" s="105">
        <f t="shared" ca="1" si="70"/>
        <v>1638</v>
      </c>
      <c r="S85" s="80">
        <f t="shared" si="53"/>
        <v>6.9211590320732999E-2</v>
      </c>
      <c r="T85" s="77">
        <v>0</v>
      </c>
      <c r="U85" s="182">
        <v>0</v>
      </c>
      <c r="X85" s="182"/>
      <c r="Z85" s="82"/>
      <c r="AA85" s="82">
        <f t="shared" si="71"/>
        <v>0</v>
      </c>
      <c r="AB85" s="82">
        <f t="shared" si="54"/>
        <v>0</v>
      </c>
      <c r="AC85" s="77">
        <f t="shared" si="72"/>
        <v>0</v>
      </c>
      <c r="AD85" s="108">
        <f t="shared" si="73"/>
        <v>0</v>
      </c>
      <c r="AE85" s="107">
        <f t="shared" si="74"/>
        <v>0</v>
      </c>
      <c r="AF85" s="107">
        <f t="shared" si="75"/>
        <v>0</v>
      </c>
      <c r="AG85" s="107">
        <f t="shared" si="76"/>
        <v>0</v>
      </c>
      <c r="AH85" s="109">
        <f t="shared" si="77"/>
        <v>0</v>
      </c>
      <c r="AI85" s="109">
        <f t="shared" si="78"/>
        <v>0</v>
      </c>
      <c r="AJ85" s="109">
        <f t="shared" si="79"/>
        <v>0</v>
      </c>
      <c r="AL85" s="82">
        <f t="shared" si="80"/>
        <v>0</v>
      </c>
      <c r="AM85" s="82" t="e">
        <f t="shared" si="81"/>
        <v>#DIV/0!</v>
      </c>
      <c r="AN85" s="77">
        <f t="shared" si="82"/>
        <v>0</v>
      </c>
      <c r="AO85" s="108">
        <f t="shared" si="83"/>
        <v>0</v>
      </c>
      <c r="AP85" s="107">
        <f t="shared" si="84"/>
        <v>0</v>
      </c>
      <c r="AQ85" s="107">
        <f t="shared" si="85"/>
        <v>0</v>
      </c>
      <c r="AR85" s="107">
        <f t="shared" si="86"/>
        <v>0</v>
      </c>
      <c r="AS85" s="109">
        <f t="shared" si="87"/>
        <v>0</v>
      </c>
      <c r="AT85" s="109">
        <f t="shared" si="88"/>
        <v>0</v>
      </c>
      <c r="AU85" s="109">
        <f t="shared" si="89"/>
        <v>0</v>
      </c>
      <c r="AW85" s="82">
        <f t="shared" si="90"/>
        <v>0</v>
      </c>
      <c r="AX85" s="82" t="e">
        <f t="shared" si="91"/>
        <v>#DIV/0!</v>
      </c>
      <c r="AY85" s="77">
        <f t="shared" si="92"/>
        <v>0</v>
      </c>
      <c r="AZ85" s="108">
        <f t="shared" si="93"/>
        <v>0</v>
      </c>
      <c r="BA85" s="107">
        <f t="shared" si="94"/>
        <v>0</v>
      </c>
      <c r="BB85" s="107">
        <f t="shared" si="95"/>
        <v>0</v>
      </c>
      <c r="BC85" s="107">
        <f t="shared" si="96"/>
        <v>0</v>
      </c>
      <c r="BD85" s="109">
        <f t="shared" si="97"/>
        <v>0</v>
      </c>
      <c r="BE85" s="109">
        <f t="shared" si="98"/>
        <v>0</v>
      </c>
      <c r="BF85" s="109">
        <f t="shared" si="99"/>
        <v>0</v>
      </c>
      <c r="BH85" s="82">
        <f t="shared" si="100"/>
        <v>0</v>
      </c>
      <c r="BI85" s="82" t="e">
        <f t="shared" si="101"/>
        <v>#DIV/0!</v>
      </c>
      <c r="BJ85" s="77">
        <f t="shared" si="102"/>
        <v>0</v>
      </c>
      <c r="BK85" s="108">
        <f t="shared" si="103"/>
        <v>0</v>
      </c>
      <c r="BL85" s="107">
        <f t="shared" si="104"/>
        <v>0</v>
      </c>
      <c r="BM85" s="107">
        <f t="shared" si="105"/>
        <v>0</v>
      </c>
      <c r="BN85" s="107">
        <f t="shared" si="106"/>
        <v>0</v>
      </c>
      <c r="BO85" s="109">
        <f t="shared" si="107"/>
        <v>0</v>
      </c>
      <c r="BP85" s="109">
        <f t="shared" si="108"/>
        <v>0</v>
      </c>
      <c r="BQ85" s="109">
        <f t="shared" si="109"/>
        <v>0</v>
      </c>
    </row>
    <row r="86" spans="1:69" x14ac:dyDescent="0.25">
      <c r="A86" s="101">
        <f t="shared" si="59"/>
        <v>38443</v>
      </c>
      <c r="B86" s="102">
        <f t="shared" si="47"/>
        <v>2.9460000000000002</v>
      </c>
      <c r="C86" s="102">
        <f t="shared" si="60"/>
        <v>5.0000000000000001E-3</v>
      </c>
      <c r="D86" s="80">
        <f t="shared" si="48"/>
        <v>0.23</v>
      </c>
      <c r="E86" s="106">
        <f t="shared" si="61"/>
        <v>1</v>
      </c>
      <c r="F86" s="104">
        <f t="shared" si="49"/>
        <v>4.92</v>
      </c>
      <c r="G86" s="104">
        <f t="shared" si="50"/>
        <v>3.5</v>
      </c>
      <c r="H86" s="104">
        <f t="shared" si="51"/>
        <v>2.96</v>
      </c>
      <c r="I86" s="104">
        <f t="shared" si="52"/>
        <v>2.99</v>
      </c>
      <c r="J86" s="80">
        <f t="shared" si="62"/>
        <v>0.114</v>
      </c>
      <c r="K86" s="80" t="e">
        <f t="shared" si="63"/>
        <v>#DIV/0!</v>
      </c>
      <c r="L86" s="80" t="e">
        <f t="shared" si="64"/>
        <v>#DIV/0!</v>
      </c>
      <c r="M86" s="80" t="e">
        <f t="shared" si="65"/>
        <v>#DIV/0!</v>
      </c>
      <c r="N86" s="80">
        <f t="shared" si="66"/>
        <v>0.34400000000000003</v>
      </c>
      <c r="O86" s="80" t="e">
        <f t="shared" si="67"/>
        <v>#DIV/0!</v>
      </c>
      <c r="P86" s="80" t="e">
        <f t="shared" si="68"/>
        <v>#DIV/0!</v>
      </c>
      <c r="Q86" s="80" t="e">
        <f t="shared" si="69"/>
        <v>#DIV/0!</v>
      </c>
      <c r="R86" s="105">
        <f t="shared" ca="1" si="70"/>
        <v>1671</v>
      </c>
      <c r="S86" s="80">
        <f t="shared" si="53"/>
        <v>6.9229780323440002E-2</v>
      </c>
      <c r="T86" s="77">
        <v>0</v>
      </c>
      <c r="U86" s="182">
        <v>0</v>
      </c>
      <c r="X86" s="182"/>
      <c r="Z86" s="82"/>
      <c r="AA86" s="82">
        <f t="shared" si="71"/>
        <v>0</v>
      </c>
      <c r="AB86" s="82">
        <f t="shared" si="54"/>
        <v>0</v>
      </c>
      <c r="AC86" s="77">
        <f t="shared" si="72"/>
        <v>0</v>
      </c>
      <c r="AD86" s="108">
        <f t="shared" si="73"/>
        <v>0</v>
      </c>
      <c r="AE86" s="107">
        <f t="shared" si="74"/>
        <v>0</v>
      </c>
      <c r="AF86" s="107">
        <f t="shared" si="75"/>
        <v>0</v>
      </c>
      <c r="AG86" s="107">
        <f t="shared" si="76"/>
        <v>0</v>
      </c>
      <c r="AH86" s="109">
        <f t="shared" si="77"/>
        <v>0</v>
      </c>
      <c r="AI86" s="109">
        <f t="shared" si="78"/>
        <v>0</v>
      </c>
      <c r="AJ86" s="109">
        <f t="shared" si="79"/>
        <v>0</v>
      </c>
      <c r="AL86" s="82">
        <f t="shared" si="80"/>
        <v>0</v>
      </c>
      <c r="AM86" s="82" t="e">
        <f t="shared" si="81"/>
        <v>#DIV/0!</v>
      </c>
      <c r="AN86" s="77">
        <f t="shared" si="82"/>
        <v>0</v>
      </c>
      <c r="AO86" s="108">
        <f t="shared" si="83"/>
        <v>0</v>
      </c>
      <c r="AP86" s="107">
        <f t="shared" si="84"/>
        <v>0</v>
      </c>
      <c r="AQ86" s="107">
        <f t="shared" si="85"/>
        <v>0</v>
      </c>
      <c r="AR86" s="107">
        <f t="shared" si="86"/>
        <v>0</v>
      </c>
      <c r="AS86" s="109">
        <f t="shared" si="87"/>
        <v>0</v>
      </c>
      <c r="AT86" s="109">
        <f t="shared" si="88"/>
        <v>0</v>
      </c>
      <c r="AU86" s="109">
        <f t="shared" si="89"/>
        <v>0</v>
      </c>
      <c r="AW86" s="82">
        <f t="shared" si="90"/>
        <v>0</v>
      </c>
      <c r="AX86" s="82" t="e">
        <f t="shared" si="91"/>
        <v>#DIV/0!</v>
      </c>
      <c r="AY86" s="77">
        <f t="shared" si="92"/>
        <v>0</v>
      </c>
      <c r="AZ86" s="108">
        <f t="shared" si="93"/>
        <v>0</v>
      </c>
      <c r="BA86" s="107">
        <f t="shared" si="94"/>
        <v>0</v>
      </c>
      <c r="BB86" s="107">
        <f t="shared" si="95"/>
        <v>0</v>
      </c>
      <c r="BC86" s="107">
        <f t="shared" si="96"/>
        <v>0</v>
      </c>
      <c r="BD86" s="109">
        <f t="shared" si="97"/>
        <v>0</v>
      </c>
      <c r="BE86" s="109">
        <f t="shared" si="98"/>
        <v>0</v>
      </c>
      <c r="BF86" s="109">
        <f t="shared" si="99"/>
        <v>0</v>
      </c>
      <c r="BH86" s="82">
        <f t="shared" si="100"/>
        <v>0</v>
      </c>
      <c r="BI86" s="82" t="e">
        <f t="shared" si="101"/>
        <v>#DIV/0!</v>
      </c>
      <c r="BJ86" s="77">
        <f t="shared" si="102"/>
        <v>0</v>
      </c>
      <c r="BK86" s="108">
        <f t="shared" si="103"/>
        <v>0</v>
      </c>
      <c r="BL86" s="107">
        <f t="shared" si="104"/>
        <v>0</v>
      </c>
      <c r="BM86" s="107">
        <f t="shared" si="105"/>
        <v>0</v>
      </c>
      <c r="BN86" s="107">
        <f t="shared" si="106"/>
        <v>0</v>
      </c>
      <c r="BO86" s="109">
        <f t="shared" si="107"/>
        <v>0</v>
      </c>
      <c r="BP86" s="109">
        <f t="shared" si="108"/>
        <v>0</v>
      </c>
      <c r="BQ86" s="109">
        <f t="shared" si="109"/>
        <v>0</v>
      </c>
    </row>
    <row r="87" spans="1:69" x14ac:dyDescent="0.25">
      <c r="A87" s="101">
        <f t="shared" si="59"/>
        <v>38473</v>
      </c>
      <c r="B87" s="102">
        <f t="shared" si="47"/>
        <v>2.9330000000000003</v>
      </c>
      <c r="C87" s="102">
        <f t="shared" si="60"/>
        <v>5.0000000000000001E-3</v>
      </c>
      <c r="D87" s="80">
        <f t="shared" si="48"/>
        <v>0.23</v>
      </c>
      <c r="E87" s="106">
        <f t="shared" si="61"/>
        <v>1</v>
      </c>
      <c r="F87" s="104">
        <f t="shared" si="49"/>
        <v>4.92</v>
      </c>
      <c r="G87" s="104">
        <f t="shared" si="50"/>
        <v>3.5</v>
      </c>
      <c r="H87" s="104">
        <f t="shared" si="51"/>
        <v>2.96</v>
      </c>
      <c r="I87" s="104">
        <f t="shared" si="52"/>
        <v>2.99</v>
      </c>
      <c r="J87" s="80">
        <f t="shared" si="62"/>
        <v>0.114</v>
      </c>
      <c r="K87" s="80" t="e">
        <f t="shared" si="63"/>
        <v>#DIV/0!</v>
      </c>
      <c r="L87" s="80" t="e">
        <f t="shared" si="64"/>
        <v>#DIV/0!</v>
      </c>
      <c r="M87" s="80" t="e">
        <f t="shared" si="65"/>
        <v>#DIV/0!</v>
      </c>
      <c r="N87" s="80">
        <f t="shared" si="66"/>
        <v>0.34400000000000003</v>
      </c>
      <c r="O87" s="80" t="e">
        <f t="shared" si="67"/>
        <v>#DIV/0!</v>
      </c>
      <c r="P87" s="80" t="e">
        <f t="shared" si="68"/>
        <v>#DIV/0!</v>
      </c>
      <c r="Q87" s="80" t="e">
        <f t="shared" si="69"/>
        <v>#DIV/0!</v>
      </c>
      <c r="R87" s="105">
        <f t="shared" ca="1" si="70"/>
        <v>1700</v>
      </c>
      <c r="S87" s="80">
        <f t="shared" si="53"/>
        <v>6.9247383551970007E-2</v>
      </c>
      <c r="T87" s="77">
        <v>0</v>
      </c>
      <c r="U87" s="182">
        <v>0</v>
      </c>
      <c r="X87" s="182"/>
      <c r="Z87" s="82"/>
      <c r="AA87" s="82">
        <f t="shared" si="71"/>
        <v>0</v>
      </c>
      <c r="AB87" s="82">
        <f t="shared" si="54"/>
        <v>0</v>
      </c>
      <c r="AC87" s="77">
        <f t="shared" si="72"/>
        <v>0</v>
      </c>
      <c r="AD87" s="108">
        <f t="shared" si="73"/>
        <v>0</v>
      </c>
      <c r="AE87" s="107">
        <f t="shared" si="74"/>
        <v>0</v>
      </c>
      <c r="AF87" s="107">
        <f t="shared" si="75"/>
        <v>0</v>
      </c>
      <c r="AG87" s="107">
        <f t="shared" si="76"/>
        <v>0</v>
      </c>
      <c r="AH87" s="109">
        <f t="shared" si="77"/>
        <v>0</v>
      </c>
      <c r="AI87" s="109">
        <f t="shared" si="78"/>
        <v>0</v>
      </c>
      <c r="AJ87" s="109">
        <f t="shared" si="79"/>
        <v>0</v>
      </c>
      <c r="AL87" s="82">
        <f t="shared" si="80"/>
        <v>0</v>
      </c>
      <c r="AM87" s="82" t="e">
        <f t="shared" si="81"/>
        <v>#DIV/0!</v>
      </c>
      <c r="AN87" s="77">
        <f t="shared" si="82"/>
        <v>0</v>
      </c>
      <c r="AO87" s="108">
        <f t="shared" si="83"/>
        <v>0</v>
      </c>
      <c r="AP87" s="107">
        <f t="shared" si="84"/>
        <v>0</v>
      </c>
      <c r="AQ87" s="107">
        <f t="shared" si="85"/>
        <v>0</v>
      </c>
      <c r="AR87" s="107">
        <f t="shared" si="86"/>
        <v>0</v>
      </c>
      <c r="AS87" s="109">
        <f t="shared" si="87"/>
        <v>0</v>
      </c>
      <c r="AT87" s="109">
        <f t="shared" si="88"/>
        <v>0</v>
      </c>
      <c r="AU87" s="109">
        <f t="shared" si="89"/>
        <v>0</v>
      </c>
      <c r="AW87" s="82">
        <f t="shared" si="90"/>
        <v>0</v>
      </c>
      <c r="AX87" s="82" t="e">
        <f t="shared" si="91"/>
        <v>#DIV/0!</v>
      </c>
      <c r="AY87" s="77">
        <f t="shared" si="92"/>
        <v>0</v>
      </c>
      <c r="AZ87" s="108">
        <f t="shared" si="93"/>
        <v>0</v>
      </c>
      <c r="BA87" s="107">
        <f t="shared" si="94"/>
        <v>0</v>
      </c>
      <c r="BB87" s="107">
        <f t="shared" si="95"/>
        <v>0</v>
      </c>
      <c r="BC87" s="107">
        <f t="shared" si="96"/>
        <v>0</v>
      </c>
      <c r="BD87" s="109">
        <f t="shared" si="97"/>
        <v>0</v>
      </c>
      <c r="BE87" s="109">
        <f t="shared" si="98"/>
        <v>0</v>
      </c>
      <c r="BF87" s="109">
        <f t="shared" si="99"/>
        <v>0</v>
      </c>
      <c r="BH87" s="82">
        <f t="shared" si="100"/>
        <v>0</v>
      </c>
      <c r="BI87" s="82" t="e">
        <f t="shared" si="101"/>
        <v>#DIV/0!</v>
      </c>
      <c r="BJ87" s="77">
        <f t="shared" si="102"/>
        <v>0</v>
      </c>
      <c r="BK87" s="108">
        <f t="shared" si="103"/>
        <v>0</v>
      </c>
      <c r="BL87" s="107">
        <f t="shared" si="104"/>
        <v>0</v>
      </c>
      <c r="BM87" s="107">
        <f t="shared" si="105"/>
        <v>0</v>
      </c>
      <c r="BN87" s="107">
        <f t="shared" si="106"/>
        <v>0</v>
      </c>
      <c r="BO87" s="109">
        <f t="shared" si="107"/>
        <v>0</v>
      </c>
      <c r="BP87" s="109">
        <f t="shared" si="108"/>
        <v>0</v>
      </c>
      <c r="BQ87" s="109">
        <f t="shared" si="109"/>
        <v>0</v>
      </c>
    </row>
    <row r="88" spans="1:69" x14ac:dyDescent="0.25">
      <c r="A88" s="101">
        <f t="shared" si="59"/>
        <v>38504</v>
      </c>
      <c r="B88" s="102">
        <f t="shared" si="47"/>
        <v>2.9550000000000001</v>
      </c>
      <c r="C88" s="102">
        <f t="shared" si="60"/>
        <v>5.0000000000000001E-3</v>
      </c>
      <c r="D88" s="80">
        <f t="shared" si="48"/>
        <v>0.23</v>
      </c>
      <c r="E88" s="106">
        <f t="shared" si="61"/>
        <v>1</v>
      </c>
      <c r="F88" s="104">
        <f t="shared" si="49"/>
        <v>4.92</v>
      </c>
      <c r="G88" s="104">
        <f t="shared" si="50"/>
        <v>3.5</v>
      </c>
      <c r="H88" s="104">
        <f t="shared" si="51"/>
        <v>2.96</v>
      </c>
      <c r="I88" s="104">
        <f t="shared" si="52"/>
        <v>2.99</v>
      </c>
      <c r="J88" s="80">
        <f t="shared" si="62"/>
        <v>0.114</v>
      </c>
      <c r="K88" s="80" t="e">
        <f t="shared" si="63"/>
        <v>#DIV/0!</v>
      </c>
      <c r="L88" s="80" t="e">
        <f t="shared" si="64"/>
        <v>#DIV/0!</v>
      </c>
      <c r="M88" s="80" t="e">
        <f t="shared" si="65"/>
        <v>#DIV/0!</v>
      </c>
      <c r="N88" s="80">
        <f t="shared" si="66"/>
        <v>0.34400000000000003</v>
      </c>
      <c r="O88" s="80" t="e">
        <f t="shared" si="67"/>
        <v>#DIV/0!</v>
      </c>
      <c r="P88" s="80" t="e">
        <f t="shared" si="68"/>
        <v>#DIV/0!</v>
      </c>
      <c r="Q88" s="80" t="e">
        <f t="shared" si="69"/>
        <v>#DIV/0!</v>
      </c>
      <c r="R88" s="105">
        <f t="shared" ca="1" si="70"/>
        <v>1729</v>
      </c>
      <c r="S88" s="80">
        <f t="shared" si="53"/>
        <v>6.9265573554892018E-2</v>
      </c>
      <c r="T88" s="77">
        <v>0</v>
      </c>
      <c r="U88" s="182">
        <v>0</v>
      </c>
      <c r="X88" s="182"/>
      <c r="Z88" s="82"/>
      <c r="AA88" s="82">
        <f t="shared" si="71"/>
        <v>0</v>
      </c>
      <c r="AB88" s="82">
        <f t="shared" si="54"/>
        <v>0</v>
      </c>
      <c r="AC88" s="77">
        <f t="shared" si="72"/>
        <v>0</v>
      </c>
      <c r="AD88" s="108">
        <f t="shared" si="73"/>
        <v>0</v>
      </c>
      <c r="AE88" s="107">
        <f t="shared" si="74"/>
        <v>0</v>
      </c>
      <c r="AF88" s="107">
        <f t="shared" si="75"/>
        <v>0</v>
      </c>
      <c r="AG88" s="107">
        <f t="shared" si="76"/>
        <v>0</v>
      </c>
      <c r="AH88" s="109">
        <f t="shared" si="77"/>
        <v>0</v>
      </c>
      <c r="AI88" s="109">
        <f t="shared" si="78"/>
        <v>0</v>
      </c>
      <c r="AJ88" s="109">
        <f t="shared" si="79"/>
        <v>0</v>
      </c>
      <c r="AL88" s="82">
        <f t="shared" si="80"/>
        <v>0</v>
      </c>
      <c r="AM88" s="82" t="e">
        <f t="shared" si="81"/>
        <v>#DIV/0!</v>
      </c>
      <c r="AN88" s="77">
        <f t="shared" si="82"/>
        <v>0</v>
      </c>
      <c r="AO88" s="108">
        <f t="shared" si="83"/>
        <v>0</v>
      </c>
      <c r="AP88" s="107">
        <f t="shared" si="84"/>
        <v>0</v>
      </c>
      <c r="AQ88" s="107">
        <f t="shared" si="85"/>
        <v>0</v>
      </c>
      <c r="AR88" s="107">
        <f t="shared" si="86"/>
        <v>0</v>
      </c>
      <c r="AS88" s="109">
        <f t="shared" si="87"/>
        <v>0</v>
      </c>
      <c r="AT88" s="109">
        <f t="shared" si="88"/>
        <v>0</v>
      </c>
      <c r="AU88" s="109">
        <f t="shared" si="89"/>
        <v>0</v>
      </c>
      <c r="AW88" s="82">
        <f t="shared" si="90"/>
        <v>0</v>
      </c>
      <c r="AX88" s="82" t="e">
        <f t="shared" si="91"/>
        <v>#DIV/0!</v>
      </c>
      <c r="AY88" s="77">
        <f t="shared" si="92"/>
        <v>0</v>
      </c>
      <c r="AZ88" s="108">
        <f t="shared" si="93"/>
        <v>0</v>
      </c>
      <c r="BA88" s="107">
        <f t="shared" si="94"/>
        <v>0</v>
      </c>
      <c r="BB88" s="107">
        <f t="shared" si="95"/>
        <v>0</v>
      </c>
      <c r="BC88" s="107">
        <f t="shared" si="96"/>
        <v>0</v>
      </c>
      <c r="BD88" s="109">
        <f t="shared" si="97"/>
        <v>0</v>
      </c>
      <c r="BE88" s="109">
        <f t="shared" si="98"/>
        <v>0</v>
      </c>
      <c r="BF88" s="109">
        <f t="shared" si="99"/>
        <v>0</v>
      </c>
      <c r="BH88" s="82">
        <f t="shared" si="100"/>
        <v>0</v>
      </c>
      <c r="BI88" s="82" t="e">
        <f t="shared" si="101"/>
        <v>#DIV/0!</v>
      </c>
      <c r="BJ88" s="77">
        <f t="shared" si="102"/>
        <v>0</v>
      </c>
      <c r="BK88" s="108">
        <f t="shared" si="103"/>
        <v>0</v>
      </c>
      <c r="BL88" s="107">
        <f t="shared" si="104"/>
        <v>0</v>
      </c>
      <c r="BM88" s="107">
        <f t="shared" si="105"/>
        <v>0</v>
      </c>
      <c r="BN88" s="107">
        <f t="shared" si="106"/>
        <v>0</v>
      </c>
      <c r="BO88" s="109">
        <f t="shared" si="107"/>
        <v>0</v>
      </c>
      <c r="BP88" s="109">
        <f t="shared" si="108"/>
        <v>0</v>
      </c>
      <c r="BQ88" s="109">
        <f t="shared" si="109"/>
        <v>0</v>
      </c>
    </row>
    <row r="89" spans="1:69" x14ac:dyDescent="0.25">
      <c r="A89" s="101">
        <f t="shared" si="59"/>
        <v>38534</v>
      </c>
      <c r="B89" s="102">
        <f t="shared" si="47"/>
        <v>2.9769999999999999</v>
      </c>
      <c r="C89" s="102">
        <f t="shared" si="60"/>
        <v>5.0000000000000001E-3</v>
      </c>
      <c r="D89" s="80">
        <f t="shared" si="48"/>
        <v>0.23</v>
      </c>
      <c r="E89" s="106">
        <f t="shared" si="61"/>
        <v>1</v>
      </c>
      <c r="F89" s="104">
        <f t="shared" si="49"/>
        <v>4.92</v>
      </c>
      <c r="G89" s="104">
        <f t="shared" si="50"/>
        <v>3.5</v>
      </c>
      <c r="H89" s="104">
        <f t="shared" si="51"/>
        <v>2.96</v>
      </c>
      <c r="I89" s="104">
        <f t="shared" si="52"/>
        <v>2.99</v>
      </c>
      <c r="J89" s="80">
        <f t="shared" si="62"/>
        <v>0.114</v>
      </c>
      <c r="K89" s="80" t="e">
        <f t="shared" si="63"/>
        <v>#DIV/0!</v>
      </c>
      <c r="L89" s="80" t="e">
        <f t="shared" si="64"/>
        <v>#DIV/0!</v>
      </c>
      <c r="M89" s="80" t="e">
        <f t="shared" si="65"/>
        <v>#DIV/0!</v>
      </c>
      <c r="N89" s="80">
        <f t="shared" si="66"/>
        <v>0.34400000000000003</v>
      </c>
      <c r="O89" s="80" t="e">
        <f t="shared" si="67"/>
        <v>#DIV/0!</v>
      </c>
      <c r="P89" s="80" t="e">
        <f t="shared" si="68"/>
        <v>#DIV/0!</v>
      </c>
      <c r="Q89" s="80" t="e">
        <f t="shared" si="69"/>
        <v>#DIV/0!</v>
      </c>
      <c r="R89" s="105">
        <f t="shared" ca="1" si="70"/>
        <v>1762</v>
      </c>
      <c r="S89" s="80">
        <f t="shared" si="53"/>
        <v>6.9283176783631023E-2</v>
      </c>
      <c r="T89" s="77">
        <v>0</v>
      </c>
      <c r="U89" s="182">
        <v>0</v>
      </c>
      <c r="X89" s="182"/>
      <c r="Z89" s="82"/>
      <c r="AA89" s="82">
        <f t="shared" si="71"/>
        <v>0</v>
      </c>
      <c r="AB89" s="82">
        <f t="shared" si="54"/>
        <v>0</v>
      </c>
      <c r="AC89" s="77">
        <f t="shared" si="72"/>
        <v>0</v>
      </c>
      <c r="AD89" s="108">
        <f t="shared" si="73"/>
        <v>0</v>
      </c>
      <c r="AE89" s="107">
        <f t="shared" si="74"/>
        <v>0</v>
      </c>
      <c r="AF89" s="107">
        <f t="shared" si="75"/>
        <v>0</v>
      </c>
      <c r="AG89" s="107">
        <f t="shared" si="76"/>
        <v>0</v>
      </c>
      <c r="AH89" s="109">
        <f t="shared" si="77"/>
        <v>0</v>
      </c>
      <c r="AI89" s="109">
        <f t="shared" si="78"/>
        <v>0</v>
      </c>
      <c r="AJ89" s="109">
        <f t="shared" si="79"/>
        <v>0</v>
      </c>
      <c r="AL89" s="82">
        <f t="shared" si="80"/>
        <v>0</v>
      </c>
      <c r="AM89" s="82" t="e">
        <f t="shared" si="81"/>
        <v>#DIV/0!</v>
      </c>
      <c r="AN89" s="77">
        <f t="shared" si="82"/>
        <v>0</v>
      </c>
      <c r="AO89" s="108">
        <f t="shared" si="83"/>
        <v>0</v>
      </c>
      <c r="AP89" s="107">
        <f t="shared" si="84"/>
        <v>0</v>
      </c>
      <c r="AQ89" s="107">
        <f t="shared" si="85"/>
        <v>0</v>
      </c>
      <c r="AR89" s="107">
        <f t="shared" si="86"/>
        <v>0</v>
      </c>
      <c r="AS89" s="109">
        <f t="shared" si="87"/>
        <v>0</v>
      </c>
      <c r="AT89" s="109">
        <f t="shared" si="88"/>
        <v>0</v>
      </c>
      <c r="AU89" s="109">
        <f t="shared" si="89"/>
        <v>0</v>
      </c>
      <c r="AW89" s="82">
        <f t="shared" si="90"/>
        <v>0</v>
      </c>
      <c r="AX89" s="82" t="e">
        <f t="shared" si="91"/>
        <v>#DIV/0!</v>
      </c>
      <c r="AY89" s="77">
        <f t="shared" si="92"/>
        <v>0</v>
      </c>
      <c r="AZ89" s="108">
        <f t="shared" si="93"/>
        <v>0</v>
      </c>
      <c r="BA89" s="107">
        <f t="shared" si="94"/>
        <v>0</v>
      </c>
      <c r="BB89" s="107">
        <f t="shared" si="95"/>
        <v>0</v>
      </c>
      <c r="BC89" s="107">
        <f t="shared" si="96"/>
        <v>0</v>
      </c>
      <c r="BD89" s="109">
        <f t="shared" si="97"/>
        <v>0</v>
      </c>
      <c r="BE89" s="109">
        <f t="shared" si="98"/>
        <v>0</v>
      </c>
      <c r="BF89" s="109">
        <f t="shared" si="99"/>
        <v>0</v>
      </c>
      <c r="BH89" s="82">
        <f t="shared" si="100"/>
        <v>0</v>
      </c>
      <c r="BI89" s="82" t="e">
        <f t="shared" si="101"/>
        <v>#DIV/0!</v>
      </c>
      <c r="BJ89" s="77">
        <f t="shared" si="102"/>
        <v>0</v>
      </c>
      <c r="BK89" s="108">
        <f t="shared" si="103"/>
        <v>0</v>
      </c>
      <c r="BL89" s="107">
        <f t="shared" si="104"/>
        <v>0</v>
      </c>
      <c r="BM89" s="107">
        <f t="shared" si="105"/>
        <v>0</v>
      </c>
      <c r="BN89" s="107">
        <f t="shared" si="106"/>
        <v>0</v>
      </c>
      <c r="BO89" s="109">
        <f t="shared" si="107"/>
        <v>0</v>
      </c>
      <c r="BP89" s="109">
        <f t="shared" si="108"/>
        <v>0</v>
      </c>
      <c r="BQ89" s="109">
        <f t="shared" si="109"/>
        <v>0</v>
      </c>
    </row>
    <row r="90" spans="1:69" x14ac:dyDescent="0.25">
      <c r="A90" s="101">
        <f t="shared" ref="A90:A150" si="110">DATE(YEAR(A89),MONTH(A89)+1,1)</f>
        <v>38565</v>
      </c>
      <c r="B90" s="102">
        <f t="shared" si="47"/>
        <v>2.9980000000000002</v>
      </c>
      <c r="C90" s="102">
        <f t="shared" ref="C90:C150" si="111">IF(B$4=1,VLOOKUP(A90,curvesettle,HLOOKUP($B$5,curvesettle,2,FALSE),0),0)</f>
        <v>5.0000000000000001E-3</v>
      </c>
      <c r="D90" s="80">
        <f t="shared" si="48"/>
        <v>0.23</v>
      </c>
      <c r="E90" s="106">
        <f t="shared" ref="E90:E150" si="112">IF(ISNUMBER(VLOOKUP(A90,VOLCURVES,HLOOKUP(B$5,VOLCURVES,2,FALSE),FALSE)),VLOOKUP(A90,VOLCURVES,HLOOKUP(B$5,VOLCURVES,2,FALSE),FALSE),1)</f>
        <v>1</v>
      </c>
      <c r="F90" s="104">
        <f t="shared" si="49"/>
        <v>4.92</v>
      </c>
      <c r="G90" s="104">
        <f t="shared" si="50"/>
        <v>3.5</v>
      </c>
      <c r="H90" s="104">
        <f t="shared" si="51"/>
        <v>2.96</v>
      </c>
      <c r="I90" s="104">
        <f t="shared" si="52"/>
        <v>2.99</v>
      </c>
      <c r="J90" s="80">
        <f t="shared" ref="J90:J150" si="113">IF($B$19=1,VLOOKUP($A90,SkewTable,HLOOKUP(ROUND(F90-AB90,1),SkewTable,2,FALSE),FALSE)/100,0)</f>
        <v>0.114</v>
      </c>
      <c r="K90" s="80" t="e">
        <f t="shared" ref="K90:K150" si="114">IF($D$19=1,VLOOKUP($A90,SkewTable,HLOOKUP(ROUND(G90-AM90,1),SkewTable,2,FALSE),FALSE)/100,0)</f>
        <v>#DIV/0!</v>
      </c>
      <c r="L90" s="80" t="e">
        <f t="shared" ref="L90:L150" si="115">IF($F$19=1,VLOOKUP($A90,SkewTable,HLOOKUP(ROUND(H90-AX90,1),SkewTable,2,FALSE),FALSE)/100,0)</f>
        <v>#DIV/0!</v>
      </c>
      <c r="M90" s="80" t="e">
        <f t="shared" ref="M90:M150" si="116">IF($H$19=1,VLOOKUP($A90,SkewTable,HLOOKUP(ROUND(I90-BI90,1),SkewTable,2,FALSE),FALSE)/100,0)</f>
        <v>#DIV/0!</v>
      </c>
      <c r="N90" s="80">
        <f t="shared" ref="N90:N150" si="117">(($D90+J90)*$E90)+B$18</f>
        <v>0.34400000000000003</v>
      </c>
      <c r="O90" s="80" t="e">
        <f t="shared" ref="O90:O150" si="118">(($D90+K90)*$E90)+D$18</f>
        <v>#DIV/0!</v>
      </c>
      <c r="P90" s="80" t="e">
        <f t="shared" ref="P90:P150" si="119">(($D90+L90)*$E90)+F$18</f>
        <v>#DIV/0!</v>
      </c>
      <c r="Q90" s="80" t="e">
        <f t="shared" ref="Q90:Q150" si="120">(($D90+M90)*$E90)+H$18</f>
        <v>#DIV/0!</v>
      </c>
      <c r="R90" s="105">
        <f t="shared" ref="R90:R150" ca="1" si="121">IF(B$4=1,VLOOKUP(A90,expiration,2,FALSE),VLOOKUP(A90,expiration,3,FALSE))-B$2+$B$1</f>
        <v>1791</v>
      </c>
      <c r="S90" s="80">
        <f t="shared" si="53"/>
        <v>6.9301366786768015E-2</v>
      </c>
      <c r="T90" s="77">
        <v>0</v>
      </c>
      <c r="U90" s="182">
        <v>0</v>
      </c>
      <c r="X90" s="182"/>
      <c r="Z90" s="82"/>
      <c r="AA90" s="82">
        <f t="shared" ref="AA90:AA150" si="122">IF($A90&gt;=AB$25,IF($A90&lt;=AB$26,$T90,0),0)</f>
        <v>0</v>
      </c>
      <c r="AB90" s="82">
        <f t="shared" si="54"/>
        <v>0</v>
      </c>
      <c r="AC90" s="77">
        <f t="shared" ref="AC90:AC150" si="123">AA90*($B90+B$13)</f>
        <v>0</v>
      </c>
      <c r="AD90" s="108">
        <f t="shared" ref="AD90:AD150" si="124">IF(ISNUMBER(((AC90/AA90)+B$15+$C90)*AA90),((AC90/AA90)+B$15+$C90)*AA90,0)</f>
        <v>0</v>
      </c>
      <c r="AE90" s="107">
        <f t="shared" ref="AE90:AE150" si="125">IF(AA90=0,0,bsd(1,AF$27,AB90,$F90,$R90,$N90,$S90,0.1))</f>
        <v>0</v>
      </c>
      <c r="AF90" s="107">
        <f t="shared" ref="AF90:AF150" si="126">IF(AA90=0,0,bsd(2,AF$27,AB90,$F90,$R90,$N90,$S90,0.1))</f>
        <v>0</v>
      </c>
      <c r="AG90" s="107">
        <f t="shared" ref="AG90:AG150" si="127">IF(AA90=0,0,bsd(AF$28,AF$27,AB90,$F90,$R90,$N90,$S90,0.1))</f>
        <v>0</v>
      </c>
      <c r="AH90" s="109">
        <f t="shared" ref="AH90:AH150" si="128">AA90*AE90</f>
        <v>0</v>
      </c>
      <c r="AI90" s="109">
        <f t="shared" ref="AI90:AI150" si="129">AA90*AF90</f>
        <v>0</v>
      </c>
      <c r="AJ90" s="109">
        <f t="shared" ref="AJ90:AJ150" si="130">AA90*AG90</f>
        <v>0</v>
      </c>
      <c r="AL90" s="82">
        <f t="shared" ref="AL90:AL150" si="131">IF($A90&gt;=AM$25,IF($A90&lt;=AM$26,$T90,0),0)</f>
        <v>0</v>
      </c>
      <c r="AM90" s="82" t="e">
        <f t="shared" ref="AM90:AM150" si="132">AO90/AL90</f>
        <v>#DIV/0!</v>
      </c>
      <c r="AN90" s="77">
        <f t="shared" ref="AN90:AN150" si="133">AL90*($B90+D$13)</f>
        <v>0</v>
      </c>
      <c r="AO90" s="108">
        <f t="shared" ref="AO90:AO150" si="134">IF(ISNUMBER(((AN90/AL90)+D$15+$C90)*AL90),((AN90/AL90)+D$15+$C90)*AL90,0)</f>
        <v>0</v>
      </c>
      <c r="AP90" s="107">
        <f t="shared" ref="AP90:AP150" si="135">IF(AL90=0,0,bsd(1,AQ$27,AM90,$G90,$R90,$O90,$S90,0.1))</f>
        <v>0</v>
      </c>
      <c r="AQ90" s="107">
        <f t="shared" ref="AQ90:AQ150" si="136">IF(AL90=0,0,bsd(2,AQ$27,AM90,$G90,$R90,$O90,$S90,0.1))</f>
        <v>0</v>
      </c>
      <c r="AR90" s="107">
        <f t="shared" ref="AR90:AR150" si="137">IF(AL90=0,0,bsd(AQ$28,AQ$27,AM90,$G90,$R90,$O90,$S90,0.1))</f>
        <v>0</v>
      </c>
      <c r="AS90" s="109">
        <f t="shared" ref="AS90:AS150" si="138">AL90*AP90</f>
        <v>0</v>
      </c>
      <c r="AT90" s="109">
        <f t="shared" ref="AT90:AT150" si="139">AL90*AQ90</f>
        <v>0</v>
      </c>
      <c r="AU90" s="109">
        <f t="shared" ref="AU90:AU150" si="140">AL90*AR90</f>
        <v>0</v>
      </c>
      <c r="AW90" s="82">
        <f t="shared" ref="AW90:AW150" si="141">IF($A90&gt;=AX$25,IF($A90&lt;=AX$26,$T90,0),0)</f>
        <v>0</v>
      </c>
      <c r="AX90" s="82" t="e">
        <f t="shared" ref="AX90:AX150" si="142">AZ90/AW90</f>
        <v>#DIV/0!</v>
      </c>
      <c r="AY90" s="77">
        <f t="shared" ref="AY90:AY150" si="143">AW90*($B90+F$13)</f>
        <v>0</v>
      </c>
      <c r="AZ90" s="108">
        <f t="shared" ref="AZ90:AZ150" si="144">IF(ISNUMBER(((AY90/AW90)+F$15+$C90)*AW90),((AY90/AW90)+F$15+$C90)*AW90,0)</f>
        <v>0</v>
      </c>
      <c r="BA90" s="107">
        <f t="shared" ref="BA90:BA150" si="145">IF(AW90=0,0,bsd(1,BB$27,AX90,$H90,$R90,$P90,$S90,0.1))</f>
        <v>0</v>
      </c>
      <c r="BB90" s="107">
        <f t="shared" ref="BB90:BB150" si="146">IF(AW90=0,0,bsd(2,BB$27,AX90,$H90,$R90,$P90,$S90,0.1))</f>
        <v>0</v>
      </c>
      <c r="BC90" s="107">
        <f t="shared" ref="BC90:BC150" si="147">IF(AW90=0,0,bsd(BB$28,BB$27,AX90,$H90,$R90,$P90,$S90,0.1))</f>
        <v>0</v>
      </c>
      <c r="BD90" s="109">
        <f t="shared" ref="BD90:BD150" si="148">AW90*BA90</f>
        <v>0</v>
      </c>
      <c r="BE90" s="109">
        <f t="shared" ref="BE90:BE150" si="149">AW90*BB90</f>
        <v>0</v>
      </c>
      <c r="BF90" s="109">
        <f t="shared" ref="BF90:BF150" si="150">AW90*BC90</f>
        <v>0</v>
      </c>
      <c r="BH90" s="82">
        <f t="shared" ref="BH90:BH150" si="151">IF($A90&gt;=BI$25,IF($A90&lt;=BI$26,$T90,0),0)</f>
        <v>0</v>
      </c>
      <c r="BI90" s="82" t="e">
        <f t="shared" ref="BI90:BI150" si="152">BK90/BH90</f>
        <v>#DIV/0!</v>
      </c>
      <c r="BJ90" s="77">
        <f t="shared" ref="BJ90:BJ150" si="153">BH90*($B90+H$13)</f>
        <v>0</v>
      </c>
      <c r="BK90" s="108">
        <f t="shared" ref="BK90:BK150" si="154">IF(ISNUMBER(((BJ90/BH90)+H$15+$C90)*BH90),((BJ90/BH90)+H$15+$C90)*BH90,0)</f>
        <v>0</v>
      </c>
      <c r="BL90" s="107">
        <f t="shared" ref="BL90:BL150" si="155">IF(BH90=0,0,bsd(1,BM$27,BI90,$I90,$R90,$Q90,$S90,0.1))</f>
        <v>0</v>
      </c>
      <c r="BM90" s="107">
        <f t="shared" ref="BM90:BM150" si="156">IF(BH90=0,0,bsd(2,BM$27,BI90,$I90,$R90,$Q90,$S90,0.1))</f>
        <v>0</v>
      </c>
      <c r="BN90" s="107">
        <f t="shared" ref="BN90:BN150" si="157">IF(BH90=0,0,bsd(BM$28,BM$27,BI90,$I90,$R90,$Q90,$S90,0.1))</f>
        <v>0</v>
      </c>
      <c r="BO90" s="109">
        <f t="shared" ref="BO90:BO150" si="158">BH90*BL90</f>
        <v>0</v>
      </c>
      <c r="BP90" s="109">
        <f t="shared" ref="BP90:BP150" si="159">BH90*BM90</f>
        <v>0</v>
      </c>
      <c r="BQ90" s="109">
        <f t="shared" ref="BQ90:BQ150" si="160">BH90*BN90</f>
        <v>0</v>
      </c>
    </row>
    <row r="91" spans="1:69" x14ac:dyDescent="0.25">
      <c r="A91" s="101">
        <f t="shared" si="110"/>
        <v>38596</v>
      </c>
      <c r="B91" s="102">
        <f t="shared" si="47"/>
        <v>2.9860000000000002</v>
      </c>
      <c r="C91" s="102">
        <f t="shared" si="111"/>
        <v>5.0000000000000001E-3</v>
      </c>
      <c r="D91" s="80">
        <f t="shared" si="48"/>
        <v>0.23</v>
      </c>
      <c r="E91" s="106">
        <f t="shared" si="112"/>
        <v>1</v>
      </c>
      <c r="F91" s="104">
        <f t="shared" si="49"/>
        <v>4.92</v>
      </c>
      <c r="G91" s="104">
        <f t="shared" si="50"/>
        <v>3.5</v>
      </c>
      <c r="H91" s="104">
        <f t="shared" si="51"/>
        <v>2.96</v>
      </c>
      <c r="I91" s="104">
        <f t="shared" si="52"/>
        <v>2.99</v>
      </c>
      <c r="J91" s="80">
        <f t="shared" si="113"/>
        <v>0.114</v>
      </c>
      <c r="K91" s="80" t="e">
        <f t="shared" si="114"/>
        <v>#DIV/0!</v>
      </c>
      <c r="L91" s="80" t="e">
        <f t="shared" si="115"/>
        <v>#DIV/0!</v>
      </c>
      <c r="M91" s="80" t="e">
        <f t="shared" si="116"/>
        <v>#DIV/0!</v>
      </c>
      <c r="N91" s="80">
        <f t="shared" si="117"/>
        <v>0.34400000000000003</v>
      </c>
      <c r="O91" s="80" t="e">
        <f t="shared" si="118"/>
        <v>#DIV/0!</v>
      </c>
      <c r="P91" s="80" t="e">
        <f t="shared" si="119"/>
        <v>#DIV/0!</v>
      </c>
      <c r="Q91" s="80" t="e">
        <f t="shared" si="120"/>
        <v>#DIV/0!</v>
      </c>
      <c r="R91" s="105">
        <f t="shared" ca="1" si="121"/>
        <v>1824</v>
      </c>
      <c r="S91" s="80">
        <f t="shared" si="53"/>
        <v>6.9319556790016015E-2</v>
      </c>
      <c r="T91" s="77">
        <v>0</v>
      </c>
      <c r="U91" s="182">
        <v>0</v>
      </c>
      <c r="X91" s="182"/>
      <c r="Z91" s="82"/>
      <c r="AA91" s="82">
        <f t="shared" si="122"/>
        <v>0</v>
      </c>
      <c r="AB91" s="82">
        <f t="shared" si="54"/>
        <v>0</v>
      </c>
      <c r="AC91" s="77">
        <f t="shared" si="123"/>
        <v>0</v>
      </c>
      <c r="AD91" s="108">
        <f t="shared" si="124"/>
        <v>0</v>
      </c>
      <c r="AE91" s="107">
        <f t="shared" si="125"/>
        <v>0</v>
      </c>
      <c r="AF91" s="107">
        <f t="shared" si="126"/>
        <v>0</v>
      </c>
      <c r="AG91" s="107">
        <f t="shared" si="127"/>
        <v>0</v>
      </c>
      <c r="AH91" s="109">
        <f t="shared" si="128"/>
        <v>0</v>
      </c>
      <c r="AI91" s="109">
        <f t="shared" si="129"/>
        <v>0</v>
      </c>
      <c r="AJ91" s="109">
        <f t="shared" si="130"/>
        <v>0</v>
      </c>
      <c r="AL91" s="82">
        <f t="shared" si="131"/>
        <v>0</v>
      </c>
      <c r="AM91" s="82" t="e">
        <f t="shared" si="132"/>
        <v>#DIV/0!</v>
      </c>
      <c r="AN91" s="77">
        <f t="shared" si="133"/>
        <v>0</v>
      </c>
      <c r="AO91" s="108">
        <f t="shared" si="134"/>
        <v>0</v>
      </c>
      <c r="AP91" s="107">
        <f t="shared" si="135"/>
        <v>0</v>
      </c>
      <c r="AQ91" s="107">
        <f t="shared" si="136"/>
        <v>0</v>
      </c>
      <c r="AR91" s="107">
        <f t="shared" si="137"/>
        <v>0</v>
      </c>
      <c r="AS91" s="109">
        <f t="shared" si="138"/>
        <v>0</v>
      </c>
      <c r="AT91" s="109">
        <f t="shared" si="139"/>
        <v>0</v>
      </c>
      <c r="AU91" s="109">
        <f t="shared" si="140"/>
        <v>0</v>
      </c>
      <c r="AW91" s="82">
        <f t="shared" si="141"/>
        <v>0</v>
      </c>
      <c r="AX91" s="82" t="e">
        <f t="shared" si="142"/>
        <v>#DIV/0!</v>
      </c>
      <c r="AY91" s="77">
        <f t="shared" si="143"/>
        <v>0</v>
      </c>
      <c r="AZ91" s="108">
        <f t="shared" si="144"/>
        <v>0</v>
      </c>
      <c r="BA91" s="107">
        <f t="shared" si="145"/>
        <v>0</v>
      </c>
      <c r="BB91" s="107">
        <f t="shared" si="146"/>
        <v>0</v>
      </c>
      <c r="BC91" s="107">
        <f t="shared" si="147"/>
        <v>0</v>
      </c>
      <c r="BD91" s="109">
        <f t="shared" si="148"/>
        <v>0</v>
      </c>
      <c r="BE91" s="109">
        <f t="shared" si="149"/>
        <v>0</v>
      </c>
      <c r="BF91" s="109">
        <f t="shared" si="150"/>
        <v>0</v>
      </c>
      <c r="BH91" s="82">
        <f t="shared" si="151"/>
        <v>0</v>
      </c>
      <c r="BI91" s="82" t="e">
        <f t="shared" si="152"/>
        <v>#DIV/0!</v>
      </c>
      <c r="BJ91" s="77">
        <f t="shared" si="153"/>
        <v>0</v>
      </c>
      <c r="BK91" s="108">
        <f t="shared" si="154"/>
        <v>0</v>
      </c>
      <c r="BL91" s="107">
        <f t="shared" si="155"/>
        <v>0</v>
      </c>
      <c r="BM91" s="107">
        <f t="shared" si="156"/>
        <v>0</v>
      </c>
      <c r="BN91" s="107">
        <f t="shared" si="157"/>
        <v>0</v>
      </c>
      <c r="BO91" s="109">
        <f t="shared" si="158"/>
        <v>0</v>
      </c>
      <c r="BP91" s="109">
        <f t="shared" si="159"/>
        <v>0</v>
      </c>
      <c r="BQ91" s="109">
        <f t="shared" si="160"/>
        <v>0</v>
      </c>
    </row>
    <row r="92" spans="1:69" x14ac:dyDescent="0.25">
      <c r="A92" s="101">
        <f t="shared" si="110"/>
        <v>38626</v>
      </c>
      <c r="B92" s="102">
        <f t="shared" si="47"/>
        <v>2.9890000000000003</v>
      </c>
      <c r="C92" s="102">
        <f t="shared" si="111"/>
        <v>5.0000000000000001E-3</v>
      </c>
      <c r="D92" s="80">
        <f t="shared" si="48"/>
        <v>0.23</v>
      </c>
      <c r="E92" s="106">
        <f t="shared" si="112"/>
        <v>1</v>
      </c>
      <c r="F92" s="104">
        <f t="shared" si="49"/>
        <v>4.92</v>
      </c>
      <c r="G92" s="104">
        <f t="shared" si="50"/>
        <v>3.5</v>
      </c>
      <c r="H92" s="104">
        <f t="shared" si="51"/>
        <v>2.96</v>
      </c>
      <c r="I92" s="104">
        <f t="shared" si="52"/>
        <v>2.99</v>
      </c>
      <c r="J92" s="80">
        <f t="shared" si="113"/>
        <v>0.114</v>
      </c>
      <c r="K92" s="80" t="e">
        <f t="shared" si="114"/>
        <v>#DIV/0!</v>
      </c>
      <c r="L92" s="80" t="e">
        <f t="shared" si="115"/>
        <v>#DIV/0!</v>
      </c>
      <c r="M92" s="80" t="e">
        <f t="shared" si="116"/>
        <v>#DIV/0!</v>
      </c>
      <c r="N92" s="80">
        <f t="shared" si="117"/>
        <v>0.34400000000000003</v>
      </c>
      <c r="O92" s="80" t="e">
        <f t="shared" si="118"/>
        <v>#DIV/0!</v>
      </c>
      <c r="P92" s="80" t="e">
        <f t="shared" si="119"/>
        <v>#DIV/0!</v>
      </c>
      <c r="Q92" s="80" t="e">
        <f t="shared" si="120"/>
        <v>#DIV/0!</v>
      </c>
      <c r="R92" s="105">
        <f t="shared" ca="1" si="121"/>
        <v>1854</v>
      </c>
      <c r="S92" s="80">
        <f t="shared" si="53"/>
        <v>6.9335600640494002E-2</v>
      </c>
      <c r="T92" s="77">
        <v>0</v>
      </c>
      <c r="U92" s="182">
        <v>0</v>
      </c>
      <c r="X92" s="182"/>
      <c r="Z92" s="82"/>
      <c r="AA92" s="82">
        <f t="shared" si="122"/>
        <v>0</v>
      </c>
      <c r="AB92" s="82">
        <f t="shared" si="54"/>
        <v>0</v>
      </c>
      <c r="AC92" s="77">
        <f t="shared" si="123"/>
        <v>0</v>
      </c>
      <c r="AD92" s="108">
        <f t="shared" si="124"/>
        <v>0</v>
      </c>
      <c r="AE92" s="107">
        <f t="shared" si="125"/>
        <v>0</v>
      </c>
      <c r="AF92" s="107">
        <f t="shared" si="126"/>
        <v>0</v>
      </c>
      <c r="AG92" s="107">
        <f t="shared" si="127"/>
        <v>0</v>
      </c>
      <c r="AH92" s="109">
        <f t="shared" si="128"/>
        <v>0</v>
      </c>
      <c r="AI92" s="109">
        <f t="shared" si="129"/>
        <v>0</v>
      </c>
      <c r="AJ92" s="109">
        <f t="shared" si="130"/>
        <v>0</v>
      </c>
      <c r="AL92" s="82">
        <f t="shared" si="131"/>
        <v>0</v>
      </c>
      <c r="AM92" s="82" t="e">
        <f t="shared" si="132"/>
        <v>#DIV/0!</v>
      </c>
      <c r="AN92" s="77">
        <f t="shared" si="133"/>
        <v>0</v>
      </c>
      <c r="AO92" s="108">
        <f t="shared" si="134"/>
        <v>0</v>
      </c>
      <c r="AP92" s="107">
        <f t="shared" si="135"/>
        <v>0</v>
      </c>
      <c r="AQ92" s="107">
        <f t="shared" si="136"/>
        <v>0</v>
      </c>
      <c r="AR92" s="107">
        <f t="shared" si="137"/>
        <v>0</v>
      </c>
      <c r="AS92" s="109">
        <f t="shared" si="138"/>
        <v>0</v>
      </c>
      <c r="AT92" s="109">
        <f t="shared" si="139"/>
        <v>0</v>
      </c>
      <c r="AU92" s="109">
        <f t="shared" si="140"/>
        <v>0</v>
      </c>
      <c r="AW92" s="82">
        <f t="shared" si="141"/>
        <v>0</v>
      </c>
      <c r="AX92" s="82" t="e">
        <f t="shared" si="142"/>
        <v>#DIV/0!</v>
      </c>
      <c r="AY92" s="77">
        <f t="shared" si="143"/>
        <v>0</v>
      </c>
      <c r="AZ92" s="108">
        <f t="shared" si="144"/>
        <v>0</v>
      </c>
      <c r="BA92" s="107">
        <f t="shared" si="145"/>
        <v>0</v>
      </c>
      <c r="BB92" s="107">
        <f t="shared" si="146"/>
        <v>0</v>
      </c>
      <c r="BC92" s="107">
        <f t="shared" si="147"/>
        <v>0</v>
      </c>
      <c r="BD92" s="109">
        <f t="shared" si="148"/>
        <v>0</v>
      </c>
      <c r="BE92" s="109">
        <f t="shared" si="149"/>
        <v>0</v>
      </c>
      <c r="BF92" s="109">
        <f t="shared" si="150"/>
        <v>0</v>
      </c>
      <c r="BH92" s="82">
        <f t="shared" si="151"/>
        <v>0</v>
      </c>
      <c r="BI92" s="82" t="e">
        <f t="shared" si="152"/>
        <v>#DIV/0!</v>
      </c>
      <c r="BJ92" s="77">
        <f t="shared" si="153"/>
        <v>0</v>
      </c>
      <c r="BK92" s="108">
        <f t="shared" si="154"/>
        <v>0</v>
      </c>
      <c r="BL92" s="107">
        <f t="shared" si="155"/>
        <v>0</v>
      </c>
      <c r="BM92" s="107">
        <f t="shared" si="156"/>
        <v>0</v>
      </c>
      <c r="BN92" s="107">
        <f t="shared" si="157"/>
        <v>0</v>
      </c>
      <c r="BO92" s="109">
        <f t="shared" si="158"/>
        <v>0</v>
      </c>
      <c r="BP92" s="109">
        <f t="shared" si="159"/>
        <v>0</v>
      </c>
      <c r="BQ92" s="109">
        <f t="shared" si="160"/>
        <v>0</v>
      </c>
    </row>
    <row r="93" spans="1:69" x14ac:dyDescent="0.25">
      <c r="A93" s="101">
        <f t="shared" si="110"/>
        <v>38657</v>
      </c>
      <c r="B93" s="102">
        <f t="shared" si="47"/>
        <v>3.0710000000000002</v>
      </c>
      <c r="C93" s="102">
        <f t="shared" si="111"/>
        <v>5.0000000000000001E-3</v>
      </c>
      <c r="D93" s="80">
        <f t="shared" si="48"/>
        <v>0.23</v>
      </c>
      <c r="E93" s="106">
        <f t="shared" si="112"/>
        <v>1</v>
      </c>
      <c r="F93" s="104">
        <f t="shared" si="49"/>
        <v>4.92</v>
      </c>
      <c r="G93" s="104">
        <f t="shared" si="50"/>
        <v>3.5</v>
      </c>
      <c r="H93" s="104">
        <f t="shared" si="51"/>
        <v>2.96</v>
      </c>
      <c r="I93" s="104">
        <f t="shared" si="52"/>
        <v>2.99</v>
      </c>
      <c r="J93" s="80">
        <f t="shared" si="113"/>
        <v>0.114</v>
      </c>
      <c r="K93" s="80" t="e">
        <f t="shared" si="114"/>
        <v>#DIV/0!</v>
      </c>
      <c r="L93" s="80" t="e">
        <f t="shared" si="115"/>
        <v>#DIV/0!</v>
      </c>
      <c r="M93" s="80" t="e">
        <f t="shared" si="116"/>
        <v>#DIV/0!</v>
      </c>
      <c r="N93" s="80">
        <f t="shared" si="117"/>
        <v>0.34400000000000003</v>
      </c>
      <c r="O93" s="80" t="e">
        <f t="shared" si="118"/>
        <v>#DIV/0!</v>
      </c>
      <c r="P93" s="80" t="e">
        <f t="shared" si="119"/>
        <v>#DIV/0!</v>
      </c>
      <c r="Q93" s="80" t="e">
        <f t="shared" si="120"/>
        <v>#DIV/0!</v>
      </c>
      <c r="R93" s="105">
        <f t="shared" ca="1" si="121"/>
        <v>1883</v>
      </c>
      <c r="S93" s="80">
        <f t="shared" si="53"/>
        <v>6.9351857014504012E-2</v>
      </c>
      <c r="T93" s="77">
        <v>0</v>
      </c>
      <c r="U93" s="182">
        <v>0</v>
      </c>
      <c r="X93" s="182"/>
      <c r="Z93" s="82"/>
      <c r="AA93" s="82">
        <f t="shared" si="122"/>
        <v>0</v>
      </c>
      <c r="AB93" s="82">
        <f t="shared" si="54"/>
        <v>0</v>
      </c>
      <c r="AC93" s="77">
        <f t="shared" si="123"/>
        <v>0</v>
      </c>
      <c r="AD93" s="108">
        <f t="shared" si="124"/>
        <v>0</v>
      </c>
      <c r="AE93" s="107">
        <f t="shared" si="125"/>
        <v>0</v>
      </c>
      <c r="AF93" s="107">
        <f t="shared" si="126"/>
        <v>0</v>
      </c>
      <c r="AG93" s="107">
        <f t="shared" si="127"/>
        <v>0</v>
      </c>
      <c r="AH93" s="109">
        <f t="shared" si="128"/>
        <v>0</v>
      </c>
      <c r="AI93" s="109">
        <f t="shared" si="129"/>
        <v>0</v>
      </c>
      <c r="AJ93" s="109">
        <f t="shared" si="130"/>
        <v>0</v>
      </c>
      <c r="AL93" s="82">
        <f t="shared" si="131"/>
        <v>0</v>
      </c>
      <c r="AM93" s="82" t="e">
        <f t="shared" si="132"/>
        <v>#DIV/0!</v>
      </c>
      <c r="AN93" s="77">
        <f t="shared" si="133"/>
        <v>0</v>
      </c>
      <c r="AO93" s="108">
        <f t="shared" si="134"/>
        <v>0</v>
      </c>
      <c r="AP93" s="107">
        <f t="shared" si="135"/>
        <v>0</v>
      </c>
      <c r="AQ93" s="107">
        <f t="shared" si="136"/>
        <v>0</v>
      </c>
      <c r="AR93" s="107">
        <f t="shared" si="137"/>
        <v>0</v>
      </c>
      <c r="AS93" s="109">
        <f t="shared" si="138"/>
        <v>0</v>
      </c>
      <c r="AT93" s="109">
        <f t="shared" si="139"/>
        <v>0</v>
      </c>
      <c r="AU93" s="109">
        <f t="shared" si="140"/>
        <v>0</v>
      </c>
      <c r="AW93" s="82">
        <f t="shared" si="141"/>
        <v>0</v>
      </c>
      <c r="AX93" s="82" t="e">
        <f t="shared" si="142"/>
        <v>#DIV/0!</v>
      </c>
      <c r="AY93" s="77">
        <f t="shared" si="143"/>
        <v>0</v>
      </c>
      <c r="AZ93" s="108">
        <f t="shared" si="144"/>
        <v>0</v>
      </c>
      <c r="BA93" s="107">
        <f t="shared" si="145"/>
        <v>0</v>
      </c>
      <c r="BB93" s="107">
        <f t="shared" si="146"/>
        <v>0</v>
      </c>
      <c r="BC93" s="107">
        <f t="shared" si="147"/>
        <v>0</v>
      </c>
      <c r="BD93" s="109">
        <f t="shared" si="148"/>
        <v>0</v>
      </c>
      <c r="BE93" s="109">
        <f t="shared" si="149"/>
        <v>0</v>
      </c>
      <c r="BF93" s="109">
        <f t="shared" si="150"/>
        <v>0</v>
      </c>
      <c r="BH93" s="82">
        <f t="shared" si="151"/>
        <v>0</v>
      </c>
      <c r="BI93" s="82" t="e">
        <f t="shared" si="152"/>
        <v>#DIV/0!</v>
      </c>
      <c r="BJ93" s="77">
        <f t="shared" si="153"/>
        <v>0</v>
      </c>
      <c r="BK93" s="108">
        <f t="shared" si="154"/>
        <v>0</v>
      </c>
      <c r="BL93" s="107">
        <f t="shared" si="155"/>
        <v>0</v>
      </c>
      <c r="BM93" s="107">
        <f t="shared" si="156"/>
        <v>0</v>
      </c>
      <c r="BN93" s="107">
        <f t="shared" si="157"/>
        <v>0</v>
      </c>
      <c r="BO93" s="109">
        <f t="shared" si="158"/>
        <v>0</v>
      </c>
      <c r="BP93" s="109">
        <f t="shared" si="159"/>
        <v>0</v>
      </c>
      <c r="BQ93" s="109">
        <f t="shared" si="160"/>
        <v>0</v>
      </c>
    </row>
    <row r="94" spans="1:69" x14ac:dyDescent="0.25">
      <c r="A94" s="101">
        <f t="shared" si="110"/>
        <v>38687</v>
      </c>
      <c r="B94" s="102">
        <f t="shared" si="47"/>
        <v>3.1469999999999998</v>
      </c>
      <c r="C94" s="102">
        <f t="shared" si="111"/>
        <v>5.0000000000000001E-3</v>
      </c>
      <c r="D94" s="80">
        <f t="shared" si="48"/>
        <v>0.23250000000000001</v>
      </c>
      <c r="E94" s="106">
        <f t="shared" si="112"/>
        <v>1</v>
      </c>
      <c r="F94" s="104">
        <f t="shared" si="49"/>
        <v>4.92</v>
      </c>
      <c r="G94" s="104">
        <f t="shared" si="50"/>
        <v>3.5</v>
      </c>
      <c r="H94" s="104">
        <f t="shared" si="51"/>
        <v>2.96</v>
      </c>
      <c r="I94" s="104">
        <f t="shared" si="52"/>
        <v>2.99</v>
      </c>
      <c r="J94" s="80">
        <f t="shared" si="113"/>
        <v>0.114</v>
      </c>
      <c r="K94" s="80" t="e">
        <f t="shared" si="114"/>
        <v>#DIV/0!</v>
      </c>
      <c r="L94" s="80" t="e">
        <f t="shared" si="115"/>
        <v>#DIV/0!</v>
      </c>
      <c r="M94" s="80" t="e">
        <f t="shared" si="116"/>
        <v>#DIV/0!</v>
      </c>
      <c r="N94" s="80">
        <f t="shared" si="117"/>
        <v>0.34650000000000003</v>
      </c>
      <c r="O94" s="80" t="e">
        <f t="shared" si="118"/>
        <v>#DIV/0!</v>
      </c>
      <c r="P94" s="80" t="e">
        <f t="shared" si="119"/>
        <v>#DIV/0!</v>
      </c>
      <c r="Q94" s="80" t="e">
        <f t="shared" si="120"/>
        <v>#DIV/0!</v>
      </c>
      <c r="R94" s="105">
        <f t="shared" ca="1" si="121"/>
        <v>1915</v>
      </c>
      <c r="S94" s="80">
        <f t="shared" si="53"/>
        <v>6.9367588989436013E-2</v>
      </c>
      <c r="T94" s="77">
        <v>0</v>
      </c>
      <c r="U94" s="182">
        <v>0</v>
      </c>
      <c r="X94" s="182"/>
      <c r="Z94" s="82"/>
      <c r="AA94" s="82">
        <f t="shared" si="122"/>
        <v>0</v>
      </c>
      <c r="AB94" s="82">
        <f t="shared" si="54"/>
        <v>0</v>
      </c>
      <c r="AC94" s="77">
        <f t="shared" si="123"/>
        <v>0</v>
      </c>
      <c r="AD94" s="108">
        <f t="shared" si="124"/>
        <v>0</v>
      </c>
      <c r="AE94" s="107">
        <f t="shared" si="125"/>
        <v>0</v>
      </c>
      <c r="AF94" s="107">
        <f t="shared" si="126"/>
        <v>0</v>
      </c>
      <c r="AG94" s="107">
        <f t="shared" si="127"/>
        <v>0</v>
      </c>
      <c r="AH94" s="109">
        <f t="shared" si="128"/>
        <v>0</v>
      </c>
      <c r="AI94" s="109">
        <f t="shared" si="129"/>
        <v>0</v>
      </c>
      <c r="AJ94" s="109">
        <f t="shared" si="130"/>
        <v>0</v>
      </c>
      <c r="AL94" s="82">
        <f t="shared" si="131"/>
        <v>0</v>
      </c>
      <c r="AM94" s="82" t="e">
        <f t="shared" si="132"/>
        <v>#DIV/0!</v>
      </c>
      <c r="AN94" s="77">
        <f t="shared" si="133"/>
        <v>0</v>
      </c>
      <c r="AO94" s="108">
        <f t="shared" si="134"/>
        <v>0</v>
      </c>
      <c r="AP94" s="107">
        <f t="shared" si="135"/>
        <v>0</v>
      </c>
      <c r="AQ94" s="107">
        <f t="shared" si="136"/>
        <v>0</v>
      </c>
      <c r="AR94" s="107">
        <f t="shared" si="137"/>
        <v>0</v>
      </c>
      <c r="AS94" s="109">
        <f t="shared" si="138"/>
        <v>0</v>
      </c>
      <c r="AT94" s="109">
        <f t="shared" si="139"/>
        <v>0</v>
      </c>
      <c r="AU94" s="109">
        <f t="shared" si="140"/>
        <v>0</v>
      </c>
      <c r="AW94" s="82">
        <f t="shared" si="141"/>
        <v>0</v>
      </c>
      <c r="AX94" s="82" t="e">
        <f t="shared" si="142"/>
        <v>#DIV/0!</v>
      </c>
      <c r="AY94" s="77">
        <f t="shared" si="143"/>
        <v>0</v>
      </c>
      <c r="AZ94" s="108">
        <f t="shared" si="144"/>
        <v>0</v>
      </c>
      <c r="BA94" s="107">
        <f t="shared" si="145"/>
        <v>0</v>
      </c>
      <c r="BB94" s="107">
        <f t="shared" si="146"/>
        <v>0</v>
      </c>
      <c r="BC94" s="107">
        <f t="shared" si="147"/>
        <v>0</v>
      </c>
      <c r="BD94" s="109">
        <f t="shared" si="148"/>
        <v>0</v>
      </c>
      <c r="BE94" s="109">
        <f t="shared" si="149"/>
        <v>0</v>
      </c>
      <c r="BF94" s="109">
        <f t="shared" si="150"/>
        <v>0</v>
      </c>
      <c r="BH94" s="82">
        <f t="shared" si="151"/>
        <v>0</v>
      </c>
      <c r="BI94" s="82" t="e">
        <f t="shared" si="152"/>
        <v>#DIV/0!</v>
      </c>
      <c r="BJ94" s="77">
        <f t="shared" si="153"/>
        <v>0</v>
      </c>
      <c r="BK94" s="108">
        <f t="shared" si="154"/>
        <v>0</v>
      </c>
      <c r="BL94" s="107">
        <f t="shared" si="155"/>
        <v>0</v>
      </c>
      <c r="BM94" s="107">
        <f t="shared" si="156"/>
        <v>0</v>
      </c>
      <c r="BN94" s="107">
        <f t="shared" si="157"/>
        <v>0</v>
      </c>
      <c r="BO94" s="109">
        <f t="shared" si="158"/>
        <v>0</v>
      </c>
      <c r="BP94" s="109">
        <f t="shared" si="159"/>
        <v>0</v>
      </c>
      <c r="BQ94" s="109">
        <f t="shared" si="160"/>
        <v>0</v>
      </c>
    </row>
    <row r="95" spans="1:69" x14ac:dyDescent="0.25">
      <c r="A95" s="101">
        <f t="shared" si="110"/>
        <v>38718</v>
      </c>
      <c r="B95" s="102">
        <f t="shared" si="47"/>
        <v>3.403</v>
      </c>
      <c r="C95" s="102">
        <f t="shared" si="111"/>
        <v>5.0000000000000001E-3</v>
      </c>
      <c r="D95" s="80">
        <f t="shared" si="48"/>
        <v>0.23250000000000001</v>
      </c>
      <c r="E95" s="106">
        <f t="shared" si="112"/>
        <v>1</v>
      </c>
      <c r="F95" s="104">
        <f t="shared" si="49"/>
        <v>4.92</v>
      </c>
      <c r="G95" s="104">
        <f t="shared" si="50"/>
        <v>3.5</v>
      </c>
      <c r="H95" s="104">
        <f t="shared" si="51"/>
        <v>2.96</v>
      </c>
      <c r="I95" s="104">
        <f t="shared" si="52"/>
        <v>2.99</v>
      </c>
      <c r="J95" s="80">
        <f t="shared" si="113"/>
        <v>0.114</v>
      </c>
      <c r="K95" s="80" t="e">
        <f t="shared" si="114"/>
        <v>#DIV/0!</v>
      </c>
      <c r="L95" s="80" t="e">
        <f t="shared" si="115"/>
        <v>#DIV/0!</v>
      </c>
      <c r="M95" s="80" t="e">
        <f t="shared" si="116"/>
        <v>#DIV/0!</v>
      </c>
      <c r="N95" s="80">
        <f t="shared" si="117"/>
        <v>0.34650000000000003</v>
      </c>
      <c r="O95" s="80" t="e">
        <f t="shared" si="118"/>
        <v>#DIV/0!</v>
      </c>
      <c r="P95" s="80" t="e">
        <f t="shared" si="119"/>
        <v>#DIV/0!</v>
      </c>
      <c r="Q95" s="80" t="e">
        <f t="shared" si="120"/>
        <v>#DIV/0!</v>
      </c>
      <c r="R95" s="105">
        <f t="shared" ca="1" si="121"/>
        <v>1945</v>
      </c>
      <c r="S95" s="80">
        <f t="shared" si="53"/>
        <v>6.9383845363617996E-2</v>
      </c>
      <c r="T95" s="77">
        <v>0</v>
      </c>
      <c r="U95" s="182">
        <v>0</v>
      </c>
      <c r="X95" s="182"/>
      <c r="Z95" s="82"/>
      <c r="AA95" s="82">
        <f t="shared" si="122"/>
        <v>0</v>
      </c>
      <c r="AB95" s="82">
        <f t="shared" si="54"/>
        <v>0</v>
      </c>
      <c r="AC95" s="77">
        <f t="shared" si="123"/>
        <v>0</v>
      </c>
      <c r="AD95" s="108">
        <f t="shared" si="124"/>
        <v>0</v>
      </c>
      <c r="AE95" s="107">
        <f t="shared" si="125"/>
        <v>0</v>
      </c>
      <c r="AF95" s="107">
        <f t="shared" si="126"/>
        <v>0</v>
      </c>
      <c r="AG95" s="107">
        <f t="shared" si="127"/>
        <v>0</v>
      </c>
      <c r="AH95" s="109">
        <f t="shared" si="128"/>
        <v>0</v>
      </c>
      <c r="AI95" s="109">
        <f t="shared" si="129"/>
        <v>0</v>
      </c>
      <c r="AJ95" s="109">
        <f t="shared" si="130"/>
        <v>0</v>
      </c>
      <c r="AL95" s="82">
        <f t="shared" si="131"/>
        <v>0</v>
      </c>
      <c r="AM95" s="82" t="e">
        <f t="shared" si="132"/>
        <v>#DIV/0!</v>
      </c>
      <c r="AN95" s="77">
        <f t="shared" si="133"/>
        <v>0</v>
      </c>
      <c r="AO95" s="108">
        <f t="shared" si="134"/>
        <v>0</v>
      </c>
      <c r="AP95" s="107">
        <f t="shared" si="135"/>
        <v>0</v>
      </c>
      <c r="AQ95" s="107">
        <f t="shared" si="136"/>
        <v>0</v>
      </c>
      <c r="AR95" s="107">
        <f t="shared" si="137"/>
        <v>0</v>
      </c>
      <c r="AS95" s="109">
        <f t="shared" si="138"/>
        <v>0</v>
      </c>
      <c r="AT95" s="109">
        <f t="shared" si="139"/>
        <v>0</v>
      </c>
      <c r="AU95" s="109">
        <f t="shared" si="140"/>
        <v>0</v>
      </c>
      <c r="AW95" s="82">
        <f t="shared" si="141"/>
        <v>0</v>
      </c>
      <c r="AX95" s="82" t="e">
        <f t="shared" si="142"/>
        <v>#DIV/0!</v>
      </c>
      <c r="AY95" s="77">
        <f t="shared" si="143"/>
        <v>0</v>
      </c>
      <c r="AZ95" s="108">
        <f t="shared" si="144"/>
        <v>0</v>
      </c>
      <c r="BA95" s="107">
        <f t="shared" si="145"/>
        <v>0</v>
      </c>
      <c r="BB95" s="107">
        <f t="shared" si="146"/>
        <v>0</v>
      </c>
      <c r="BC95" s="107">
        <f t="shared" si="147"/>
        <v>0</v>
      </c>
      <c r="BD95" s="109">
        <f t="shared" si="148"/>
        <v>0</v>
      </c>
      <c r="BE95" s="109">
        <f t="shared" si="149"/>
        <v>0</v>
      </c>
      <c r="BF95" s="109">
        <f t="shared" si="150"/>
        <v>0</v>
      </c>
      <c r="BH95" s="82">
        <f t="shared" si="151"/>
        <v>0</v>
      </c>
      <c r="BI95" s="82" t="e">
        <f t="shared" si="152"/>
        <v>#DIV/0!</v>
      </c>
      <c r="BJ95" s="77">
        <f t="shared" si="153"/>
        <v>0</v>
      </c>
      <c r="BK95" s="108">
        <f t="shared" si="154"/>
        <v>0</v>
      </c>
      <c r="BL95" s="107">
        <f t="shared" si="155"/>
        <v>0</v>
      </c>
      <c r="BM95" s="107">
        <f t="shared" si="156"/>
        <v>0</v>
      </c>
      <c r="BN95" s="107">
        <f t="shared" si="157"/>
        <v>0</v>
      </c>
      <c r="BO95" s="109">
        <f t="shared" si="158"/>
        <v>0</v>
      </c>
      <c r="BP95" s="109">
        <f t="shared" si="159"/>
        <v>0</v>
      </c>
      <c r="BQ95" s="109">
        <f t="shared" si="160"/>
        <v>0</v>
      </c>
    </row>
    <row r="96" spans="1:69" x14ac:dyDescent="0.25">
      <c r="A96" s="101">
        <f t="shared" si="110"/>
        <v>38749</v>
      </c>
      <c r="B96" s="102">
        <f t="shared" si="47"/>
        <v>3.2730000000000001</v>
      </c>
      <c r="C96" s="102">
        <f t="shared" si="111"/>
        <v>5.0000000000000001E-3</v>
      </c>
      <c r="D96" s="80">
        <f t="shared" ref="D96:D150" si="161">VLOOKUP(A96,STRADDLE,8,FALSE)</f>
        <v>0.23</v>
      </c>
      <c r="E96" s="106">
        <f t="shared" si="112"/>
        <v>1</v>
      </c>
      <c r="F96" s="104">
        <f t="shared" si="49"/>
        <v>4.92</v>
      </c>
      <c r="G96" s="104">
        <f t="shared" si="50"/>
        <v>3.5</v>
      </c>
      <c r="H96" s="104">
        <f t="shared" si="51"/>
        <v>2.96</v>
      </c>
      <c r="I96" s="104">
        <f t="shared" si="52"/>
        <v>2.99</v>
      </c>
      <c r="J96" s="80">
        <f t="shared" si="113"/>
        <v>0.114</v>
      </c>
      <c r="K96" s="80" t="e">
        <f t="shared" si="114"/>
        <v>#DIV/0!</v>
      </c>
      <c r="L96" s="80" t="e">
        <f t="shared" si="115"/>
        <v>#DIV/0!</v>
      </c>
      <c r="M96" s="80" t="e">
        <f t="shared" si="116"/>
        <v>#DIV/0!</v>
      </c>
      <c r="N96" s="80">
        <f t="shared" si="117"/>
        <v>0.34400000000000003</v>
      </c>
      <c r="O96" s="80" t="e">
        <f t="shared" si="118"/>
        <v>#DIV/0!</v>
      </c>
      <c r="P96" s="80" t="e">
        <f t="shared" si="119"/>
        <v>#DIV/0!</v>
      </c>
      <c r="Q96" s="80" t="e">
        <f t="shared" si="120"/>
        <v>#DIV/0!</v>
      </c>
      <c r="R96" s="105">
        <f t="shared" ca="1" si="121"/>
        <v>1975</v>
      </c>
      <c r="S96" s="80">
        <f t="shared" si="53"/>
        <v>6.9400101737888006E-2</v>
      </c>
      <c r="T96" s="77">
        <v>0</v>
      </c>
      <c r="U96" s="182">
        <v>0</v>
      </c>
      <c r="X96" s="182"/>
      <c r="Z96" s="82"/>
      <c r="AA96" s="82">
        <f t="shared" si="122"/>
        <v>0</v>
      </c>
      <c r="AB96" s="82">
        <f t="shared" ref="AB96:AB150" si="162">IF(T96&gt;0,AD96/AA96,0)</f>
        <v>0</v>
      </c>
      <c r="AC96" s="77">
        <f t="shared" si="123"/>
        <v>0</v>
      </c>
      <c r="AD96" s="108">
        <f t="shared" si="124"/>
        <v>0</v>
      </c>
      <c r="AE96" s="107">
        <f t="shared" si="125"/>
        <v>0</v>
      </c>
      <c r="AF96" s="107">
        <f t="shared" si="126"/>
        <v>0</v>
      </c>
      <c r="AG96" s="107">
        <f t="shared" si="127"/>
        <v>0</v>
      </c>
      <c r="AH96" s="109">
        <f t="shared" si="128"/>
        <v>0</v>
      </c>
      <c r="AI96" s="109">
        <f t="shared" si="129"/>
        <v>0</v>
      </c>
      <c r="AJ96" s="109">
        <f t="shared" si="130"/>
        <v>0</v>
      </c>
      <c r="AL96" s="82">
        <f t="shared" si="131"/>
        <v>0</v>
      </c>
      <c r="AM96" s="82" t="e">
        <f t="shared" si="132"/>
        <v>#DIV/0!</v>
      </c>
      <c r="AN96" s="77">
        <f t="shared" si="133"/>
        <v>0</v>
      </c>
      <c r="AO96" s="108">
        <f t="shared" si="134"/>
        <v>0</v>
      </c>
      <c r="AP96" s="107">
        <f t="shared" si="135"/>
        <v>0</v>
      </c>
      <c r="AQ96" s="107">
        <f t="shared" si="136"/>
        <v>0</v>
      </c>
      <c r="AR96" s="107">
        <f t="shared" si="137"/>
        <v>0</v>
      </c>
      <c r="AS96" s="109">
        <f t="shared" si="138"/>
        <v>0</v>
      </c>
      <c r="AT96" s="109">
        <f t="shared" si="139"/>
        <v>0</v>
      </c>
      <c r="AU96" s="109">
        <f t="shared" si="140"/>
        <v>0</v>
      </c>
      <c r="AW96" s="82">
        <f t="shared" si="141"/>
        <v>0</v>
      </c>
      <c r="AX96" s="82" t="e">
        <f t="shared" si="142"/>
        <v>#DIV/0!</v>
      </c>
      <c r="AY96" s="77">
        <f t="shared" si="143"/>
        <v>0</v>
      </c>
      <c r="AZ96" s="108">
        <f t="shared" si="144"/>
        <v>0</v>
      </c>
      <c r="BA96" s="107">
        <f t="shared" si="145"/>
        <v>0</v>
      </c>
      <c r="BB96" s="107">
        <f t="shared" si="146"/>
        <v>0</v>
      </c>
      <c r="BC96" s="107">
        <f t="shared" si="147"/>
        <v>0</v>
      </c>
      <c r="BD96" s="109">
        <f t="shared" si="148"/>
        <v>0</v>
      </c>
      <c r="BE96" s="109">
        <f t="shared" si="149"/>
        <v>0</v>
      </c>
      <c r="BF96" s="109">
        <f t="shared" si="150"/>
        <v>0</v>
      </c>
      <c r="BH96" s="82">
        <f t="shared" si="151"/>
        <v>0</v>
      </c>
      <c r="BI96" s="82" t="e">
        <f t="shared" si="152"/>
        <v>#DIV/0!</v>
      </c>
      <c r="BJ96" s="77">
        <f t="shared" si="153"/>
        <v>0</v>
      </c>
      <c r="BK96" s="108">
        <f t="shared" si="154"/>
        <v>0</v>
      </c>
      <c r="BL96" s="107">
        <f t="shared" si="155"/>
        <v>0</v>
      </c>
      <c r="BM96" s="107">
        <f t="shared" si="156"/>
        <v>0</v>
      </c>
      <c r="BN96" s="107">
        <f t="shared" si="157"/>
        <v>0</v>
      </c>
      <c r="BO96" s="109">
        <f t="shared" si="158"/>
        <v>0</v>
      </c>
      <c r="BP96" s="109">
        <f t="shared" si="159"/>
        <v>0</v>
      </c>
      <c r="BQ96" s="109">
        <f t="shared" si="160"/>
        <v>0</v>
      </c>
    </row>
    <row r="97" spans="1:69" x14ac:dyDescent="0.25">
      <c r="A97" s="101">
        <f t="shared" si="110"/>
        <v>38777</v>
      </c>
      <c r="B97" s="102">
        <f t="shared" si="47"/>
        <v>3.1120000000000001</v>
      </c>
      <c r="C97" s="102">
        <f t="shared" si="111"/>
        <v>5.0000000000000001E-3</v>
      </c>
      <c r="D97" s="80">
        <f t="shared" si="161"/>
        <v>0.22750000000000001</v>
      </c>
      <c r="E97" s="106">
        <f t="shared" si="112"/>
        <v>1</v>
      </c>
      <c r="F97" s="104">
        <f t="shared" si="49"/>
        <v>4.92</v>
      </c>
      <c r="G97" s="104">
        <f t="shared" si="50"/>
        <v>3.5</v>
      </c>
      <c r="H97" s="104">
        <f t="shared" si="51"/>
        <v>2.96</v>
      </c>
      <c r="I97" s="104">
        <f t="shared" si="52"/>
        <v>2.99</v>
      </c>
      <c r="J97" s="80">
        <f t="shared" si="113"/>
        <v>0.114</v>
      </c>
      <c r="K97" s="80" t="e">
        <f t="shared" si="114"/>
        <v>#DIV/0!</v>
      </c>
      <c r="L97" s="80" t="e">
        <f t="shared" si="115"/>
        <v>#DIV/0!</v>
      </c>
      <c r="M97" s="80" t="e">
        <f t="shared" si="116"/>
        <v>#DIV/0!</v>
      </c>
      <c r="N97" s="80">
        <f t="shared" si="117"/>
        <v>0.34150000000000003</v>
      </c>
      <c r="O97" s="80" t="e">
        <f t="shared" si="118"/>
        <v>#DIV/0!</v>
      </c>
      <c r="P97" s="80" t="e">
        <f t="shared" si="119"/>
        <v>#DIV/0!</v>
      </c>
      <c r="Q97" s="80" t="e">
        <f t="shared" si="120"/>
        <v>#DIV/0!</v>
      </c>
      <c r="R97" s="105">
        <f t="shared" ca="1" si="121"/>
        <v>2003</v>
      </c>
      <c r="S97" s="80">
        <f t="shared" si="53"/>
        <v>6.9414784914722985E-2</v>
      </c>
      <c r="T97" s="77">
        <v>0</v>
      </c>
      <c r="U97" s="182">
        <v>0</v>
      </c>
      <c r="X97" s="182"/>
      <c r="Z97" s="82"/>
      <c r="AA97" s="82">
        <f t="shared" si="122"/>
        <v>0</v>
      </c>
      <c r="AB97" s="82">
        <f t="shared" si="162"/>
        <v>0</v>
      </c>
      <c r="AC97" s="77">
        <f t="shared" si="123"/>
        <v>0</v>
      </c>
      <c r="AD97" s="108">
        <f t="shared" si="124"/>
        <v>0</v>
      </c>
      <c r="AE97" s="107">
        <f t="shared" si="125"/>
        <v>0</v>
      </c>
      <c r="AF97" s="107">
        <f t="shared" si="126"/>
        <v>0</v>
      </c>
      <c r="AG97" s="107">
        <f t="shared" si="127"/>
        <v>0</v>
      </c>
      <c r="AH97" s="109">
        <f t="shared" si="128"/>
        <v>0</v>
      </c>
      <c r="AI97" s="109">
        <f t="shared" si="129"/>
        <v>0</v>
      </c>
      <c r="AJ97" s="109">
        <f t="shared" si="130"/>
        <v>0</v>
      </c>
      <c r="AL97" s="82">
        <f t="shared" si="131"/>
        <v>0</v>
      </c>
      <c r="AM97" s="82" t="e">
        <f t="shared" si="132"/>
        <v>#DIV/0!</v>
      </c>
      <c r="AN97" s="77">
        <f t="shared" si="133"/>
        <v>0</v>
      </c>
      <c r="AO97" s="108">
        <f t="shared" si="134"/>
        <v>0</v>
      </c>
      <c r="AP97" s="107">
        <f t="shared" si="135"/>
        <v>0</v>
      </c>
      <c r="AQ97" s="107">
        <f t="shared" si="136"/>
        <v>0</v>
      </c>
      <c r="AR97" s="107">
        <f t="shared" si="137"/>
        <v>0</v>
      </c>
      <c r="AS97" s="109">
        <f t="shared" si="138"/>
        <v>0</v>
      </c>
      <c r="AT97" s="109">
        <f t="shared" si="139"/>
        <v>0</v>
      </c>
      <c r="AU97" s="109">
        <f t="shared" si="140"/>
        <v>0</v>
      </c>
      <c r="AW97" s="82">
        <f t="shared" si="141"/>
        <v>0</v>
      </c>
      <c r="AX97" s="82" t="e">
        <f t="shared" si="142"/>
        <v>#DIV/0!</v>
      </c>
      <c r="AY97" s="77">
        <f t="shared" si="143"/>
        <v>0</v>
      </c>
      <c r="AZ97" s="108">
        <f t="shared" si="144"/>
        <v>0</v>
      </c>
      <c r="BA97" s="107">
        <f t="shared" si="145"/>
        <v>0</v>
      </c>
      <c r="BB97" s="107">
        <f t="shared" si="146"/>
        <v>0</v>
      </c>
      <c r="BC97" s="107">
        <f t="shared" si="147"/>
        <v>0</v>
      </c>
      <c r="BD97" s="109">
        <f t="shared" si="148"/>
        <v>0</v>
      </c>
      <c r="BE97" s="109">
        <f t="shared" si="149"/>
        <v>0</v>
      </c>
      <c r="BF97" s="109">
        <f t="shared" si="150"/>
        <v>0</v>
      </c>
      <c r="BH97" s="82">
        <f t="shared" si="151"/>
        <v>0</v>
      </c>
      <c r="BI97" s="82" t="e">
        <f t="shared" si="152"/>
        <v>#DIV/0!</v>
      </c>
      <c r="BJ97" s="77">
        <f t="shared" si="153"/>
        <v>0</v>
      </c>
      <c r="BK97" s="108">
        <f t="shared" si="154"/>
        <v>0</v>
      </c>
      <c r="BL97" s="107">
        <f t="shared" si="155"/>
        <v>0</v>
      </c>
      <c r="BM97" s="107">
        <f t="shared" si="156"/>
        <v>0</v>
      </c>
      <c r="BN97" s="107">
        <f t="shared" si="157"/>
        <v>0</v>
      </c>
      <c r="BO97" s="109">
        <f t="shared" si="158"/>
        <v>0</v>
      </c>
      <c r="BP97" s="109">
        <f t="shared" si="159"/>
        <v>0</v>
      </c>
      <c r="BQ97" s="109">
        <f t="shared" si="160"/>
        <v>0</v>
      </c>
    </row>
    <row r="98" spans="1:69" x14ac:dyDescent="0.25">
      <c r="A98" s="101">
        <f t="shared" si="110"/>
        <v>38808</v>
      </c>
      <c r="B98" s="102">
        <f t="shared" si="47"/>
        <v>2.9430000000000001</v>
      </c>
      <c r="C98" s="102">
        <f t="shared" si="111"/>
        <v>5.0000000000000001E-3</v>
      </c>
      <c r="D98" s="80">
        <f t="shared" si="161"/>
        <v>0.22750000000000001</v>
      </c>
      <c r="E98" s="106">
        <f t="shared" si="112"/>
        <v>1</v>
      </c>
      <c r="F98" s="104">
        <f t="shared" si="49"/>
        <v>4.92</v>
      </c>
      <c r="G98" s="104">
        <f t="shared" si="50"/>
        <v>3.5</v>
      </c>
      <c r="H98" s="104">
        <f t="shared" si="51"/>
        <v>2.96</v>
      </c>
      <c r="I98" s="104">
        <f t="shared" si="52"/>
        <v>2.99</v>
      </c>
      <c r="J98" s="80">
        <f t="shared" si="113"/>
        <v>0.114</v>
      </c>
      <c r="K98" s="80" t="e">
        <f t="shared" si="114"/>
        <v>#DIV/0!</v>
      </c>
      <c r="L98" s="80" t="e">
        <f t="shared" si="115"/>
        <v>#DIV/0!</v>
      </c>
      <c r="M98" s="80" t="e">
        <f t="shared" si="116"/>
        <v>#DIV/0!</v>
      </c>
      <c r="N98" s="80">
        <f t="shared" si="117"/>
        <v>0.34150000000000003</v>
      </c>
      <c r="O98" s="80" t="e">
        <f t="shared" si="118"/>
        <v>#DIV/0!</v>
      </c>
      <c r="P98" s="80" t="e">
        <f t="shared" si="119"/>
        <v>#DIV/0!</v>
      </c>
      <c r="Q98" s="80" t="e">
        <f t="shared" si="120"/>
        <v>#DIV/0!</v>
      </c>
      <c r="R98" s="105">
        <f t="shared" ca="1" si="121"/>
        <v>2036</v>
      </c>
      <c r="S98" s="80">
        <f t="shared" si="53"/>
        <v>6.9431041289159015E-2</v>
      </c>
      <c r="T98" s="77">
        <v>0</v>
      </c>
      <c r="U98" s="182">
        <v>0</v>
      </c>
      <c r="X98" s="182"/>
      <c r="Z98" s="82"/>
      <c r="AA98" s="82">
        <f t="shared" si="122"/>
        <v>0</v>
      </c>
      <c r="AB98" s="82">
        <f t="shared" si="162"/>
        <v>0</v>
      </c>
      <c r="AC98" s="77">
        <f t="shared" si="123"/>
        <v>0</v>
      </c>
      <c r="AD98" s="108">
        <f t="shared" si="124"/>
        <v>0</v>
      </c>
      <c r="AE98" s="107">
        <f t="shared" si="125"/>
        <v>0</v>
      </c>
      <c r="AF98" s="107">
        <f t="shared" si="126"/>
        <v>0</v>
      </c>
      <c r="AG98" s="107">
        <f t="shared" si="127"/>
        <v>0</v>
      </c>
      <c r="AH98" s="109">
        <f t="shared" si="128"/>
        <v>0</v>
      </c>
      <c r="AI98" s="109">
        <f t="shared" si="129"/>
        <v>0</v>
      </c>
      <c r="AJ98" s="109">
        <f t="shared" si="130"/>
        <v>0</v>
      </c>
      <c r="AL98" s="82">
        <f t="shared" si="131"/>
        <v>0</v>
      </c>
      <c r="AM98" s="82" t="e">
        <f t="shared" si="132"/>
        <v>#DIV/0!</v>
      </c>
      <c r="AN98" s="77">
        <f t="shared" si="133"/>
        <v>0</v>
      </c>
      <c r="AO98" s="108">
        <f t="shared" si="134"/>
        <v>0</v>
      </c>
      <c r="AP98" s="107">
        <f t="shared" si="135"/>
        <v>0</v>
      </c>
      <c r="AQ98" s="107">
        <f t="shared" si="136"/>
        <v>0</v>
      </c>
      <c r="AR98" s="107">
        <f t="shared" si="137"/>
        <v>0</v>
      </c>
      <c r="AS98" s="109">
        <f t="shared" si="138"/>
        <v>0</v>
      </c>
      <c r="AT98" s="109">
        <f t="shared" si="139"/>
        <v>0</v>
      </c>
      <c r="AU98" s="109">
        <f t="shared" si="140"/>
        <v>0</v>
      </c>
      <c r="AW98" s="82">
        <f t="shared" si="141"/>
        <v>0</v>
      </c>
      <c r="AX98" s="82" t="e">
        <f t="shared" si="142"/>
        <v>#DIV/0!</v>
      </c>
      <c r="AY98" s="77">
        <f t="shared" si="143"/>
        <v>0</v>
      </c>
      <c r="AZ98" s="108">
        <f t="shared" si="144"/>
        <v>0</v>
      </c>
      <c r="BA98" s="107">
        <f t="shared" si="145"/>
        <v>0</v>
      </c>
      <c r="BB98" s="107">
        <f t="shared" si="146"/>
        <v>0</v>
      </c>
      <c r="BC98" s="107">
        <f t="shared" si="147"/>
        <v>0</v>
      </c>
      <c r="BD98" s="109">
        <f t="shared" si="148"/>
        <v>0</v>
      </c>
      <c r="BE98" s="109">
        <f t="shared" si="149"/>
        <v>0</v>
      </c>
      <c r="BF98" s="109">
        <f t="shared" si="150"/>
        <v>0</v>
      </c>
      <c r="BH98" s="82">
        <f t="shared" si="151"/>
        <v>0</v>
      </c>
      <c r="BI98" s="82" t="e">
        <f t="shared" si="152"/>
        <v>#DIV/0!</v>
      </c>
      <c r="BJ98" s="77">
        <f t="shared" si="153"/>
        <v>0</v>
      </c>
      <c r="BK98" s="108">
        <f t="shared" si="154"/>
        <v>0</v>
      </c>
      <c r="BL98" s="107">
        <f t="shared" si="155"/>
        <v>0</v>
      </c>
      <c r="BM98" s="107">
        <f t="shared" si="156"/>
        <v>0</v>
      </c>
      <c r="BN98" s="107">
        <f t="shared" si="157"/>
        <v>0</v>
      </c>
      <c r="BO98" s="109">
        <f t="shared" si="158"/>
        <v>0</v>
      </c>
      <c r="BP98" s="109">
        <f t="shared" si="159"/>
        <v>0</v>
      </c>
      <c r="BQ98" s="109">
        <f t="shared" si="160"/>
        <v>0</v>
      </c>
    </row>
    <row r="99" spans="1:69" x14ac:dyDescent="0.25">
      <c r="A99" s="101">
        <f t="shared" si="110"/>
        <v>38838</v>
      </c>
      <c r="B99" s="102">
        <f t="shared" si="47"/>
        <v>2.9310000000000005</v>
      </c>
      <c r="C99" s="102">
        <f t="shared" si="111"/>
        <v>5.0000000000000001E-3</v>
      </c>
      <c r="D99" s="80">
        <f t="shared" si="161"/>
        <v>0.22750000000000001</v>
      </c>
      <c r="E99" s="106">
        <f t="shared" si="112"/>
        <v>1</v>
      </c>
      <c r="F99" s="104">
        <f t="shared" si="49"/>
        <v>4.92</v>
      </c>
      <c r="G99" s="104">
        <f t="shared" si="50"/>
        <v>3.5</v>
      </c>
      <c r="H99" s="104">
        <f t="shared" si="51"/>
        <v>2.96</v>
      </c>
      <c r="I99" s="104">
        <f t="shared" si="52"/>
        <v>2.99</v>
      </c>
      <c r="J99" s="80">
        <f t="shared" si="113"/>
        <v>0.114</v>
      </c>
      <c r="K99" s="80" t="e">
        <f t="shared" si="114"/>
        <v>#DIV/0!</v>
      </c>
      <c r="L99" s="80" t="e">
        <f t="shared" si="115"/>
        <v>#DIV/0!</v>
      </c>
      <c r="M99" s="80" t="e">
        <f t="shared" si="116"/>
        <v>#DIV/0!</v>
      </c>
      <c r="N99" s="80">
        <f t="shared" si="117"/>
        <v>0.34150000000000003</v>
      </c>
      <c r="O99" s="80" t="e">
        <f t="shared" si="118"/>
        <v>#DIV/0!</v>
      </c>
      <c r="P99" s="80" t="e">
        <f t="shared" si="119"/>
        <v>#DIV/0!</v>
      </c>
      <c r="Q99" s="80" t="e">
        <f t="shared" si="120"/>
        <v>#DIV/0!</v>
      </c>
      <c r="R99" s="105">
        <f t="shared" ca="1" si="121"/>
        <v>2064</v>
      </c>
      <c r="S99" s="80">
        <f t="shared" si="53"/>
        <v>6.9446773264503006E-2</v>
      </c>
      <c r="T99" s="77">
        <v>0</v>
      </c>
      <c r="U99" s="182">
        <v>0</v>
      </c>
      <c r="X99" s="182"/>
      <c r="Z99" s="82"/>
      <c r="AA99" s="82">
        <f t="shared" si="122"/>
        <v>0</v>
      </c>
      <c r="AB99" s="82">
        <f t="shared" si="162"/>
        <v>0</v>
      </c>
      <c r="AC99" s="77">
        <f t="shared" si="123"/>
        <v>0</v>
      </c>
      <c r="AD99" s="108">
        <f t="shared" si="124"/>
        <v>0</v>
      </c>
      <c r="AE99" s="107">
        <f t="shared" si="125"/>
        <v>0</v>
      </c>
      <c r="AF99" s="107">
        <f t="shared" si="126"/>
        <v>0</v>
      </c>
      <c r="AG99" s="107">
        <f t="shared" si="127"/>
        <v>0</v>
      </c>
      <c r="AH99" s="109">
        <f t="shared" si="128"/>
        <v>0</v>
      </c>
      <c r="AI99" s="109">
        <f t="shared" si="129"/>
        <v>0</v>
      </c>
      <c r="AJ99" s="109">
        <f t="shared" si="130"/>
        <v>0</v>
      </c>
      <c r="AL99" s="82">
        <f t="shared" si="131"/>
        <v>0</v>
      </c>
      <c r="AM99" s="82" t="e">
        <f t="shared" si="132"/>
        <v>#DIV/0!</v>
      </c>
      <c r="AN99" s="77">
        <f t="shared" si="133"/>
        <v>0</v>
      </c>
      <c r="AO99" s="108">
        <f t="shared" si="134"/>
        <v>0</v>
      </c>
      <c r="AP99" s="107">
        <f t="shared" si="135"/>
        <v>0</v>
      </c>
      <c r="AQ99" s="107">
        <f t="shared" si="136"/>
        <v>0</v>
      </c>
      <c r="AR99" s="107">
        <f t="shared" si="137"/>
        <v>0</v>
      </c>
      <c r="AS99" s="109">
        <f t="shared" si="138"/>
        <v>0</v>
      </c>
      <c r="AT99" s="109">
        <f t="shared" si="139"/>
        <v>0</v>
      </c>
      <c r="AU99" s="109">
        <f t="shared" si="140"/>
        <v>0</v>
      </c>
      <c r="AW99" s="82">
        <f t="shared" si="141"/>
        <v>0</v>
      </c>
      <c r="AX99" s="82" t="e">
        <f t="shared" si="142"/>
        <v>#DIV/0!</v>
      </c>
      <c r="AY99" s="77">
        <f t="shared" si="143"/>
        <v>0</v>
      </c>
      <c r="AZ99" s="108">
        <f t="shared" si="144"/>
        <v>0</v>
      </c>
      <c r="BA99" s="107">
        <f t="shared" si="145"/>
        <v>0</v>
      </c>
      <c r="BB99" s="107">
        <f t="shared" si="146"/>
        <v>0</v>
      </c>
      <c r="BC99" s="107">
        <f t="shared" si="147"/>
        <v>0</v>
      </c>
      <c r="BD99" s="109">
        <f t="shared" si="148"/>
        <v>0</v>
      </c>
      <c r="BE99" s="109">
        <f t="shared" si="149"/>
        <v>0</v>
      </c>
      <c r="BF99" s="109">
        <f t="shared" si="150"/>
        <v>0</v>
      </c>
      <c r="BH99" s="82">
        <f t="shared" si="151"/>
        <v>0</v>
      </c>
      <c r="BI99" s="82" t="e">
        <f t="shared" si="152"/>
        <v>#DIV/0!</v>
      </c>
      <c r="BJ99" s="77">
        <f t="shared" si="153"/>
        <v>0</v>
      </c>
      <c r="BK99" s="108">
        <f t="shared" si="154"/>
        <v>0</v>
      </c>
      <c r="BL99" s="107">
        <f t="shared" si="155"/>
        <v>0</v>
      </c>
      <c r="BM99" s="107">
        <f t="shared" si="156"/>
        <v>0</v>
      </c>
      <c r="BN99" s="107">
        <f t="shared" si="157"/>
        <v>0</v>
      </c>
      <c r="BO99" s="109">
        <f t="shared" si="158"/>
        <v>0</v>
      </c>
      <c r="BP99" s="109">
        <f t="shared" si="159"/>
        <v>0</v>
      </c>
      <c r="BQ99" s="109">
        <f t="shared" si="160"/>
        <v>0</v>
      </c>
    </row>
    <row r="100" spans="1:69" x14ac:dyDescent="0.25">
      <c r="A100" s="101">
        <f t="shared" si="110"/>
        <v>38869</v>
      </c>
      <c r="B100" s="102">
        <f t="shared" si="47"/>
        <v>2.9540000000000002</v>
      </c>
      <c r="C100" s="102">
        <f t="shared" si="111"/>
        <v>5.0000000000000001E-3</v>
      </c>
      <c r="D100" s="80">
        <f t="shared" si="161"/>
        <v>0.22750000000000001</v>
      </c>
      <c r="E100" s="106">
        <f t="shared" si="112"/>
        <v>1</v>
      </c>
      <c r="F100" s="104">
        <f t="shared" si="49"/>
        <v>4.92</v>
      </c>
      <c r="G100" s="104">
        <f t="shared" si="50"/>
        <v>3.5</v>
      </c>
      <c r="H100" s="104">
        <f t="shared" si="51"/>
        <v>2.96</v>
      </c>
      <c r="I100" s="104">
        <f t="shared" si="52"/>
        <v>2.99</v>
      </c>
      <c r="J100" s="80">
        <f t="shared" si="113"/>
        <v>0.114</v>
      </c>
      <c r="K100" s="80" t="e">
        <f t="shared" si="114"/>
        <v>#DIV/0!</v>
      </c>
      <c r="L100" s="80" t="e">
        <f t="shared" si="115"/>
        <v>#DIV/0!</v>
      </c>
      <c r="M100" s="80" t="e">
        <f t="shared" si="116"/>
        <v>#DIV/0!</v>
      </c>
      <c r="N100" s="80">
        <f t="shared" si="117"/>
        <v>0.34150000000000003</v>
      </c>
      <c r="O100" s="80" t="e">
        <f t="shared" si="118"/>
        <v>#DIV/0!</v>
      </c>
      <c r="P100" s="80" t="e">
        <f t="shared" si="119"/>
        <v>#DIV/0!</v>
      </c>
      <c r="Q100" s="80" t="e">
        <f t="shared" si="120"/>
        <v>#DIV/0!</v>
      </c>
      <c r="R100" s="105">
        <f t="shared" ca="1" si="121"/>
        <v>2094</v>
      </c>
      <c r="S100" s="80">
        <f t="shared" si="53"/>
        <v>6.9463029639110024E-2</v>
      </c>
      <c r="T100" s="77">
        <v>0</v>
      </c>
      <c r="U100" s="182">
        <v>0</v>
      </c>
      <c r="X100" s="182"/>
      <c r="Z100" s="82"/>
      <c r="AA100" s="82">
        <f t="shared" si="122"/>
        <v>0</v>
      </c>
      <c r="AB100" s="82">
        <f t="shared" si="162"/>
        <v>0</v>
      </c>
      <c r="AC100" s="77">
        <f t="shared" si="123"/>
        <v>0</v>
      </c>
      <c r="AD100" s="108">
        <f t="shared" si="124"/>
        <v>0</v>
      </c>
      <c r="AE100" s="107">
        <f t="shared" si="125"/>
        <v>0</v>
      </c>
      <c r="AF100" s="107">
        <f t="shared" si="126"/>
        <v>0</v>
      </c>
      <c r="AG100" s="107">
        <f t="shared" si="127"/>
        <v>0</v>
      </c>
      <c r="AH100" s="109">
        <f t="shared" si="128"/>
        <v>0</v>
      </c>
      <c r="AI100" s="109">
        <f t="shared" si="129"/>
        <v>0</v>
      </c>
      <c r="AJ100" s="109">
        <f t="shared" si="130"/>
        <v>0</v>
      </c>
      <c r="AL100" s="82">
        <f t="shared" si="131"/>
        <v>0</v>
      </c>
      <c r="AM100" s="82" t="e">
        <f t="shared" si="132"/>
        <v>#DIV/0!</v>
      </c>
      <c r="AN100" s="77">
        <f t="shared" si="133"/>
        <v>0</v>
      </c>
      <c r="AO100" s="108">
        <f t="shared" si="134"/>
        <v>0</v>
      </c>
      <c r="AP100" s="107">
        <f t="shared" si="135"/>
        <v>0</v>
      </c>
      <c r="AQ100" s="107">
        <f t="shared" si="136"/>
        <v>0</v>
      </c>
      <c r="AR100" s="107">
        <f t="shared" si="137"/>
        <v>0</v>
      </c>
      <c r="AS100" s="109">
        <f t="shared" si="138"/>
        <v>0</v>
      </c>
      <c r="AT100" s="109">
        <f t="shared" si="139"/>
        <v>0</v>
      </c>
      <c r="AU100" s="109">
        <f t="shared" si="140"/>
        <v>0</v>
      </c>
      <c r="AW100" s="82">
        <f t="shared" si="141"/>
        <v>0</v>
      </c>
      <c r="AX100" s="82" t="e">
        <f t="shared" si="142"/>
        <v>#DIV/0!</v>
      </c>
      <c r="AY100" s="77">
        <f t="shared" si="143"/>
        <v>0</v>
      </c>
      <c r="AZ100" s="108">
        <f t="shared" si="144"/>
        <v>0</v>
      </c>
      <c r="BA100" s="107">
        <f t="shared" si="145"/>
        <v>0</v>
      </c>
      <c r="BB100" s="107">
        <f t="shared" si="146"/>
        <v>0</v>
      </c>
      <c r="BC100" s="107">
        <f t="shared" si="147"/>
        <v>0</v>
      </c>
      <c r="BD100" s="109">
        <f t="shared" si="148"/>
        <v>0</v>
      </c>
      <c r="BE100" s="109">
        <f t="shared" si="149"/>
        <v>0</v>
      </c>
      <c r="BF100" s="109">
        <f t="shared" si="150"/>
        <v>0</v>
      </c>
      <c r="BH100" s="82">
        <f t="shared" si="151"/>
        <v>0</v>
      </c>
      <c r="BI100" s="82" t="e">
        <f t="shared" si="152"/>
        <v>#DIV/0!</v>
      </c>
      <c r="BJ100" s="77">
        <f t="shared" si="153"/>
        <v>0</v>
      </c>
      <c r="BK100" s="108">
        <f t="shared" si="154"/>
        <v>0</v>
      </c>
      <c r="BL100" s="107">
        <f t="shared" si="155"/>
        <v>0</v>
      </c>
      <c r="BM100" s="107">
        <f t="shared" si="156"/>
        <v>0</v>
      </c>
      <c r="BN100" s="107">
        <f t="shared" si="157"/>
        <v>0</v>
      </c>
      <c r="BO100" s="109">
        <f t="shared" si="158"/>
        <v>0</v>
      </c>
      <c r="BP100" s="109">
        <f t="shared" si="159"/>
        <v>0</v>
      </c>
      <c r="BQ100" s="109">
        <f t="shared" si="160"/>
        <v>0</v>
      </c>
    </row>
    <row r="101" spans="1:69" x14ac:dyDescent="0.25">
      <c r="A101" s="101">
        <f t="shared" si="110"/>
        <v>38899</v>
      </c>
      <c r="B101" s="102">
        <f t="shared" si="47"/>
        <v>2.9760000000000004</v>
      </c>
      <c r="C101" s="102">
        <f t="shared" si="111"/>
        <v>5.0000000000000001E-3</v>
      </c>
      <c r="D101" s="80">
        <f t="shared" si="161"/>
        <v>0.22750000000000001</v>
      </c>
      <c r="E101" s="106">
        <f t="shared" si="112"/>
        <v>1</v>
      </c>
      <c r="F101" s="104">
        <f t="shared" si="49"/>
        <v>4.92</v>
      </c>
      <c r="G101" s="104">
        <f t="shared" si="50"/>
        <v>3.5</v>
      </c>
      <c r="H101" s="104">
        <f t="shared" si="51"/>
        <v>2.96</v>
      </c>
      <c r="I101" s="104">
        <f t="shared" si="52"/>
        <v>2.99</v>
      </c>
      <c r="J101" s="80">
        <f t="shared" si="113"/>
        <v>0.114</v>
      </c>
      <c r="K101" s="80" t="e">
        <f t="shared" si="114"/>
        <v>#DIV/0!</v>
      </c>
      <c r="L101" s="80" t="e">
        <f t="shared" si="115"/>
        <v>#DIV/0!</v>
      </c>
      <c r="M101" s="80" t="e">
        <f t="shared" si="116"/>
        <v>#DIV/0!</v>
      </c>
      <c r="N101" s="80">
        <f t="shared" si="117"/>
        <v>0.34150000000000003</v>
      </c>
      <c r="O101" s="80" t="e">
        <f t="shared" si="118"/>
        <v>#DIV/0!</v>
      </c>
      <c r="P101" s="80" t="e">
        <f t="shared" si="119"/>
        <v>#DIV/0!</v>
      </c>
      <c r="Q101" s="80" t="e">
        <f t="shared" si="120"/>
        <v>#DIV/0!</v>
      </c>
      <c r="R101" s="105">
        <f t="shared" ca="1" si="121"/>
        <v>2127</v>
      </c>
      <c r="S101" s="80">
        <f t="shared" si="53"/>
        <v>6.9478761614621021E-2</v>
      </c>
      <c r="T101" s="77">
        <v>0</v>
      </c>
      <c r="U101" s="182">
        <v>0</v>
      </c>
      <c r="X101" s="182"/>
      <c r="Z101" s="82"/>
      <c r="AA101" s="82">
        <f t="shared" si="122"/>
        <v>0</v>
      </c>
      <c r="AB101" s="82">
        <f t="shared" si="162"/>
        <v>0</v>
      </c>
      <c r="AC101" s="77">
        <f t="shared" si="123"/>
        <v>0</v>
      </c>
      <c r="AD101" s="108">
        <f t="shared" si="124"/>
        <v>0</v>
      </c>
      <c r="AE101" s="107">
        <f t="shared" si="125"/>
        <v>0</v>
      </c>
      <c r="AF101" s="107">
        <f t="shared" si="126"/>
        <v>0</v>
      </c>
      <c r="AG101" s="107">
        <f t="shared" si="127"/>
        <v>0</v>
      </c>
      <c r="AH101" s="109">
        <f t="shared" si="128"/>
        <v>0</v>
      </c>
      <c r="AI101" s="109">
        <f t="shared" si="129"/>
        <v>0</v>
      </c>
      <c r="AJ101" s="109">
        <f t="shared" si="130"/>
        <v>0</v>
      </c>
      <c r="AL101" s="82">
        <f t="shared" si="131"/>
        <v>0</v>
      </c>
      <c r="AM101" s="82" t="e">
        <f t="shared" si="132"/>
        <v>#DIV/0!</v>
      </c>
      <c r="AN101" s="77">
        <f t="shared" si="133"/>
        <v>0</v>
      </c>
      <c r="AO101" s="108">
        <f t="shared" si="134"/>
        <v>0</v>
      </c>
      <c r="AP101" s="107">
        <f t="shared" si="135"/>
        <v>0</v>
      </c>
      <c r="AQ101" s="107">
        <f t="shared" si="136"/>
        <v>0</v>
      </c>
      <c r="AR101" s="107">
        <f t="shared" si="137"/>
        <v>0</v>
      </c>
      <c r="AS101" s="109">
        <f t="shared" si="138"/>
        <v>0</v>
      </c>
      <c r="AT101" s="109">
        <f t="shared" si="139"/>
        <v>0</v>
      </c>
      <c r="AU101" s="109">
        <f t="shared" si="140"/>
        <v>0</v>
      </c>
      <c r="AW101" s="82">
        <f t="shared" si="141"/>
        <v>0</v>
      </c>
      <c r="AX101" s="82" t="e">
        <f t="shared" si="142"/>
        <v>#DIV/0!</v>
      </c>
      <c r="AY101" s="77">
        <f t="shared" si="143"/>
        <v>0</v>
      </c>
      <c r="AZ101" s="108">
        <f t="shared" si="144"/>
        <v>0</v>
      </c>
      <c r="BA101" s="107">
        <f t="shared" si="145"/>
        <v>0</v>
      </c>
      <c r="BB101" s="107">
        <f t="shared" si="146"/>
        <v>0</v>
      </c>
      <c r="BC101" s="107">
        <f t="shared" si="147"/>
        <v>0</v>
      </c>
      <c r="BD101" s="109">
        <f t="shared" si="148"/>
        <v>0</v>
      </c>
      <c r="BE101" s="109">
        <f t="shared" si="149"/>
        <v>0</v>
      </c>
      <c r="BF101" s="109">
        <f t="shared" si="150"/>
        <v>0</v>
      </c>
      <c r="BH101" s="82">
        <f t="shared" si="151"/>
        <v>0</v>
      </c>
      <c r="BI101" s="82" t="e">
        <f t="shared" si="152"/>
        <v>#DIV/0!</v>
      </c>
      <c r="BJ101" s="77">
        <f t="shared" si="153"/>
        <v>0</v>
      </c>
      <c r="BK101" s="108">
        <f t="shared" si="154"/>
        <v>0</v>
      </c>
      <c r="BL101" s="107">
        <f t="shared" si="155"/>
        <v>0</v>
      </c>
      <c r="BM101" s="107">
        <f t="shared" si="156"/>
        <v>0</v>
      </c>
      <c r="BN101" s="107">
        <f t="shared" si="157"/>
        <v>0</v>
      </c>
      <c r="BO101" s="109">
        <f t="shared" si="158"/>
        <v>0</v>
      </c>
      <c r="BP101" s="109">
        <f t="shared" si="159"/>
        <v>0</v>
      </c>
      <c r="BQ101" s="109">
        <f t="shared" si="160"/>
        <v>0</v>
      </c>
    </row>
    <row r="102" spans="1:69" x14ac:dyDescent="0.25">
      <c r="A102" s="101">
        <f t="shared" si="110"/>
        <v>38930</v>
      </c>
      <c r="B102" s="102">
        <f t="shared" si="47"/>
        <v>2.9969999999999999</v>
      </c>
      <c r="C102" s="102">
        <f t="shared" si="111"/>
        <v>5.0000000000000001E-3</v>
      </c>
      <c r="D102" s="80">
        <f t="shared" si="161"/>
        <v>0.22750000000000001</v>
      </c>
      <c r="E102" s="106">
        <f t="shared" si="112"/>
        <v>1</v>
      </c>
      <c r="F102" s="104">
        <f t="shared" si="49"/>
        <v>4.92</v>
      </c>
      <c r="G102" s="104">
        <f t="shared" si="50"/>
        <v>3.5</v>
      </c>
      <c r="H102" s="104">
        <f t="shared" si="51"/>
        <v>2.96</v>
      </c>
      <c r="I102" s="104">
        <f t="shared" si="52"/>
        <v>2.99</v>
      </c>
      <c r="J102" s="80">
        <f t="shared" si="113"/>
        <v>0.114</v>
      </c>
      <c r="K102" s="80" t="e">
        <f t="shared" si="114"/>
        <v>#DIV/0!</v>
      </c>
      <c r="L102" s="80" t="e">
        <f t="shared" si="115"/>
        <v>#DIV/0!</v>
      </c>
      <c r="M102" s="80" t="e">
        <f t="shared" si="116"/>
        <v>#DIV/0!</v>
      </c>
      <c r="N102" s="80">
        <f t="shared" si="117"/>
        <v>0.34150000000000003</v>
      </c>
      <c r="O102" s="80" t="e">
        <f t="shared" si="118"/>
        <v>#DIV/0!</v>
      </c>
      <c r="P102" s="80" t="e">
        <f t="shared" si="119"/>
        <v>#DIV/0!</v>
      </c>
      <c r="Q102" s="80" t="e">
        <f t="shared" si="120"/>
        <v>#DIV/0!</v>
      </c>
      <c r="R102" s="105">
        <f t="shared" ca="1" si="121"/>
        <v>2156</v>
      </c>
      <c r="S102" s="80">
        <f t="shared" si="53"/>
        <v>6.9495017989401012E-2</v>
      </c>
      <c r="T102" s="77">
        <v>0</v>
      </c>
      <c r="U102" s="182">
        <v>0</v>
      </c>
      <c r="X102" s="182"/>
      <c r="Z102" s="82"/>
      <c r="AA102" s="82">
        <f t="shared" si="122"/>
        <v>0</v>
      </c>
      <c r="AB102" s="82">
        <f t="shared" si="162"/>
        <v>0</v>
      </c>
      <c r="AC102" s="77">
        <f t="shared" si="123"/>
        <v>0</v>
      </c>
      <c r="AD102" s="108">
        <f t="shared" si="124"/>
        <v>0</v>
      </c>
      <c r="AE102" s="107">
        <f t="shared" si="125"/>
        <v>0</v>
      </c>
      <c r="AF102" s="107">
        <f t="shared" si="126"/>
        <v>0</v>
      </c>
      <c r="AG102" s="107">
        <f t="shared" si="127"/>
        <v>0</v>
      </c>
      <c r="AH102" s="109">
        <f t="shared" si="128"/>
        <v>0</v>
      </c>
      <c r="AI102" s="109">
        <f t="shared" si="129"/>
        <v>0</v>
      </c>
      <c r="AJ102" s="109">
        <f t="shared" si="130"/>
        <v>0</v>
      </c>
      <c r="AL102" s="82">
        <f t="shared" si="131"/>
        <v>0</v>
      </c>
      <c r="AM102" s="82" t="e">
        <f t="shared" si="132"/>
        <v>#DIV/0!</v>
      </c>
      <c r="AN102" s="77">
        <f t="shared" si="133"/>
        <v>0</v>
      </c>
      <c r="AO102" s="108">
        <f t="shared" si="134"/>
        <v>0</v>
      </c>
      <c r="AP102" s="107">
        <f t="shared" si="135"/>
        <v>0</v>
      </c>
      <c r="AQ102" s="107">
        <f t="shared" si="136"/>
        <v>0</v>
      </c>
      <c r="AR102" s="107">
        <f t="shared" si="137"/>
        <v>0</v>
      </c>
      <c r="AS102" s="109">
        <f t="shared" si="138"/>
        <v>0</v>
      </c>
      <c r="AT102" s="109">
        <f t="shared" si="139"/>
        <v>0</v>
      </c>
      <c r="AU102" s="109">
        <f t="shared" si="140"/>
        <v>0</v>
      </c>
      <c r="AW102" s="82">
        <f t="shared" si="141"/>
        <v>0</v>
      </c>
      <c r="AX102" s="82" t="e">
        <f t="shared" si="142"/>
        <v>#DIV/0!</v>
      </c>
      <c r="AY102" s="77">
        <f t="shared" si="143"/>
        <v>0</v>
      </c>
      <c r="AZ102" s="108">
        <f t="shared" si="144"/>
        <v>0</v>
      </c>
      <c r="BA102" s="107">
        <f t="shared" si="145"/>
        <v>0</v>
      </c>
      <c r="BB102" s="107">
        <f t="shared" si="146"/>
        <v>0</v>
      </c>
      <c r="BC102" s="107">
        <f t="shared" si="147"/>
        <v>0</v>
      </c>
      <c r="BD102" s="109">
        <f t="shared" si="148"/>
        <v>0</v>
      </c>
      <c r="BE102" s="109">
        <f t="shared" si="149"/>
        <v>0</v>
      </c>
      <c r="BF102" s="109">
        <f t="shared" si="150"/>
        <v>0</v>
      </c>
      <c r="BH102" s="82">
        <f t="shared" si="151"/>
        <v>0</v>
      </c>
      <c r="BI102" s="82" t="e">
        <f t="shared" si="152"/>
        <v>#DIV/0!</v>
      </c>
      <c r="BJ102" s="77">
        <f t="shared" si="153"/>
        <v>0</v>
      </c>
      <c r="BK102" s="108">
        <f t="shared" si="154"/>
        <v>0</v>
      </c>
      <c r="BL102" s="107">
        <f t="shared" si="155"/>
        <v>0</v>
      </c>
      <c r="BM102" s="107">
        <f t="shared" si="156"/>
        <v>0</v>
      </c>
      <c r="BN102" s="107">
        <f t="shared" si="157"/>
        <v>0</v>
      </c>
      <c r="BO102" s="109">
        <f t="shared" si="158"/>
        <v>0</v>
      </c>
      <c r="BP102" s="109">
        <f t="shared" si="159"/>
        <v>0</v>
      </c>
      <c r="BQ102" s="109">
        <f t="shared" si="160"/>
        <v>0</v>
      </c>
    </row>
    <row r="103" spans="1:69" x14ac:dyDescent="0.25">
      <c r="A103" s="101">
        <f t="shared" si="110"/>
        <v>38961</v>
      </c>
      <c r="B103" s="102">
        <f t="shared" si="47"/>
        <v>2.9840000000000004</v>
      </c>
      <c r="C103" s="102">
        <f t="shared" si="111"/>
        <v>5.0000000000000001E-3</v>
      </c>
      <c r="D103" s="80">
        <f t="shared" si="161"/>
        <v>0.22750000000000001</v>
      </c>
      <c r="E103" s="106">
        <f t="shared" si="112"/>
        <v>1</v>
      </c>
      <c r="F103" s="104">
        <f t="shared" si="49"/>
        <v>4.92</v>
      </c>
      <c r="G103" s="104">
        <f t="shared" si="50"/>
        <v>3.5</v>
      </c>
      <c r="H103" s="104">
        <f t="shared" si="51"/>
        <v>2.96</v>
      </c>
      <c r="I103" s="104">
        <f t="shared" si="52"/>
        <v>2.99</v>
      </c>
      <c r="J103" s="80">
        <f t="shared" si="113"/>
        <v>0.114</v>
      </c>
      <c r="K103" s="80" t="e">
        <f t="shared" si="114"/>
        <v>#DIV/0!</v>
      </c>
      <c r="L103" s="80" t="e">
        <f t="shared" si="115"/>
        <v>#DIV/0!</v>
      </c>
      <c r="M103" s="80" t="e">
        <f t="shared" si="116"/>
        <v>#DIV/0!</v>
      </c>
      <c r="N103" s="80">
        <f t="shared" si="117"/>
        <v>0.34150000000000003</v>
      </c>
      <c r="O103" s="80" t="e">
        <f t="shared" si="118"/>
        <v>#DIV/0!</v>
      </c>
      <c r="P103" s="80" t="e">
        <f t="shared" si="119"/>
        <v>#DIV/0!</v>
      </c>
      <c r="Q103" s="80" t="e">
        <f t="shared" si="120"/>
        <v>#DIV/0!</v>
      </c>
      <c r="R103" s="105">
        <f t="shared" ca="1" si="121"/>
        <v>2189</v>
      </c>
      <c r="S103" s="80">
        <f t="shared" si="53"/>
        <v>6.951127436426903E-2</v>
      </c>
      <c r="T103" s="77">
        <v>0</v>
      </c>
      <c r="U103" s="182">
        <v>0</v>
      </c>
      <c r="X103" s="182"/>
      <c r="Z103" s="82"/>
      <c r="AA103" s="82">
        <f t="shared" si="122"/>
        <v>0</v>
      </c>
      <c r="AB103" s="82">
        <f t="shared" si="162"/>
        <v>0</v>
      </c>
      <c r="AC103" s="77">
        <f t="shared" si="123"/>
        <v>0</v>
      </c>
      <c r="AD103" s="108">
        <f t="shared" si="124"/>
        <v>0</v>
      </c>
      <c r="AE103" s="107">
        <f t="shared" si="125"/>
        <v>0</v>
      </c>
      <c r="AF103" s="107">
        <f t="shared" si="126"/>
        <v>0</v>
      </c>
      <c r="AG103" s="107">
        <f t="shared" si="127"/>
        <v>0</v>
      </c>
      <c r="AH103" s="109">
        <f t="shared" si="128"/>
        <v>0</v>
      </c>
      <c r="AI103" s="109">
        <f t="shared" si="129"/>
        <v>0</v>
      </c>
      <c r="AJ103" s="109">
        <f t="shared" si="130"/>
        <v>0</v>
      </c>
      <c r="AL103" s="82">
        <f t="shared" si="131"/>
        <v>0</v>
      </c>
      <c r="AM103" s="82" t="e">
        <f t="shared" si="132"/>
        <v>#DIV/0!</v>
      </c>
      <c r="AN103" s="77">
        <f t="shared" si="133"/>
        <v>0</v>
      </c>
      <c r="AO103" s="108">
        <f t="shared" si="134"/>
        <v>0</v>
      </c>
      <c r="AP103" s="107">
        <f t="shared" si="135"/>
        <v>0</v>
      </c>
      <c r="AQ103" s="107">
        <f t="shared" si="136"/>
        <v>0</v>
      </c>
      <c r="AR103" s="107">
        <f t="shared" si="137"/>
        <v>0</v>
      </c>
      <c r="AS103" s="109">
        <f t="shared" si="138"/>
        <v>0</v>
      </c>
      <c r="AT103" s="109">
        <f t="shared" si="139"/>
        <v>0</v>
      </c>
      <c r="AU103" s="109">
        <f t="shared" si="140"/>
        <v>0</v>
      </c>
      <c r="AW103" s="82">
        <f t="shared" si="141"/>
        <v>0</v>
      </c>
      <c r="AX103" s="82" t="e">
        <f t="shared" si="142"/>
        <v>#DIV/0!</v>
      </c>
      <c r="AY103" s="77">
        <f t="shared" si="143"/>
        <v>0</v>
      </c>
      <c r="AZ103" s="108">
        <f t="shared" si="144"/>
        <v>0</v>
      </c>
      <c r="BA103" s="107">
        <f t="shared" si="145"/>
        <v>0</v>
      </c>
      <c r="BB103" s="107">
        <f t="shared" si="146"/>
        <v>0</v>
      </c>
      <c r="BC103" s="107">
        <f t="shared" si="147"/>
        <v>0</v>
      </c>
      <c r="BD103" s="109">
        <f t="shared" si="148"/>
        <v>0</v>
      </c>
      <c r="BE103" s="109">
        <f t="shared" si="149"/>
        <v>0</v>
      </c>
      <c r="BF103" s="109">
        <f t="shared" si="150"/>
        <v>0</v>
      </c>
      <c r="BH103" s="82">
        <f t="shared" si="151"/>
        <v>0</v>
      </c>
      <c r="BI103" s="82" t="e">
        <f t="shared" si="152"/>
        <v>#DIV/0!</v>
      </c>
      <c r="BJ103" s="77">
        <f t="shared" si="153"/>
        <v>0</v>
      </c>
      <c r="BK103" s="108">
        <f t="shared" si="154"/>
        <v>0</v>
      </c>
      <c r="BL103" s="107">
        <f t="shared" si="155"/>
        <v>0</v>
      </c>
      <c r="BM103" s="107">
        <f t="shared" si="156"/>
        <v>0</v>
      </c>
      <c r="BN103" s="107">
        <f t="shared" si="157"/>
        <v>0</v>
      </c>
      <c r="BO103" s="109">
        <f t="shared" si="158"/>
        <v>0</v>
      </c>
      <c r="BP103" s="109">
        <f t="shared" si="159"/>
        <v>0</v>
      </c>
      <c r="BQ103" s="109">
        <f t="shared" si="160"/>
        <v>0</v>
      </c>
    </row>
    <row r="104" spans="1:69" x14ac:dyDescent="0.25">
      <c r="A104" s="101">
        <f t="shared" si="110"/>
        <v>38991</v>
      </c>
      <c r="B104" s="102">
        <f t="shared" si="47"/>
        <v>2.9860000000000002</v>
      </c>
      <c r="C104" s="102">
        <f t="shared" si="111"/>
        <v>5.0000000000000001E-3</v>
      </c>
      <c r="D104" s="80">
        <f t="shared" si="161"/>
        <v>0.22750000000000001</v>
      </c>
      <c r="E104" s="106">
        <f t="shared" si="112"/>
        <v>1</v>
      </c>
      <c r="F104" s="104">
        <f t="shared" si="49"/>
        <v>4.92</v>
      </c>
      <c r="G104" s="104">
        <f t="shared" si="50"/>
        <v>3.5</v>
      </c>
      <c r="H104" s="104">
        <f t="shared" si="51"/>
        <v>2.96</v>
      </c>
      <c r="I104" s="104">
        <f t="shared" si="52"/>
        <v>2.99</v>
      </c>
      <c r="J104" s="80">
        <f t="shared" si="113"/>
        <v>0.114</v>
      </c>
      <c r="K104" s="80" t="e">
        <f t="shared" si="114"/>
        <v>#DIV/0!</v>
      </c>
      <c r="L104" s="80" t="e">
        <f t="shared" si="115"/>
        <v>#DIV/0!</v>
      </c>
      <c r="M104" s="80" t="e">
        <f t="shared" si="116"/>
        <v>#DIV/0!</v>
      </c>
      <c r="N104" s="80">
        <f t="shared" si="117"/>
        <v>0.34150000000000003</v>
      </c>
      <c r="O104" s="80" t="e">
        <f t="shared" si="118"/>
        <v>#DIV/0!</v>
      </c>
      <c r="P104" s="80" t="e">
        <f t="shared" si="119"/>
        <v>#DIV/0!</v>
      </c>
      <c r="Q104" s="80" t="e">
        <f t="shared" si="120"/>
        <v>#DIV/0!</v>
      </c>
      <c r="R104" s="105">
        <f t="shared" ca="1" si="121"/>
        <v>2218</v>
      </c>
      <c r="S104" s="80">
        <f t="shared" si="53"/>
        <v>6.9527006340030006E-2</v>
      </c>
      <c r="T104" s="77">
        <v>0</v>
      </c>
      <c r="U104" s="182">
        <v>0</v>
      </c>
      <c r="X104" s="182"/>
      <c r="Z104" s="82"/>
      <c r="AA104" s="82">
        <f t="shared" si="122"/>
        <v>0</v>
      </c>
      <c r="AB104" s="82">
        <f t="shared" si="162"/>
        <v>0</v>
      </c>
      <c r="AC104" s="77">
        <f t="shared" si="123"/>
        <v>0</v>
      </c>
      <c r="AD104" s="108">
        <f t="shared" si="124"/>
        <v>0</v>
      </c>
      <c r="AE104" s="107">
        <f t="shared" si="125"/>
        <v>0</v>
      </c>
      <c r="AF104" s="107">
        <f t="shared" si="126"/>
        <v>0</v>
      </c>
      <c r="AG104" s="107">
        <f t="shared" si="127"/>
        <v>0</v>
      </c>
      <c r="AH104" s="109">
        <f t="shared" si="128"/>
        <v>0</v>
      </c>
      <c r="AI104" s="109">
        <f t="shared" si="129"/>
        <v>0</v>
      </c>
      <c r="AJ104" s="109">
        <f t="shared" si="130"/>
        <v>0</v>
      </c>
      <c r="AL104" s="82">
        <f t="shared" si="131"/>
        <v>0</v>
      </c>
      <c r="AM104" s="82" t="e">
        <f t="shared" si="132"/>
        <v>#DIV/0!</v>
      </c>
      <c r="AN104" s="77">
        <f t="shared" si="133"/>
        <v>0</v>
      </c>
      <c r="AO104" s="108">
        <f t="shared" si="134"/>
        <v>0</v>
      </c>
      <c r="AP104" s="107">
        <f t="shared" si="135"/>
        <v>0</v>
      </c>
      <c r="AQ104" s="107">
        <f t="shared" si="136"/>
        <v>0</v>
      </c>
      <c r="AR104" s="107">
        <f t="shared" si="137"/>
        <v>0</v>
      </c>
      <c r="AS104" s="109">
        <f t="shared" si="138"/>
        <v>0</v>
      </c>
      <c r="AT104" s="109">
        <f t="shared" si="139"/>
        <v>0</v>
      </c>
      <c r="AU104" s="109">
        <f t="shared" si="140"/>
        <v>0</v>
      </c>
      <c r="AW104" s="82">
        <f t="shared" si="141"/>
        <v>0</v>
      </c>
      <c r="AX104" s="82" t="e">
        <f t="shared" si="142"/>
        <v>#DIV/0!</v>
      </c>
      <c r="AY104" s="77">
        <f t="shared" si="143"/>
        <v>0</v>
      </c>
      <c r="AZ104" s="108">
        <f t="shared" si="144"/>
        <v>0</v>
      </c>
      <c r="BA104" s="107">
        <f t="shared" si="145"/>
        <v>0</v>
      </c>
      <c r="BB104" s="107">
        <f t="shared" si="146"/>
        <v>0</v>
      </c>
      <c r="BC104" s="107">
        <f t="shared" si="147"/>
        <v>0</v>
      </c>
      <c r="BD104" s="109">
        <f t="shared" si="148"/>
        <v>0</v>
      </c>
      <c r="BE104" s="109">
        <f t="shared" si="149"/>
        <v>0</v>
      </c>
      <c r="BF104" s="109">
        <f t="shared" si="150"/>
        <v>0</v>
      </c>
      <c r="BH104" s="82">
        <f t="shared" si="151"/>
        <v>0</v>
      </c>
      <c r="BI104" s="82" t="e">
        <f t="shared" si="152"/>
        <v>#DIV/0!</v>
      </c>
      <c r="BJ104" s="77">
        <f t="shared" si="153"/>
        <v>0</v>
      </c>
      <c r="BK104" s="108">
        <f t="shared" si="154"/>
        <v>0</v>
      </c>
      <c r="BL104" s="107">
        <f t="shared" si="155"/>
        <v>0</v>
      </c>
      <c r="BM104" s="107">
        <f t="shared" si="156"/>
        <v>0</v>
      </c>
      <c r="BN104" s="107">
        <f t="shared" si="157"/>
        <v>0</v>
      </c>
      <c r="BO104" s="109">
        <f t="shared" si="158"/>
        <v>0</v>
      </c>
      <c r="BP104" s="109">
        <f t="shared" si="159"/>
        <v>0</v>
      </c>
      <c r="BQ104" s="109">
        <f t="shared" si="160"/>
        <v>0</v>
      </c>
    </row>
    <row r="105" spans="1:69" x14ac:dyDescent="0.25">
      <c r="A105" s="101">
        <f t="shared" si="110"/>
        <v>39022</v>
      </c>
      <c r="B105" s="102">
        <f t="shared" si="47"/>
        <v>3.0630000000000002</v>
      </c>
      <c r="C105" s="102">
        <f t="shared" si="111"/>
        <v>5.0000000000000001E-3</v>
      </c>
      <c r="D105" s="80">
        <f t="shared" si="161"/>
        <v>0.23</v>
      </c>
      <c r="E105" s="106">
        <f t="shared" si="112"/>
        <v>1</v>
      </c>
      <c r="F105" s="104">
        <f t="shared" si="49"/>
        <v>4.92</v>
      </c>
      <c r="G105" s="104">
        <f t="shared" si="50"/>
        <v>3.5</v>
      </c>
      <c r="H105" s="104">
        <f t="shared" si="51"/>
        <v>2.96</v>
      </c>
      <c r="I105" s="104">
        <f t="shared" si="52"/>
        <v>2.99</v>
      </c>
      <c r="J105" s="80">
        <f t="shared" si="113"/>
        <v>0.114</v>
      </c>
      <c r="K105" s="80" t="e">
        <f t="shared" si="114"/>
        <v>#DIV/0!</v>
      </c>
      <c r="L105" s="80" t="e">
        <f t="shared" si="115"/>
        <v>#DIV/0!</v>
      </c>
      <c r="M105" s="80" t="e">
        <f t="shared" si="116"/>
        <v>#DIV/0!</v>
      </c>
      <c r="N105" s="80">
        <f t="shared" si="117"/>
        <v>0.34400000000000003</v>
      </c>
      <c r="O105" s="80" t="e">
        <f t="shared" si="118"/>
        <v>#DIV/0!</v>
      </c>
      <c r="P105" s="80" t="e">
        <f t="shared" si="119"/>
        <v>#DIV/0!</v>
      </c>
      <c r="Q105" s="80" t="e">
        <f t="shared" si="120"/>
        <v>#DIV/0!</v>
      </c>
      <c r="R105" s="105">
        <f t="shared" ca="1" si="121"/>
        <v>2248</v>
      </c>
      <c r="S105" s="80">
        <f t="shared" si="53"/>
        <v>6.9543262715070012E-2</v>
      </c>
      <c r="T105" s="77">
        <v>0</v>
      </c>
      <c r="U105" s="182">
        <v>0</v>
      </c>
      <c r="X105" s="182"/>
      <c r="Z105" s="82"/>
      <c r="AA105" s="82">
        <f t="shared" si="122"/>
        <v>0</v>
      </c>
      <c r="AB105" s="82">
        <f t="shared" si="162"/>
        <v>0</v>
      </c>
      <c r="AC105" s="77">
        <f t="shared" si="123"/>
        <v>0</v>
      </c>
      <c r="AD105" s="108">
        <f t="shared" si="124"/>
        <v>0</v>
      </c>
      <c r="AE105" s="107">
        <f t="shared" si="125"/>
        <v>0</v>
      </c>
      <c r="AF105" s="107">
        <f t="shared" si="126"/>
        <v>0</v>
      </c>
      <c r="AG105" s="107">
        <f t="shared" si="127"/>
        <v>0</v>
      </c>
      <c r="AH105" s="109">
        <f t="shared" si="128"/>
        <v>0</v>
      </c>
      <c r="AI105" s="109">
        <f t="shared" si="129"/>
        <v>0</v>
      </c>
      <c r="AJ105" s="109">
        <f t="shared" si="130"/>
        <v>0</v>
      </c>
      <c r="AL105" s="82">
        <f t="shared" si="131"/>
        <v>0</v>
      </c>
      <c r="AM105" s="82" t="e">
        <f t="shared" si="132"/>
        <v>#DIV/0!</v>
      </c>
      <c r="AN105" s="77">
        <f t="shared" si="133"/>
        <v>0</v>
      </c>
      <c r="AO105" s="108">
        <f t="shared" si="134"/>
        <v>0</v>
      </c>
      <c r="AP105" s="107">
        <f t="shared" si="135"/>
        <v>0</v>
      </c>
      <c r="AQ105" s="107">
        <f t="shared" si="136"/>
        <v>0</v>
      </c>
      <c r="AR105" s="107">
        <f t="shared" si="137"/>
        <v>0</v>
      </c>
      <c r="AS105" s="109">
        <f t="shared" si="138"/>
        <v>0</v>
      </c>
      <c r="AT105" s="109">
        <f t="shared" si="139"/>
        <v>0</v>
      </c>
      <c r="AU105" s="109">
        <f t="shared" si="140"/>
        <v>0</v>
      </c>
      <c r="AW105" s="82">
        <f t="shared" si="141"/>
        <v>0</v>
      </c>
      <c r="AX105" s="82" t="e">
        <f t="shared" si="142"/>
        <v>#DIV/0!</v>
      </c>
      <c r="AY105" s="77">
        <f t="shared" si="143"/>
        <v>0</v>
      </c>
      <c r="AZ105" s="108">
        <f t="shared" si="144"/>
        <v>0</v>
      </c>
      <c r="BA105" s="107">
        <f t="shared" si="145"/>
        <v>0</v>
      </c>
      <c r="BB105" s="107">
        <f t="shared" si="146"/>
        <v>0</v>
      </c>
      <c r="BC105" s="107">
        <f t="shared" si="147"/>
        <v>0</v>
      </c>
      <c r="BD105" s="109">
        <f t="shared" si="148"/>
        <v>0</v>
      </c>
      <c r="BE105" s="109">
        <f t="shared" si="149"/>
        <v>0</v>
      </c>
      <c r="BF105" s="109">
        <f t="shared" si="150"/>
        <v>0</v>
      </c>
      <c r="BH105" s="82">
        <f t="shared" si="151"/>
        <v>0</v>
      </c>
      <c r="BI105" s="82" t="e">
        <f t="shared" si="152"/>
        <v>#DIV/0!</v>
      </c>
      <c r="BJ105" s="77">
        <f t="shared" si="153"/>
        <v>0</v>
      </c>
      <c r="BK105" s="108">
        <f t="shared" si="154"/>
        <v>0</v>
      </c>
      <c r="BL105" s="107">
        <f t="shared" si="155"/>
        <v>0</v>
      </c>
      <c r="BM105" s="107">
        <f t="shared" si="156"/>
        <v>0</v>
      </c>
      <c r="BN105" s="107">
        <f t="shared" si="157"/>
        <v>0</v>
      </c>
      <c r="BO105" s="109">
        <f t="shared" si="158"/>
        <v>0</v>
      </c>
      <c r="BP105" s="109">
        <f t="shared" si="159"/>
        <v>0</v>
      </c>
      <c r="BQ105" s="109">
        <f t="shared" si="160"/>
        <v>0</v>
      </c>
    </row>
    <row r="106" spans="1:69" x14ac:dyDescent="0.25">
      <c r="A106" s="101">
        <f t="shared" si="110"/>
        <v>39052</v>
      </c>
      <c r="B106" s="102">
        <f t="shared" si="47"/>
        <v>3.1360000000000001</v>
      </c>
      <c r="C106" s="102">
        <f t="shared" si="111"/>
        <v>5.0000000000000001E-3</v>
      </c>
      <c r="D106" s="80">
        <f t="shared" si="161"/>
        <v>0.24</v>
      </c>
      <c r="E106" s="106">
        <f t="shared" si="112"/>
        <v>1</v>
      </c>
      <c r="F106" s="104">
        <f t="shared" si="49"/>
        <v>4.92</v>
      </c>
      <c r="G106" s="104">
        <f t="shared" si="50"/>
        <v>3.5</v>
      </c>
      <c r="H106" s="104">
        <f t="shared" si="51"/>
        <v>2.96</v>
      </c>
      <c r="I106" s="104">
        <f t="shared" si="52"/>
        <v>2.99</v>
      </c>
      <c r="J106" s="80">
        <f t="shared" si="113"/>
        <v>0.114</v>
      </c>
      <c r="K106" s="80" t="e">
        <f t="shared" si="114"/>
        <v>#DIV/0!</v>
      </c>
      <c r="L106" s="80" t="e">
        <f t="shared" si="115"/>
        <v>#DIV/0!</v>
      </c>
      <c r="M106" s="80" t="e">
        <f t="shared" si="116"/>
        <v>#DIV/0!</v>
      </c>
      <c r="N106" s="80">
        <f t="shared" si="117"/>
        <v>0.35399999999999998</v>
      </c>
      <c r="O106" s="80" t="e">
        <f t="shared" si="118"/>
        <v>#DIV/0!</v>
      </c>
      <c r="P106" s="80" t="e">
        <f t="shared" si="119"/>
        <v>#DIV/0!</v>
      </c>
      <c r="Q106" s="80" t="e">
        <f t="shared" si="120"/>
        <v>#DIV/0!</v>
      </c>
      <c r="R106" s="105">
        <f t="shared" ca="1" si="121"/>
        <v>2280</v>
      </c>
      <c r="S106" s="80">
        <f t="shared" si="53"/>
        <v>6.9558994691000006E-2</v>
      </c>
      <c r="T106" s="77">
        <v>0</v>
      </c>
      <c r="U106" s="182">
        <v>0</v>
      </c>
      <c r="X106" s="182"/>
      <c r="Z106" s="82"/>
      <c r="AA106" s="82">
        <f t="shared" si="122"/>
        <v>0</v>
      </c>
      <c r="AB106" s="82">
        <f t="shared" si="162"/>
        <v>0</v>
      </c>
      <c r="AC106" s="77">
        <f t="shared" si="123"/>
        <v>0</v>
      </c>
      <c r="AD106" s="108">
        <f t="shared" si="124"/>
        <v>0</v>
      </c>
      <c r="AE106" s="107">
        <f t="shared" si="125"/>
        <v>0</v>
      </c>
      <c r="AF106" s="107">
        <f t="shared" si="126"/>
        <v>0</v>
      </c>
      <c r="AG106" s="107">
        <f t="shared" si="127"/>
        <v>0</v>
      </c>
      <c r="AH106" s="109">
        <f t="shared" si="128"/>
        <v>0</v>
      </c>
      <c r="AI106" s="109">
        <f t="shared" si="129"/>
        <v>0</v>
      </c>
      <c r="AJ106" s="109">
        <f t="shared" si="130"/>
        <v>0</v>
      </c>
      <c r="AL106" s="82">
        <f t="shared" si="131"/>
        <v>0</v>
      </c>
      <c r="AM106" s="82" t="e">
        <f t="shared" si="132"/>
        <v>#DIV/0!</v>
      </c>
      <c r="AN106" s="77">
        <f t="shared" si="133"/>
        <v>0</v>
      </c>
      <c r="AO106" s="108">
        <f t="shared" si="134"/>
        <v>0</v>
      </c>
      <c r="AP106" s="107">
        <f t="shared" si="135"/>
        <v>0</v>
      </c>
      <c r="AQ106" s="107">
        <f t="shared" si="136"/>
        <v>0</v>
      </c>
      <c r="AR106" s="107">
        <f t="shared" si="137"/>
        <v>0</v>
      </c>
      <c r="AS106" s="109">
        <f t="shared" si="138"/>
        <v>0</v>
      </c>
      <c r="AT106" s="109">
        <f t="shared" si="139"/>
        <v>0</v>
      </c>
      <c r="AU106" s="109">
        <f t="shared" si="140"/>
        <v>0</v>
      </c>
      <c r="AW106" s="82">
        <f t="shared" si="141"/>
        <v>0</v>
      </c>
      <c r="AX106" s="82" t="e">
        <f t="shared" si="142"/>
        <v>#DIV/0!</v>
      </c>
      <c r="AY106" s="77">
        <f t="shared" si="143"/>
        <v>0</v>
      </c>
      <c r="AZ106" s="108">
        <f t="shared" si="144"/>
        <v>0</v>
      </c>
      <c r="BA106" s="107">
        <f t="shared" si="145"/>
        <v>0</v>
      </c>
      <c r="BB106" s="107">
        <f t="shared" si="146"/>
        <v>0</v>
      </c>
      <c r="BC106" s="107">
        <f t="shared" si="147"/>
        <v>0</v>
      </c>
      <c r="BD106" s="109">
        <f t="shared" si="148"/>
        <v>0</v>
      </c>
      <c r="BE106" s="109">
        <f t="shared" si="149"/>
        <v>0</v>
      </c>
      <c r="BF106" s="109">
        <f t="shared" si="150"/>
        <v>0</v>
      </c>
      <c r="BH106" s="82">
        <f t="shared" si="151"/>
        <v>0</v>
      </c>
      <c r="BI106" s="82" t="e">
        <f t="shared" si="152"/>
        <v>#DIV/0!</v>
      </c>
      <c r="BJ106" s="77">
        <f t="shared" si="153"/>
        <v>0</v>
      </c>
      <c r="BK106" s="108">
        <f t="shared" si="154"/>
        <v>0</v>
      </c>
      <c r="BL106" s="107">
        <f t="shared" si="155"/>
        <v>0</v>
      </c>
      <c r="BM106" s="107">
        <f t="shared" si="156"/>
        <v>0</v>
      </c>
      <c r="BN106" s="107">
        <f t="shared" si="157"/>
        <v>0</v>
      </c>
      <c r="BO106" s="109">
        <f t="shared" si="158"/>
        <v>0</v>
      </c>
      <c r="BP106" s="109">
        <f t="shared" si="159"/>
        <v>0</v>
      </c>
      <c r="BQ106" s="109">
        <f t="shared" si="160"/>
        <v>0</v>
      </c>
    </row>
    <row r="107" spans="1:69" x14ac:dyDescent="0.25">
      <c r="A107" s="101">
        <f t="shared" si="110"/>
        <v>39083</v>
      </c>
      <c r="B107" s="102">
        <f t="shared" si="47"/>
        <v>3.41</v>
      </c>
      <c r="C107" s="102">
        <f t="shared" si="111"/>
        <v>5.0000000000000001E-3</v>
      </c>
      <c r="D107" s="80">
        <f t="shared" si="161"/>
        <v>0.245</v>
      </c>
      <c r="E107" s="106">
        <f t="shared" si="112"/>
        <v>1</v>
      </c>
      <c r="F107" s="104">
        <f t="shared" si="49"/>
        <v>4.92</v>
      </c>
      <c r="G107" s="104">
        <f t="shared" si="50"/>
        <v>3.5</v>
      </c>
      <c r="H107" s="104">
        <f t="shared" si="51"/>
        <v>2.96</v>
      </c>
      <c r="I107" s="104">
        <f t="shared" si="52"/>
        <v>2.99</v>
      </c>
      <c r="J107" s="80">
        <f t="shared" si="113"/>
        <v>0.114</v>
      </c>
      <c r="K107" s="80" t="e">
        <f t="shared" si="114"/>
        <v>#DIV/0!</v>
      </c>
      <c r="L107" s="80" t="e">
        <f t="shared" si="115"/>
        <v>#DIV/0!</v>
      </c>
      <c r="M107" s="80" t="e">
        <f t="shared" si="116"/>
        <v>#DIV/0!</v>
      </c>
      <c r="N107" s="80">
        <f t="shared" si="117"/>
        <v>0.35899999999999999</v>
      </c>
      <c r="O107" s="80" t="e">
        <f t="shared" si="118"/>
        <v>#DIV/0!</v>
      </c>
      <c r="P107" s="80" t="e">
        <f t="shared" si="119"/>
        <v>#DIV/0!</v>
      </c>
      <c r="Q107" s="80" t="e">
        <f t="shared" si="120"/>
        <v>#DIV/0!</v>
      </c>
      <c r="R107" s="105">
        <f t="shared" ca="1" si="121"/>
        <v>2309</v>
      </c>
      <c r="S107" s="80">
        <f t="shared" si="53"/>
        <v>6.9575251066209015E-2</v>
      </c>
      <c r="T107" s="77">
        <v>0</v>
      </c>
      <c r="U107" s="182">
        <v>0</v>
      </c>
      <c r="X107" s="182"/>
      <c r="Z107" s="82"/>
      <c r="AA107" s="82">
        <f t="shared" si="122"/>
        <v>0</v>
      </c>
      <c r="AB107" s="82">
        <f t="shared" si="162"/>
        <v>0</v>
      </c>
      <c r="AC107" s="77">
        <f t="shared" si="123"/>
        <v>0</v>
      </c>
      <c r="AD107" s="108">
        <f t="shared" si="124"/>
        <v>0</v>
      </c>
      <c r="AE107" s="107">
        <f t="shared" si="125"/>
        <v>0</v>
      </c>
      <c r="AF107" s="107">
        <f t="shared" si="126"/>
        <v>0</v>
      </c>
      <c r="AG107" s="107">
        <f t="shared" si="127"/>
        <v>0</v>
      </c>
      <c r="AH107" s="109">
        <f t="shared" si="128"/>
        <v>0</v>
      </c>
      <c r="AI107" s="109">
        <f t="shared" si="129"/>
        <v>0</v>
      </c>
      <c r="AJ107" s="109">
        <f t="shared" si="130"/>
        <v>0</v>
      </c>
      <c r="AL107" s="82">
        <f t="shared" si="131"/>
        <v>0</v>
      </c>
      <c r="AM107" s="82" t="e">
        <f t="shared" si="132"/>
        <v>#DIV/0!</v>
      </c>
      <c r="AN107" s="77">
        <f t="shared" si="133"/>
        <v>0</v>
      </c>
      <c r="AO107" s="108">
        <f t="shared" si="134"/>
        <v>0</v>
      </c>
      <c r="AP107" s="107">
        <f t="shared" si="135"/>
        <v>0</v>
      </c>
      <c r="AQ107" s="107">
        <f t="shared" si="136"/>
        <v>0</v>
      </c>
      <c r="AR107" s="107">
        <f t="shared" si="137"/>
        <v>0</v>
      </c>
      <c r="AS107" s="109">
        <f t="shared" si="138"/>
        <v>0</v>
      </c>
      <c r="AT107" s="109">
        <f t="shared" si="139"/>
        <v>0</v>
      </c>
      <c r="AU107" s="109">
        <f t="shared" si="140"/>
        <v>0</v>
      </c>
      <c r="AW107" s="82">
        <f t="shared" si="141"/>
        <v>0</v>
      </c>
      <c r="AX107" s="82" t="e">
        <f t="shared" si="142"/>
        <v>#DIV/0!</v>
      </c>
      <c r="AY107" s="77">
        <f t="shared" si="143"/>
        <v>0</v>
      </c>
      <c r="AZ107" s="108">
        <f t="shared" si="144"/>
        <v>0</v>
      </c>
      <c r="BA107" s="107">
        <f t="shared" si="145"/>
        <v>0</v>
      </c>
      <c r="BB107" s="107">
        <f t="shared" si="146"/>
        <v>0</v>
      </c>
      <c r="BC107" s="107">
        <f t="shared" si="147"/>
        <v>0</v>
      </c>
      <c r="BD107" s="109">
        <f t="shared" si="148"/>
        <v>0</v>
      </c>
      <c r="BE107" s="109">
        <f t="shared" si="149"/>
        <v>0</v>
      </c>
      <c r="BF107" s="109">
        <f t="shared" si="150"/>
        <v>0</v>
      </c>
      <c r="BH107" s="82">
        <f t="shared" si="151"/>
        <v>0</v>
      </c>
      <c r="BI107" s="82" t="e">
        <f t="shared" si="152"/>
        <v>#DIV/0!</v>
      </c>
      <c r="BJ107" s="77">
        <f t="shared" si="153"/>
        <v>0</v>
      </c>
      <c r="BK107" s="108">
        <f t="shared" si="154"/>
        <v>0</v>
      </c>
      <c r="BL107" s="107">
        <f t="shared" si="155"/>
        <v>0</v>
      </c>
      <c r="BM107" s="107">
        <f t="shared" si="156"/>
        <v>0</v>
      </c>
      <c r="BN107" s="107">
        <f t="shared" si="157"/>
        <v>0</v>
      </c>
      <c r="BO107" s="109">
        <f t="shared" si="158"/>
        <v>0</v>
      </c>
      <c r="BP107" s="109">
        <f t="shared" si="159"/>
        <v>0</v>
      </c>
      <c r="BQ107" s="109">
        <f t="shared" si="160"/>
        <v>0</v>
      </c>
    </row>
    <row r="108" spans="1:69" x14ac:dyDescent="0.25">
      <c r="A108" s="101">
        <f t="shared" si="110"/>
        <v>39114</v>
      </c>
      <c r="B108" s="102">
        <f t="shared" si="47"/>
        <v>3.2840000000000003</v>
      </c>
      <c r="C108" s="102">
        <f t="shared" si="111"/>
        <v>5.0000000000000001E-3</v>
      </c>
      <c r="D108" s="80">
        <f t="shared" si="161"/>
        <v>0.23</v>
      </c>
      <c r="E108" s="106">
        <f t="shared" si="112"/>
        <v>1</v>
      </c>
      <c r="F108" s="104">
        <f t="shared" si="49"/>
        <v>4.92</v>
      </c>
      <c r="G108" s="104">
        <f t="shared" si="50"/>
        <v>3.5</v>
      </c>
      <c r="H108" s="104">
        <f t="shared" si="51"/>
        <v>2.96</v>
      </c>
      <c r="I108" s="104">
        <f t="shared" si="52"/>
        <v>2.99</v>
      </c>
      <c r="J108" s="80">
        <f t="shared" si="113"/>
        <v>0.114</v>
      </c>
      <c r="K108" s="80" t="e">
        <f t="shared" si="114"/>
        <v>#DIV/0!</v>
      </c>
      <c r="L108" s="80" t="e">
        <f t="shared" si="115"/>
        <v>#DIV/0!</v>
      </c>
      <c r="M108" s="80" t="e">
        <f t="shared" si="116"/>
        <v>#DIV/0!</v>
      </c>
      <c r="N108" s="80">
        <f t="shared" si="117"/>
        <v>0.34400000000000003</v>
      </c>
      <c r="O108" s="80" t="e">
        <f t="shared" si="118"/>
        <v>#DIV/0!</v>
      </c>
      <c r="P108" s="80" t="e">
        <f t="shared" si="119"/>
        <v>#DIV/0!</v>
      </c>
      <c r="Q108" s="80" t="e">
        <f t="shared" si="120"/>
        <v>#DIV/0!</v>
      </c>
      <c r="R108" s="105">
        <f t="shared" ca="1" si="121"/>
        <v>2342</v>
      </c>
      <c r="S108" s="80">
        <f t="shared" si="53"/>
        <v>6.9591507441507008E-2</v>
      </c>
      <c r="T108" s="77">
        <v>0</v>
      </c>
      <c r="U108" s="182">
        <v>0</v>
      </c>
      <c r="X108" s="182"/>
      <c r="Z108" s="82"/>
      <c r="AA108" s="82">
        <f t="shared" si="122"/>
        <v>0</v>
      </c>
      <c r="AB108" s="82">
        <f t="shared" si="162"/>
        <v>0</v>
      </c>
      <c r="AC108" s="77">
        <f t="shared" si="123"/>
        <v>0</v>
      </c>
      <c r="AD108" s="108">
        <f t="shared" si="124"/>
        <v>0</v>
      </c>
      <c r="AE108" s="107">
        <f t="shared" si="125"/>
        <v>0</v>
      </c>
      <c r="AF108" s="107">
        <f t="shared" si="126"/>
        <v>0</v>
      </c>
      <c r="AG108" s="107">
        <f t="shared" si="127"/>
        <v>0</v>
      </c>
      <c r="AH108" s="109">
        <f t="shared" si="128"/>
        <v>0</v>
      </c>
      <c r="AI108" s="109">
        <f t="shared" si="129"/>
        <v>0</v>
      </c>
      <c r="AJ108" s="109">
        <f t="shared" si="130"/>
        <v>0</v>
      </c>
      <c r="AL108" s="82">
        <f t="shared" si="131"/>
        <v>0</v>
      </c>
      <c r="AM108" s="82" t="e">
        <f t="shared" si="132"/>
        <v>#DIV/0!</v>
      </c>
      <c r="AN108" s="77">
        <f t="shared" si="133"/>
        <v>0</v>
      </c>
      <c r="AO108" s="108">
        <f t="shared" si="134"/>
        <v>0</v>
      </c>
      <c r="AP108" s="107">
        <f t="shared" si="135"/>
        <v>0</v>
      </c>
      <c r="AQ108" s="107">
        <f t="shared" si="136"/>
        <v>0</v>
      </c>
      <c r="AR108" s="107">
        <f t="shared" si="137"/>
        <v>0</v>
      </c>
      <c r="AS108" s="109">
        <f t="shared" si="138"/>
        <v>0</v>
      </c>
      <c r="AT108" s="109">
        <f t="shared" si="139"/>
        <v>0</v>
      </c>
      <c r="AU108" s="109">
        <f t="shared" si="140"/>
        <v>0</v>
      </c>
      <c r="AW108" s="82">
        <f t="shared" si="141"/>
        <v>0</v>
      </c>
      <c r="AX108" s="82" t="e">
        <f t="shared" si="142"/>
        <v>#DIV/0!</v>
      </c>
      <c r="AY108" s="77">
        <f t="shared" si="143"/>
        <v>0</v>
      </c>
      <c r="AZ108" s="108">
        <f t="shared" si="144"/>
        <v>0</v>
      </c>
      <c r="BA108" s="107">
        <f t="shared" si="145"/>
        <v>0</v>
      </c>
      <c r="BB108" s="107">
        <f t="shared" si="146"/>
        <v>0</v>
      </c>
      <c r="BC108" s="107">
        <f t="shared" si="147"/>
        <v>0</v>
      </c>
      <c r="BD108" s="109">
        <f t="shared" si="148"/>
        <v>0</v>
      </c>
      <c r="BE108" s="109">
        <f t="shared" si="149"/>
        <v>0</v>
      </c>
      <c r="BF108" s="109">
        <f t="shared" si="150"/>
        <v>0</v>
      </c>
      <c r="BH108" s="82">
        <f t="shared" si="151"/>
        <v>0</v>
      </c>
      <c r="BI108" s="82" t="e">
        <f t="shared" si="152"/>
        <v>#DIV/0!</v>
      </c>
      <c r="BJ108" s="77">
        <f t="shared" si="153"/>
        <v>0</v>
      </c>
      <c r="BK108" s="108">
        <f t="shared" si="154"/>
        <v>0</v>
      </c>
      <c r="BL108" s="107">
        <f t="shared" si="155"/>
        <v>0</v>
      </c>
      <c r="BM108" s="107">
        <f t="shared" si="156"/>
        <v>0</v>
      </c>
      <c r="BN108" s="107">
        <f t="shared" si="157"/>
        <v>0</v>
      </c>
      <c r="BO108" s="109">
        <f t="shared" si="158"/>
        <v>0</v>
      </c>
      <c r="BP108" s="109">
        <f t="shared" si="159"/>
        <v>0</v>
      </c>
      <c r="BQ108" s="109">
        <f t="shared" si="160"/>
        <v>0</v>
      </c>
    </row>
    <row r="109" spans="1:69" x14ac:dyDescent="0.25">
      <c r="A109" s="101">
        <f t="shared" si="110"/>
        <v>39142</v>
      </c>
      <c r="B109" s="102">
        <f t="shared" si="47"/>
        <v>3.1260000000000003</v>
      </c>
      <c r="C109" s="102">
        <f t="shared" si="111"/>
        <v>5.0000000000000001E-3</v>
      </c>
      <c r="D109" s="80">
        <f t="shared" si="161"/>
        <v>0.22</v>
      </c>
      <c r="E109" s="106">
        <f t="shared" si="112"/>
        <v>1</v>
      </c>
      <c r="F109" s="104">
        <f t="shared" si="49"/>
        <v>4.92</v>
      </c>
      <c r="G109" s="104">
        <f t="shared" si="50"/>
        <v>3.5</v>
      </c>
      <c r="H109" s="104">
        <f t="shared" si="51"/>
        <v>2.96</v>
      </c>
      <c r="I109" s="104">
        <f t="shared" si="52"/>
        <v>2.99</v>
      </c>
      <c r="J109" s="80">
        <f t="shared" si="113"/>
        <v>0.114</v>
      </c>
      <c r="K109" s="80" t="e">
        <f t="shared" si="114"/>
        <v>#DIV/0!</v>
      </c>
      <c r="L109" s="80" t="e">
        <f t="shared" si="115"/>
        <v>#DIV/0!</v>
      </c>
      <c r="M109" s="80" t="e">
        <f t="shared" si="116"/>
        <v>#DIV/0!</v>
      </c>
      <c r="N109" s="80">
        <f t="shared" si="117"/>
        <v>0.33400000000000002</v>
      </c>
      <c r="O109" s="80" t="e">
        <f t="shared" si="118"/>
        <v>#DIV/0!</v>
      </c>
      <c r="P109" s="80" t="e">
        <f t="shared" si="119"/>
        <v>#DIV/0!</v>
      </c>
      <c r="Q109" s="80" t="e">
        <f t="shared" si="120"/>
        <v>#DIV/0!</v>
      </c>
      <c r="R109" s="105">
        <f t="shared" ca="1" si="121"/>
        <v>2370</v>
      </c>
      <c r="S109" s="80">
        <f t="shared" si="53"/>
        <v>6.9606190619271008E-2</v>
      </c>
      <c r="T109" s="77">
        <v>0</v>
      </c>
      <c r="U109" s="182">
        <v>0</v>
      </c>
      <c r="X109" s="182"/>
      <c r="Z109" s="82"/>
      <c r="AA109" s="82">
        <f t="shared" si="122"/>
        <v>0</v>
      </c>
      <c r="AB109" s="82">
        <f t="shared" si="162"/>
        <v>0</v>
      </c>
      <c r="AC109" s="77">
        <f t="shared" si="123"/>
        <v>0</v>
      </c>
      <c r="AD109" s="108">
        <f t="shared" si="124"/>
        <v>0</v>
      </c>
      <c r="AE109" s="107">
        <f t="shared" si="125"/>
        <v>0</v>
      </c>
      <c r="AF109" s="107">
        <f t="shared" si="126"/>
        <v>0</v>
      </c>
      <c r="AG109" s="107">
        <f t="shared" si="127"/>
        <v>0</v>
      </c>
      <c r="AH109" s="109">
        <f t="shared" si="128"/>
        <v>0</v>
      </c>
      <c r="AI109" s="109">
        <f t="shared" si="129"/>
        <v>0</v>
      </c>
      <c r="AJ109" s="109">
        <f t="shared" si="130"/>
        <v>0</v>
      </c>
      <c r="AL109" s="82">
        <f t="shared" si="131"/>
        <v>0</v>
      </c>
      <c r="AM109" s="82" t="e">
        <f t="shared" si="132"/>
        <v>#DIV/0!</v>
      </c>
      <c r="AN109" s="77">
        <f t="shared" si="133"/>
        <v>0</v>
      </c>
      <c r="AO109" s="108">
        <f t="shared" si="134"/>
        <v>0</v>
      </c>
      <c r="AP109" s="107">
        <f t="shared" si="135"/>
        <v>0</v>
      </c>
      <c r="AQ109" s="107">
        <f t="shared" si="136"/>
        <v>0</v>
      </c>
      <c r="AR109" s="107">
        <f t="shared" si="137"/>
        <v>0</v>
      </c>
      <c r="AS109" s="109">
        <f t="shared" si="138"/>
        <v>0</v>
      </c>
      <c r="AT109" s="109">
        <f t="shared" si="139"/>
        <v>0</v>
      </c>
      <c r="AU109" s="109">
        <f t="shared" si="140"/>
        <v>0</v>
      </c>
      <c r="AW109" s="82">
        <f t="shared" si="141"/>
        <v>0</v>
      </c>
      <c r="AX109" s="82" t="e">
        <f t="shared" si="142"/>
        <v>#DIV/0!</v>
      </c>
      <c r="AY109" s="77">
        <f t="shared" si="143"/>
        <v>0</v>
      </c>
      <c r="AZ109" s="108">
        <f t="shared" si="144"/>
        <v>0</v>
      </c>
      <c r="BA109" s="107">
        <f t="shared" si="145"/>
        <v>0</v>
      </c>
      <c r="BB109" s="107">
        <f t="shared" si="146"/>
        <v>0</v>
      </c>
      <c r="BC109" s="107">
        <f t="shared" si="147"/>
        <v>0</v>
      </c>
      <c r="BD109" s="109">
        <f t="shared" si="148"/>
        <v>0</v>
      </c>
      <c r="BE109" s="109">
        <f t="shared" si="149"/>
        <v>0</v>
      </c>
      <c r="BF109" s="109">
        <f t="shared" si="150"/>
        <v>0</v>
      </c>
      <c r="BH109" s="82">
        <f t="shared" si="151"/>
        <v>0</v>
      </c>
      <c r="BI109" s="82" t="e">
        <f t="shared" si="152"/>
        <v>#DIV/0!</v>
      </c>
      <c r="BJ109" s="77">
        <f t="shared" si="153"/>
        <v>0</v>
      </c>
      <c r="BK109" s="108">
        <f t="shared" si="154"/>
        <v>0</v>
      </c>
      <c r="BL109" s="107">
        <f t="shared" si="155"/>
        <v>0</v>
      </c>
      <c r="BM109" s="107">
        <f t="shared" si="156"/>
        <v>0</v>
      </c>
      <c r="BN109" s="107">
        <f t="shared" si="157"/>
        <v>0</v>
      </c>
      <c r="BO109" s="109">
        <f t="shared" si="158"/>
        <v>0</v>
      </c>
      <c r="BP109" s="109">
        <f t="shared" si="159"/>
        <v>0</v>
      </c>
      <c r="BQ109" s="109">
        <f t="shared" si="160"/>
        <v>0</v>
      </c>
    </row>
    <row r="110" spans="1:69" x14ac:dyDescent="0.25">
      <c r="A110" s="101">
        <f t="shared" si="110"/>
        <v>39173</v>
      </c>
      <c r="B110" s="102">
        <f t="shared" si="47"/>
        <v>2.96</v>
      </c>
      <c r="C110" s="102">
        <f t="shared" si="111"/>
        <v>5.0000000000000001E-3</v>
      </c>
      <c r="D110" s="80">
        <f t="shared" si="161"/>
        <v>0.22</v>
      </c>
      <c r="E110" s="106">
        <f t="shared" si="112"/>
        <v>1</v>
      </c>
      <c r="F110" s="104">
        <f t="shared" si="49"/>
        <v>4.92</v>
      </c>
      <c r="G110" s="104">
        <f t="shared" si="50"/>
        <v>3.5</v>
      </c>
      <c r="H110" s="104">
        <f t="shared" si="51"/>
        <v>2.96</v>
      </c>
      <c r="I110" s="104">
        <f t="shared" si="52"/>
        <v>2.99</v>
      </c>
      <c r="J110" s="80">
        <f t="shared" si="113"/>
        <v>0.114</v>
      </c>
      <c r="K110" s="80" t="e">
        <f t="shared" si="114"/>
        <v>#DIV/0!</v>
      </c>
      <c r="L110" s="80" t="e">
        <f t="shared" si="115"/>
        <v>#DIV/0!</v>
      </c>
      <c r="M110" s="80" t="e">
        <f t="shared" si="116"/>
        <v>#DIV/0!</v>
      </c>
      <c r="N110" s="80">
        <f t="shared" si="117"/>
        <v>0.33400000000000002</v>
      </c>
      <c r="O110" s="80" t="e">
        <f t="shared" si="118"/>
        <v>#DIV/0!</v>
      </c>
      <c r="P110" s="80" t="e">
        <f t="shared" si="119"/>
        <v>#DIV/0!</v>
      </c>
      <c r="Q110" s="80" t="e">
        <f t="shared" si="120"/>
        <v>#DIV/0!</v>
      </c>
      <c r="R110" s="105">
        <f t="shared" ca="1" si="121"/>
        <v>2400</v>
      </c>
      <c r="S110" s="80">
        <f t="shared" si="53"/>
        <v>6.9622446994737019E-2</v>
      </c>
      <c r="T110" s="77">
        <v>0</v>
      </c>
      <c r="U110" s="182">
        <v>0</v>
      </c>
      <c r="X110" s="182"/>
      <c r="Z110" s="82"/>
      <c r="AA110" s="82">
        <f t="shared" si="122"/>
        <v>0</v>
      </c>
      <c r="AB110" s="82">
        <f t="shared" si="162"/>
        <v>0</v>
      </c>
      <c r="AC110" s="77">
        <f t="shared" si="123"/>
        <v>0</v>
      </c>
      <c r="AD110" s="108">
        <f t="shared" si="124"/>
        <v>0</v>
      </c>
      <c r="AE110" s="107">
        <f t="shared" si="125"/>
        <v>0</v>
      </c>
      <c r="AF110" s="107">
        <f t="shared" si="126"/>
        <v>0</v>
      </c>
      <c r="AG110" s="107">
        <f t="shared" si="127"/>
        <v>0</v>
      </c>
      <c r="AH110" s="109">
        <f t="shared" si="128"/>
        <v>0</v>
      </c>
      <c r="AI110" s="109">
        <f t="shared" si="129"/>
        <v>0</v>
      </c>
      <c r="AJ110" s="109">
        <f t="shared" si="130"/>
        <v>0</v>
      </c>
      <c r="AL110" s="82">
        <f t="shared" si="131"/>
        <v>0</v>
      </c>
      <c r="AM110" s="82" t="e">
        <f t="shared" si="132"/>
        <v>#DIV/0!</v>
      </c>
      <c r="AN110" s="77">
        <f t="shared" si="133"/>
        <v>0</v>
      </c>
      <c r="AO110" s="108">
        <f t="shared" si="134"/>
        <v>0</v>
      </c>
      <c r="AP110" s="107">
        <f t="shared" si="135"/>
        <v>0</v>
      </c>
      <c r="AQ110" s="107">
        <f t="shared" si="136"/>
        <v>0</v>
      </c>
      <c r="AR110" s="107">
        <f t="shared" si="137"/>
        <v>0</v>
      </c>
      <c r="AS110" s="109">
        <f t="shared" si="138"/>
        <v>0</v>
      </c>
      <c r="AT110" s="109">
        <f t="shared" si="139"/>
        <v>0</v>
      </c>
      <c r="AU110" s="109">
        <f t="shared" si="140"/>
        <v>0</v>
      </c>
      <c r="AW110" s="82">
        <f t="shared" si="141"/>
        <v>0</v>
      </c>
      <c r="AX110" s="82" t="e">
        <f t="shared" si="142"/>
        <v>#DIV/0!</v>
      </c>
      <c r="AY110" s="77">
        <f t="shared" si="143"/>
        <v>0</v>
      </c>
      <c r="AZ110" s="108">
        <f t="shared" si="144"/>
        <v>0</v>
      </c>
      <c r="BA110" s="107">
        <f t="shared" si="145"/>
        <v>0</v>
      </c>
      <c r="BB110" s="107">
        <f t="shared" si="146"/>
        <v>0</v>
      </c>
      <c r="BC110" s="107">
        <f t="shared" si="147"/>
        <v>0</v>
      </c>
      <c r="BD110" s="109">
        <f t="shared" si="148"/>
        <v>0</v>
      </c>
      <c r="BE110" s="109">
        <f t="shared" si="149"/>
        <v>0</v>
      </c>
      <c r="BF110" s="109">
        <f t="shared" si="150"/>
        <v>0</v>
      </c>
      <c r="BH110" s="82">
        <f t="shared" si="151"/>
        <v>0</v>
      </c>
      <c r="BI110" s="82" t="e">
        <f t="shared" si="152"/>
        <v>#DIV/0!</v>
      </c>
      <c r="BJ110" s="77">
        <f t="shared" si="153"/>
        <v>0</v>
      </c>
      <c r="BK110" s="108">
        <f t="shared" si="154"/>
        <v>0</v>
      </c>
      <c r="BL110" s="107">
        <f t="shared" si="155"/>
        <v>0</v>
      </c>
      <c r="BM110" s="107">
        <f t="shared" si="156"/>
        <v>0</v>
      </c>
      <c r="BN110" s="107">
        <f t="shared" si="157"/>
        <v>0</v>
      </c>
      <c r="BO110" s="109">
        <f t="shared" si="158"/>
        <v>0</v>
      </c>
      <c r="BP110" s="109">
        <f t="shared" si="159"/>
        <v>0</v>
      </c>
      <c r="BQ110" s="109">
        <f t="shared" si="160"/>
        <v>0</v>
      </c>
    </row>
    <row r="111" spans="1:69" x14ac:dyDescent="0.25">
      <c r="A111" s="101">
        <f t="shared" si="110"/>
        <v>39203</v>
      </c>
      <c r="B111" s="102">
        <f t="shared" si="47"/>
        <v>2.9490000000000003</v>
      </c>
      <c r="C111" s="102">
        <f t="shared" si="111"/>
        <v>5.0000000000000001E-3</v>
      </c>
      <c r="D111" s="80">
        <f t="shared" si="161"/>
        <v>0.22</v>
      </c>
      <c r="E111" s="106">
        <f t="shared" si="112"/>
        <v>1</v>
      </c>
      <c r="F111" s="104">
        <f t="shared" si="49"/>
        <v>4.92</v>
      </c>
      <c r="G111" s="104">
        <f t="shared" si="50"/>
        <v>3.5</v>
      </c>
      <c r="H111" s="104">
        <f t="shared" si="51"/>
        <v>2.96</v>
      </c>
      <c r="I111" s="104">
        <f t="shared" si="52"/>
        <v>2.99</v>
      </c>
      <c r="J111" s="80">
        <f t="shared" si="113"/>
        <v>0.114</v>
      </c>
      <c r="K111" s="80" t="e">
        <f t="shared" si="114"/>
        <v>#DIV/0!</v>
      </c>
      <c r="L111" s="80" t="e">
        <f t="shared" si="115"/>
        <v>#DIV/0!</v>
      </c>
      <c r="M111" s="80" t="e">
        <f t="shared" si="116"/>
        <v>#DIV/0!</v>
      </c>
      <c r="N111" s="80">
        <f t="shared" si="117"/>
        <v>0.33400000000000002</v>
      </c>
      <c r="O111" s="80" t="e">
        <f t="shared" si="118"/>
        <v>#DIV/0!</v>
      </c>
      <c r="P111" s="80" t="e">
        <f t="shared" si="119"/>
        <v>#DIV/0!</v>
      </c>
      <c r="Q111" s="80" t="e">
        <f t="shared" si="120"/>
        <v>#DIV/0!</v>
      </c>
      <c r="R111" s="105">
        <f t="shared" ca="1" si="121"/>
        <v>2429</v>
      </c>
      <c r="S111" s="80">
        <f t="shared" si="53"/>
        <v>6.9638178971076006E-2</v>
      </c>
      <c r="T111" s="77">
        <v>0</v>
      </c>
      <c r="U111" s="182">
        <v>0</v>
      </c>
      <c r="X111" s="182"/>
      <c r="Z111" s="82"/>
      <c r="AA111" s="82">
        <f t="shared" si="122"/>
        <v>0</v>
      </c>
      <c r="AB111" s="82">
        <f t="shared" si="162"/>
        <v>0</v>
      </c>
      <c r="AC111" s="77">
        <f t="shared" si="123"/>
        <v>0</v>
      </c>
      <c r="AD111" s="108">
        <f t="shared" si="124"/>
        <v>0</v>
      </c>
      <c r="AE111" s="107">
        <f t="shared" si="125"/>
        <v>0</v>
      </c>
      <c r="AF111" s="107">
        <f t="shared" si="126"/>
        <v>0</v>
      </c>
      <c r="AG111" s="107">
        <f t="shared" si="127"/>
        <v>0</v>
      </c>
      <c r="AH111" s="109">
        <f t="shared" si="128"/>
        <v>0</v>
      </c>
      <c r="AI111" s="109">
        <f t="shared" si="129"/>
        <v>0</v>
      </c>
      <c r="AJ111" s="109">
        <f t="shared" si="130"/>
        <v>0</v>
      </c>
      <c r="AL111" s="82">
        <f t="shared" si="131"/>
        <v>0</v>
      </c>
      <c r="AM111" s="82" t="e">
        <f t="shared" si="132"/>
        <v>#DIV/0!</v>
      </c>
      <c r="AN111" s="77">
        <f t="shared" si="133"/>
        <v>0</v>
      </c>
      <c r="AO111" s="108">
        <f t="shared" si="134"/>
        <v>0</v>
      </c>
      <c r="AP111" s="107">
        <f t="shared" si="135"/>
        <v>0</v>
      </c>
      <c r="AQ111" s="107">
        <f t="shared" si="136"/>
        <v>0</v>
      </c>
      <c r="AR111" s="107">
        <f t="shared" si="137"/>
        <v>0</v>
      </c>
      <c r="AS111" s="109">
        <f t="shared" si="138"/>
        <v>0</v>
      </c>
      <c r="AT111" s="109">
        <f t="shared" si="139"/>
        <v>0</v>
      </c>
      <c r="AU111" s="109">
        <f t="shared" si="140"/>
        <v>0</v>
      </c>
      <c r="AW111" s="82">
        <f t="shared" si="141"/>
        <v>0</v>
      </c>
      <c r="AX111" s="82" t="e">
        <f t="shared" si="142"/>
        <v>#DIV/0!</v>
      </c>
      <c r="AY111" s="77">
        <f t="shared" si="143"/>
        <v>0</v>
      </c>
      <c r="AZ111" s="108">
        <f t="shared" si="144"/>
        <v>0</v>
      </c>
      <c r="BA111" s="107">
        <f t="shared" si="145"/>
        <v>0</v>
      </c>
      <c r="BB111" s="107">
        <f t="shared" si="146"/>
        <v>0</v>
      </c>
      <c r="BC111" s="107">
        <f t="shared" si="147"/>
        <v>0</v>
      </c>
      <c r="BD111" s="109">
        <f t="shared" si="148"/>
        <v>0</v>
      </c>
      <c r="BE111" s="109">
        <f t="shared" si="149"/>
        <v>0</v>
      </c>
      <c r="BF111" s="109">
        <f t="shared" si="150"/>
        <v>0</v>
      </c>
      <c r="BH111" s="82">
        <f t="shared" si="151"/>
        <v>0</v>
      </c>
      <c r="BI111" s="82" t="e">
        <f t="shared" si="152"/>
        <v>#DIV/0!</v>
      </c>
      <c r="BJ111" s="77">
        <f t="shared" si="153"/>
        <v>0</v>
      </c>
      <c r="BK111" s="108">
        <f t="shared" si="154"/>
        <v>0</v>
      </c>
      <c r="BL111" s="107">
        <f t="shared" si="155"/>
        <v>0</v>
      </c>
      <c r="BM111" s="107">
        <f t="shared" si="156"/>
        <v>0</v>
      </c>
      <c r="BN111" s="107">
        <f t="shared" si="157"/>
        <v>0</v>
      </c>
      <c r="BO111" s="109">
        <f t="shared" si="158"/>
        <v>0</v>
      </c>
      <c r="BP111" s="109">
        <f t="shared" si="159"/>
        <v>0</v>
      </c>
      <c r="BQ111" s="109">
        <f t="shared" si="160"/>
        <v>0</v>
      </c>
    </row>
    <row r="112" spans="1:69" x14ac:dyDescent="0.25">
      <c r="A112" s="101">
        <f t="shared" si="110"/>
        <v>39234</v>
      </c>
      <c r="B112" s="102">
        <f t="shared" si="47"/>
        <v>2.9730000000000003</v>
      </c>
      <c r="C112" s="102">
        <f t="shared" si="111"/>
        <v>5.0000000000000001E-3</v>
      </c>
      <c r="D112" s="80">
        <f t="shared" si="161"/>
        <v>0.21</v>
      </c>
      <c r="E112" s="106">
        <f t="shared" si="112"/>
        <v>1</v>
      </c>
      <c r="F112" s="104">
        <f t="shared" si="49"/>
        <v>4.92</v>
      </c>
      <c r="G112" s="104">
        <f t="shared" si="50"/>
        <v>3.5</v>
      </c>
      <c r="H112" s="104">
        <f t="shared" si="51"/>
        <v>2.96</v>
      </c>
      <c r="I112" s="104">
        <f t="shared" si="52"/>
        <v>2.99</v>
      </c>
      <c r="J112" s="80">
        <f t="shared" si="113"/>
        <v>0.114</v>
      </c>
      <c r="K112" s="80" t="e">
        <f t="shared" si="114"/>
        <v>#DIV/0!</v>
      </c>
      <c r="L112" s="80" t="e">
        <f t="shared" si="115"/>
        <v>#DIV/0!</v>
      </c>
      <c r="M112" s="80" t="e">
        <f t="shared" si="116"/>
        <v>#DIV/0!</v>
      </c>
      <c r="N112" s="80">
        <f t="shared" si="117"/>
        <v>0.32400000000000001</v>
      </c>
      <c r="O112" s="80" t="e">
        <f t="shared" si="118"/>
        <v>#DIV/0!</v>
      </c>
      <c r="P112" s="80" t="e">
        <f t="shared" si="119"/>
        <v>#DIV/0!</v>
      </c>
      <c r="Q112" s="80" t="e">
        <f t="shared" si="120"/>
        <v>#DIV/0!</v>
      </c>
      <c r="R112" s="105">
        <f t="shared" ca="1" si="121"/>
        <v>2462</v>
      </c>
      <c r="S112" s="80">
        <f t="shared" si="53"/>
        <v>6.9654435346714005E-2</v>
      </c>
      <c r="T112" s="77">
        <v>0</v>
      </c>
      <c r="U112" s="182">
        <v>0</v>
      </c>
      <c r="X112" s="182"/>
      <c r="Z112" s="82"/>
      <c r="AA112" s="82">
        <f t="shared" si="122"/>
        <v>0</v>
      </c>
      <c r="AB112" s="82">
        <f t="shared" si="162"/>
        <v>0</v>
      </c>
      <c r="AC112" s="77">
        <f t="shared" si="123"/>
        <v>0</v>
      </c>
      <c r="AD112" s="108">
        <f t="shared" si="124"/>
        <v>0</v>
      </c>
      <c r="AE112" s="107">
        <f t="shared" si="125"/>
        <v>0</v>
      </c>
      <c r="AF112" s="107">
        <f t="shared" si="126"/>
        <v>0</v>
      </c>
      <c r="AG112" s="107">
        <f t="shared" si="127"/>
        <v>0</v>
      </c>
      <c r="AH112" s="109">
        <f t="shared" si="128"/>
        <v>0</v>
      </c>
      <c r="AI112" s="109">
        <f t="shared" si="129"/>
        <v>0</v>
      </c>
      <c r="AJ112" s="109">
        <f t="shared" si="130"/>
        <v>0</v>
      </c>
      <c r="AL112" s="82">
        <f t="shared" si="131"/>
        <v>0</v>
      </c>
      <c r="AM112" s="82" t="e">
        <f t="shared" si="132"/>
        <v>#DIV/0!</v>
      </c>
      <c r="AN112" s="77">
        <f t="shared" si="133"/>
        <v>0</v>
      </c>
      <c r="AO112" s="108">
        <f t="shared" si="134"/>
        <v>0</v>
      </c>
      <c r="AP112" s="107">
        <f t="shared" si="135"/>
        <v>0</v>
      </c>
      <c r="AQ112" s="107">
        <f t="shared" si="136"/>
        <v>0</v>
      </c>
      <c r="AR112" s="107">
        <f t="shared" si="137"/>
        <v>0</v>
      </c>
      <c r="AS112" s="109">
        <f t="shared" si="138"/>
        <v>0</v>
      </c>
      <c r="AT112" s="109">
        <f t="shared" si="139"/>
        <v>0</v>
      </c>
      <c r="AU112" s="109">
        <f t="shared" si="140"/>
        <v>0</v>
      </c>
      <c r="AW112" s="82">
        <f t="shared" si="141"/>
        <v>0</v>
      </c>
      <c r="AX112" s="82" t="e">
        <f t="shared" si="142"/>
        <v>#DIV/0!</v>
      </c>
      <c r="AY112" s="77">
        <f t="shared" si="143"/>
        <v>0</v>
      </c>
      <c r="AZ112" s="108">
        <f t="shared" si="144"/>
        <v>0</v>
      </c>
      <c r="BA112" s="107">
        <f t="shared" si="145"/>
        <v>0</v>
      </c>
      <c r="BB112" s="107">
        <f t="shared" si="146"/>
        <v>0</v>
      </c>
      <c r="BC112" s="107">
        <f t="shared" si="147"/>
        <v>0</v>
      </c>
      <c r="BD112" s="109">
        <f t="shared" si="148"/>
        <v>0</v>
      </c>
      <c r="BE112" s="109">
        <f t="shared" si="149"/>
        <v>0</v>
      </c>
      <c r="BF112" s="109">
        <f t="shared" si="150"/>
        <v>0</v>
      </c>
      <c r="BH112" s="82">
        <f t="shared" si="151"/>
        <v>0</v>
      </c>
      <c r="BI112" s="82" t="e">
        <f t="shared" si="152"/>
        <v>#DIV/0!</v>
      </c>
      <c r="BJ112" s="77">
        <f t="shared" si="153"/>
        <v>0</v>
      </c>
      <c r="BK112" s="108">
        <f t="shared" si="154"/>
        <v>0</v>
      </c>
      <c r="BL112" s="107">
        <f t="shared" si="155"/>
        <v>0</v>
      </c>
      <c r="BM112" s="107">
        <f t="shared" si="156"/>
        <v>0</v>
      </c>
      <c r="BN112" s="107">
        <f t="shared" si="157"/>
        <v>0</v>
      </c>
      <c r="BO112" s="109">
        <f t="shared" si="158"/>
        <v>0</v>
      </c>
      <c r="BP112" s="109">
        <f t="shared" si="159"/>
        <v>0</v>
      </c>
      <c r="BQ112" s="109">
        <f t="shared" si="160"/>
        <v>0</v>
      </c>
    </row>
    <row r="113" spans="1:69" x14ac:dyDescent="0.25">
      <c r="A113" s="101">
        <f t="shared" si="110"/>
        <v>39264</v>
      </c>
      <c r="B113" s="102">
        <f t="shared" si="47"/>
        <v>2.9950000000000001</v>
      </c>
      <c r="C113" s="102">
        <f t="shared" si="111"/>
        <v>5.0000000000000001E-3</v>
      </c>
      <c r="D113" s="80">
        <f t="shared" si="161"/>
        <v>0.21</v>
      </c>
      <c r="E113" s="106">
        <f t="shared" si="112"/>
        <v>1</v>
      </c>
      <c r="F113" s="104">
        <f t="shared" si="49"/>
        <v>4.92</v>
      </c>
      <c r="G113" s="104">
        <f t="shared" si="50"/>
        <v>3.5</v>
      </c>
      <c r="H113" s="104">
        <f t="shared" si="51"/>
        <v>2.96</v>
      </c>
      <c r="I113" s="104">
        <f t="shared" si="52"/>
        <v>2.99</v>
      </c>
      <c r="J113" s="80">
        <f t="shared" si="113"/>
        <v>0.114</v>
      </c>
      <c r="K113" s="80" t="e">
        <f t="shared" si="114"/>
        <v>#DIV/0!</v>
      </c>
      <c r="L113" s="80" t="e">
        <f t="shared" si="115"/>
        <v>#DIV/0!</v>
      </c>
      <c r="M113" s="80" t="e">
        <f t="shared" si="116"/>
        <v>#DIV/0!</v>
      </c>
      <c r="N113" s="80">
        <f t="shared" si="117"/>
        <v>0.32400000000000001</v>
      </c>
      <c r="O113" s="80" t="e">
        <f t="shared" si="118"/>
        <v>#DIV/0!</v>
      </c>
      <c r="P113" s="80" t="e">
        <f t="shared" si="119"/>
        <v>#DIV/0!</v>
      </c>
      <c r="Q113" s="80" t="e">
        <f t="shared" si="120"/>
        <v>#DIV/0!</v>
      </c>
      <c r="R113" s="105">
        <f t="shared" ca="1" si="121"/>
        <v>2491</v>
      </c>
      <c r="S113" s="80">
        <f t="shared" si="53"/>
        <v>6.9670167323219998E-2</v>
      </c>
      <c r="T113" s="77">
        <v>0</v>
      </c>
      <c r="U113" s="182">
        <v>0</v>
      </c>
      <c r="X113" s="182"/>
      <c r="Z113" s="82"/>
      <c r="AA113" s="82">
        <f t="shared" si="122"/>
        <v>0</v>
      </c>
      <c r="AB113" s="82">
        <f t="shared" si="162"/>
        <v>0</v>
      </c>
      <c r="AC113" s="77">
        <f t="shared" si="123"/>
        <v>0</v>
      </c>
      <c r="AD113" s="108">
        <f t="shared" si="124"/>
        <v>0</v>
      </c>
      <c r="AE113" s="107">
        <f t="shared" si="125"/>
        <v>0</v>
      </c>
      <c r="AF113" s="107">
        <f t="shared" si="126"/>
        <v>0</v>
      </c>
      <c r="AG113" s="107">
        <f t="shared" si="127"/>
        <v>0</v>
      </c>
      <c r="AH113" s="109">
        <f t="shared" si="128"/>
        <v>0</v>
      </c>
      <c r="AI113" s="109">
        <f t="shared" si="129"/>
        <v>0</v>
      </c>
      <c r="AJ113" s="109">
        <f t="shared" si="130"/>
        <v>0</v>
      </c>
      <c r="AL113" s="82">
        <f t="shared" si="131"/>
        <v>0</v>
      </c>
      <c r="AM113" s="82" t="e">
        <f t="shared" si="132"/>
        <v>#DIV/0!</v>
      </c>
      <c r="AN113" s="77">
        <f t="shared" si="133"/>
        <v>0</v>
      </c>
      <c r="AO113" s="108">
        <f t="shared" si="134"/>
        <v>0</v>
      </c>
      <c r="AP113" s="107">
        <f t="shared" si="135"/>
        <v>0</v>
      </c>
      <c r="AQ113" s="107">
        <f t="shared" si="136"/>
        <v>0</v>
      </c>
      <c r="AR113" s="107">
        <f t="shared" si="137"/>
        <v>0</v>
      </c>
      <c r="AS113" s="109">
        <f t="shared" si="138"/>
        <v>0</v>
      </c>
      <c r="AT113" s="109">
        <f t="shared" si="139"/>
        <v>0</v>
      </c>
      <c r="AU113" s="109">
        <f t="shared" si="140"/>
        <v>0</v>
      </c>
      <c r="AW113" s="82">
        <f t="shared" si="141"/>
        <v>0</v>
      </c>
      <c r="AX113" s="82" t="e">
        <f t="shared" si="142"/>
        <v>#DIV/0!</v>
      </c>
      <c r="AY113" s="77">
        <f t="shared" si="143"/>
        <v>0</v>
      </c>
      <c r="AZ113" s="108">
        <f t="shared" si="144"/>
        <v>0</v>
      </c>
      <c r="BA113" s="107">
        <f t="shared" si="145"/>
        <v>0</v>
      </c>
      <c r="BB113" s="107">
        <f t="shared" si="146"/>
        <v>0</v>
      </c>
      <c r="BC113" s="107">
        <f t="shared" si="147"/>
        <v>0</v>
      </c>
      <c r="BD113" s="109">
        <f t="shared" si="148"/>
        <v>0</v>
      </c>
      <c r="BE113" s="109">
        <f t="shared" si="149"/>
        <v>0</v>
      </c>
      <c r="BF113" s="109">
        <f t="shared" si="150"/>
        <v>0</v>
      </c>
      <c r="BH113" s="82">
        <f t="shared" si="151"/>
        <v>0</v>
      </c>
      <c r="BI113" s="82" t="e">
        <f t="shared" si="152"/>
        <v>#DIV/0!</v>
      </c>
      <c r="BJ113" s="77">
        <f t="shared" si="153"/>
        <v>0</v>
      </c>
      <c r="BK113" s="108">
        <f t="shared" si="154"/>
        <v>0</v>
      </c>
      <c r="BL113" s="107">
        <f t="shared" si="155"/>
        <v>0</v>
      </c>
      <c r="BM113" s="107">
        <f t="shared" si="156"/>
        <v>0</v>
      </c>
      <c r="BN113" s="107">
        <f t="shared" si="157"/>
        <v>0</v>
      </c>
      <c r="BO113" s="109">
        <f t="shared" si="158"/>
        <v>0</v>
      </c>
      <c r="BP113" s="109">
        <f t="shared" si="159"/>
        <v>0</v>
      </c>
      <c r="BQ113" s="109">
        <f t="shared" si="160"/>
        <v>0</v>
      </c>
    </row>
    <row r="114" spans="1:69" x14ac:dyDescent="0.25">
      <c r="A114" s="101">
        <f t="shared" si="110"/>
        <v>39295</v>
      </c>
      <c r="B114" s="102">
        <f t="shared" si="47"/>
        <v>3.0160000000000005</v>
      </c>
      <c r="C114" s="102">
        <f t="shared" si="111"/>
        <v>5.0000000000000001E-3</v>
      </c>
      <c r="D114" s="80">
        <f t="shared" si="161"/>
        <v>0.21</v>
      </c>
      <c r="E114" s="106">
        <f t="shared" si="112"/>
        <v>1</v>
      </c>
      <c r="F114" s="104">
        <f t="shared" si="49"/>
        <v>4.92</v>
      </c>
      <c r="G114" s="104">
        <f t="shared" si="50"/>
        <v>3.5</v>
      </c>
      <c r="H114" s="104">
        <f t="shared" si="51"/>
        <v>2.96</v>
      </c>
      <c r="I114" s="104">
        <f t="shared" si="52"/>
        <v>2.99</v>
      </c>
      <c r="J114" s="80">
        <f t="shared" si="113"/>
        <v>0.114</v>
      </c>
      <c r="K114" s="80" t="e">
        <f t="shared" si="114"/>
        <v>#DIV/0!</v>
      </c>
      <c r="L114" s="80" t="e">
        <f t="shared" si="115"/>
        <v>#DIV/0!</v>
      </c>
      <c r="M114" s="80" t="e">
        <f t="shared" si="116"/>
        <v>#DIV/0!</v>
      </c>
      <c r="N114" s="80">
        <f t="shared" si="117"/>
        <v>0.32400000000000001</v>
      </c>
      <c r="O114" s="80" t="e">
        <f t="shared" si="118"/>
        <v>#DIV/0!</v>
      </c>
      <c r="P114" s="80" t="e">
        <f t="shared" si="119"/>
        <v>#DIV/0!</v>
      </c>
      <c r="Q114" s="80" t="e">
        <f t="shared" si="120"/>
        <v>#DIV/0!</v>
      </c>
      <c r="R114" s="105">
        <f t="shared" ca="1" si="121"/>
        <v>2521</v>
      </c>
      <c r="S114" s="80">
        <f t="shared" si="53"/>
        <v>6.9686423699029013E-2</v>
      </c>
      <c r="T114" s="77">
        <v>0</v>
      </c>
      <c r="U114" s="182">
        <v>0</v>
      </c>
      <c r="X114" s="182"/>
      <c r="Z114" s="82"/>
      <c r="AA114" s="82">
        <f t="shared" si="122"/>
        <v>0</v>
      </c>
      <c r="AB114" s="82">
        <f t="shared" si="162"/>
        <v>0</v>
      </c>
      <c r="AC114" s="77">
        <f t="shared" si="123"/>
        <v>0</v>
      </c>
      <c r="AD114" s="108">
        <f t="shared" si="124"/>
        <v>0</v>
      </c>
      <c r="AE114" s="107">
        <f t="shared" si="125"/>
        <v>0</v>
      </c>
      <c r="AF114" s="107">
        <f t="shared" si="126"/>
        <v>0</v>
      </c>
      <c r="AG114" s="107">
        <f t="shared" si="127"/>
        <v>0</v>
      </c>
      <c r="AH114" s="109">
        <f t="shared" si="128"/>
        <v>0</v>
      </c>
      <c r="AI114" s="109">
        <f t="shared" si="129"/>
        <v>0</v>
      </c>
      <c r="AJ114" s="109">
        <f t="shared" si="130"/>
        <v>0</v>
      </c>
      <c r="AL114" s="82">
        <f t="shared" si="131"/>
        <v>0</v>
      </c>
      <c r="AM114" s="82" t="e">
        <f t="shared" si="132"/>
        <v>#DIV/0!</v>
      </c>
      <c r="AN114" s="77">
        <f t="shared" si="133"/>
        <v>0</v>
      </c>
      <c r="AO114" s="108">
        <f t="shared" si="134"/>
        <v>0</v>
      </c>
      <c r="AP114" s="107">
        <f t="shared" si="135"/>
        <v>0</v>
      </c>
      <c r="AQ114" s="107">
        <f t="shared" si="136"/>
        <v>0</v>
      </c>
      <c r="AR114" s="107">
        <f t="shared" si="137"/>
        <v>0</v>
      </c>
      <c r="AS114" s="109">
        <f t="shared" si="138"/>
        <v>0</v>
      </c>
      <c r="AT114" s="109">
        <f t="shared" si="139"/>
        <v>0</v>
      </c>
      <c r="AU114" s="109">
        <f t="shared" si="140"/>
        <v>0</v>
      </c>
      <c r="AW114" s="82">
        <f t="shared" si="141"/>
        <v>0</v>
      </c>
      <c r="AX114" s="82" t="e">
        <f t="shared" si="142"/>
        <v>#DIV/0!</v>
      </c>
      <c r="AY114" s="77">
        <f t="shared" si="143"/>
        <v>0</v>
      </c>
      <c r="AZ114" s="108">
        <f t="shared" si="144"/>
        <v>0</v>
      </c>
      <c r="BA114" s="107">
        <f t="shared" si="145"/>
        <v>0</v>
      </c>
      <c r="BB114" s="107">
        <f t="shared" si="146"/>
        <v>0</v>
      </c>
      <c r="BC114" s="107">
        <f t="shared" si="147"/>
        <v>0</v>
      </c>
      <c r="BD114" s="109">
        <f t="shared" si="148"/>
        <v>0</v>
      </c>
      <c r="BE114" s="109">
        <f t="shared" si="149"/>
        <v>0</v>
      </c>
      <c r="BF114" s="109">
        <f t="shared" si="150"/>
        <v>0</v>
      </c>
      <c r="BH114" s="82">
        <f t="shared" si="151"/>
        <v>0</v>
      </c>
      <c r="BI114" s="82" t="e">
        <f t="shared" si="152"/>
        <v>#DIV/0!</v>
      </c>
      <c r="BJ114" s="77">
        <f t="shared" si="153"/>
        <v>0</v>
      </c>
      <c r="BK114" s="108">
        <f t="shared" si="154"/>
        <v>0</v>
      </c>
      <c r="BL114" s="107">
        <f t="shared" si="155"/>
        <v>0</v>
      </c>
      <c r="BM114" s="107">
        <f t="shared" si="156"/>
        <v>0</v>
      </c>
      <c r="BN114" s="107">
        <f t="shared" si="157"/>
        <v>0</v>
      </c>
      <c r="BO114" s="109">
        <f t="shared" si="158"/>
        <v>0</v>
      </c>
      <c r="BP114" s="109">
        <f t="shared" si="159"/>
        <v>0</v>
      </c>
      <c r="BQ114" s="109">
        <f t="shared" si="160"/>
        <v>0</v>
      </c>
    </row>
    <row r="115" spans="1:69" x14ac:dyDescent="0.25">
      <c r="A115" s="101">
        <f t="shared" si="110"/>
        <v>39326</v>
      </c>
      <c r="B115" s="102">
        <f t="shared" si="47"/>
        <v>3.0019999999999998</v>
      </c>
      <c r="C115" s="102">
        <f t="shared" si="111"/>
        <v>5.0000000000000001E-3</v>
      </c>
      <c r="D115" s="80">
        <f t="shared" si="161"/>
        <v>0.21</v>
      </c>
      <c r="E115" s="106">
        <f t="shared" si="112"/>
        <v>1</v>
      </c>
      <c r="F115" s="104">
        <f t="shared" si="49"/>
        <v>4.92</v>
      </c>
      <c r="G115" s="104">
        <f t="shared" si="50"/>
        <v>3.5</v>
      </c>
      <c r="H115" s="104">
        <f t="shared" si="51"/>
        <v>2.96</v>
      </c>
      <c r="I115" s="104">
        <f t="shared" si="52"/>
        <v>2.99</v>
      </c>
      <c r="J115" s="80">
        <f t="shared" si="113"/>
        <v>0.114</v>
      </c>
      <c r="K115" s="80" t="e">
        <f t="shared" si="114"/>
        <v>#DIV/0!</v>
      </c>
      <c r="L115" s="80" t="e">
        <f t="shared" si="115"/>
        <v>#DIV/0!</v>
      </c>
      <c r="M115" s="80" t="e">
        <f t="shared" si="116"/>
        <v>#DIV/0!</v>
      </c>
      <c r="N115" s="80">
        <f t="shared" si="117"/>
        <v>0.32400000000000001</v>
      </c>
      <c r="O115" s="80" t="e">
        <f t="shared" si="118"/>
        <v>#DIV/0!</v>
      </c>
      <c r="P115" s="80" t="e">
        <f t="shared" si="119"/>
        <v>#DIV/0!</v>
      </c>
      <c r="Q115" s="80" t="e">
        <f t="shared" si="120"/>
        <v>#DIV/0!</v>
      </c>
      <c r="R115" s="105">
        <f t="shared" ca="1" si="121"/>
        <v>2554</v>
      </c>
      <c r="S115" s="80">
        <f t="shared" si="53"/>
        <v>6.9702680074925014E-2</v>
      </c>
      <c r="T115" s="77">
        <v>0</v>
      </c>
      <c r="U115" s="182">
        <v>0</v>
      </c>
      <c r="X115" s="182"/>
      <c r="Z115" s="82"/>
      <c r="AA115" s="82">
        <f t="shared" si="122"/>
        <v>0</v>
      </c>
      <c r="AB115" s="82">
        <f t="shared" si="162"/>
        <v>0</v>
      </c>
      <c r="AC115" s="77">
        <f t="shared" si="123"/>
        <v>0</v>
      </c>
      <c r="AD115" s="108">
        <f t="shared" si="124"/>
        <v>0</v>
      </c>
      <c r="AE115" s="107">
        <f t="shared" si="125"/>
        <v>0</v>
      </c>
      <c r="AF115" s="107">
        <f t="shared" si="126"/>
        <v>0</v>
      </c>
      <c r="AG115" s="107">
        <f t="shared" si="127"/>
        <v>0</v>
      </c>
      <c r="AH115" s="109">
        <f t="shared" si="128"/>
        <v>0</v>
      </c>
      <c r="AI115" s="109">
        <f t="shared" si="129"/>
        <v>0</v>
      </c>
      <c r="AJ115" s="109">
        <f t="shared" si="130"/>
        <v>0</v>
      </c>
      <c r="AL115" s="82">
        <f t="shared" si="131"/>
        <v>0</v>
      </c>
      <c r="AM115" s="82" t="e">
        <f t="shared" si="132"/>
        <v>#DIV/0!</v>
      </c>
      <c r="AN115" s="77">
        <f t="shared" si="133"/>
        <v>0</v>
      </c>
      <c r="AO115" s="108">
        <f t="shared" si="134"/>
        <v>0</v>
      </c>
      <c r="AP115" s="107">
        <f t="shared" si="135"/>
        <v>0</v>
      </c>
      <c r="AQ115" s="107">
        <f t="shared" si="136"/>
        <v>0</v>
      </c>
      <c r="AR115" s="107">
        <f t="shared" si="137"/>
        <v>0</v>
      </c>
      <c r="AS115" s="109">
        <f t="shared" si="138"/>
        <v>0</v>
      </c>
      <c r="AT115" s="109">
        <f t="shared" si="139"/>
        <v>0</v>
      </c>
      <c r="AU115" s="109">
        <f t="shared" si="140"/>
        <v>0</v>
      </c>
      <c r="AW115" s="82">
        <f t="shared" si="141"/>
        <v>0</v>
      </c>
      <c r="AX115" s="82" t="e">
        <f t="shared" si="142"/>
        <v>#DIV/0!</v>
      </c>
      <c r="AY115" s="77">
        <f t="shared" si="143"/>
        <v>0</v>
      </c>
      <c r="AZ115" s="108">
        <f t="shared" si="144"/>
        <v>0</v>
      </c>
      <c r="BA115" s="107">
        <f t="shared" si="145"/>
        <v>0</v>
      </c>
      <c r="BB115" s="107">
        <f t="shared" si="146"/>
        <v>0</v>
      </c>
      <c r="BC115" s="107">
        <f t="shared" si="147"/>
        <v>0</v>
      </c>
      <c r="BD115" s="109">
        <f t="shared" si="148"/>
        <v>0</v>
      </c>
      <c r="BE115" s="109">
        <f t="shared" si="149"/>
        <v>0</v>
      </c>
      <c r="BF115" s="109">
        <f t="shared" si="150"/>
        <v>0</v>
      </c>
      <c r="BH115" s="82">
        <f t="shared" si="151"/>
        <v>0</v>
      </c>
      <c r="BI115" s="82" t="e">
        <f t="shared" si="152"/>
        <v>#DIV/0!</v>
      </c>
      <c r="BJ115" s="77">
        <f t="shared" si="153"/>
        <v>0</v>
      </c>
      <c r="BK115" s="108">
        <f t="shared" si="154"/>
        <v>0</v>
      </c>
      <c r="BL115" s="107">
        <f t="shared" si="155"/>
        <v>0</v>
      </c>
      <c r="BM115" s="107">
        <f t="shared" si="156"/>
        <v>0</v>
      </c>
      <c r="BN115" s="107">
        <f t="shared" si="157"/>
        <v>0</v>
      </c>
      <c r="BO115" s="109">
        <f t="shared" si="158"/>
        <v>0</v>
      </c>
      <c r="BP115" s="109">
        <f t="shared" si="159"/>
        <v>0</v>
      </c>
      <c r="BQ115" s="109">
        <f t="shared" si="160"/>
        <v>0</v>
      </c>
    </row>
    <row r="116" spans="1:69" x14ac:dyDescent="0.25">
      <c r="A116" s="101">
        <f t="shared" si="110"/>
        <v>39356</v>
      </c>
      <c r="B116" s="102">
        <f t="shared" si="47"/>
        <v>3.0030000000000001</v>
      </c>
      <c r="C116" s="102">
        <f t="shared" si="111"/>
        <v>5.0000000000000001E-3</v>
      </c>
      <c r="D116" s="80">
        <f t="shared" si="161"/>
        <v>0.2</v>
      </c>
      <c r="E116" s="106">
        <f t="shared" si="112"/>
        <v>1</v>
      </c>
      <c r="F116" s="104">
        <f t="shared" si="49"/>
        <v>4.92</v>
      </c>
      <c r="G116" s="104">
        <f t="shared" si="50"/>
        <v>3.5</v>
      </c>
      <c r="H116" s="104">
        <f t="shared" si="51"/>
        <v>2.96</v>
      </c>
      <c r="I116" s="104">
        <f t="shared" si="52"/>
        <v>2.99</v>
      </c>
      <c r="J116" s="80">
        <f t="shared" si="113"/>
        <v>0.114</v>
      </c>
      <c r="K116" s="80" t="e">
        <f t="shared" si="114"/>
        <v>#DIV/0!</v>
      </c>
      <c r="L116" s="80" t="e">
        <f t="shared" si="115"/>
        <v>#DIV/0!</v>
      </c>
      <c r="M116" s="80" t="e">
        <f t="shared" si="116"/>
        <v>#DIV/0!</v>
      </c>
      <c r="N116" s="80">
        <f t="shared" si="117"/>
        <v>0.314</v>
      </c>
      <c r="O116" s="80" t="e">
        <f t="shared" si="118"/>
        <v>#DIV/0!</v>
      </c>
      <c r="P116" s="80" t="e">
        <f t="shared" si="119"/>
        <v>#DIV/0!</v>
      </c>
      <c r="Q116" s="80" t="e">
        <f t="shared" si="120"/>
        <v>#DIV/0!</v>
      </c>
      <c r="R116" s="105">
        <f t="shared" ca="1" si="121"/>
        <v>2582</v>
      </c>
      <c r="S116" s="80">
        <f t="shared" si="53"/>
        <v>6.9715796261551014E-2</v>
      </c>
      <c r="T116" s="77">
        <v>0</v>
      </c>
      <c r="U116" s="182">
        <v>0</v>
      </c>
      <c r="X116" s="182"/>
      <c r="Z116" s="82"/>
      <c r="AA116" s="82">
        <f t="shared" si="122"/>
        <v>0</v>
      </c>
      <c r="AB116" s="82">
        <f t="shared" si="162"/>
        <v>0</v>
      </c>
      <c r="AC116" s="77">
        <f t="shared" si="123"/>
        <v>0</v>
      </c>
      <c r="AD116" s="108">
        <f t="shared" si="124"/>
        <v>0</v>
      </c>
      <c r="AE116" s="107">
        <f t="shared" si="125"/>
        <v>0</v>
      </c>
      <c r="AF116" s="107">
        <f t="shared" si="126"/>
        <v>0</v>
      </c>
      <c r="AG116" s="107">
        <f t="shared" si="127"/>
        <v>0</v>
      </c>
      <c r="AH116" s="109">
        <f t="shared" si="128"/>
        <v>0</v>
      </c>
      <c r="AI116" s="109">
        <f t="shared" si="129"/>
        <v>0</v>
      </c>
      <c r="AJ116" s="109">
        <f t="shared" si="130"/>
        <v>0</v>
      </c>
      <c r="AL116" s="82">
        <f t="shared" si="131"/>
        <v>0</v>
      </c>
      <c r="AM116" s="82" t="e">
        <f t="shared" si="132"/>
        <v>#DIV/0!</v>
      </c>
      <c r="AN116" s="77">
        <f t="shared" si="133"/>
        <v>0</v>
      </c>
      <c r="AO116" s="108">
        <f t="shared" si="134"/>
        <v>0</v>
      </c>
      <c r="AP116" s="107">
        <f t="shared" si="135"/>
        <v>0</v>
      </c>
      <c r="AQ116" s="107">
        <f t="shared" si="136"/>
        <v>0</v>
      </c>
      <c r="AR116" s="107">
        <f t="shared" si="137"/>
        <v>0</v>
      </c>
      <c r="AS116" s="109">
        <f t="shared" si="138"/>
        <v>0</v>
      </c>
      <c r="AT116" s="109">
        <f t="shared" si="139"/>
        <v>0</v>
      </c>
      <c r="AU116" s="109">
        <f t="shared" si="140"/>
        <v>0</v>
      </c>
      <c r="AW116" s="82">
        <f t="shared" si="141"/>
        <v>0</v>
      </c>
      <c r="AX116" s="82" t="e">
        <f t="shared" si="142"/>
        <v>#DIV/0!</v>
      </c>
      <c r="AY116" s="77">
        <f t="shared" si="143"/>
        <v>0</v>
      </c>
      <c r="AZ116" s="108">
        <f t="shared" si="144"/>
        <v>0</v>
      </c>
      <c r="BA116" s="107">
        <f t="shared" si="145"/>
        <v>0</v>
      </c>
      <c r="BB116" s="107">
        <f t="shared" si="146"/>
        <v>0</v>
      </c>
      <c r="BC116" s="107">
        <f t="shared" si="147"/>
        <v>0</v>
      </c>
      <c r="BD116" s="109">
        <f t="shared" si="148"/>
        <v>0</v>
      </c>
      <c r="BE116" s="109">
        <f t="shared" si="149"/>
        <v>0</v>
      </c>
      <c r="BF116" s="109">
        <f t="shared" si="150"/>
        <v>0</v>
      </c>
      <c r="BH116" s="82">
        <f t="shared" si="151"/>
        <v>0</v>
      </c>
      <c r="BI116" s="82" t="e">
        <f t="shared" si="152"/>
        <v>#DIV/0!</v>
      </c>
      <c r="BJ116" s="77">
        <f t="shared" si="153"/>
        <v>0</v>
      </c>
      <c r="BK116" s="108">
        <f t="shared" si="154"/>
        <v>0</v>
      </c>
      <c r="BL116" s="107">
        <f t="shared" si="155"/>
        <v>0</v>
      </c>
      <c r="BM116" s="107">
        <f t="shared" si="156"/>
        <v>0</v>
      </c>
      <c r="BN116" s="107">
        <f t="shared" si="157"/>
        <v>0</v>
      </c>
      <c r="BO116" s="109">
        <f t="shared" si="158"/>
        <v>0</v>
      </c>
      <c r="BP116" s="109">
        <f t="shared" si="159"/>
        <v>0</v>
      </c>
      <c r="BQ116" s="109">
        <f t="shared" si="160"/>
        <v>0</v>
      </c>
    </row>
    <row r="117" spans="1:69" x14ac:dyDescent="0.25">
      <c r="A117" s="101">
        <f t="shared" si="110"/>
        <v>39387</v>
      </c>
      <c r="B117" s="102">
        <f t="shared" si="47"/>
        <v>3.0750000000000002</v>
      </c>
      <c r="C117" s="102">
        <f t="shared" si="111"/>
        <v>5.0000000000000001E-3</v>
      </c>
      <c r="D117" s="80">
        <f t="shared" si="161"/>
        <v>0.2</v>
      </c>
      <c r="E117" s="106">
        <f t="shared" si="112"/>
        <v>1</v>
      </c>
      <c r="F117" s="104">
        <f t="shared" si="49"/>
        <v>4.92</v>
      </c>
      <c r="G117" s="104">
        <f t="shared" si="50"/>
        <v>3.5</v>
      </c>
      <c r="H117" s="104">
        <f t="shared" si="51"/>
        <v>2.96</v>
      </c>
      <c r="I117" s="104">
        <f t="shared" si="52"/>
        <v>2.99</v>
      </c>
      <c r="J117" s="80">
        <f t="shared" si="113"/>
        <v>0.114</v>
      </c>
      <c r="K117" s="80" t="e">
        <f t="shared" si="114"/>
        <v>#DIV/0!</v>
      </c>
      <c r="L117" s="80" t="e">
        <f t="shared" si="115"/>
        <v>#DIV/0!</v>
      </c>
      <c r="M117" s="80" t="e">
        <f t="shared" si="116"/>
        <v>#DIV/0!</v>
      </c>
      <c r="N117" s="80">
        <f t="shared" si="117"/>
        <v>0.314</v>
      </c>
      <c r="O117" s="80" t="e">
        <f t="shared" si="118"/>
        <v>#DIV/0!</v>
      </c>
      <c r="P117" s="80" t="e">
        <f t="shared" si="119"/>
        <v>#DIV/0!</v>
      </c>
      <c r="Q117" s="80" t="e">
        <f t="shared" si="120"/>
        <v>#DIV/0!</v>
      </c>
      <c r="R117" s="105">
        <f t="shared" ca="1" si="121"/>
        <v>2615</v>
      </c>
      <c r="S117" s="80">
        <f t="shared" si="53"/>
        <v>6.9728933810896024E-2</v>
      </c>
      <c r="T117" s="77">
        <v>0</v>
      </c>
      <c r="U117" s="182">
        <v>0</v>
      </c>
      <c r="X117" s="182"/>
      <c r="Z117" s="82"/>
      <c r="AA117" s="82">
        <f t="shared" si="122"/>
        <v>0</v>
      </c>
      <c r="AB117" s="82">
        <f t="shared" si="162"/>
        <v>0</v>
      </c>
      <c r="AC117" s="77">
        <f t="shared" si="123"/>
        <v>0</v>
      </c>
      <c r="AD117" s="108">
        <f t="shared" si="124"/>
        <v>0</v>
      </c>
      <c r="AE117" s="107">
        <f t="shared" si="125"/>
        <v>0</v>
      </c>
      <c r="AF117" s="107">
        <f t="shared" si="126"/>
        <v>0</v>
      </c>
      <c r="AG117" s="107">
        <f t="shared" si="127"/>
        <v>0</v>
      </c>
      <c r="AH117" s="109">
        <f t="shared" si="128"/>
        <v>0</v>
      </c>
      <c r="AI117" s="109">
        <f t="shared" si="129"/>
        <v>0</v>
      </c>
      <c r="AJ117" s="109">
        <f t="shared" si="130"/>
        <v>0</v>
      </c>
      <c r="AL117" s="82">
        <f t="shared" si="131"/>
        <v>0</v>
      </c>
      <c r="AM117" s="82" t="e">
        <f t="shared" si="132"/>
        <v>#DIV/0!</v>
      </c>
      <c r="AN117" s="77">
        <f t="shared" si="133"/>
        <v>0</v>
      </c>
      <c r="AO117" s="108">
        <f t="shared" si="134"/>
        <v>0</v>
      </c>
      <c r="AP117" s="107">
        <f t="shared" si="135"/>
        <v>0</v>
      </c>
      <c r="AQ117" s="107">
        <f t="shared" si="136"/>
        <v>0</v>
      </c>
      <c r="AR117" s="107">
        <f t="shared" si="137"/>
        <v>0</v>
      </c>
      <c r="AS117" s="109">
        <f t="shared" si="138"/>
        <v>0</v>
      </c>
      <c r="AT117" s="109">
        <f t="shared" si="139"/>
        <v>0</v>
      </c>
      <c r="AU117" s="109">
        <f t="shared" si="140"/>
        <v>0</v>
      </c>
      <c r="AW117" s="82">
        <f t="shared" si="141"/>
        <v>0</v>
      </c>
      <c r="AX117" s="82" t="e">
        <f t="shared" si="142"/>
        <v>#DIV/0!</v>
      </c>
      <c r="AY117" s="77">
        <f t="shared" si="143"/>
        <v>0</v>
      </c>
      <c r="AZ117" s="108">
        <f t="shared" si="144"/>
        <v>0</v>
      </c>
      <c r="BA117" s="107">
        <f t="shared" si="145"/>
        <v>0</v>
      </c>
      <c r="BB117" s="107">
        <f t="shared" si="146"/>
        <v>0</v>
      </c>
      <c r="BC117" s="107">
        <f t="shared" si="147"/>
        <v>0</v>
      </c>
      <c r="BD117" s="109">
        <f t="shared" si="148"/>
        <v>0</v>
      </c>
      <c r="BE117" s="109">
        <f t="shared" si="149"/>
        <v>0</v>
      </c>
      <c r="BF117" s="109">
        <f t="shared" si="150"/>
        <v>0</v>
      </c>
      <c r="BH117" s="82">
        <f t="shared" si="151"/>
        <v>0</v>
      </c>
      <c r="BI117" s="82" t="e">
        <f t="shared" si="152"/>
        <v>#DIV/0!</v>
      </c>
      <c r="BJ117" s="77">
        <f t="shared" si="153"/>
        <v>0</v>
      </c>
      <c r="BK117" s="108">
        <f t="shared" si="154"/>
        <v>0</v>
      </c>
      <c r="BL117" s="107">
        <f t="shared" si="155"/>
        <v>0</v>
      </c>
      <c r="BM117" s="107">
        <f t="shared" si="156"/>
        <v>0</v>
      </c>
      <c r="BN117" s="107">
        <f t="shared" si="157"/>
        <v>0</v>
      </c>
      <c r="BO117" s="109">
        <f t="shared" si="158"/>
        <v>0</v>
      </c>
      <c r="BP117" s="109">
        <f t="shared" si="159"/>
        <v>0</v>
      </c>
      <c r="BQ117" s="109">
        <f t="shared" si="160"/>
        <v>0</v>
      </c>
    </row>
    <row r="118" spans="1:69" x14ac:dyDescent="0.25">
      <c r="A118" s="101">
        <f t="shared" si="110"/>
        <v>39417</v>
      </c>
      <c r="B118" s="102">
        <f t="shared" si="47"/>
        <v>3.145</v>
      </c>
      <c r="C118" s="102">
        <f t="shared" si="111"/>
        <v>5.0000000000000001E-3</v>
      </c>
      <c r="D118" s="80">
        <f t="shared" si="161"/>
        <v>0.2</v>
      </c>
      <c r="E118" s="106">
        <f t="shared" si="112"/>
        <v>1</v>
      </c>
      <c r="F118" s="104">
        <f t="shared" si="49"/>
        <v>4.92</v>
      </c>
      <c r="G118" s="104">
        <f t="shared" si="50"/>
        <v>3.5</v>
      </c>
      <c r="H118" s="104">
        <f t="shared" si="51"/>
        <v>2.96</v>
      </c>
      <c r="I118" s="104">
        <f t="shared" si="52"/>
        <v>2.99</v>
      </c>
      <c r="J118" s="80">
        <f t="shared" si="113"/>
        <v>0.114</v>
      </c>
      <c r="K118" s="80" t="e">
        <f t="shared" si="114"/>
        <v>#DIV/0!</v>
      </c>
      <c r="L118" s="80" t="e">
        <f t="shared" si="115"/>
        <v>#DIV/0!</v>
      </c>
      <c r="M118" s="80" t="e">
        <f t="shared" si="116"/>
        <v>#DIV/0!</v>
      </c>
      <c r="N118" s="80">
        <f t="shared" si="117"/>
        <v>0.314</v>
      </c>
      <c r="O118" s="80" t="e">
        <f t="shared" si="118"/>
        <v>#DIV/0!</v>
      </c>
      <c r="P118" s="80" t="e">
        <f t="shared" si="119"/>
        <v>#DIV/0!</v>
      </c>
      <c r="Q118" s="80" t="e">
        <f t="shared" si="120"/>
        <v>#DIV/0!</v>
      </c>
      <c r="R118" s="105">
        <f t="shared" ca="1" si="121"/>
        <v>2645</v>
      </c>
      <c r="S118" s="80">
        <f t="shared" si="53"/>
        <v>6.9741647568382012E-2</v>
      </c>
      <c r="T118" s="77">
        <v>0</v>
      </c>
      <c r="U118" s="182">
        <v>0</v>
      </c>
      <c r="X118" s="182"/>
      <c r="Z118" s="82"/>
      <c r="AA118" s="82">
        <f t="shared" si="122"/>
        <v>0</v>
      </c>
      <c r="AB118" s="82">
        <f t="shared" si="162"/>
        <v>0</v>
      </c>
      <c r="AC118" s="77">
        <f t="shared" si="123"/>
        <v>0</v>
      </c>
      <c r="AD118" s="108">
        <f t="shared" si="124"/>
        <v>0</v>
      </c>
      <c r="AE118" s="107">
        <f t="shared" si="125"/>
        <v>0</v>
      </c>
      <c r="AF118" s="107">
        <f t="shared" si="126"/>
        <v>0</v>
      </c>
      <c r="AG118" s="107">
        <f t="shared" si="127"/>
        <v>0</v>
      </c>
      <c r="AH118" s="109">
        <f t="shared" si="128"/>
        <v>0</v>
      </c>
      <c r="AI118" s="109">
        <f t="shared" si="129"/>
        <v>0</v>
      </c>
      <c r="AJ118" s="109">
        <f t="shared" si="130"/>
        <v>0</v>
      </c>
      <c r="AL118" s="82">
        <f t="shared" si="131"/>
        <v>0</v>
      </c>
      <c r="AM118" s="82" t="e">
        <f t="shared" si="132"/>
        <v>#DIV/0!</v>
      </c>
      <c r="AN118" s="77">
        <f t="shared" si="133"/>
        <v>0</v>
      </c>
      <c r="AO118" s="108">
        <f t="shared" si="134"/>
        <v>0</v>
      </c>
      <c r="AP118" s="107">
        <f t="shared" si="135"/>
        <v>0</v>
      </c>
      <c r="AQ118" s="107">
        <f t="shared" si="136"/>
        <v>0</v>
      </c>
      <c r="AR118" s="107">
        <f t="shared" si="137"/>
        <v>0</v>
      </c>
      <c r="AS118" s="109">
        <f t="shared" si="138"/>
        <v>0</v>
      </c>
      <c r="AT118" s="109">
        <f t="shared" si="139"/>
        <v>0</v>
      </c>
      <c r="AU118" s="109">
        <f t="shared" si="140"/>
        <v>0</v>
      </c>
      <c r="AW118" s="82">
        <f t="shared" si="141"/>
        <v>0</v>
      </c>
      <c r="AX118" s="82" t="e">
        <f t="shared" si="142"/>
        <v>#DIV/0!</v>
      </c>
      <c r="AY118" s="77">
        <f t="shared" si="143"/>
        <v>0</v>
      </c>
      <c r="AZ118" s="108">
        <f t="shared" si="144"/>
        <v>0</v>
      </c>
      <c r="BA118" s="107">
        <f t="shared" si="145"/>
        <v>0</v>
      </c>
      <c r="BB118" s="107">
        <f t="shared" si="146"/>
        <v>0</v>
      </c>
      <c r="BC118" s="107">
        <f t="shared" si="147"/>
        <v>0</v>
      </c>
      <c r="BD118" s="109">
        <f t="shared" si="148"/>
        <v>0</v>
      </c>
      <c r="BE118" s="109">
        <f t="shared" si="149"/>
        <v>0</v>
      </c>
      <c r="BF118" s="109">
        <f t="shared" si="150"/>
        <v>0</v>
      </c>
      <c r="BH118" s="82">
        <f t="shared" si="151"/>
        <v>0</v>
      </c>
      <c r="BI118" s="82" t="e">
        <f t="shared" si="152"/>
        <v>#DIV/0!</v>
      </c>
      <c r="BJ118" s="77">
        <f t="shared" si="153"/>
        <v>0</v>
      </c>
      <c r="BK118" s="108">
        <f t="shared" si="154"/>
        <v>0</v>
      </c>
      <c r="BL118" s="107">
        <f t="shared" si="155"/>
        <v>0</v>
      </c>
      <c r="BM118" s="107">
        <f t="shared" si="156"/>
        <v>0</v>
      </c>
      <c r="BN118" s="107">
        <f t="shared" si="157"/>
        <v>0</v>
      </c>
      <c r="BO118" s="109">
        <f t="shared" si="158"/>
        <v>0</v>
      </c>
      <c r="BP118" s="109">
        <f t="shared" si="159"/>
        <v>0</v>
      </c>
      <c r="BQ118" s="109">
        <f t="shared" si="160"/>
        <v>0</v>
      </c>
    </row>
    <row r="119" spans="1:69" x14ac:dyDescent="0.25">
      <c r="A119" s="101">
        <f t="shared" si="110"/>
        <v>39448</v>
      </c>
      <c r="B119" s="102">
        <f t="shared" si="47"/>
        <v>3.4319999999999999</v>
      </c>
      <c r="C119" s="102">
        <f t="shared" si="111"/>
        <v>5.0000000000000001E-3</v>
      </c>
      <c r="D119" s="80">
        <f t="shared" si="161"/>
        <v>0.2</v>
      </c>
      <c r="E119" s="106">
        <f t="shared" si="112"/>
        <v>1</v>
      </c>
      <c r="F119" s="104">
        <f t="shared" si="49"/>
        <v>4.92</v>
      </c>
      <c r="G119" s="104">
        <f t="shared" si="50"/>
        <v>3.5</v>
      </c>
      <c r="H119" s="104">
        <f t="shared" si="51"/>
        <v>2.96</v>
      </c>
      <c r="I119" s="104">
        <f t="shared" si="52"/>
        <v>2.99</v>
      </c>
      <c r="J119" s="80">
        <f t="shared" si="113"/>
        <v>0.114</v>
      </c>
      <c r="K119" s="80" t="e">
        <f t="shared" si="114"/>
        <v>#DIV/0!</v>
      </c>
      <c r="L119" s="80" t="e">
        <f t="shared" si="115"/>
        <v>#DIV/0!</v>
      </c>
      <c r="M119" s="80" t="e">
        <f t="shared" si="116"/>
        <v>#DIV/0!</v>
      </c>
      <c r="N119" s="80">
        <f t="shared" si="117"/>
        <v>0.314</v>
      </c>
      <c r="O119" s="80" t="e">
        <f t="shared" si="118"/>
        <v>#DIV/0!</v>
      </c>
      <c r="P119" s="80" t="e">
        <f t="shared" si="119"/>
        <v>#DIV/0!</v>
      </c>
      <c r="Q119" s="80" t="e">
        <f t="shared" si="120"/>
        <v>#DIV/0!</v>
      </c>
      <c r="R119" s="105">
        <f t="shared" ca="1" si="121"/>
        <v>2674</v>
      </c>
      <c r="S119" s="80">
        <f t="shared" si="53"/>
        <v>6.9754785117839016E-2</v>
      </c>
      <c r="T119" s="77">
        <v>0</v>
      </c>
      <c r="U119" s="182">
        <v>0</v>
      </c>
      <c r="X119" s="182"/>
      <c r="Z119" s="82"/>
      <c r="AA119" s="82">
        <f t="shared" si="122"/>
        <v>0</v>
      </c>
      <c r="AB119" s="82">
        <f t="shared" si="162"/>
        <v>0</v>
      </c>
      <c r="AC119" s="77">
        <f t="shared" si="123"/>
        <v>0</v>
      </c>
      <c r="AD119" s="108">
        <f t="shared" si="124"/>
        <v>0</v>
      </c>
      <c r="AE119" s="107">
        <f t="shared" si="125"/>
        <v>0</v>
      </c>
      <c r="AF119" s="107">
        <f t="shared" si="126"/>
        <v>0</v>
      </c>
      <c r="AG119" s="107">
        <f t="shared" si="127"/>
        <v>0</v>
      </c>
      <c r="AH119" s="109">
        <f t="shared" si="128"/>
        <v>0</v>
      </c>
      <c r="AI119" s="109">
        <f t="shared" si="129"/>
        <v>0</v>
      </c>
      <c r="AJ119" s="109">
        <f t="shared" si="130"/>
        <v>0</v>
      </c>
      <c r="AL119" s="82">
        <f t="shared" si="131"/>
        <v>0</v>
      </c>
      <c r="AM119" s="82" t="e">
        <f t="shared" si="132"/>
        <v>#DIV/0!</v>
      </c>
      <c r="AN119" s="77">
        <f t="shared" si="133"/>
        <v>0</v>
      </c>
      <c r="AO119" s="108">
        <f t="shared" si="134"/>
        <v>0</v>
      </c>
      <c r="AP119" s="107">
        <f t="shared" si="135"/>
        <v>0</v>
      </c>
      <c r="AQ119" s="107">
        <f t="shared" si="136"/>
        <v>0</v>
      </c>
      <c r="AR119" s="107">
        <f t="shared" si="137"/>
        <v>0</v>
      </c>
      <c r="AS119" s="109">
        <f t="shared" si="138"/>
        <v>0</v>
      </c>
      <c r="AT119" s="109">
        <f t="shared" si="139"/>
        <v>0</v>
      </c>
      <c r="AU119" s="109">
        <f t="shared" si="140"/>
        <v>0</v>
      </c>
      <c r="AW119" s="82">
        <f t="shared" si="141"/>
        <v>0</v>
      </c>
      <c r="AX119" s="82" t="e">
        <f t="shared" si="142"/>
        <v>#DIV/0!</v>
      </c>
      <c r="AY119" s="77">
        <f t="shared" si="143"/>
        <v>0</v>
      </c>
      <c r="AZ119" s="108">
        <f t="shared" si="144"/>
        <v>0</v>
      </c>
      <c r="BA119" s="107">
        <f t="shared" si="145"/>
        <v>0</v>
      </c>
      <c r="BB119" s="107">
        <f t="shared" si="146"/>
        <v>0</v>
      </c>
      <c r="BC119" s="107">
        <f t="shared" si="147"/>
        <v>0</v>
      </c>
      <c r="BD119" s="109">
        <f t="shared" si="148"/>
        <v>0</v>
      </c>
      <c r="BE119" s="109">
        <f t="shared" si="149"/>
        <v>0</v>
      </c>
      <c r="BF119" s="109">
        <f t="shared" si="150"/>
        <v>0</v>
      </c>
      <c r="BH119" s="82">
        <f t="shared" si="151"/>
        <v>0</v>
      </c>
      <c r="BI119" s="82" t="e">
        <f t="shared" si="152"/>
        <v>#DIV/0!</v>
      </c>
      <c r="BJ119" s="77">
        <f t="shared" si="153"/>
        <v>0</v>
      </c>
      <c r="BK119" s="108">
        <f t="shared" si="154"/>
        <v>0</v>
      </c>
      <c r="BL119" s="107">
        <f t="shared" si="155"/>
        <v>0</v>
      </c>
      <c r="BM119" s="107">
        <f t="shared" si="156"/>
        <v>0</v>
      </c>
      <c r="BN119" s="107">
        <f t="shared" si="157"/>
        <v>0</v>
      </c>
      <c r="BO119" s="109">
        <f t="shared" si="158"/>
        <v>0</v>
      </c>
      <c r="BP119" s="109">
        <f t="shared" si="159"/>
        <v>0</v>
      </c>
      <c r="BQ119" s="109">
        <f t="shared" si="160"/>
        <v>0</v>
      </c>
    </row>
    <row r="120" spans="1:69" x14ac:dyDescent="0.25">
      <c r="A120" s="101">
        <f t="shared" si="110"/>
        <v>39479</v>
      </c>
      <c r="B120" s="102">
        <f t="shared" si="47"/>
        <v>3.31</v>
      </c>
      <c r="C120" s="102">
        <f t="shared" si="111"/>
        <v>5.0000000000000001E-3</v>
      </c>
      <c r="D120" s="80">
        <f t="shared" si="161"/>
        <v>0.2</v>
      </c>
      <c r="E120" s="106">
        <f t="shared" si="112"/>
        <v>1</v>
      </c>
      <c r="F120" s="104">
        <f t="shared" si="49"/>
        <v>4.92</v>
      </c>
      <c r="G120" s="104">
        <f t="shared" si="50"/>
        <v>3.5</v>
      </c>
      <c r="H120" s="104">
        <f t="shared" si="51"/>
        <v>2.96</v>
      </c>
      <c r="I120" s="104">
        <f t="shared" si="52"/>
        <v>2.99</v>
      </c>
      <c r="J120" s="80">
        <f t="shared" si="113"/>
        <v>0.114</v>
      </c>
      <c r="K120" s="80" t="e">
        <f t="shared" si="114"/>
        <v>#DIV/0!</v>
      </c>
      <c r="L120" s="80" t="e">
        <f t="shared" si="115"/>
        <v>#DIV/0!</v>
      </c>
      <c r="M120" s="80" t="e">
        <f t="shared" si="116"/>
        <v>#DIV/0!</v>
      </c>
      <c r="N120" s="80">
        <f t="shared" si="117"/>
        <v>0.314</v>
      </c>
      <c r="O120" s="80" t="e">
        <f t="shared" si="118"/>
        <v>#DIV/0!</v>
      </c>
      <c r="P120" s="80" t="e">
        <f t="shared" si="119"/>
        <v>#DIV/0!</v>
      </c>
      <c r="Q120" s="80" t="e">
        <f t="shared" si="120"/>
        <v>#DIV/0!</v>
      </c>
      <c r="R120" s="105">
        <f t="shared" ca="1" si="121"/>
        <v>2707</v>
      </c>
      <c r="S120" s="80">
        <f t="shared" si="53"/>
        <v>6.9767922667354001E-2</v>
      </c>
      <c r="T120" s="77">
        <v>0</v>
      </c>
      <c r="U120" s="182">
        <v>0</v>
      </c>
      <c r="X120" s="182"/>
      <c r="Z120" s="82"/>
      <c r="AA120" s="82">
        <f t="shared" si="122"/>
        <v>0</v>
      </c>
      <c r="AB120" s="82">
        <f t="shared" si="162"/>
        <v>0</v>
      </c>
      <c r="AC120" s="77">
        <f t="shared" si="123"/>
        <v>0</v>
      </c>
      <c r="AD120" s="108">
        <f t="shared" si="124"/>
        <v>0</v>
      </c>
      <c r="AE120" s="107">
        <f t="shared" si="125"/>
        <v>0</v>
      </c>
      <c r="AF120" s="107">
        <f t="shared" si="126"/>
        <v>0</v>
      </c>
      <c r="AG120" s="107">
        <f t="shared" si="127"/>
        <v>0</v>
      </c>
      <c r="AH120" s="109">
        <f t="shared" si="128"/>
        <v>0</v>
      </c>
      <c r="AI120" s="109">
        <f t="shared" si="129"/>
        <v>0</v>
      </c>
      <c r="AJ120" s="109">
        <f t="shared" si="130"/>
        <v>0</v>
      </c>
      <c r="AL120" s="82">
        <f t="shared" si="131"/>
        <v>0</v>
      </c>
      <c r="AM120" s="82" t="e">
        <f t="shared" si="132"/>
        <v>#DIV/0!</v>
      </c>
      <c r="AN120" s="77">
        <f t="shared" si="133"/>
        <v>0</v>
      </c>
      <c r="AO120" s="108">
        <f t="shared" si="134"/>
        <v>0</v>
      </c>
      <c r="AP120" s="107">
        <f t="shared" si="135"/>
        <v>0</v>
      </c>
      <c r="AQ120" s="107">
        <f t="shared" si="136"/>
        <v>0</v>
      </c>
      <c r="AR120" s="107">
        <f t="shared" si="137"/>
        <v>0</v>
      </c>
      <c r="AS120" s="109">
        <f t="shared" si="138"/>
        <v>0</v>
      </c>
      <c r="AT120" s="109">
        <f t="shared" si="139"/>
        <v>0</v>
      </c>
      <c r="AU120" s="109">
        <f t="shared" si="140"/>
        <v>0</v>
      </c>
      <c r="AW120" s="82">
        <f t="shared" si="141"/>
        <v>0</v>
      </c>
      <c r="AX120" s="82" t="e">
        <f t="shared" si="142"/>
        <v>#DIV/0!</v>
      </c>
      <c r="AY120" s="77">
        <f t="shared" si="143"/>
        <v>0</v>
      </c>
      <c r="AZ120" s="108">
        <f t="shared" si="144"/>
        <v>0</v>
      </c>
      <c r="BA120" s="107">
        <f t="shared" si="145"/>
        <v>0</v>
      </c>
      <c r="BB120" s="107">
        <f t="shared" si="146"/>
        <v>0</v>
      </c>
      <c r="BC120" s="107">
        <f t="shared" si="147"/>
        <v>0</v>
      </c>
      <c r="BD120" s="109">
        <f t="shared" si="148"/>
        <v>0</v>
      </c>
      <c r="BE120" s="109">
        <f t="shared" si="149"/>
        <v>0</v>
      </c>
      <c r="BF120" s="109">
        <f t="shared" si="150"/>
        <v>0</v>
      </c>
      <c r="BH120" s="82">
        <f t="shared" si="151"/>
        <v>0</v>
      </c>
      <c r="BI120" s="82" t="e">
        <f t="shared" si="152"/>
        <v>#DIV/0!</v>
      </c>
      <c r="BJ120" s="77">
        <f t="shared" si="153"/>
        <v>0</v>
      </c>
      <c r="BK120" s="108">
        <f t="shared" si="154"/>
        <v>0</v>
      </c>
      <c r="BL120" s="107">
        <f t="shared" si="155"/>
        <v>0</v>
      </c>
      <c r="BM120" s="107">
        <f t="shared" si="156"/>
        <v>0</v>
      </c>
      <c r="BN120" s="107">
        <f t="shared" si="157"/>
        <v>0</v>
      </c>
      <c r="BO120" s="109">
        <f t="shared" si="158"/>
        <v>0</v>
      </c>
      <c r="BP120" s="109">
        <f t="shared" si="159"/>
        <v>0</v>
      </c>
      <c r="BQ120" s="109">
        <f t="shared" si="160"/>
        <v>0</v>
      </c>
    </row>
    <row r="121" spans="1:69" x14ac:dyDescent="0.25">
      <c r="A121" s="101">
        <f t="shared" si="110"/>
        <v>39508</v>
      </c>
      <c r="B121" s="102">
        <f t="shared" si="47"/>
        <v>3.1549999999999998</v>
      </c>
      <c r="C121" s="102">
        <f t="shared" si="111"/>
        <v>5.0000000000000001E-3</v>
      </c>
      <c r="D121" s="80">
        <f t="shared" si="161"/>
        <v>0.2</v>
      </c>
      <c r="E121" s="106">
        <f t="shared" si="112"/>
        <v>1</v>
      </c>
      <c r="F121" s="104">
        <f t="shared" si="49"/>
        <v>4.92</v>
      </c>
      <c r="G121" s="104">
        <f t="shared" si="50"/>
        <v>3.5</v>
      </c>
      <c r="H121" s="104">
        <f t="shared" si="51"/>
        <v>2.96</v>
      </c>
      <c r="I121" s="104">
        <f t="shared" si="52"/>
        <v>2.99</v>
      </c>
      <c r="J121" s="80">
        <f t="shared" si="113"/>
        <v>0.114</v>
      </c>
      <c r="K121" s="80" t="e">
        <f t="shared" si="114"/>
        <v>#DIV/0!</v>
      </c>
      <c r="L121" s="80" t="e">
        <f t="shared" si="115"/>
        <v>#DIV/0!</v>
      </c>
      <c r="M121" s="80" t="e">
        <f t="shared" si="116"/>
        <v>#DIV/0!</v>
      </c>
      <c r="N121" s="80">
        <f t="shared" si="117"/>
        <v>0.314</v>
      </c>
      <c r="O121" s="80" t="e">
        <f t="shared" si="118"/>
        <v>#DIV/0!</v>
      </c>
      <c r="P121" s="80" t="e">
        <f t="shared" si="119"/>
        <v>#DIV/0!</v>
      </c>
      <c r="Q121" s="80" t="e">
        <f t="shared" si="120"/>
        <v>#DIV/0!</v>
      </c>
      <c r="R121" s="105">
        <f t="shared" ca="1" si="121"/>
        <v>2736</v>
      </c>
      <c r="S121" s="80">
        <f t="shared" si="53"/>
        <v>6.9780212633080999E-2</v>
      </c>
      <c r="T121" s="77">
        <v>0</v>
      </c>
      <c r="U121" s="182">
        <v>0</v>
      </c>
      <c r="X121" s="182"/>
      <c r="Z121" s="82"/>
      <c r="AA121" s="82">
        <f t="shared" si="122"/>
        <v>0</v>
      </c>
      <c r="AB121" s="82">
        <f t="shared" si="162"/>
        <v>0</v>
      </c>
      <c r="AC121" s="77">
        <f t="shared" si="123"/>
        <v>0</v>
      </c>
      <c r="AD121" s="108">
        <f t="shared" si="124"/>
        <v>0</v>
      </c>
      <c r="AE121" s="107">
        <f t="shared" si="125"/>
        <v>0</v>
      </c>
      <c r="AF121" s="107">
        <f t="shared" si="126"/>
        <v>0</v>
      </c>
      <c r="AG121" s="107">
        <f t="shared" si="127"/>
        <v>0</v>
      </c>
      <c r="AH121" s="109">
        <f t="shared" si="128"/>
        <v>0</v>
      </c>
      <c r="AI121" s="109">
        <f t="shared" si="129"/>
        <v>0</v>
      </c>
      <c r="AJ121" s="109">
        <f t="shared" si="130"/>
        <v>0</v>
      </c>
      <c r="AL121" s="82">
        <f t="shared" si="131"/>
        <v>0</v>
      </c>
      <c r="AM121" s="82" t="e">
        <f t="shared" si="132"/>
        <v>#DIV/0!</v>
      </c>
      <c r="AN121" s="77">
        <f t="shared" si="133"/>
        <v>0</v>
      </c>
      <c r="AO121" s="108">
        <f t="shared" si="134"/>
        <v>0</v>
      </c>
      <c r="AP121" s="107">
        <f t="shared" si="135"/>
        <v>0</v>
      </c>
      <c r="AQ121" s="107">
        <f t="shared" si="136"/>
        <v>0</v>
      </c>
      <c r="AR121" s="107">
        <f t="shared" si="137"/>
        <v>0</v>
      </c>
      <c r="AS121" s="109">
        <f t="shared" si="138"/>
        <v>0</v>
      </c>
      <c r="AT121" s="109">
        <f t="shared" si="139"/>
        <v>0</v>
      </c>
      <c r="AU121" s="109">
        <f t="shared" si="140"/>
        <v>0</v>
      </c>
      <c r="AW121" s="82">
        <f t="shared" si="141"/>
        <v>0</v>
      </c>
      <c r="AX121" s="82" t="e">
        <f t="shared" si="142"/>
        <v>#DIV/0!</v>
      </c>
      <c r="AY121" s="77">
        <f t="shared" si="143"/>
        <v>0</v>
      </c>
      <c r="AZ121" s="108">
        <f t="shared" si="144"/>
        <v>0</v>
      </c>
      <c r="BA121" s="107">
        <f t="shared" si="145"/>
        <v>0</v>
      </c>
      <c r="BB121" s="107">
        <f t="shared" si="146"/>
        <v>0</v>
      </c>
      <c r="BC121" s="107">
        <f t="shared" si="147"/>
        <v>0</v>
      </c>
      <c r="BD121" s="109">
        <f t="shared" si="148"/>
        <v>0</v>
      </c>
      <c r="BE121" s="109">
        <f t="shared" si="149"/>
        <v>0</v>
      </c>
      <c r="BF121" s="109">
        <f t="shared" si="150"/>
        <v>0</v>
      </c>
      <c r="BH121" s="82">
        <f t="shared" si="151"/>
        <v>0</v>
      </c>
      <c r="BI121" s="82" t="e">
        <f t="shared" si="152"/>
        <v>#DIV/0!</v>
      </c>
      <c r="BJ121" s="77">
        <f t="shared" si="153"/>
        <v>0</v>
      </c>
      <c r="BK121" s="108">
        <f t="shared" si="154"/>
        <v>0</v>
      </c>
      <c r="BL121" s="107">
        <f t="shared" si="155"/>
        <v>0</v>
      </c>
      <c r="BM121" s="107">
        <f t="shared" si="156"/>
        <v>0</v>
      </c>
      <c r="BN121" s="107">
        <f t="shared" si="157"/>
        <v>0</v>
      </c>
      <c r="BO121" s="109">
        <f t="shared" si="158"/>
        <v>0</v>
      </c>
      <c r="BP121" s="109">
        <f t="shared" si="159"/>
        <v>0</v>
      </c>
      <c r="BQ121" s="109">
        <f t="shared" si="160"/>
        <v>0</v>
      </c>
    </row>
    <row r="122" spans="1:69" x14ac:dyDescent="0.25">
      <c r="A122" s="101">
        <f t="shared" si="110"/>
        <v>39539</v>
      </c>
      <c r="B122" s="102">
        <f t="shared" si="47"/>
        <v>2.992</v>
      </c>
      <c r="C122" s="102">
        <f t="shared" si="111"/>
        <v>5.0000000000000001E-3</v>
      </c>
      <c r="D122" s="80">
        <f t="shared" si="161"/>
        <v>0.2</v>
      </c>
      <c r="E122" s="106">
        <f t="shared" si="112"/>
        <v>1</v>
      </c>
      <c r="F122" s="104">
        <f t="shared" si="49"/>
        <v>4.92</v>
      </c>
      <c r="G122" s="104">
        <f t="shared" si="50"/>
        <v>3.5</v>
      </c>
      <c r="H122" s="104">
        <f t="shared" si="51"/>
        <v>2.96</v>
      </c>
      <c r="I122" s="104">
        <f t="shared" si="52"/>
        <v>2.99</v>
      </c>
      <c r="J122" s="80">
        <f t="shared" si="113"/>
        <v>0.114</v>
      </c>
      <c r="K122" s="80" t="e">
        <f t="shared" si="114"/>
        <v>#DIV/0!</v>
      </c>
      <c r="L122" s="80" t="e">
        <f t="shared" si="115"/>
        <v>#DIV/0!</v>
      </c>
      <c r="M122" s="80" t="e">
        <f t="shared" si="116"/>
        <v>#DIV/0!</v>
      </c>
      <c r="N122" s="80">
        <f t="shared" si="117"/>
        <v>0.314</v>
      </c>
      <c r="O122" s="80" t="e">
        <f t="shared" si="118"/>
        <v>#DIV/0!</v>
      </c>
      <c r="P122" s="80" t="e">
        <f t="shared" si="119"/>
        <v>#DIV/0!</v>
      </c>
      <c r="Q122" s="80" t="e">
        <f t="shared" si="120"/>
        <v>#DIV/0!</v>
      </c>
      <c r="R122" s="105">
        <f t="shared" ca="1" si="121"/>
        <v>2765</v>
      </c>
      <c r="S122" s="80">
        <f t="shared" si="53"/>
        <v>6.9793350182706021E-2</v>
      </c>
      <c r="T122" s="77">
        <v>0</v>
      </c>
      <c r="U122" s="182">
        <v>0</v>
      </c>
      <c r="X122" s="182"/>
      <c r="Z122" s="82"/>
      <c r="AA122" s="82">
        <f t="shared" si="122"/>
        <v>0</v>
      </c>
      <c r="AB122" s="82">
        <f t="shared" si="162"/>
        <v>0</v>
      </c>
      <c r="AC122" s="77">
        <f t="shared" si="123"/>
        <v>0</v>
      </c>
      <c r="AD122" s="108">
        <f t="shared" si="124"/>
        <v>0</v>
      </c>
      <c r="AE122" s="107">
        <f t="shared" si="125"/>
        <v>0</v>
      </c>
      <c r="AF122" s="107">
        <f t="shared" si="126"/>
        <v>0</v>
      </c>
      <c r="AG122" s="107">
        <f t="shared" si="127"/>
        <v>0</v>
      </c>
      <c r="AH122" s="109">
        <f t="shared" si="128"/>
        <v>0</v>
      </c>
      <c r="AI122" s="109">
        <f t="shared" si="129"/>
        <v>0</v>
      </c>
      <c r="AJ122" s="109">
        <f t="shared" si="130"/>
        <v>0</v>
      </c>
      <c r="AL122" s="82">
        <f t="shared" si="131"/>
        <v>0</v>
      </c>
      <c r="AM122" s="82" t="e">
        <f t="shared" si="132"/>
        <v>#DIV/0!</v>
      </c>
      <c r="AN122" s="77">
        <f t="shared" si="133"/>
        <v>0</v>
      </c>
      <c r="AO122" s="108">
        <f t="shared" si="134"/>
        <v>0</v>
      </c>
      <c r="AP122" s="107">
        <f t="shared" si="135"/>
        <v>0</v>
      </c>
      <c r="AQ122" s="107">
        <f t="shared" si="136"/>
        <v>0</v>
      </c>
      <c r="AR122" s="107">
        <f t="shared" si="137"/>
        <v>0</v>
      </c>
      <c r="AS122" s="109">
        <f t="shared" si="138"/>
        <v>0</v>
      </c>
      <c r="AT122" s="109">
        <f t="shared" si="139"/>
        <v>0</v>
      </c>
      <c r="AU122" s="109">
        <f t="shared" si="140"/>
        <v>0</v>
      </c>
      <c r="AW122" s="82">
        <f t="shared" si="141"/>
        <v>0</v>
      </c>
      <c r="AX122" s="82" t="e">
        <f t="shared" si="142"/>
        <v>#DIV/0!</v>
      </c>
      <c r="AY122" s="77">
        <f t="shared" si="143"/>
        <v>0</v>
      </c>
      <c r="AZ122" s="108">
        <f t="shared" si="144"/>
        <v>0</v>
      </c>
      <c r="BA122" s="107">
        <f t="shared" si="145"/>
        <v>0</v>
      </c>
      <c r="BB122" s="107">
        <f t="shared" si="146"/>
        <v>0</v>
      </c>
      <c r="BC122" s="107">
        <f t="shared" si="147"/>
        <v>0</v>
      </c>
      <c r="BD122" s="109">
        <f t="shared" si="148"/>
        <v>0</v>
      </c>
      <c r="BE122" s="109">
        <f t="shared" si="149"/>
        <v>0</v>
      </c>
      <c r="BF122" s="109">
        <f t="shared" si="150"/>
        <v>0</v>
      </c>
      <c r="BH122" s="82">
        <f t="shared" si="151"/>
        <v>0</v>
      </c>
      <c r="BI122" s="82" t="e">
        <f t="shared" si="152"/>
        <v>#DIV/0!</v>
      </c>
      <c r="BJ122" s="77">
        <f t="shared" si="153"/>
        <v>0</v>
      </c>
      <c r="BK122" s="108">
        <f t="shared" si="154"/>
        <v>0</v>
      </c>
      <c r="BL122" s="107">
        <f t="shared" si="155"/>
        <v>0</v>
      </c>
      <c r="BM122" s="107">
        <f t="shared" si="156"/>
        <v>0</v>
      </c>
      <c r="BN122" s="107">
        <f t="shared" si="157"/>
        <v>0</v>
      </c>
      <c r="BO122" s="109">
        <f t="shared" si="158"/>
        <v>0</v>
      </c>
      <c r="BP122" s="109">
        <f t="shared" si="159"/>
        <v>0</v>
      </c>
      <c r="BQ122" s="109">
        <f t="shared" si="160"/>
        <v>0</v>
      </c>
    </row>
    <row r="123" spans="1:69" x14ac:dyDescent="0.25">
      <c r="A123" s="101">
        <f t="shared" si="110"/>
        <v>39569</v>
      </c>
      <c r="B123" s="102">
        <f t="shared" si="47"/>
        <v>2.9819999999999998</v>
      </c>
      <c r="C123" s="102">
        <f t="shared" si="111"/>
        <v>5.0000000000000001E-3</v>
      </c>
      <c r="D123" s="80">
        <f t="shared" si="161"/>
        <v>0.2</v>
      </c>
      <c r="E123" s="106">
        <f t="shared" si="112"/>
        <v>1</v>
      </c>
      <c r="F123" s="104">
        <f t="shared" si="49"/>
        <v>4.92</v>
      </c>
      <c r="G123" s="104">
        <f t="shared" si="50"/>
        <v>3.5</v>
      </c>
      <c r="H123" s="104">
        <f t="shared" si="51"/>
        <v>2.96</v>
      </c>
      <c r="I123" s="104">
        <f t="shared" si="52"/>
        <v>2.99</v>
      </c>
      <c r="J123" s="80">
        <f t="shared" si="113"/>
        <v>0.114</v>
      </c>
      <c r="K123" s="80" t="e">
        <f t="shared" si="114"/>
        <v>#DIV/0!</v>
      </c>
      <c r="L123" s="80" t="e">
        <f t="shared" si="115"/>
        <v>#DIV/0!</v>
      </c>
      <c r="M123" s="80" t="e">
        <f t="shared" si="116"/>
        <v>#DIV/0!</v>
      </c>
      <c r="N123" s="80">
        <f t="shared" si="117"/>
        <v>0.314</v>
      </c>
      <c r="O123" s="80" t="e">
        <f t="shared" si="118"/>
        <v>#DIV/0!</v>
      </c>
      <c r="P123" s="80" t="e">
        <f t="shared" si="119"/>
        <v>#DIV/0!</v>
      </c>
      <c r="Q123" s="80" t="e">
        <f t="shared" si="120"/>
        <v>#DIV/0!</v>
      </c>
      <c r="R123" s="105">
        <f t="shared" ca="1" si="121"/>
        <v>2797</v>
      </c>
      <c r="S123" s="80">
        <f t="shared" si="53"/>
        <v>6.9806063940461016E-2</v>
      </c>
      <c r="T123" s="77">
        <v>0</v>
      </c>
      <c r="U123" s="182">
        <v>0</v>
      </c>
      <c r="X123" s="182"/>
      <c r="Z123" s="82"/>
      <c r="AA123" s="82">
        <f t="shared" si="122"/>
        <v>0</v>
      </c>
      <c r="AB123" s="82">
        <f t="shared" si="162"/>
        <v>0</v>
      </c>
      <c r="AC123" s="77">
        <f t="shared" si="123"/>
        <v>0</v>
      </c>
      <c r="AD123" s="108">
        <f t="shared" si="124"/>
        <v>0</v>
      </c>
      <c r="AE123" s="107">
        <f t="shared" si="125"/>
        <v>0</v>
      </c>
      <c r="AF123" s="107">
        <f t="shared" si="126"/>
        <v>0</v>
      </c>
      <c r="AG123" s="107">
        <f t="shared" si="127"/>
        <v>0</v>
      </c>
      <c r="AH123" s="109">
        <f t="shared" si="128"/>
        <v>0</v>
      </c>
      <c r="AI123" s="109">
        <f t="shared" si="129"/>
        <v>0</v>
      </c>
      <c r="AJ123" s="109">
        <f t="shared" si="130"/>
        <v>0</v>
      </c>
      <c r="AL123" s="82">
        <f t="shared" si="131"/>
        <v>0</v>
      </c>
      <c r="AM123" s="82" t="e">
        <f t="shared" si="132"/>
        <v>#DIV/0!</v>
      </c>
      <c r="AN123" s="77">
        <f t="shared" si="133"/>
        <v>0</v>
      </c>
      <c r="AO123" s="108">
        <f t="shared" si="134"/>
        <v>0</v>
      </c>
      <c r="AP123" s="107">
        <f t="shared" si="135"/>
        <v>0</v>
      </c>
      <c r="AQ123" s="107">
        <f t="shared" si="136"/>
        <v>0</v>
      </c>
      <c r="AR123" s="107">
        <f t="shared" si="137"/>
        <v>0</v>
      </c>
      <c r="AS123" s="109">
        <f t="shared" si="138"/>
        <v>0</v>
      </c>
      <c r="AT123" s="109">
        <f t="shared" si="139"/>
        <v>0</v>
      </c>
      <c r="AU123" s="109">
        <f t="shared" si="140"/>
        <v>0</v>
      </c>
      <c r="AW123" s="82">
        <f t="shared" si="141"/>
        <v>0</v>
      </c>
      <c r="AX123" s="82" t="e">
        <f t="shared" si="142"/>
        <v>#DIV/0!</v>
      </c>
      <c r="AY123" s="77">
        <f t="shared" si="143"/>
        <v>0</v>
      </c>
      <c r="AZ123" s="108">
        <f t="shared" si="144"/>
        <v>0</v>
      </c>
      <c r="BA123" s="107">
        <f t="shared" si="145"/>
        <v>0</v>
      </c>
      <c r="BB123" s="107">
        <f t="shared" si="146"/>
        <v>0</v>
      </c>
      <c r="BC123" s="107">
        <f t="shared" si="147"/>
        <v>0</v>
      </c>
      <c r="BD123" s="109">
        <f t="shared" si="148"/>
        <v>0</v>
      </c>
      <c r="BE123" s="109">
        <f t="shared" si="149"/>
        <v>0</v>
      </c>
      <c r="BF123" s="109">
        <f t="shared" si="150"/>
        <v>0</v>
      </c>
      <c r="BH123" s="82">
        <f t="shared" si="151"/>
        <v>0</v>
      </c>
      <c r="BI123" s="82" t="e">
        <f t="shared" si="152"/>
        <v>#DIV/0!</v>
      </c>
      <c r="BJ123" s="77">
        <f t="shared" si="153"/>
        <v>0</v>
      </c>
      <c r="BK123" s="108">
        <f t="shared" si="154"/>
        <v>0</v>
      </c>
      <c r="BL123" s="107">
        <f t="shared" si="155"/>
        <v>0</v>
      </c>
      <c r="BM123" s="107">
        <f t="shared" si="156"/>
        <v>0</v>
      </c>
      <c r="BN123" s="107">
        <f t="shared" si="157"/>
        <v>0</v>
      </c>
      <c r="BO123" s="109">
        <f t="shared" si="158"/>
        <v>0</v>
      </c>
      <c r="BP123" s="109">
        <f t="shared" si="159"/>
        <v>0</v>
      </c>
      <c r="BQ123" s="109">
        <f t="shared" si="160"/>
        <v>0</v>
      </c>
    </row>
    <row r="124" spans="1:69" x14ac:dyDescent="0.25">
      <c r="A124" s="101">
        <f t="shared" si="110"/>
        <v>39600</v>
      </c>
      <c r="B124" s="102">
        <f t="shared" si="47"/>
        <v>3.0070000000000001</v>
      </c>
      <c r="C124" s="102">
        <f t="shared" si="111"/>
        <v>5.0000000000000001E-3</v>
      </c>
      <c r="D124" s="80">
        <f t="shared" si="161"/>
        <v>0.2</v>
      </c>
      <c r="E124" s="106">
        <f t="shared" si="112"/>
        <v>1</v>
      </c>
      <c r="F124" s="104">
        <f t="shared" si="49"/>
        <v>4.92</v>
      </c>
      <c r="G124" s="104">
        <f t="shared" si="50"/>
        <v>3.5</v>
      </c>
      <c r="H124" s="104">
        <f t="shared" si="51"/>
        <v>2.96</v>
      </c>
      <c r="I124" s="104">
        <f t="shared" si="52"/>
        <v>2.99</v>
      </c>
      <c r="J124" s="80">
        <f t="shared" si="113"/>
        <v>0.114</v>
      </c>
      <c r="K124" s="80" t="e">
        <f t="shared" si="114"/>
        <v>#DIV/0!</v>
      </c>
      <c r="L124" s="80" t="e">
        <f t="shared" si="115"/>
        <v>#DIV/0!</v>
      </c>
      <c r="M124" s="80" t="e">
        <f t="shared" si="116"/>
        <v>#DIV/0!</v>
      </c>
      <c r="N124" s="80">
        <f t="shared" si="117"/>
        <v>0.314</v>
      </c>
      <c r="O124" s="80" t="e">
        <f t="shared" si="118"/>
        <v>#DIV/0!</v>
      </c>
      <c r="P124" s="80" t="e">
        <f t="shared" si="119"/>
        <v>#DIV/0!</v>
      </c>
      <c r="Q124" s="80" t="e">
        <f t="shared" si="120"/>
        <v>#DIV/0!</v>
      </c>
      <c r="R124" s="105">
        <f t="shared" ca="1" si="121"/>
        <v>2827</v>
      </c>
      <c r="S124" s="80">
        <f t="shared" si="53"/>
        <v>6.9819201490199018E-2</v>
      </c>
      <c r="T124" s="77">
        <v>0</v>
      </c>
      <c r="U124" s="182">
        <v>0</v>
      </c>
      <c r="X124" s="182"/>
      <c r="Z124" s="82"/>
      <c r="AA124" s="82">
        <f t="shared" si="122"/>
        <v>0</v>
      </c>
      <c r="AB124" s="82">
        <f t="shared" si="162"/>
        <v>0</v>
      </c>
      <c r="AC124" s="77">
        <f t="shared" si="123"/>
        <v>0</v>
      </c>
      <c r="AD124" s="108">
        <f t="shared" si="124"/>
        <v>0</v>
      </c>
      <c r="AE124" s="107">
        <f t="shared" si="125"/>
        <v>0</v>
      </c>
      <c r="AF124" s="107">
        <f t="shared" si="126"/>
        <v>0</v>
      </c>
      <c r="AG124" s="107">
        <f t="shared" si="127"/>
        <v>0</v>
      </c>
      <c r="AH124" s="109">
        <f t="shared" si="128"/>
        <v>0</v>
      </c>
      <c r="AI124" s="109">
        <f t="shared" si="129"/>
        <v>0</v>
      </c>
      <c r="AJ124" s="109">
        <f t="shared" si="130"/>
        <v>0</v>
      </c>
      <c r="AL124" s="82">
        <f t="shared" si="131"/>
        <v>0</v>
      </c>
      <c r="AM124" s="82" t="e">
        <f t="shared" si="132"/>
        <v>#DIV/0!</v>
      </c>
      <c r="AN124" s="77">
        <f t="shared" si="133"/>
        <v>0</v>
      </c>
      <c r="AO124" s="108">
        <f t="shared" si="134"/>
        <v>0</v>
      </c>
      <c r="AP124" s="107">
        <f t="shared" si="135"/>
        <v>0</v>
      </c>
      <c r="AQ124" s="107">
        <f t="shared" si="136"/>
        <v>0</v>
      </c>
      <c r="AR124" s="107">
        <f t="shared" si="137"/>
        <v>0</v>
      </c>
      <c r="AS124" s="109">
        <f t="shared" si="138"/>
        <v>0</v>
      </c>
      <c r="AT124" s="109">
        <f t="shared" si="139"/>
        <v>0</v>
      </c>
      <c r="AU124" s="109">
        <f t="shared" si="140"/>
        <v>0</v>
      </c>
      <c r="AW124" s="82">
        <f t="shared" si="141"/>
        <v>0</v>
      </c>
      <c r="AX124" s="82" t="e">
        <f t="shared" si="142"/>
        <v>#DIV/0!</v>
      </c>
      <c r="AY124" s="77">
        <f t="shared" si="143"/>
        <v>0</v>
      </c>
      <c r="AZ124" s="108">
        <f t="shared" si="144"/>
        <v>0</v>
      </c>
      <c r="BA124" s="107">
        <f t="shared" si="145"/>
        <v>0</v>
      </c>
      <c r="BB124" s="107">
        <f t="shared" si="146"/>
        <v>0</v>
      </c>
      <c r="BC124" s="107">
        <f t="shared" si="147"/>
        <v>0</v>
      </c>
      <c r="BD124" s="109">
        <f t="shared" si="148"/>
        <v>0</v>
      </c>
      <c r="BE124" s="109">
        <f t="shared" si="149"/>
        <v>0</v>
      </c>
      <c r="BF124" s="109">
        <f t="shared" si="150"/>
        <v>0</v>
      </c>
      <c r="BH124" s="82">
        <f t="shared" si="151"/>
        <v>0</v>
      </c>
      <c r="BI124" s="82" t="e">
        <f t="shared" si="152"/>
        <v>#DIV/0!</v>
      </c>
      <c r="BJ124" s="77">
        <f t="shared" si="153"/>
        <v>0</v>
      </c>
      <c r="BK124" s="108">
        <f t="shared" si="154"/>
        <v>0</v>
      </c>
      <c r="BL124" s="107">
        <f t="shared" si="155"/>
        <v>0</v>
      </c>
      <c r="BM124" s="107">
        <f t="shared" si="156"/>
        <v>0</v>
      </c>
      <c r="BN124" s="107">
        <f t="shared" si="157"/>
        <v>0</v>
      </c>
      <c r="BO124" s="109">
        <f t="shared" si="158"/>
        <v>0</v>
      </c>
      <c r="BP124" s="109">
        <f t="shared" si="159"/>
        <v>0</v>
      </c>
      <c r="BQ124" s="109">
        <f t="shared" si="160"/>
        <v>0</v>
      </c>
    </row>
    <row r="125" spans="1:69" x14ac:dyDescent="0.25">
      <c r="A125" s="101">
        <f t="shared" si="110"/>
        <v>39630</v>
      </c>
      <c r="B125" s="102">
        <f t="shared" si="47"/>
        <v>3.0290000000000004</v>
      </c>
      <c r="C125" s="102">
        <f t="shared" si="111"/>
        <v>5.0000000000000001E-3</v>
      </c>
      <c r="D125" s="80">
        <f t="shared" si="161"/>
        <v>0.18</v>
      </c>
      <c r="E125" s="106">
        <f t="shared" si="112"/>
        <v>1</v>
      </c>
      <c r="F125" s="104">
        <f t="shared" si="49"/>
        <v>4.92</v>
      </c>
      <c r="G125" s="104">
        <f t="shared" si="50"/>
        <v>3.5</v>
      </c>
      <c r="H125" s="104">
        <f t="shared" si="51"/>
        <v>2.96</v>
      </c>
      <c r="I125" s="104">
        <f t="shared" si="52"/>
        <v>2.99</v>
      </c>
      <c r="J125" s="80">
        <f t="shared" si="113"/>
        <v>0.114</v>
      </c>
      <c r="K125" s="80" t="e">
        <f t="shared" si="114"/>
        <v>#DIV/0!</v>
      </c>
      <c r="L125" s="80" t="e">
        <f t="shared" si="115"/>
        <v>#DIV/0!</v>
      </c>
      <c r="M125" s="80" t="e">
        <f t="shared" si="116"/>
        <v>#DIV/0!</v>
      </c>
      <c r="N125" s="80">
        <f t="shared" si="117"/>
        <v>0.29399999999999998</v>
      </c>
      <c r="O125" s="80" t="e">
        <f t="shared" si="118"/>
        <v>#DIV/0!</v>
      </c>
      <c r="P125" s="80" t="e">
        <f t="shared" si="119"/>
        <v>#DIV/0!</v>
      </c>
      <c r="Q125" s="80" t="e">
        <f t="shared" si="120"/>
        <v>#DIV/0!</v>
      </c>
      <c r="R125" s="105">
        <f t="shared" ca="1" si="121"/>
        <v>2856</v>
      </c>
      <c r="S125" s="80">
        <f t="shared" si="53"/>
        <v>6.9831915248064022E-2</v>
      </c>
      <c r="T125" s="77">
        <v>0</v>
      </c>
      <c r="U125" s="182">
        <v>0</v>
      </c>
      <c r="X125" s="182"/>
      <c r="Z125" s="82"/>
      <c r="AA125" s="82">
        <f t="shared" si="122"/>
        <v>0</v>
      </c>
      <c r="AB125" s="82">
        <f t="shared" si="162"/>
        <v>0</v>
      </c>
      <c r="AC125" s="77">
        <f t="shared" si="123"/>
        <v>0</v>
      </c>
      <c r="AD125" s="108">
        <f t="shared" si="124"/>
        <v>0</v>
      </c>
      <c r="AE125" s="107">
        <f t="shared" si="125"/>
        <v>0</v>
      </c>
      <c r="AF125" s="107">
        <f t="shared" si="126"/>
        <v>0</v>
      </c>
      <c r="AG125" s="107">
        <f t="shared" si="127"/>
        <v>0</v>
      </c>
      <c r="AH125" s="109">
        <f t="shared" si="128"/>
        <v>0</v>
      </c>
      <c r="AI125" s="109">
        <f t="shared" si="129"/>
        <v>0</v>
      </c>
      <c r="AJ125" s="109">
        <f t="shared" si="130"/>
        <v>0</v>
      </c>
      <c r="AL125" s="82">
        <f t="shared" si="131"/>
        <v>0</v>
      </c>
      <c r="AM125" s="82" t="e">
        <f t="shared" si="132"/>
        <v>#DIV/0!</v>
      </c>
      <c r="AN125" s="77">
        <f t="shared" si="133"/>
        <v>0</v>
      </c>
      <c r="AO125" s="108">
        <f t="shared" si="134"/>
        <v>0</v>
      </c>
      <c r="AP125" s="107">
        <f t="shared" si="135"/>
        <v>0</v>
      </c>
      <c r="AQ125" s="107">
        <f t="shared" si="136"/>
        <v>0</v>
      </c>
      <c r="AR125" s="107">
        <f t="shared" si="137"/>
        <v>0</v>
      </c>
      <c r="AS125" s="109">
        <f t="shared" si="138"/>
        <v>0</v>
      </c>
      <c r="AT125" s="109">
        <f t="shared" si="139"/>
        <v>0</v>
      </c>
      <c r="AU125" s="109">
        <f t="shared" si="140"/>
        <v>0</v>
      </c>
      <c r="AW125" s="82">
        <f t="shared" si="141"/>
        <v>0</v>
      </c>
      <c r="AX125" s="82" t="e">
        <f t="shared" si="142"/>
        <v>#DIV/0!</v>
      </c>
      <c r="AY125" s="77">
        <f t="shared" si="143"/>
        <v>0</v>
      </c>
      <c r="AZ125" s="108">
        <f t="shared" si="144"/>
        <v>0</v>
      </c>
      <c r="BA125" s="107">
        <f t="shared" si="145"/>
        <v>0</v>
      </c>
      <c r="BB125" s="107">
        <f t="shared" si="146"/>
        <v>0</v>
      </c>
      <c r="BC125" s="107">
        <f t="shared" si="147"/>
        <v>0</v>
      </c>
      <c r="BD125" s="109">
        <f t="shared" si="148"/>
        <v>0</v>
      </c>
      <c r="BE125" s="109">
        <f t="shared" si="149"/>
        <v>0</v>
      </c>
      <c r="BF125" s="109">
        <f t="shared" si="150"/>
        <v>0</v>
      </c>
      <c r="BH125" s="82">
        <f t="shared" si="151"/>
        <v>0</v>
      </c>
      <c r="BI125" s="82" t="e">
        <f t="shared" si="152"/>
        <v>#DIV/0!</v>
      </c>
      <c r="BJ125" s="77">
        <f t="shared" si="153"/>
        <v>0</v>
      </c>
      <c r="BK125" s="108">
        <f t="shared" si="154"/>
        <v>0</v>
      </c>
      <c r="BL125" s="107">
        <f t="shared" si="155"/>
        <v>0</v>
      </c>
      <c r="BM125" s="107">
        <f t="shared" si="156"/>
        <v>0</v>
      </c>
      <c r="BN125" s="107">
        <f t="shared" si="157"/>
        <v>0</v>
      </c>
      <c r="BO125" s="109">
        <f t="shared" si="158"/>
        <v>0</v>
      </c>
      <c r="BP125" s="109">
        <f t="shared" si="159"/>
        <v>0</v>
      </c>
      <c r="BQ125" s="109">
        <f t="shared" si="160"/>
        <v>0</v>
      </c>
    </row>
    <row r="126" spans="1:69" x14ac:dyDescent="0.25">
      <c r="A126" s="101">
        <f t="shared" si="110"/>
        <v>39661</v>
      </c>
      <c r="B126" s="102">
        <f t="shared" si="47"/>
        <v>3.05</v>
      </c>
      <c r="C126" s="102">
        <f t="shared" si="111"/>
        <v>5.0000000000000001E-3</v>
      </c>
      <c r="D126" s="80">
        <f t="shared" si="161"/>
        <v>0.18</v>
      </c>
      <c r="E126" s="106">
        <f t="shared" si="112"/>
        <v>1</v>
      </c>
      <c r="F126" s="104">
        <f t="shared" si="49"/>
        <v>4.92</v>
      </c>
      <c r="G126" s="104">
        <f t="shared" si="50"/>
        <v>3.5</v>
      </c>
      <c r="H126" s="104">
        <f t="shared" si="51"/>
        <v>2.96</v>
      </c>
      <c r="I126" s="104">
        <f t="shared" si="52"/>
        <v>2.99</v>
      </c>
      <c r="J126" s="80">
        <f t="shared" si="113"/>
        <v>0.114</v>
      </c>
      <c r="K126" s="80" t="e">
        <f t="shared" si="114"/>
        <v>#DIV/0!</v>
      </c>
      <c r="L126" s="80" t="e">
        <f t="shared" si="115"/>
        <v>#DIV/0!</v>
      </c>
      <c r="M126" s="80" t="e">
        <f t="shared" si="116"/>
        <v>#DIV/0!</v>
      </c>
      <c r="N126" s="80">
        <f t="shared" si="117"/>
        <v>0.29399999999999998</v>
      </c>
      <c r="O126" s="80" t="e">
        <f t="shared" si="118"/>
        <v>#DIV/0!</v>
      </c>
      <c r="P126" s="80" t="e">
        <f t="shared" si="119"/>
        <v>#DIV/0!</v>
      </c>
      <c r="Q126" s="80" t="e">
        <f t="shared" si="120"/>
        <v>#DIV/0!</v>
      </c>
      <c r="R126" s="105">
        <f t="shared" ca="1" si="121"/>
        <v>2889</v>
      </c>
      <c r="S126" s="80">
        <f t="shared" si="53"/>
        <v>6.9845052797913004E-2</v>
      </c>
      <c r="T126" s="77">
        <v>0</v>
      </c>
      <c r="U126" s="182">
        <v>0</v>
      </c>
      <c r="X126" s="182"/>
      <c r="Z126" s="82"/>
      <c r="AA126" s="82">
        <f t="shared" si="122"/>
        <v>0</v>
      </c>
      <c r="AB126" s="82">
        <f t="shared" si="162"/>
        <v>0</v>
      </c>
      <c r="AC126" s="77">
        <f t="shared" si="123"/>
        <v>0</v>
      </c>
      <c r="AD126" s="108">
        <f t="shared" si="124"/>
        <v>0</v>
      </c>
      <c r="AE126" s="107">
        <f t="shared" si="125"/>
        <v>0</v>
      </c>
      <c r="AF126" s="107">
        <f t="shared" si="126"/>
        <v>0</v>
      </c>
      <c r="AG126" s="107">
        <f t="shared" si="127"/>
        <v>0</v>
      </c>
      <c r="AH126" s="109">
        <f t="shared" si="128"/>
        <v>0</v>
      </c>
      <c r="AI126" s="109">
        <f t="shared" si="129"/>
        <v>0</v>
      </c>
      <c r="AJ126" s="109">
        <f t="shared" si="130"/>
        <v>0</v>
      </c>
      <c r="AL126" s="82">
        <f t="shared" si="131"/>
        <v>0</v>
      </c>
      <c r="AM126" s="82" t="e">
        <f t="shared" si="132"/>
        <v>#DIV/0!</v>
      </c>
      <c r="AN126" s="77">
        <f t="shared" si="133"/>
        <v>0</v>
      </c>
      <c r="AO126" s="108">
        <f t="shared" si="134"/>
        <v>0</v>
      </c>
      <c r="AP126" s="107">
        <f t="shared" si="135"/>
        <v>0</v>
      </c>
      <c r="AQ126" s="107">
        <f t="shared" si="136"/>
        <v>0</v>
      </c>
      <c r="AR126" s="107">
        <f t="shared" si="137"/>
        <v>0</v>
      </c>
      <c r="AS126" s="109">
        <f t="shared" si="138"/>
        <v>0</v>
      </c>
      <c r="AT126" s="109">
        <f t="shared" si="139"/>
        <v>0</v>
      </c>
      <c r="AU126" s="109">
        <f t="shared" si="140"/>
        <v>0</v>
      </c>
      <c r="AW126" s="82">
        <f t="shared" si="141"/>
        <v>0</v>
      </c>
      <c r="AX126" s="82" t="e">
        <f t="shared" si="142"/>
        <v>#DIV/0!</v>
      </c>
      <c r="AY126" s="77">
        <f t="shared" si="143"/>
        <v>0</v>
      </c>
      <c r="AZ126" s="108">
        <f t="shared" si="144"/>
        <v>0</v>
      </c>
      <c r="BA126" s="107">
        <f t="shared" si="145"/>
        <v>0</v>
      </c>
      <c r="BB126" s="107">
        <f t="shared" si="146"/>
        <v>0</v>
      </c>
      <c r="BC126" s="107">
        <f t="shared" si="147"/>
        <v>0</v>
      </c>
      <c r="BD126" s="109">
        <f t="shared" si="148"/>
        <v>0</v>
      </c>
      <c r="BE126" s="109">
        <f t="shared" si="149"/>
        <v>0</v>
      </c>
      <c r="BF126" s="109">
        <f t="shared" si="150"/>
        <v>0</v>
      </c>
      <c r="BH126" s="82">
        <f t="shared" si="151"/>
        <v>0</v>
      </c>
      <c r="BI126" s="82" t="e">
        <f t="shared" si="152"/>
        <v>#DIV/0!</v>
      </c>
      <c r="BJ126" s="77">
        <f t="shared" si="153"/>
        <v>0</v>
      </c>
      <c r="BK126" s="108">
        <f t="shared" si="154"/>
        <v>0</v>
      </c>
      <c r="BL126" s="107">
        <f t="shared" si="155"/>
        <v>0</v>
      </c>
      <c r="BM126" s="107">
        <f t="shared" si="156"/>
        <v>0</v>
      </c>
      <c r="BN126" s="107">
        <f t="shared" si="157"/>
        <v>0</v>
      </c>
      <c r="BO126" s="109">
        <f t="shared" si="158"/>
        <v>0</v>
      </c>
      <c r="BP126" s="109">
        <f t="shared" si="159"/>
        <v>0</v>
      </c>
      <c r="BQ126" s="109">
        <f t="shared" si="160"/>
        <v>0</v>
      </c>
    </row>
    <row r="127" spans="1:69" x14ac:dyDescent="0.25">
      <c r="A127" s="101">
        <f t="shared" si="110"/>
        <v>39692</v>
      </c>
      <c r="B127" s="102">
        <f t="shared" si="47"/>
        <v>3.0350000000000001</v>
      </c>
      <c r="C127" s="102">
        <f t="shared" si="111"/>
        <v>5.0000000000000001E-3</v>
      </c>
      <c r="D127" s="80">
        <f t="shared" si="161"/>
        <v>0.18</v>
      </c>
      <c r="E127" s="106">
        <f t="shared" si="112"/>
        <v>1</v>
      </c>
      <c r="F127" s="104">
        <f t="shared" si="49"/>
        <v>4.92</v>
      </c>
      <c r="G127" s="104">
        <f t="shared" si="50"/>
        <v>3.5</v>
      </c>
      <c r="H127" s="104">
        <f t="shared" si="51"/>
        <v>2.96</v>
      </c>
      <c r="I127" s="104">
        <f t="shared" si="52"/>
        <v>2.99</v>
      </c>
      <c r="J127" s="80">
        <f t="shared" si="113"/>
        <v>0.114</v>
      </c>
      <c r="K127" s="80" t="e">
        <f t="shared" si="114"/>
        <v>#DIV/0!</v>
      </c>
      <c r="L127" s="80" t="e">
        <f t="shared" si="115"/>
        <v>#DIV/0!</v>
      </c>
      <c r="M127" s="80" t="e">
        <f t="shared" si="116"/>
        <v>#DIV/0!</v>
      </c>
      <c r="N127" s="80">
        <f t="shared" si="117"/>
        <v>0.29399999999999998</v>
      </c>
      <c r="O127" s="80" t="e">
        <f t="shared" si="118"/>
        <v>#DIV/0!</v>
      </c>
      <c r="P127" s="80" t="e">
        <f t="shared" si="119"/>
        <v>#DIV/0!</v>
      </c>
      <c r="Q127" s="80" t="e">
        <f t="shared" si="120"/>
        <v>#DIV/0!</v>
      </c>
      <c r="R127" s="105">
        <f t="shared" ca="1" si="121"/>
        <v>2918</v>
      </c>
      <c r="S127" s="80">
        <f t="shared" si="53"/>
        <v>6.9858190347820023E-2</v>
      </c>
      <c r="T127" s="77">
        <v>0</v>
      </c>
      <c r="U127" s="182">
        <v>0</v>
      </c>
      <c r="X127" s="182"/>
      <c r="Z127" s="82"/>
      <c r="AA127" s="82">
        <f t="shared" si="122"/>
        <v>0</v>
      </c>
      <c r="AB127" s="82">
        <f t="shared" si="162"/>
        <v>0</v>
      </c>
      <c r="AC127" s="77">
        <f t="shared" si="123"/>
        <v>0</v>
      </c>
      <c r="AD127" s="108">
        <f t="shared" si="124"/>
        <v>0</v>
      </c>
      <c r="AE127" s="107">
        <f t="shared" si="125"/>
        <v>0</v>
      </c>
      <c r="AF127" s="107">
        <f t="shared" si="126"/>
        <v>0</v>
      </c>
      <c r="AG127" s="107">
        <f t="shared" si="127"/>
        <v>0</v>
      </c>
      <c r="AH127" s="109">
        <f t="shared" si="128"/>
        <v>0</v>
      </c>
      <c r="AI127" s="109">
        <f t="shared" si="129"/>
        <v>0</v>
      </c>
      <c r="AJ127" s="109">
        <f t="shared" si="130"/>
        <v>0</v>
      </c>
      <c r="AL127" s="82">
        <f t="shared" si="131"/>
        <v>0</v>
      </c>
      <c r="AM127" s="82" t="e">
        <f t="shared" si="132"/>
        <v>#DIV/0!</v>
      </c>
      <c r="AN127" s="77">
        <f t="shared" si="133"/>
        <v>0</v>
      </c>
      <c r="AO127" s="108">
        <f t="shared" si="134"/>
        <v>0</v>
      </c>
      <c r="AP127" s="107">
        <f t="shared" si="135"/>
        <v>0</v>
      </c>
      <c r="AQ127" s="107">
        <f t="shared" si="136"/>
        <v>0</v>
      </c>
      <c r="AR127" s="107">
        <f t="shared" si="137"/>
        <v>0</v>
      </c>
      <c r="AS127" s="109">
        <f t="shared" si="138"/>
        <v>0</v>
      </c>
      <c r="AT127" s="109">
        <f t="shared" si="139"/>
        <v>0</v>
      </c>
      <c r="AU127" s="109">
        <f t="shared" si="140"/>
        <v>0</v>
      </c>
      <c r="AW127" s="82">
        <f t="shared" si="141"/>
        <v>0</v>
      </c>
      <c r="AX127" s="82" t="e">
        <f t="shared" si="142"/>
        <v>#DIV/0!</v>
      </c>
      <c r="AY127" s="77">
        <f t="shared" si="143"/>
        <v>0</v>
      </c>
      <c r="AZ127" s="108">
        <f t="shared" si="144"/>
        <v>0</v>
      </c>
      <c r="BA127" s="107">
        <f t="shared" si="145"/>
        <v>0</v>
      </c>
      <c r="BB127" s="107">
        <f t="shared" si="146"/>
        <v>0</v>
      </c>
      <c r="BC127" s="107">
        <f t="shared" si="147"/>
        <v>0</v>
      </c>
      <c r="BD127" s="109">
        <f t="shared" si="148"/>
        <v>0</v>
      </c>
      <c r="BE127" s="109">
        <f t="shared" si="149"/>
        <v>0</v>
      </c>
      <c r="BF127" s="109">
        <f t="shared" si="150"/>
        <v>0</v>
      </c>
      <c r="BH127" s="82">
        <f t="shared" si="151"/>
        <v>0</v>
      </c>
      <c r="BI127" s="82" t="e">
        <f t="shared" si="152"/>
        <v>#DIV/0!</v>
      </c>
      <c r="BJ127" s="77">
        <f t="shared" si="153"/>
        <v>0</v>
      </c>
      <c r="BK127" s="108">
        <f t="shared" si="154"/>
        <v>0</v>
      </c>
      <c r="BL127" s="107">
        <f t="shared" si="155"/>
        <v>0</v>
      </c>
      <c r="BM127" s="107">
        <f t="shared" si="156"/>
        <v>0</v>
      </c>
      <c r="BN127" s="107">
        <f t="shared" si="157"/>
        <v>0</v>
      </c>
      <c r="BO127" s="109">
        <f t="shared" si="158"/>
        <v>0</v>
      </c>
      <c r="BP127" s="109">
        <f t="shared" si="159"/>
        <v>0</v>
      </c>
      <c r="BQ127" s="109">
        <f t="shared" si="160"/>
        <v>0</v>
      </c>
    </row>
    <row r="128" spans="1:69" x14ac:dyDescent="0.25">
      <c r="A128" s="101">
        <f t="shared" si="110"/>
        <v>39722</v>
      </c>
      <c r="B128" s="102">
        <f t="shared" si="47"/>
        <v>3.0350000000000001</v>
      </c>
      <c r="C128" s="102">
        <f t="shared" si="111"/>
        <v>5.0000000000000001E-3</v>
      </c>
      <c r="D128" s="80">
        <f t="shared" si="161"/>
        <v>0.18</v>
      </c>
      <c r="E128" s="106">
        <f t="shared" si="112"/>
        <v>1</v>
      </c>
      <c r="F128" s="104">
        <f t="shared" si="49"/>
        <v>4.92</v>
      </c>
      <c r="G128" s="104">
        <f t="shared" si="50"/>
        <v>3.5</v>
      </c>
      <c r="H128" s="104">
        <f t="shared" si="51"/>
        <v>2.96</v>
      </c>
      <c r="I128" s="104">
        <f t="shared" si="52"/>
        <v>2.99</v>
      </c>
      <c r="J128" s="80">
        <f t="shared" si="113"/>
        <v>0.114</v>
      </c>
      <c r="K128" s="80" t="e">
        <f t="shared" si="114"/>
        <v>#DIV/0!</v>
      </c>
      <c r="L128" s="80" t="e">
        <f t="shared" si="115"/>
        <v>#DIV/0!</v>
      </c>
      <c r="M128" s="80" t="e">
        <f t="shared" si="116"/>
        <v>#DIV/0!</v>
      </c>
      <c r="N128" s="80">
        <f t="shared" si="117"/>
        <v>0.29399999999999998</v>
      </c>
      <c r="O128" s="80" t="e">
        <f t="shared" si="118"/>
        <v>#DIV/0!</v>
      </c>
      <c r="P128" s="80" t="e">
        <f t="shared" si="119"/>
        <v>#DIV/0!</v>
      </c>
      <c r="Q128" s="80" t="e">
        <f t="shared" si="120"/>
        <v>#DIV/0!</v>
      </c>
      <c r="R128" s="105">
        <f t="shared" ca="1" si="121"/>
        <v>2948</v>
      </c>
      <c r="S128" s="80">
        <f t="shared" si="53"/>
        <v>6.9870904105849022E-2</v>
      </c>
      <c r="T128" s="77">
        <v>0</v>
      </c>
      <c r="U128" s="182">
        <v>0</v>
      </c>
      <c r="X128" s="182"/>
      <c r="Z128" s="82"/>
      <c r="AA128" s="82">
        <f t="shared" si="122"/>
        <v>0</v>
      </c>
      <c r="AB128" s="82">
        <f t="shared" si="162"/>
        <v>0</v>
      </c>
      <c r="AC128" s="77">
        <f t="shared" si="123"/>
        <v>0</v>
      </c>
      <c r="AD128" s="108">
        <f t="shared" si="124"/>
        <v>0</v>
      </c>
      <c r="AE128" s="107">
        <f t="shared" si="125"/>
        <v>0</v>
      </c>
      <c r="AF128" s="107">
        <f t="shared" si="126"/>
        <v>0</v>
      </c>
      <c r="AG128" s="107">
        <f t="shared" si="127"/>
        <v>0</v>
      </c>
      <c r="AH128" s="109">
        <f t="shared" si="128"/>
        <v>0</v>
      </c>
      <c r="AI128" s="109">
        <f t="shared" si="129"/>
        <v>0</v>
      </c>
      <c r="AJ128" s="109">
        <f t="shared" si="130"/>
        <v>0</v>
      </c>
      <c r="AL128" s="82">
        <f t="shared" si="131"/>
        <v>0</v>
      </c>
      <c r="AM128" s="82" t="e">
        <f t="shared" si="132"/>
        <v>#DIV/0!</v>
      </c>
      <c r="AN128" s="77">
        <f t="shared" si="133"/>
        <v>0</v>
      </c>
      <c r="AO128" s="108">
        <f t="shared" si="134"/>
        <v>0</v>
      </c>
      <c r="AP128" s="107">
        <f t="shared" si="135"/>
        <v>0</v>
      </c>
      <c r="AQ128" s="107">
        <f t="shared" si="136"/>
        <v>0</v>
      </c>
      <c r="AR128" s="107">
        <f t="shared" si="137"/>
        <v>0</v>
      </c>
      <c r="AS128" s="109">
        <f t="shared" si="138"/>
        <v>0</v>
      </c>
      <c r="AT128" s="109">
        <f t="shared" si="139"/>
        <v>0</v>
      </c>
      <c r="AU128" s="109">
        <f t="shared" si="140"/>
        <v>0</v>
      </c>
      <c r="AW128" s="82">
        <f t="shared" si="141"/>
        <v>0</v>
      </c>
      <c r="AX128" s="82" t="e">
        <f t="shared" si="142"/>
        <v>#DIV/0!</v>
      </c>
      <c r="AY128" s="77">
        <f t="shared" si="143"/>
        <v>0</v>
      </c>
      <c r="AZ128" s="108">
        <f t="shared" si="144"/>
        <v>0</v>
      </c>
      <c r="BA128" s="107">
        <f t="shared" si="145"/>
        <v>0</v>
      </c>
      <c r="BB128" s="107">
        <f t="shared" si="146"/>
        <v>0</v>
      </c>
      <c r="BC128" s="107">
        <f t="shared" si="147"/>
        <v>0</v>
      </c>
      <c r="BD128" s="109">
        <f t="shared" si="148"/>
        <v>0</v>
      </c>
      <c r="BE128" s="109">
        <f t="shared" si="149"/>
        <v>0</v>
      </c>
      <c r="BF128" s="109">
        <f t="shared" si="150"/>
        <v>0</v>
      </c>
      <c r="BH128" s="82">
        <f t="shared" si="151"/>
        <v>0</v>
      </c>
      <c r="BI128" s="82" t="e">
        <f t="shared" si="152"/>
        <v>#DIV/0!</v>
      </c>
      <c r="BJ128" s="77">
        <f t="shared" si="153"/>
        <v>0</v>
      </c>
      <c r="BK128" s="108">
        <f t="shared" si="154"/>
        <v>0</v>
      </c>
      <c r="BL128" s="107">
        <f t="shared" si="155"/>
        <v>0</v>
      </c>
      <c r="BM128" s="107">
        <f t="shared" si="156"/>
        <v>0</v>
      </c>
      <c r="BN128" s="107">
        <f t="shared" si="157"/>
        <v>0</v>
      </c>
      <c r="BO128" s="109">
        <f t="shared" si="158"/>
        <v>0</v>
      </c>
      <c r="BP128" s="109">
        <f t="shared" si="159"/>
        <v>0</v>
      </c>
      <c r="BQ128" s="109">
        <f t="shared" si="160"/>
        <v>0</v>
      </c>
    </row>
    <row r="129" spans="1:69" x14ac:dyDescent="0.25">
      <c r="A129" s="101">
        <f t="shared" si="110"/>
        <v>39753</v>
      </c>
      <c r="B129" s="102">
        <f t="shared" si="47"/>
        <v>3.1019999999999999</v>
      </c>
      <c r="C129" s="102">
        <f t="shared" si="111"/>
        <v>5.0000000000000001E-3</v>
      </c>
      <c r="D129" s="80">
        <f t="shared" si="161"/>
        <v>0.18</v>
      </c>
      <c r="E129" s="106">
        <f t="shared" si="112"/>
        <v>1</v>
      </c>
      <c r="F129" s="104">
        <f t="shared" si="49"/>
        <v>4.92</v>
      </c>
      <c r="G129" s="104">
        <f t="shared" si="50"/>
        <v>3.5</v>
      </c>
      <c r="H129" s="104">
        <f t="shared" si="51"/>
        <v>2.96</v>
      </c>
      <c r="I129" s="104">
        <f t="shared" si="52"/>
        <v>2.99</v>
      </c>
      <c r="J129" s="80">
        <f t="shared" si="113"/>
        <v>0.114</v>
      </c>
      <c r="K129" s="80" t="e">
        <f t="shared" si="114"/>
        <v>#DIV/0!</v>
      </c>
      <c r="L129" s="80" t="e">
        <f t="shared" si="115"/>
        <v>#DIV/0!</v>
      </c>
      <c r="M129" s="80" t="e">
        <f t="shared" si="116"/>
        <v>#DIV/0!</v>
      </c>
      <c r="N129" s="80">
        <f t="shared" si="117"/>
        <v>0.29399999999999998</v>
      </c>
      <c r="O129" s="80" t="e">
        <f t="shared" si="118"/>
        <v>#DIV/0!</v>
      </c>
      <c r="P129" s="80" t="e">
        <f t="shared" si="119"/>
        <v>#DIV/0!</v>
      </c>
      <c r="Q129" s="80" t="e">
        <f t="shared" si="120"/>
        <v>#DIV/0!</v>
      </c>
      <c r="R129" s="105">
        <f t="shared" ca="1" si="121"/>
        <v>2981</v>
      </c>
      <c r="S129" s="80">
        <f t="shared" si="53"/>
        <v>6.9884041655868007E-2</v>
      </c>
      <c r="T129" s="77">
        <v>0</v>
      </c>
      <c r="U129" s="182">
        <v>0</v>
      </c>
      <c r="X129" s="182"/>
      <c r="Z129" s="82"/>
      <c r="AA129" s="82">
        <f t="shared" si="122"/>
        <v>0</v>
      </c>
      <c r="AB129" s="82">
        <f t="shared" si="162"/>
        <v>0</v>
      </c>
      <c r="AC129" s="77">
        <f t="shared" si="123"/>
        <v>0</v>
      </c>
      <c r="AD129" s="108">
        <f t="shared" si="124"/>
        <v>0</v>
      </c>
      <c r="AE129" s="107">
        <f t="shared" si="125"/>
        <v>0</v>
      </c>
      <c r="AF129" s="107">
        <f t="shared" si="126"/>
        <v>0</v>
      </c>
      <c r="AG129" s="107">
        <f t="shared" si="127"/>
        <v>0</v>
      </c>
      <c r="AH129" s="109">
        <f t="shared" si="128"/>
        <v>0</v>
      </c>
      <c r="AI129" s="109">
        <f t="shared" si="129"/>
        <v>0</v>
      </c>
      <c r="AJ129" s="109">
        <f t="shared" si="130"/>
        <v>0</v>
      </c>
      <c r="AL129" s="82">
        <f t="shared" si="131"/>
        <v>0</v>
      </c>
      <c r="AM129" s="82" t="e">
        <f t="shared" si="132"/>
        <v>#DIV/0!</v>
      </c>
      <c r="AN129" s="77">
        <f t="shared" si="133"/>
        <v>0</v>
      </c>
      <c r="AO129" s="108">
        <f t="shared" si="134"/>
        <v>0</v>
      </c>
      <c r="AP129" s="107">
        <f t="shared" si="135"/>
        <v>0</v>
      </c>
      <c r="AQ129" s="107">
        <f t="shared" si="136"/>
        <v>0</v>
      </c>
      <c r="AR129" s="107">
        <f t="shared" si="137"/>
        <v>0</v>
      </c>
      <c r="AS129" s="109">
        <f t="shared" si="138"/>
        <v>0</v>
      </c>
      <c r="AT129" s="109">
        <f t="shared" si="139"/>
        <v>0</v>
      </c>
      <c r="AU129" s="109">
        <f t="shared" si="140"/>
        <v>0</v>
      </c>
      <c r="AW129" s="82">
        <f t="shared" si="141"/>
        <v>0</v>
      </c>
      <c r="AX129" s="82" t="e">
        <f t="shared" si="142"/>
        <v>#DIV/0!</v>
      </c>
      <c r="AY129" s="77">
        <f t="shared" si="143"/>
        <v>0</v>
      </c>
      <c r="AZ129" s="108">
        <f t="shared" si="144"/>
        <v>0</v>
      </c>
      <c r="BA129" s="107">
        <f t="shared" si="145"/>
        <v>0</v>
      </c>
      <c r="BB129" s="107">
        <f t="shared" si="146"/>
        <v>0</v>
      </c>
      <c r="BC129" s="107">
        <f t="shared" si="147"/>
        <v>0</v>
      </c>
      <c r="BD129" s="109">
        <f t="shared" si="148"/>
        <v>0</v>
      </c>
      <c r="BE129" s="109">
        <f t="shared" si="149"/>
        <v>0</v>
      </c>
      <c r="BF129" s="109">
        <f t="shared" si="150"/>
        <v>0</v>
      </c>
      <c r="BH129" s="82">
        <f t="shared" si="151"/>
        <v>0</v>
      </c>
      <c r="BI129" s="82" t="e">
        <f t="shared" si="152"/>
        <v>#DIV/0!</v>
      </c>
      <c r="BJ129" s="77">
        <f t="shared" si="153"/>
        <v>0</v>
      </c>
      <c r="BK129" s="108">
        <f t="shared" si="154"/>
        <v>0</v>
      </c>
      <c r="BL129" s="107">
        <f t="shared" si="155"/>
        <v>0</v>
      </c>
      <c r="BM129" s="107">
        <f t="shared" si="156"/>
        <v>0</v>
      </c>
      <c r="BN129" s="107">
        <f t="shared" si="157"/>
        <v>0</v>
      </c>
      <c r="BO129" s="109">
        <f t="shared" si="158"/>
        <v>0</v>
      </c>
      <c r="BP129" s="109">
        <f t="shared" si="159"/>
        <v>0</v>
      </c>
      <c r="BQ129" s="109">
        <f t="shared" si="160"/>
        <v>0</v>
      </c>
    </row>
    <row r="130" spans="1:69" x14ac:dyDescent="0.25">
      <c r="A130" s="101">
        <f t="shared" si="110"/>
        <v>39783</v>
      </c>
      <c r="B130" s="102">
        <f t="shared" si="47"/>
        <v>3.1690000000000005</v>
      </c>
      <c r="C130" s="102">
        <f t="shared" si="111"/>
        <v>5.0000000000000001E-3</v>
      </c>
      <c r="D130" s="80">
        <f t="shared" si="161"/>
        <v>0.18</v>
      </c>
      <c r="E130" s="106">
        <f t="shared" si="112"/>
        <v>1</v>
      </c>
      <c r="F130" s="104">
        <f t="shared" si="49"/>
        <v>4.92</v>
      </c>
      <c r="G130" s="104">
        <f t="shared" si="50"/>
        <v>3.5</v>
      </c>
      <c r="H130" s="104">
        <f t="shared" si="51"/>
        <v>2.96</v>
      </c>
      <c r="I130" s="104">
        <f t="shared" si="52"/>
        <v>2.99</v>
      </c>
      <c r="J130" s="80">
        <f t="shared" si="113"/>
        <v>0.114</v>
      </c>
      <c r="K130" s="80" t="e">
        <f t="shared" si="114"/>
        <v>#DIV/0!</v>
      </c>
      <c r="L130" s="80" t="e">
        <f t="shared" si="115"/>
        <v>#DIV/0!</v>
      </c>
      <c r="M130" s="80" t="e">
        <f t="shared" si="116"/>
        <v>#DIV/0!</v>
      </c>
      <c r="N130" s="80">
        <f t="shared" si="117"/>
        <v>0.29399999999999998</v>
      </c>
      <c r="O130" s="80" t="e">
        <f t="shared" si="118"/>
        <v>#DIV/0!</v>
      </c>
      <c r="P130" s="80" t="e">
        <f t="shared" si="119"/>
        <v>#DIV/0!</v>
      </c>
      <c r="Q130" s="80" t="e">
        <f t="shared" si="120"/>
        <v>#DIV/0!</v>
      </c>
      <c r="R130" s="105">
        <f t="shared" ca="1" si="121"/>
        <v>3008</v>
      </c>
      <c r="S130" s="80">
        <f t="shared" si="53"/>
        <v>6.9896755414006015E-2</v>
      </c>
      <c r="T130" s="77">
        <v>0</v>
      </c>
      <c r="U130" s="182">
        <v>0</v>
      </c>
      <c r="X130" s="182"/>
      <c r="Z130" s="82"/>
      <c r="AA130" s="82">
        <f t="shared" si="122"/>
        <v>0</v>
      </c>
      <c r="AB130" s="82">
        <f t="shared" si="162"/>
        <v>0</v>
      </c>
      <c r="AC130" s="77">
        <f t="shared" si="123"/>
        <v>0</v>
      </c>
      <c r="AD130" s="108">
        <f t="shared" si="124"/>
        <v>0</v>
      </c>
      <c r="AE130" s="107">
        <f t="shared" si="125"/>
        <v>0</v>
      </c>
      <c r="AF130" s="107">
        <f t="shared" si="126"/>
        <v>0</v>
      </c>
      <c r="AG130" s="107">
        <f t="shared" si="127"/>
        <v>0</v>
      </c>
      <c r="AH130" s="109">
        <f t="shared" si="128"/>
        <v>0</v>
      </c>
      <c r="AI130" s="109">
        <f t="shared" si="129"/>
        <v>0</v>
      </c>
      <c r="AJ130" s="109">
        <f t="shared" si="130"/>
        <v>0</v>
      </c>
      <c r="AL130" s="82">
        <f t="shared" si="131"/>
        <v>0</v>
      </c>
      <c r="AM130" s="82" t="e">
        <f t="shared" si="132"/>
        <v>#DIV/0!</v>
      </c>
      <c r="AN130" s="77">
        <f t="shared" si="133"/>
        <v>0</v>
      </c>
      <c r="AO130" s="108">
        <f t="shared" si="134"/>
        <v>0</v>
      </c>
      <c r="AP130" s="107">
        <f t="shared" si="135"/>
        <v>0</v>
      </c>
      <c r="AQ130" s="107">
        <f t="shared" si="136"/>
        <v>0</v>
      </c>
      <c r="AR130" s="107">
        <f t="shared" si="137"/>
        <v>0</v>
      </c>
      <c r="AS130" s="109">
        <f t="shared" si="138"/>
        <v>0</v>
      </c>
      <c r="AT130" s="109">
        <f t="shared" si="139"/>
        <v>0</v>
      </c>
      <c r="AU130" s="109">
        <f t="shared" si="140"/>
        <v>0</v>
      </c>
      <c r="AW130" s="82">
        <f t="shared" si="141"/>
        <v>0</v>
      </c>
      <c r="AX130" s="82" t="e">
        <f t="shared" si="142"/>
        <v>#DIV/0!</v>
      </c>
      <c r="AY130" s="77">
        <f t="shared" si="143"/>
        <v>0</v>
      </c>
      <c r="AZ130" s="108">
        <f t="shared" si="144"/>
        <v>0</v>
      </c>
      <c r="BA130" s="107">
        <f t="shared" si="145"/>
        <v>0</v>
      </c>
      <c r="BB130" s="107">
        <f t="shared" si="146"/>
        <v>0</v>
      </c>
      <c r="BC130" s="107">
        <f t="shared" si="147"/>
        <v>0</v>
      </c>
      <c r="BD130" s="109">
        <f t="shared" si="148"/>
        <v>0</v>
      </c>
      <c r="BE130" s="109">
        <f t="shared" si="149"/>
        <v>0</v>
      </c>
      <c r="BF130" s="109">
        <f t="shared" si="150"/>
        <v>0</v>
      </c>
      <c r="BH130" s="82">
        <f t="shared" si="151"/>
        <v>0</v>
      </c>
      <c r="BI130" s="82" t="e">
        <f t="shared" si="152"/>
        <v>#DIV/0!</v>
      </c>
      <c r="BJ130" s="77">
        <f t="shared" si="153"/>
        <v>0</v>
      </c>
      <c r="BK130" s="108">
        <f t="shared" si="154"/>
        <v>0</v>
      </c>
      <c r="BL130" s="107">
        <f t="shared" si="155"/>
        <v>0</v>
      </c>
      <c r="BM130" s="107">
        <f t="shared" si="156"/>
        <v>0</v>
      </c>
      <c r="BN130" s="107">
        <f t="shared" si="157"/>
        <v>0</v>
      </c>
      <c r="BO130" s="109">
        <f t="shared" si="158"/>
        <v>0</v>
      </c>
      <c r="BP130" s="109">
        <f t="shared" si="159"/>
        <v>0</v>
      </c>
      <c r="BQ130" s="109">
        <f t="shared" si="160"/>
        <v>0</v>
      </c>
    </row>
    <row r="131" spans="1:69" x14ac:dyDescent="0.25">
      <c r="A131" s="101">
        <f t="shared" si="110"/>
        <v>39814</v>
      </c>
      <c r="B131" s="102">
        <f t="shared" si="47"/>
        <v>3.4640000000000004</v>
      </c>
      <c r="C131" s="102">
        <f t="shared" si="111"/>
        <v>5.0000000000000001E-3</v>
      </c>
      <c r="D131" s="80">
        <f t="shared" si="161"/>
        <v>0.18</v>
      </c>
      <c r="E131" s="106">
        <f t="shared" si="112"/>
        <v>1</v>
      </c>
      <c r="F131" s="104">
        <f t="shared" si="49"/>
        <v>4.92</v>
      </c>
      <c r="G131" s="104">
        <f t="shared" si="50"/>
        <v>3.5</v>
      </c>
      <c r="H131" s="104">
        <f t="shared" si="51"/>
        <v>2.96</v>
      </c>
      <c r="I131" s="104">
        <f t="shared" si="52"/>
        <v>2.99</v>
      </c>
      <c r="J131" s="80">
        <f t="shared" si="113"/>
        <v>0.114</v>
      </c>
      <c r="K131" s="80" t="e">
        <f t="shared" si="114"/>
        <v>#DIV/0!</v>
      </c>
      <c r="L131" s="80" t="e">
        <f t="shared" si="115"/>
        <v>#DIV/0!</v>
      </c>
      <c r="M131" s="80" t="e">
        <f t="shared" si="116"/>
        <v>#DIV/0!</v>
      </c>
      <c r="N131" s="80">
        <f t="shared" si="117"/>
        <v>0.29399999999999998</v>
      </c>
      <c r="O131" s="80" t="e">
        <f t="shared" si="118"/>
        <v>#DIV/0!</v>
      </c>
      <c r="P131" s="80" t="e">
        <f t="shared" si="119"/>
        <v>#DIV/0!</v>
      </c>
      <c r="Q131" s="80" t="e">
        <f t="shared" si="120"/>
        <v>#DIV/0!</v>
      </c>
      <c r="R131" s="105">
        <f t="shared" ca="1" si="121"/>
        <v>3042</v>
      </c>
      <c r="S131" s="80">
        <f t="shared" si="53"/>
        <v>6.9909892964137021E-2</v>
      </c>
      <c r="T131" s="77">
        <v>0</v>
      </c>
      <c r="U131" s="182">
        <v>0</v>
      </c>
      <c r="X131" s="182"/>
      <c r="Z131" s="82"/>
      <c r="AA131" s="82">
        <f t="shared" si="122"/>
        <v>0</v>
      </c>
      <c r="AB131" s="82">
        <f t="shared" si="162"/>
        <v>0</v>
      </c>
      <c r="AC131" s="77">
        <f t="shared" si="123"/>
        <v>0</v>
      </c>
      <c r="AD131" s="108">
        <f t="shared" si="124"/>
        <v>0</v>
      </c>
      <c r="AE131" s="107">
        <f t="shared" si="125"/>
        <v>0</v>
      </c>
      <c r="AF131" s="107">
        <f t="shared" si="126"/>
        <v>0</v>
      </c>
      <c r="AG131" s="107">
        <f t="shared" si="127"/>
        <v>0</v>
      </c>
      <c r="AH131" s="109">
        <f t="shared" si="128"/>
        <v>0</v>
      </c>
      <c r="AI131" s="109">
        <f t="shared" si="129"/>
        <v>0</v>
      </c>
      <c r="AJ131" s="109">
        <f t="shared" si="130"/>
        <v>0</v>
      </c>
      <c r="AL131" s="82">
        <f t="shared" si="131"/>
        <v>0</v>
      </c>
      <c r="AM131" s="82" t="e">
        <f t="shared" si="132"/>
        <v>#DIV/0!</v>
      </c>
      <c r="AN131" s="77">
        <f t="shared" si="133"/>
        <v>0</v>
      </c>
      <c r="AO131" s="108">
        <f t="shared" si="134"/>
        <v>0</v>
      </c>
      <c r="AP131" s="107">
        <f t="shared" si="135"/>
        <v>0</v>
      </c>
      <c r="AQ131" s="107">
        <f t="shared" si="136"/>
        <v>0</v>
      </c>
      <c r="AR131" s="107">
        <f t="shared" si="137"/>
        <v>0</v>
      </c>
      <c r="AS131" s="109">
        <f t="shared" si="138"/>
        <v>0</v>
      </c>
      <c r="AT131" s="109">
        <f t="shared" si="139"/>
        <v>0</v>
      </c>
      <c r="AU131" s="109">
        <f t="shared" si="140"/>
        <v>0</v>
      </c>
      <c r="AW131" s="82">
        <f t="shared" si="141"/>
        <v>0</v>
      </c>
      <c r="AX131" s="82" t="e">
        <f t="shared" si="142"/>
        <v>#DIV/0!</v>
      </c>
      <c r="AY131" s="77">
        <f t="shared" si="143"/>
        <v>0</v>
      </c>
      <c r="AZ131" s="108">
        <f t="shared" si="144"/>
        <v>0</v>
      </c>
      <c r="BA131" s="107">
        <f t="shared" si="145"/>
        <v>0</v>
      </c>
      <c r="BB131" s="107">
        <f t="shared" si="146"/>
        <v>0</v>
      </c>
      <c r="BC131" s="107">
        <f t="shared" si="147"/>
        <v>0</v>
      </c>
      <c r="BD131" s="109">
        <f t="shared" si="148"/>
        <v>0</v>
      </c>
      <c r="BE131" s="109">
        <f t="shared" si="149"/>
        <v>0</v>
      </c>
      <c r="BF131" s="109">
        <f t="shared" si="150"/>
        <v>0</v>
      </c>
      <c r="BH131" s="82">
        <f t="shared" si="151"/>
        <v>0</v>
      </c>
      <c r="BI131" s="82" t="e">
        <f t="shared" si="152"/>
        <v>#DIV/0!</v>
      </c>
      <c r="BJ131" s="77">
        <f t="shared" si="153"/>
        <v>0</v>
      </c>
      <c r="BK131" s="108">
        <f t="shared" si="154"/>
        <v>0</v>
      </c>
      <c r="BL131" s="107">
        <f t="shared" si="155"/>
        <v>0</v>
      </c>
      <c r="BM131" s="107">
        <f t="shared" si="156"/>
        <v>0</v>
      </c>
      <c r="BN131" s="107">
        <f t="shared" si="157"/>
        <v>0</v>
      </c>
      <c r="BO131" s="109">
        <f t="shared" si="158"/>
        <v>0</v>
      </c>
      <c r="BP131" s="109">
        <f t="shared" si="159"/>
        <v>0</v>
      </c>
      <c r="BQ131" s="109">
        <f t="shared" si="160"/>
        <v>0</v>
      </c>
    </row>
    <row r="132" spans="1:69" x14ac:dyDescent="0.25">
      <c r="A132" s="101">
        <f t="shared" si="110"/>
        <v>39845</v>
      </c>
      <c r="B132" s="102">
        <f t="shared" si="47"/>
        <v>3.3460000000000001</v>
      </c>
      <c r="C132" s="102">
        <f t="shared" si="111"/>
        <v>5.0000000000000001E-3</v>
      </c>
      <c r="D132" s="80">
        <f t="shared" si="161"/>
        <v>0.18</v>
      </c>
      <c r="E132" s="106">
        <f t="shared" si="112"/>
        <v>1</v>
      </c>
      <c r="F132" s="104">
        <f t="shared" si="49"/>
        <v>4.92</v>
      </c>
      <c r="G132" s="104">
        <f t="shared" si="50"/>
        <v>3.5</v>
      </c>
      <c r="H132" s="104">
        <f t="shared" si="51"/>
        <v>2.96</v>
      </c>
      <c r="I132" s="104">
        <f t="shared" si="52"/>
        <v>2.99</v>
      </c>
      <c r="J132" s="80">
        <f t="shared" si="113"/>
        <v>0.114</v>
      </c>
      <c r="K132" s="80" t="e">
        <f t="shared" si="114"/>
        <v>#DIV/0!</v>
      </c>
      <c r="L132" s="80" t="e">
        <f t="shared" si="115"/>
        <v>#DIV/0!</v>
      </c>
      <c r="M132" s="80" t="e">
        <f t="shared" si="116"/>
        <v>#DIV/0!</v>
      </c>
      <c r="N132" s="80">
        <f t="shared" si="117"/>
        <v>0.29399999999999998</v>
      </c>
      <c r="O132" s="80" t="e">
        <f t="shared" si="118"/>
        <v>#DIV/0!</v>
      </c>
      <c r="P132" s="80" t="e">
        <f t="shared" si="119"/>
        <v>#DIV/0!</v>
      </c>
      <c r="Q132" s="80" t="e">
        <f t="shared" si="120"/>
        <v>#DIV/0!</v>
      </c>
      <c r="R132" s="105">
        <f t="shared" ca="1" si="121"/>
        <v>3072</v>
      </c>
      <c r="S132" s="80">
        <f t="shared" si="53"/>
        <v>6.992303051432501E-2</v>
      </c>
      <c r="T132" s="77">
        <v>0</v>
      </c>
      <c r="U132" s="182">
        <v>0</v>
      </c>
      <c r="X132" s="182"/>
      <c r="Z132" s="82"/>
      <c r="AA132" s="82">
        <f t="shared" si="122"/>
        <v>0</v>
      </c>
      <c r="AB132" s="82">
        <f t="shared" si="162"/>
        <v>0</v>
      </c>
      <c r="AC132" s="77">
        <f t="shared" si="123"/>
        <v>0</v>
      </c>
      <c r="AD132" s="108">
        <f t="shared" si="124"/>
        <v>0</v>
      </c>
      <c r="AE132" s="107">
        <f t="shared" si="125"/>
        <v>0</v>
      </c>
      <c r="AF132" s="107">
        <f t="shared" si="126"/>
        <v>0</v>
      </c>
      <c r="AG132" s="107">
        <f t="shared" si="127"/>
        <v>0</v>
      </c>
      <c r="AH132" s="109">
        <f t="shared" si="128"/>
        <v>0</v>
      </c>
      <c r="AI132" s="109">
        <f t="shared" si="129"/>
        <v>0</v>
      </c>
      <c r="AJ132" s="109">
        <f t="shared" si="130"/>
        <v>0</v>
      </c>
      <c r="AL132" s="82">
        <f t="shared" si="131"/>
        <v>0</v>
      </c>
      <c r="AM132" s="82" t="e">
        <f t="shared" si="132"/>
        <v>#DIV/0!</v>
      </c>
      <c r="AN132" s="77">
        <f t="shared" si="133"/>
        <v>0</v>
      </c>
      <c r="AO132" s="108">
        <f t="shared" si="134"/>
        <v>0</v>
      </c>
      <c r="AP132" s="107">
        <f t="shared" si="135"/>
        <v>0</v>
      </c>
      <c r="AQ132" s="107">
        <f t="shared" si="136"/>
        <v>0</v>
      </c>
      <c r="AR132" s="107">
        <f t="shared" si="137"/>
        <v>0</v>
      </c>
      <c r="AS132" s="109">
        <f t="shared" si="138"/>
        <v>0</v>
      </c>
      <c r="AT132" s="109">
        <f t="shared" si="139"/>
        <v>0</v>
      </c>
      <c r="AU132" s="109">
        <f t="shared" si="140"/>
        <v>0</v>
      </c>
      <c r="AW132" s="82">
        <f t="shared" si="141"/>
        <v>0</v>
      </c>
      <c r="AX132" s="82" t="e">
        <f t="shared" si="142"/>
        <v>#DIV/0!</v>
      </c>
      <c r="AY132" s="77">
        <f t="shared" si="143"/>
        <v>0</v>
      </c>
      <c r="AZ132" s="108">
        <f t="shared" si="144"/>
        <v>0</v>
      </c>
      <c r="BA132" s="107">
        <f t="shared" si="145"/>
        <v>0</v>
      </c>
      <c r="BB132" s="107">
        <f t="shared" si="146"/>
        <v>0</v>
      </c>
      <c r="BC132" s="107">
        <f t="shared" si="147"/>
        <v>0</v>
      </c>
      <c r="BD132" s="109">
        <f t="shared" si="148"/>
        <v>0</v>
      </c>
      <c r="BE132" s="109">
        <f t="shared" si="149"/>
        <v>0</v>
      </c>
      <c r="BF132" s="109">
        <f t="shared" si="150"/>
        <v>0</v>
      </c>
      <c r="BH132" s="82">
        <f t="shared" si="151"/>
        <v>0</v>
      </c>
      <c r="BI132" s="82" t="e">
        <f t="shared" si="152"/>
        <v>#DIV/0!</v>
      </c>
      <c r="BJ132" s="77">
        <f t="shared" si="153"/>
        <v>0</v>
      </c>
      <c r="BK132" s="108">
        <f t="shared" si="154"/>
        <v>0</v>
      </c>
      <c r="BL132" s="107">
        <f t="shared" si="155"/>
        <v>0</v>
      </c>
      <c r="BM132" s="107">
        <f t="shared" si="156"/>
        <v>0</v>
      </c>
      <c r="BN132" s="107">
        <f t="shared" si="157"/>
        <v>0</v>
      </c>
      <c r="BO132" s="109">
        <f t="shared" si="158"/>
        <v>0</v>
      </c>
      <c r="BP132" s="109">
        <f t="shared" si="159"/>
        <v>0</v>
      </c>
      <c r="BQ132" s="109">
        <f t="shared" si="160"/>
        <v>0</v>
      </c>
    </row>
    <row r="133" spans="1:69" x14ac:dyDescent="0.25">
      <c r="A133" s="101">
        <f t="shared" si="110"/>
        <v>39873</v>
      </c>
      <c r="B133" s="102">
        <f t="shared" si="47"/>
        <v>3.1940000000000004</v>
      </c>
      <c r="C133" s="102">
        <f t="shared" si="111"/>
        <v>5.0000000000000001E-3</v>
      </c>
      <c r="D133" s="80">
        <f t="shared" si="161"/>
        <v>0.17</v>
      </c>
      <c r="E133" s="106">
        <f t="shared" si="112"/>
        <v>1</v>
      </c>
      <c r="F133" s="104">
        <f t="shared" si="49"/>
        <v>4.92</v>
      </c>
      <c r="G133" s="104">
        <f t="shared" si="50"/>
        <v>3.5</v>
      </c>
      <c r="H133" s="104">
        <f t="shared" si="51"/>
        <v>2.96</v>
      </c>
      <c r="I133" s="104">
        <f t="shared" si="52"/>
        <v>2.99</v>
      </c>
      <c r="J133" s="80">
        <f t="shared" si="113"/>
        <v>0.114</v>
      </c>
      <c r="K133" s="80" t="e">
        <f t="shared" si="114"/>
        <v>#DIV/0!</v>
      </c>
      <c r="L133" s="80" t="e">
        <f t="shared" si="115"/>
        <v>#DIV/0!</v>
      </c>
      <c r="M133" s="80" t="e">
        <f t="shared" si="116"/>
        <v>#DIV/0!</v>
      </c>
      <c r="N133" s="80">
        <f t="shared" si="117"/>
        <v>0.28400000000000003</v>
      </c>
      <c r="O133" s="80" t="e">
        <f t="shared" si="118"/>
        <v>#DIV/0!</v>
      </c>
      <c r="P133" s="80" t="e">
        <f t="shared" si="119"/>
        <v>#DIV/0!</v>
      </c>
      <c r="Q133" s="80" t="e">
        <f t="shared" si="120"/>
        <v>#DIV/0!</v>
      </c>
      <c r="R133" s="105">
        <f t="shared" ca="1" si="121"/>
        <v>3100</v>
      </c>
      <c r="S133" s="80">
        <f t="shared" si="53"/>
        <v>6.9934896688738035E-2</v>
      </c>
      <c r="T133" s="77">
        <v>0</v>
      </c>
      <c r="U133" s="182">
        <v>0</v>
      </c>
      <c r="X133" s="182"/>
      <c r="Z133" s="82"/>
      <c r="AA133" s="82">
        <f t="shared" si="122"/>
        <v>0</v>
      </c>
      <c r="AB133" s="82">
        <f t="shared" si="162"/>
        <v>0</v>
      </c>
      <c r="AC133" s="77">
        <f t="shared" si="123"/>
        <v>0</v>
      </c>
      <c r="AD133" s="108">
        <f t="shared" si="124"/>
        <v>0</v>
      </c>
      <c r="AE133" s="107">
        <f t="shared" si="125"/>
        <v>0</v>
      </c>
      <c r="AF133" s="107">
        <f t="shared" si="126"/>
        <v>0</v>
      </c>
      <c r="AG133" s="107">
        <f t="shared" si="127"/>
        <v>0</v>
      </c>
      <c r="AH133" s="109">
        <f t="shared" si="128"/>
        <v>0</v>
      </c>
      <c r="AI133" s="109">
        <f t="shared" si="129"/>
        <v>0</v>
      </c>
      <c r="AJ133" s="109">
        <f t="shared" si="130"/>
        <v>0</v>
      </c>
      <c r="AL133" s="82">
        <f t="shared" si="131"/>
        <v>0</v>
      </c>
      <c r="AM133" s="82" t="e">
        <f t="shared" si="132"/>
        <v>#DIV/0!</v>
      </c>
      <c r="AN133" s="77">
        <f t="shared" si="133"/>
        <v>0</v>
      </c>
      <c r="AO133" s="108">
        <f t="shared" si="134"/>
        <v>0</v>
      </c>
      <c r="AP133" s="107">
        <f t="shared" si="135"/>
        <v>0</v>
      </c>
      <c r="AQ133" s="107">
        <f t="shared" si="136"/>
        <v>0</v>
      </c>
      <c r="AR133" s="107">
        <f t="shared" si="137"/>
        <v>0</v>
      </c>
      <c r="AS133" s="109">
        <f t="shared" si="138"/>
        <v>0</v>
      </c>
      <c r="AT133" s="109">
        <f t="shared" si="139"/>
        <v>0</v>
      </c>
      <c r="AU133" s="109">
        <f t="shared" si="140"/>
        <v>0</v>
      </c>
      <c r="AW133" s="82">
        <f t="shared" si="141"/>
        <v>0</v>
      </c>
      <c r="AX133" s="82" t="e">
        <f t="shared" si="142"/>
        <v>#DIV/0!</v>
      </c>
      <c r="AY133" s="77">
        <f t="shared" si="143"/>
        <v>0</v>
      </c>
      <c r="AZ133" s="108">
        <f t="shared" si="144"/>
        <v>0</v>
      </c>
      <c r="BA133" s="107">
        <f t="shared" si="145"/>
        <v>0</v>
      </c>
      <c r="BB133" s="107">
        <f t="shared" si="146"/>
        <v>0</v>
      </c>
      <c r="BC133" s="107">
        <f t="shared" si="147"/>
        <v>0</v>
      </c>
      <c r="BD133" s="109">
        <f t="shared" si="148"/>
        <v>0</v>
      </c>
      <c r="BE133" s="109">
        <f t="shared" si="149"/>
        <v>0</v>
      </c>
      <c r="BF133" s="109">
        <f t="shared" si="150"/>
        <v>0</v>
      </c>
      <c r="BH133" s="82">
        <f t="shared" si="151"/>
        <v>0</v>
      </c>
      <c r="BI133" s="82" t="e">
        <f t="shared" si="152"/>
        <v>#DIV/0!</v>
      </c>
      <c r="BJ133" s="77">
        <f t="shared" si="153"/>
        <v>0</v>
      </c>
      <c r="BK133" s="108">
        <f t="shared" si="154"/>
        <v>0</v>
      </c>
      <c r="BL133" s="107">
        <f t="shared" si="155"/>
        <v>0</v>
      </c>
      <c r="BM133" s="107">
        <f t="shared" si="156"/>
        <v>0</v>
      </c>
      <c r="BN133" s="107">
        <f t="shared" si="157"/>
        <v>0</v>
      </c>
      <c r="BO133" s="109">
        <f t="shared" si="158"/>
        <v>0</v>
      </c>
      <c r="BP133" s="109">
        <f t="shared" si="159"/>
        <v>0</v>
      </c>
      <c r="BQ133" s="109">
        <f t="shared" si="160"/>
        <v>0</v>
      </c>
    </row>
    <row r="134" spans="1:69" x14ac:dyDescent="0.25">
      <c r="A134" s="101">
        <f t="shared" si="110"/>
        <v>39904</v>
      </c>
      <c r="B134" s="102">
        <f t="shared" si="47"/>
        <v>3.0340000000000003</v>
      </c>
      <c r="C134" s="102">
        <f t="shared" si="111"/>
        <v>5.0000000000000001E-3</v>
      </c>
      <c r="D134" s="80">
        <f t="shared" si="161"/>
        <v>0.17</v>
      </c>
      <c r="E134" s="106">
        <f t="shared" si="112"/>
        <v>1</v>
      </c>
      <c r="F134" s="104">
        <f t="shared" si="49"/>
        <v>4.92</v>
      </c>
      <c r="G134" s="104">
        <f t="shared" si="50"/>
        <v>3.5</v>
      </c>
      <c r="H134" s="104">
        <f t="shared" si="51"/>
        <v>2.96</v>
      </c>
      <c r="I134" s="104">
        <f t="shared" si="52"/>
        <v>2.99</v>
      </c>
      <c r="J134" s="80">
        <f t="shared" si="113"/>
        <v>0.114</v>
      </c>
      <c r="K134" s="80" t="e">
        <f t="shared" si="114"/>
        <v>#DIV/0!</v>
      </c>
      <c r="L134" s="80" t="e">
        <f t="shared" si="115"/>
        <v>#DIV/0!</v>
      </c>
      <c r="M134" s="80" t="e">
        <f t="shared" si="116"/>
        <v>#DIV/0!</v>
      </c>
      <c r="N134" s="80">
        <f t="shared" si="117"/>
        <v>0.28400000000000003</v>
      </c>
      <c r="O134" s="80" t="e">
        <f t="shared" si="118"/>
        <v>#DIV/0!</v>
      </c>
      <c r="P134" s="80" t="e">
        <f t="shared" si="119"/>
        <v>#DIV/0!</v>
      </c>
      <c r="Q134" s="80" t="e">
        <f t="shared" si="120"/>
        <v>#DIV/0!</v>
      </c>
      <c r="R134" s="105">
        <f t="shared" ca="1" si="121"/>
        <v>3130</v>
      </c>
      <c r="S134" s="80">
        <f t="shared" si="53"/>
        <v>6.994803423903502E-2</v>
      </c>
      <c r="T134" s="77">
        <v>0</v>
      </c>
      <c r="U134" s="182">
        <v>0</v>
      </c>
      <c r="X134" s="182"/>
      <c r="Z134" s="82"/>
      <c r="AA134" s="82">
        <f t="shared" si="122"/>
        <v>0</v>
      </c>
      <c r="AB134" s="82">
        <f t="shared" si="162"/>
        <v>0</v>
      </c>
      <c r="AC134" s="77">
        <f t="shared" si="123"/>
        <v>0</v>
      </c>
      <c r="AD134" s="108">
        <f t="shared" si="124"/>
        <v>0</v>
      </c>
      <c r="AE134" s="107">
        <f t="shared" si="125"/>
        <v>0</v>
      </c>
      <c r="AF134" s="107">
        <f t="shared" si="126"/>
        <v>0</v>
      </c>
      <c r="AG134" s="107">
        <f t="shared" si="127"/>
        <v>0</v>
      </c>
      <c r="AH134" s="109">
        <f t="shared" si="128"/>
        <v>0</v>
      </c>
      <c r="AI134" s="109">
        <f t="shared" si="129"/>
        <v>0</v>
      </c>
      <c r="AJ134" s="109">
        <f t="shared" si="130"/>
        <v>0</v>
      </c>
      <c r="AL134" s="82">
        <f t="shared" si="131"/>
        <v>0</v>
      </c>
      <c r="AM134" s="82" t="e">
        <f t="shared" si="132"/>
        <v>#DIV/0!</v>
      </c>
      <c r="AN134" s="77">
        <f t="shared" si="133"/>
        <v>0</v>
      </c>
      <c r="AO134" s="108">
        <f t="shared" si="134"/>
        <v>0</v>
      </c>
      <c r="AP134" s="107">
        <f t="shared" si="135"/>
        <v>0</v>
      </c>
      <c r="AQ134" s="107">
        <f t="shared" si="136"/>
        <v>0</v>
      </c>
      <c r="AR134" s="107">
        <f t="shared" si="137"/>
        <v>0</v>
      </c>
      <c r="AS134" s="109">
        <f t="shared" si="138"/>
        <v>0</v>
      </c>
      <c r="AT134" s="109">
        <f t="shared" si="139"/>
        <v>0</v>
      </c>
      <c r="AU134" s="109">
        <f t="shared" si="140"/>
        <v>0</v>
      </c>
      <c r="AW134" s="82">
        <f t="shared" si="141"/>
        <v>0</v>
      </c>
      <c r="AX134" s="82" t="e">
        <f t="shared" si="142"/>
        <v>#DIV/0!</v>
      </c>
      <c r="AY134" s="77">
        <f t="shared" si="143"/>
        <v>0</v>
      </c>
      <c r="AZ134" s="108">
        <f t="shared" si="144"/>
        <v>0</v>
      </c>
      <c r="BA134" s="107">
        <f t="shared" si="145"/>
        <v>0</v>
      </c>
      <c r="BB134" s="107">
        <f t="shared" si="146"/>
        <v>0</v>
      </c>
      <c r="BC134" s="107">
        <f t="shared" si="147"/>
        <v>0</v>
      </c>
      <c r="BD134" s="109">
        <f t="shared" si="148"/>
        <v>0</v>
      </c>
      <c r="BE134" s="109">
        <f t="shared" si="149"/>
        <v>0</v>
      </c>
      <c r="BF134" s="109">
        <f t="shared" si="150"/>
        <v>0</v>
      </c>
      <c r="BH134" s="82">
        <f t="shared" si="151"/>
        <v>0</v>
      </c>
      <c r="BI134" s="82" t="e">
        <f t="shared" si="152"/>
        <v>#DIV/0!</v>
      </c>
      <c r="BJ134" s="77">
        <f t="shared" si="153"/>
        <v>0</v>
      </c>
      <c r="BK134" s="108">
        <f t="shared" si="154"/>
        <v>0</v>
      </c>
      <c r="BL134" s="107">
        <f t="shared" si="155"/>
        <v>0</v>
      </c>
      <c r="BM134" s="107">
        <f t="shared" si="156"/>
        <v>0</v>
      </c>
      <c r="BN134" s="107">
        <f t="shared" si="157"/>
        <v>0</v>
      </c>
      <c r="BO134" s="109">
        <f t="shared" si="158"/>
        <v>0</v>
      </c>
      <c r="BP134" s="109">
        <f t="shared" si="159"/>
        <v>0</v>
      </c>
      <c r="BQ134" s="109">
        <f t="shared" si="160"/>
        <v>0</v>
      </c>
    </row>
    <row r="135" spans="1:69" x14ac:dyDescent="0.25">
      <c r="A135" s="101">
        <f t="shared" si="110"/>
        <v>39934</v>
      </c>
      <c r="B135" s="102">
        <f t="shared" si="47"/>
        <v>3.0249999999999999</v>
      </c>
      <c r="C135" s="102">
        <f t="shared" si="111"/>
        <v>5.0000000000000001E-3</v>
      </c>
      <c r="D135" s="80">
        <f t="shared" si="161"/>
        <v>0.17</v>
      </c>
      <c r="E135" s="106">
        <f t="shared" si="112"/>
        <v>1</v>
      </c>
      <c r="F135" s="104">
        <f t="shared" si="49"/>
        <v>4.92</v>
      </c>
      <c r="G135" s="104">
        <f t="shared" si="50"/>
        <v>3.5</v>
      </c>
      <c r="H135" s="104">
        <f t="shared" si="51"/>
        <v>2.96</v>
      </c>
      <c r="I135" s="104">
        <f t="shared" si="52"/>
        <v>2.99</v>
      </c>
      <c r="J135" s="80">
        <f t="shared" si="113"/>
        <v>0.114</v>
      </c>
      <c r="K135" s="80" t="e">
        <f t="shared" si="114"/>
        <v>#DIV/0!</v>
      </c>
      <c r="L135" s="80" t="e">
        <f t="shared" si="115"/>
        <v>#DIV/0!</v>
      </c>
      <c r="M135" s="80" t="e">
        <f t="shared" si="116"/>
        <v>#DIV/0!</v>
      </c>
      <c r="N135" s="80">
        <f t="shared" si="117"/>
        <v>0.28400000000000003</v>
      </c>
      <c r="O135" s="80" t="e">
        <f t="shared" si="118"/>
        <v>#DIV/0!</v>
      </c>
      <c r="P135" s="80" t="e">
        <f t="shared" si="119"/>
        <v>#DIV/0!</v>
      </c>
      <c r="Q135" s="80" t="e">
        <f t="shared" si="120"/>
        <v>#DIV/0!</v>
      </c>
      <c r="R135" s="105">
        <f t="shared" ca="1" si="121"/>
        <v>3162</v>
      </c>
      <c r="S135" s="80">
        <f t="shared" si="53"/>
        <v>6.9960747997441008E-2</v>
      </c>
      <c r="T135" s="77">
        <v>0</v>
      </c>
      <c r="U135" s="182">
        <v>0</v>
      </c>
      <c r="X135" s="182"/>
      <c r="Z135" s="82"/>
      <c r="AA135" s="82">
        <f t="shared" si="122"/>
        <v>0</v>
      </c>
      <c r="AB135" s="82">
        <f t="shared" si="162"/>
        <v>0</v>
      </c>
      <c r="AC135" s="77">
        <f t="shared" si="123"/>
        <v>0</v>
      </c>
      <c r="AD135" s="108">
        <f t="shared" si="124"/>
        <v>0</v>
      </c>
      <c r="AE135" s="107">
        <f t="shared" si="125"/>
        <v>0</v>
      </c>
      <c r="AF135" s="107">
        <f t="shared" si="126"/>
        <v>0</v>
      </c>
      <c r="AG135" s="107">
        <f t="shared" si="127"/>
        <v>0</v>
      </c>
      <c r="AH135" s="109">
        <f t="shared" si="128"/>
        <v>0</v>
      </c>
      <c r="AI135" s="109">
        <f t="shared" si="129"/>
        <v>0</v>
      </c>
      <c r="AJ135" s="109">
        <f t="shared" si="130"/>
        <v>0</v>
      </c>
      <c r="AL135" s="82">
        <f t="shared" si="131"/>
        <v>0</v>
      </c>
      <c r="AM135" s="82" t="e">
        <f t="shared" si="132"/>
        <v>#DIV/0!</v>
      </c>
      <c r="AN135" s="77">
        <f t="shared" si="133"/>
        <v>0</v>
      </c>
      <c r="AO135" s="108">
        <f t="shared" si="134"/>
        <v>0</v>
      </c>
      <c r="AP135" s="107">
        <f t="shared" si="135"/>
        <v>0</v>
      </c>
      <c r="AQ135" s="107">
        <f t="shared" si="136"/>
        <v>0</v>
      </c>
      <c r="AR135" s="107">
        <f t="shared" si="137"/>
        <v>0</v>
      </c>
      <c r="AS135" s="109">
        <f t="shared" si="138"/>
        <v>0</v>
      </c>
      <c r="AT135" s="109">
        <f t="shared" si="139"/>
        <v>0</v>
      </c>
      <c r="AU135" s="109">
        <f t="shared" si="140"/>
        <v>0</v>
      </c>
      <c r="AW135" s="82">
        <f t="shared" si="141"/>
        <v>0</v>
      </c>
      <c r="AX135" s="82" t="e">
        <f t="shared" si="142"/>
        <v>#DIV/0!</v>
      </c>
      <c r="AY135" s="77">
        <f t="shared" si="143"/>
        <v>0</v>
      </c>
      <c r="AZ135" s="108">
        <f t="shared" si="144"/>
        <v>0</v>
      </c>
      <c r="BA135" s="107">
        <f t="shared" si="145"/>
        <v>0</v>
      </c>
      <c r="BB135" s="107">
        <f t="shared" si="146"/>
        <v>0</v>
      </c>
      <c r="BC135" s="107">
        <f t="shared" si="147"/>
        <v>0</v>
      </c>
      <c r="BD135" s="109">
        <f t="shared" si="148"/>
        <v>0</v>
      </c>
      <c r="BE135" s="109">
        <f t="shared" si="149"/>
        <v>0</v>
      </c>
      <c r="BF135" s="109">
        <f t="shared" si="150"/>
        <v>0</v>
      </c>
      <c r="BH135" s="82">
        <f t="shared" si="151"/>
        <v>0</v>
      </c>
      <c r="BI135" s="82" t="e">
        <f t="shared" si="152"/>
        <v>#DIV/0!</v>
      </c>
      <c r="BJ135" s="77">
        <f t="shared" si="153"/>
        <v>0</v>
      </c>
      <c r="BK135" s="108">
        <f t="shared" si="154"/>
        <v>0</v>
      </c>
      <c r="BL135" s="107">
        <f t="shared" si="155"/>
        <v>0</v>
      </c>
      <c r="BM135" s="107">
        <f t="shared" si="156"/>
        <v>0</v>
      </c>
      <c r="BN135" s="107">
        <f t="shared" si="157"/>
        <v>0</v>
      </c>
      <c r="BO135" s="109">
        <f t="shared" si="158"/>
        <v>0</v>
      </c>
      <c r="BP135" s="109">
        <f t="shared" si="159"/>
        <v>0</v>
      </c>
      <c r="BQ135" s="109">
        <f t="shared" si="160"/>
        <v>0</v>
      </c>
    </row>
    <row r="136" spans="1:69" x14ac:dyDescent="0.25">
      <c r="A136" s="101">
        <f t="shared" si="110"/>
        <v>39965</v>
      </c>
      <c r="B136" s="102">
        <f t="shared" si="47"/>
        <v>3.0510000000000002</v>
      </c>
      <c r="C136" s="102">
        <f t="shared" si="111"/>
        <v>5.0000000000000001E-3</v>
      </c>
      <c r="D136" s="80">
        <f t="shared" si="161"/>
        <v>0.17</v>
      </c>
      <c r="E136" s="106">
        <f t="shared" si="112"/>
        <v>1</v>
      </c>
      <c r="F136" s="104">
        <f t="shared" si="49"/>
        <v>4.92</v>
      </c>
      <c r="G136" s="104">
        <f t="shared" si="50"/>
        <v>3.5</v>
      </c>
      <c r="H136" s="104">
        <f t="shared" si="51"/>
        <v>2.96</v>
      </c>
      <c r="I136" s="104">
        <f t="shared" si="52"/>
        <v>2.99</v>
      </c>
      <c r="J136" s="80">
        <f t="shared" si="113"/>
        <v>0.114</v>
      </c>
      <c r="K136" s="80" t="e">
        <f t="shared" si="114"/>
        <v>#DIV/0!</v>
      </c>
      <c r="L136" s="80" t="e">
        <f t="shared" si="115"/>
        <v>#DIV/0!</v>
      </c>
      <c r="M136" s="80" t="e">
        <f t="shared" si="116"/>
        <v>#DIV/0!</v>
      </c>
      <c r="N136" s="80">
        <f t="shared" si="117"/>
        <v>0.28400000000000003</v>
      </c>
      <c r="O136" s="80" t="e">
        <f t="shared" si="118"/>
        <v>#DIV/0!</v>
      </c>
      <c r="P136" s="80" t="e">
        <f t="shared" si="119"/>
        <v>#DIV/0!</v>
      </c>
      <c r="Q136" s="80" t="e">
        <f t="shared" si="120"/>
        <v>#DIV/0!</v>
      </c>
      <c r="R136" s="105">
        <f t="shared" ca="1" si="121"/>
        <v>3191</v>
      </c>
      <c r="S136" s="80">
        <f t="shared" si="53"/>
        <v>6.9973885547851028E-2</v>
      </c>
      <c r="T136" s="77">
        <v>0</v>
      </c>
      <c r="U136" s="182">
        <v>0</v>
      </c>
      <c r="X136" s="182"/>
      <c r="Z136" s="82"/>
      <c r="AA136" s="82">
        <f t="shared" si="122"/>
        <v>0</v>
      </c>
      <c r="AB136" s="82">
        <f t="shared" si="162"/>
        <v>0</v>
      </c>
      <c r="AC136" s="77">
        <f t="shared" si="123"/>
        <v>0</v>
      </c>
      <c r="AD136" s="108">
        <f t="shared" si="124"/>
        <v>0</v>
      </c>
      <c r="AE136" s="107">
        <f t="shared" si="125"/>
        <v>0</v>
      </c>
      <c r="AF136" s="107">
        <f t="shared" si="126"/>
        <v>0</v>
      </c>
      <c r="AG136" s="107">
        <f t="shared" si="127"/>
        <v>0</v>
      </c>
      <c r="AH136" s="109">
        <f t="shared" si="128"/>
        <v>0</v>
      </c>
      <c r="AI136" s="109">
        <f t="shared" si="129"/>
        <v>0</v>
      </c>
      <c r="AJ136" s="109">
        <f t="shared" si="130"/>
        <v>0</v>
      </c>
      <c r="AL136" s="82">
        <f t="shared" si="131"/>
        <v>0</v>
      </c>
      <c r="AM136" s="82" t="e">
        <f t="shared" si="132"/>
        <v>#DIV/0!</v>
      </c>
      <c r="AN136" s="77">
        <f t="shared" si="133"/>
        <v>0</v>
      </c>
      <c r="AO136" s="108">
        <f t="shared" si="134"/>
        <v>0</v>
      </c>
      <c r="AP136" s="107">
        <f t="shared" si="135"/>
        <v>0</v>
      </c>
      <c r="AQ136" s="107">
        <f t="shared" si="136"/>
        <v>0</v>
      </c>
      <c r="AR136" s="107">
        <f t="shared" si="137"/>
        <v>0</v>
      </c>
      <c r="AS136" s="109">
        <f t="shared" si="138"/>
        <v>0</v>
      </c>
      <c r="AT136" s="109">
        <f t="shared" si="139"/>
        <v>0</v>
      </c>
      <c r="AU136" s="109">
        <f t="shared" si="140"/>
        <v>0</v>
      </c>
      <c r="AW136" s="82">
        <f t="shared" si="141"/>
        <v>0</v>
      </c>
      <c r="AX136" s="82" t="e">
        <f t="shared" si="142"/>
        <v>#DIV/0!</v>
      </c>
      <c r="AY136" s="77">
        <f t="shared" si="143"/>
        <v>0</v>
      </c>
      <c r="AZ136" s="108">
        <f t="shared" si="144"/>
        <v>0</v>
      </c>
      <c r="BA136" s="107">
        <f t="shared" si="145"/>
        <v>0</v>
      </c>
      <c r="BB136" s="107">
        <f t="shared" si="146"/>
        <v>0</v>
      </c>
      <c r="BC136" s="107">
        <f t="shared" si="147"/>
        <v>0</v>
      </c>
      <c r="BD136" s="109">
        <f t="shared" si="148"/>
        <v>0</v>
      </c>
      <c r="BE136" s="109">
        <f t="shared" si="149"/>
        <v>0</v>
      </c>
      <c r="BF136" s="109">
        <f t="shared" si="150"/>
        <v>0</v>
      </c>
      <c r="BH136" s="82">
        <f t="shared" si="151"/>
        <v>0</v>
      </c>
      <c r="BI136" s="82" t="e">
        <f t="shared" si="152"/>
        <v>#DIV/0!</v>
      </c>
      <c r="BJ136" s="77">
        <f t="shared" si="153"/>
        <v>0</v>
      </c>
      <c r="BK136" s="108">
        <f t="shared" si="154"/>
        <v>0</v>
      </c>
      <c r="BL136" s="107">
        <f t="shared" si="155"/>
        <v>0</v>
      </c>
      <c r="BM136" s="107">
        <f t="shared" si="156"/>
        <v>0</v>
      </c>
      <c r="BN136" s="107">
        <f t="shared" si="157"/>
        <v>0</v>
      </c>
      <c r="BO136" s="109">
        <f t="shared" si="158"/>
        <v>0</v>
      </c>
      <c r="BP136" s="109">
        <f t="shared" si="159"/>
        <v>0</v>
      </c>
      <c r="BQ136" s="109">
        <f t="shared" si="160"/>
        <v>0</v>
      </c>
    </row>
    <row r="137" spans="1:69" x14ac:dyDescent="0.25">
      <c r="A137" s="101">
        <f t="shared" si="110"/>
        <v>39995</v>
      </c>
      <c r="B137" s="102">
        <f t="shared" si="47"/>
        <v>3.0730000000000004</v>
      </c>
      <c r="C137" s="102">
        <f t="shared" si="111"/>
        <v>5.0000000000000001E-3</v>
      </c>
      <c r="D137" s="80">
        <f t="shared" si="161"/>
        <v>0.17</v>
      </c>
      <c r="E137" s="106">
        <f t="shared" si="112"/>
        <v>1</v>
      </c>
      <c r="F137" s="104">
        <f t="shared" si="49"/>
        <v>4.92</v>
      </c>
      <c r="G137" s="104">
        <f t="shared" si="50"/>
        <v>3.5</v>
      </c>
      <c r="H137" s="104">
        <f t="shared" si="51"/>
        <v>2.96</v>
      </c>
      <c r="I137" s="104">
        <f t="shared" si="52"/>
        <v>2.99</v>
      </c>
      <c r="J137" s="80">
        <f t="shared" si="113"/>
        <v>0.114</v>
      </c>
      <c r="K137" s="80" t="e">
        <f t="shared" si="114"/>
        <v>#DIV/0!</v>
      </c>
      <c r="L137" s="80" t="e">
        <f t="shared" si="115"/>
        <v>#DIV/0!</v>
      </c>
      <c r="M137" s="80" t="e">
        <f t="shared" si="116"/>
        <v>#DIV/0!</v>
      </c>
      <c r="N137" s="80">
        <f t="shared" si="117"/>
        <v>0.28400000000000003</v>
      </c>
      <c r="O137" s="80" t="e">
        <f t="shared" si="118"/>
        <v>#DIV/0!</v>
      </c>
      <c r="P137" s="80" t="e">
        <f t="shared" si="119"/>
        <v>#DIV/0!</v>
      </c>
      <c r="Q137" s="80" t="e">
        <f t="shared" si="120"/>
        <v>#DIV/0!</v>
      </c>
      <c r="R137" s="105">
        <f t="shared" ca="1" si="121"/>
        <v>3221</v>
      </c>
      <c r="S137" s="80">
        <f t="shared" si="53"/>
        <v>6.9986599306366026E-2</v>
      </c>
      <c r="T137" s="77">
        <v>0</v>
      </c>
      <c r="U137" s="182">
        <v>0</v>
      </c>
      <c r="X137" s="182"/>
      <c r="Z137" s="82"/>
      <c r="AA137" s="82">
        <f t="shared" si="122"/>
        <v>0</v>
      </c>
      <c r="AB137" s="82">
        <f t="shared" si="162"/>
        <v>0</v>
      </c>
      <c r="AC137" s="77">
        <f t="shared" si="123"/>
        <v>0</v>
      </c>
      <c r="AD137" s="108">
        <f t="shared" si="124"/>
        <v>0</v>
      </c>
      <c r="AE137" s="107">
        <f t="shared" si="125"/>
        <v>0</v>
      </c>
      <c r="AF137" s="107">
        <f t="shared" si="126"/>
        <v>0</v>
      </c>
      <c r="AG137" s="107">
        <f t="shared" si="127"/>
        <v>0</v>
      </c>
      <c r="AH137" s="109">
        <f t="shared" si="128"/>
        <v>0</v>
      </c>
      <c r="AI137" s="109">
        <f t="shared" si="129"/>
        <v>0</v>
      </c>
      <c r="AJ137" s="109">
        <f t="shared" si="130"/>
        <v>0</v>
      </c>
      <c r="AL137" s="82">
        <f t="shared" si="131"/>
        <v>0</v>
      </c>
      <c r="AM137" s="82" t="e">
        <f t="shared" si="132"/>
        <v>#DIV/0!</v>
      </c>
      <c r="AN137" s="77">
        <f t="shared" si="133"/>
        <v>0</v>
      </c>
      <c r="AO137" s="108">
        <f t="shared" si="134"/>
        <v>0</v>
      </c>
      <c r="AP137" s="107">
        <f t="shared" si="135"/>
        <v>0</v>
      </c>
      <c r="AQ137" s="107">
        <f t="shared" si="136"/>
        <v>0</v>
      </c>
      <c r="AR137" s="107">
        <f t="shared" si="137"/>
        <v>0</v>
      </c>
      <c r="AS137" s="109">
        <f t="shared" si="138"/>
        <v>0</v>
      </c>
      <c r="AT137" s="109">
        <f t="shared" si="139"/>
        <v>0</v>
      </c>
      <c r="AU137" s="109">
        <f t="shared" si="140"/>
        <v>0</v>
      </c>
      <c r="AW137" s="82">
        <f t="shared" si="141"/>
        <v>0</v>
      </c>
      <c r="AX137" s="82" t="e">
        <f t="shared" si="142"/>
        <v>#DIV/0!</v>
      </c>
      <c r="AY137" s="77">
        <f t="shared" si="143"/>
        <v>0</v>
      </c>
      <c r="AZ137" s="108">
        <f t="shared" si="144"/>
        <v>0</v>
      </c>
      <c r="BA137" s="107">
        <f t="shared" si="145"/>
        <v>0</v>
      </c>
      <c r="BB137" s="107">
        <f t="shared" si="146"/>
        <v>0</v>
      </c>
      <c r="BC137" s="107">
        <f t="shared" si="147"/>
        <v>0</v>
      </c>
      <c r="BD137" s="109">
        <f t="shared" si="148"/>
        <v>0</v>
      </c>
      <c r="BE137" s="109">
        <f t="shared" si="149"/>
        <v>0</v>
      </c>
      <c r="BF137" s="109">
        <f t="shared" si="150"/>
        <v>0</v>
      </c>
      <c r="BH137" s="82">
        <f t="shared" si="151"/>
        <v>0</v>
      </c>
      <c r="BI137" s="82" t="e">
        <f t="shared" si="152"/>
        <v>#DIV/0!</v>
      </c>
      <c r="BJ137" s="77">
        <f t="shared" si="153"/>
        <v>0</v>
      </c>
      <c r="BK137" s="108">
        <f t="shared" si="154"/>
        <v>0</v>
      </c>
      <c r="BL137" s="107">
        <f t="shared" si="155"/>
        <v>0</v>
      </c>
      <c r="BM137" s="107">
        <f t="shared" si="156"/>
        <v>0</v>
      </c>
      <c r="BN137" s="107">
        <f t="shared" si="157"/>
        <v>0</v>
      </c>
      <c r="BO137" s="109">
        <f t="shared" si="158"/>
        <v>0</v>
      </c>
      <c r="BP137" s="109">
        <f t="shared" si="159"/>
        <v>0</v>
      </c>
      <c r="BQ137" s="109">
        <f t="shared" si="160"/>
        <v>0</v>
      </c>
    </row>
    <row r="138" spans="1:69" x14ac:dyDescent="0.25">
      <c r="A138" s="101">
        <f t="shared" si="110"/>
        <v>40026</v>
      </c>
      <c r="B138" s="102">
        <f t="shared" si="47"/>
        <v>3.0940000000000003</v>
      </c>
      <c r="C138" s="102">
        <f t="shared" si="111"/>
        <v>5.0000000000000001E-3</v>
      </c>
      <c r="D138" s="80">
        <f t="shared" si="161"/>
        <v>0.17</v>
      </c>
      <c r="E138" s="106">
        <f t="shared" si="112"/>
        <v>1</v>
      </c>
      <c r="F138" s="104">
        <f t="shared" si="49"/>
        <v>4.92</v>
      </c>
      <c r="G138" s="104">
        <f t="shared" si="50"/>
        <v>3.5</v>
      </c>
      <c r="H138" s="104">
        <f t="shared" si="51"/>
        <v>2.96</v>
      </c>
      <c r="I138" s="104">
        <f t="shared" si="52"/>
        <v>2.99</v>
      </c>
      <c r="J138" s="80">
        <f t="shared" si="113"/>
        <v>0.114</v>
      </c>
      <c r="K138" s="80" t="e">
        <f t="shared" si="114"/>
        <v>#DIV/0!</v>
      </c>
      <c r="L138" s="80" t="e">
        <f t="shared" si="115"/>
        <v>#DIV/0!</v>
      </c>
      <c r="M138" s="80" t="e">
        <f t="shared" si="116"/>
        <v>#DIV/0!</v>
      </c>
      <c r="N138" s="80">
        <f t="shared" si="117"/>
        <v>0.28400000000000003</v>
      </c>
      <c r="O138" s="80" t="e">
        <f t="shared" si="118"/>
        <v>#DIV/0!</v>
      </c>
      <c r="P138" s="80" t="e">
        <f t="shared" si="119"/>
        <v>#DIV/0!</v>
      </c>
      <c r="Q138" s="80" t="e">
        <f t="shared" si="120"/>
        <v>#DIV/0!</v>
      </c>
      <c r="R138" s="105">
        <f t="shared" ca="1" si="121"/>
        <v>3254</v>
      </c>
      <c r="S138" s="80">
        <f t="shared" si="53"/>
        <v>6.9999736856888012E-2</v>
      </c>
      <c r="T138" s="77">
        <v>0</v>
      </c>
      <c r="U138" s="182">
        <v>0</v>
      </c>
      <c r="X138" s="182"/>
      <c r="Z138" s="82"/>
      <c r="AA138" s="82">
        <f t="shared" si="122"/>
        <v>0</v>
      </c>
      <c r="AB138" s="82">
        <f t="shared" si="162"/>
        <v>0</v>
      </c>
      <c r="AC138" s="77">
        <f t="shared" si="123"/>
        <v>0</v>
      </c>
      <c r="AD138" s="108">
        <f t="shared" si="124"/>
        <v>0</v>
      </c>
      <c r="AE138" s="107">
        <f t="shared" si="125"/>
        <v>0</v>
      </c>
      <c r="AF138" s="107">
        <f t="shared" si="126"/>
        <v>0</v>
      </c>
      <c r="AG138" s="107">
        <f t="shared" si="127"/>
        <v>0</v>
      </c>
      <c r="AH138" s="109">
        <f t="shared" si="128"/>
        <v>0</v>
      </c>
      <c r="AI138" s="109">
        <f t="shared" si="129"/>
        <v>0</v>
      </c>
      <c r="AJ138" s="109">
        <f t="shared" si="130"/>
        <v>0</v>
      </c>
      <c r="AL138" s="82">
        <f t="shared" si="131"/>
        <v>0</v>
      </c>
      <c r="AM138" s="82" t="e">
        <f t="shared" si="132"/>
        <v>#DIV/0!</v>
      </c>
      <c r="AN138" s="77">
        <f t="shared" si="133"/>
        <v>0</v>
      </c>
      <c r="AO138" s="108">
        <f t="shared" si="134"/>
        <v>0</v>
      </c>
      <c r="AP138" s="107">
        <f t="shared" si="135"/>
        <v>0</v>
      </c>
      <c r="AQ138" s="107">
        <f t="shared" si="136"/>
        <v>0</v>
      </c>
      <c r="AR138" s="107">
        <f t="shared" si="137"/>
        <v>0</v>
      </c>
      <c r="AS138" s="109">
        <f t="shared" si="138"/>
        <v>0</v>
      </c>
      <c r="AT138" s="109">
        <f t="shared" si="139"/>
        <v>0</v>
      </c>
      <c r="AU138" s="109">
        <f t="shared" si="140"/>
        <v>0</v>
      </c>
      <c r="AW138" s="82">
        <f t="shared" si="141"/>
        <v>0</v>
      </c>
      <c r="AX138" s="82" t="e">
        <f t="shared" si="142"/>
        <v>#DIV/0!</v>
      </c>
      <c r="AY138" s="77">
        <f t="shared" si="143"/>
        <v>0</v>
      </c>
      <c r="AZ138" s="108">
        <f t="shared" si="144"/>
        <v>0</v>
      </c>
      <c r="BA138" s="107">
        <f t="shared" si="145"/>
        <v>0</v>
      </c>
      <c r="BB138" s="107">
        <f t="shared" si="146"/>
        <v>0</v>
      </c>
      <c r="BC138" s="107">
        <f t="shared" si="147"/>
        <v>0</v>
      </c>
      <c r="BD138" s="109">
        <f t="shared" si="148"/>
        <v>0</v>
      </c>
      <c r="BE138" s="109">
        <f t="shared" si="149"/>
        <v>0</v>
      </c>
      <c r="BF138" s="109">
        <f t="shared" si="150"/>
        <v>0</v>
      </c>
      <c r="BH138" s="82">
        <f t="shared" si="151"/>
        <v>0</v>
      </c>
      <c r="BI138" s="82" t="e">
        <f t="shared" si="152"/>
        <v>#DIV/0!</v>
      </c>
      <c r="BJ138" s="77">
        <f t="shared" si="153"/>
        <v>0</v>
      </c>
      <c r="BK138" s="108">
        <f t="shared" si="154"/>
        <v>0</v>
      </c>
      <c r="BL138" s="107">
        <f t="shared" si="155"/>
        <v>0</v>
      </c>
      <c r="BM138" s="107">
        <f t="shared" si="156"/>
        <v>0</v>
      </c>
      <c r="BN138" s="107">
        <f t="shared" si="157"/>
        <v>0</v>
      </c>
      <c r="BO138" s="109">
        <f t="shared" si="158"/>
        <v>0</v>
      </c>
      <c r="BP138" s="109">
        <f t="shared" si="159"/>
        <v>0</v>
      </c>
      <c r="BQ138" s="109">
        <f t="shared" si="160"/>
        <v>0</v>
      </c>
    </row>
    <row r="139" spans="1:69" x14ac:dyDescent="0.25">
      <c r="A139" s="101">
        <f t="shared" si="110"/>
        <v>40057</v>
      </c>
      <c r="B139" s="102">
        <f t="shared" si="47"/>
        <v>3.0780000000000003</v>
      </c>
      <c r="C139" s="102">
        <f t="shared" si="111"/>
        <v>5.0000000000000001E-3</v>
      </c>
      <c r="D139" s="80">
        <f t="shared" si="161"/>
        <v>0.17</v>
      </c>
      <c r="E139" s="106">
        <f t="shared" si="112"/>
        <v>1</v>
      </c>
      <c r="F139" s="104">
        <f t="shared" si="49"/>
        <v>4.92</v>
      </c>
      <c r="G139" s="104">
        <f t="shared" si="50"/>
        <v>3.5</v>
      </c>
      <c r="H139" s="104">
        <f t="shared" si="51"/>
        <v>2.96</v>
      </c>
      <c r="I139" s="104">
        <f t="shared" si="52"/>
        <v>2.99</v>
      </c>
      <c r="J139" s="80">
        <f t="shared" si="113"/>
        <v>0.114</v>
      </c>
      <c r="K139" s="80" t="e">
        <f t="shared" si="114"/>
        <v>#DIV/0!</v>
      </c>
      <c r="L139" s="80" t="e">
        <f t="shared" si="115"/>
        <v>#DIV/0!</v>
      </c>
      <c r="M139" s="80" t="e">
        <f t="shared" si="116"/>
        <v>#DIV/0!</v>
      </c>
      <c r="N139" s="80">
        <f t="shared" si="117"/>
        <v>0.28400000000000003</v>
      </c>
      <c r="O139" s="80" t="e">
        <f t="shared" si="118"/>
        <v>#DIV/0!</v>
      </c>
      <c r="P139" s="80" t="e">
        <f t="shared" si="119"/>
        <v>#DIV/0!</v>
      </c>
      <c r="Q139" s="80" t="e">
        <f t="shared" si="120"/>
        <v>#DIV/0!</v>
      </c>
      <c r="R139" s="105">
        <f t="shared" ca="1" si="121"/>
        <v>3283</v>
      </c>
      <c r="S139" s="80">
        <f t="shared" si="53"/>
        <v>7.0012874407467007E-2</v>
      </c>
      <c r="T139" s="77">
        <v>0</v>
      </c>
      <c r="U139" s="182">
        <v>0</v>
      </c>
      <c r="X139" s="182"/>
      <c r="Z139" s="82"/>
      <c r="AA139" s="82">
        <f t="shared" si="122"/>
        <v>0</v>
      </c>
      <c r="AB139" s="82">
        <f t="shared" si="162"/>
        <v>0</v>
      </c>
      <c r="AC139" s="77">
        <f t="shared" si="123"/>
        <v>0</v>
      </c>
      <c r="AD139" s="108">
        <f t="shared" si="124"/>
        <v>0</v>
      </c>
      <c r="AE139" s="107">
        <f t="shared" si="125"/>
        <v>0</v>
      </c>
      <c r="AF139" s="107">
        <f t="shared" si="126"/>
        <v>0</v>
      </c>
      <c r="AG139" s="107">
        <f t="shared" si="127"/>
        <v>0</v>
      </c>
      <c r="AH139" s="109">
        <f t="shared" si="128"/>
        <v>0</v>
      </c>
      <c r="AI139" s="109">
        <f t="shared" si="129"/>
        <v>0</v>
      </c>
      <c r="AJ139" s="109">
        <f t="shared" si="130"/>
        <v>0</v>
      </c>
      <c r="AL139" s="82">
        <f t="shared" si="131"/>
        <v>0</v>
      </c>
      <c r="AM139" s="82" t="e">
        <f t="shared" si="132"/>
        <v>#DIV/0!</v>
      </c>
      <c r="AN139" s="77">
        <f t="shared" si="133"/>
        <v>0</v>
      </c>
      <c r="AO139" s="108">
        <f t="shared" si="134"/>
        <v>0</v>
      </c>
      <c r="AP139" s="107">
        <f t="shared" si="135"/>
        <v>0</v>
      </c>
      <c r="AQ139" s="107">
        <f t="shared" si="136"/>
        <v>0</v>
      </c>
      <c r="AR139" s="107">
        <f t="shared" si="137"/>
        <v>0</v>
      </c>
      <c r="AS139" s="109">
        <f t="shared" si="138"/>
        <v>0</v>
      </c>
      <c r="AT139" s="109">
        <f t="shared" si="139"/>
        <v>0</v>
      </c>
      <c r="AU139" s="109">
        <f t="shared" si="140"/>
        <v>0</v>
      </c>
      <c r="AW139" s="82">
        <f t="shared" si="141"/>
        <v>0</v>
      </c>
      <c r="AX139" s="82" t="e">
        <f t="shared" si="142"/>
        <v>#DIV/0!</v>
      </c>
      <c r="AY139" s="77">
        <f t="shared" si="143"/>
        <v>0</v>
      </c>
      <c r="AZ139" s="108">
        <f t="shared" si="144"/>
        <v>0</v>
      </c>
      <c r="BA139" s="107">
        <f t="shared" si="145"/>
        <v>0</v>
      </c>
      <c r="BB139" s="107">
        <f t="shared" si="146"/>
        <v>0</v>
      </c>
      <c r="BC139" s="107">
        <f t="shared" si="147"/>
        <v>0</v>
      </c>
      <c r="BD139" s="109">
        <f t="shared" si="148"/>
        <v>0</v>
      </c>
      <c r="BE139" s="109">
        <f t="shared" si="149"/>
        <v>0</v>
      </c>
      <c r="BF139" s="109">
        <f t="shared" si="150"/>
        <v>0</v>
      </c>
      <c r="BH139" s="82">
        <f t="shared" si="151"/>
        <v>0</v>
      </c>
      <c r="BI139" s="82" t="e">
        <f t="shared" si="152"/>
        <v>#DIV/0!</v>
      </c>
      <c r="BJ139" s="77">
        <f t="shared" si="153"/>
        <v>0</v>
      </c>
      <c r="BK139" s="108">
        <f t="shared" si="154"/>
        <v>0</v>
      </c>
      <c r="BL139" s="107">
        <f t="shared" si="155"/>
        <v>0</v>
      </c>
      <c r="BM139" s="107">
        <f t="shared" si="156"/>
        <v>0</v>
      </c>
      <c r="BN139" s="107">
        <f t="shared" si="157"/>
        <v>0</v>
      </c>
      <c r="BO139" s="109">
        <f t="shared" si="158"/>
        <v>0</v>
      </c>
      <c r="BP139" s="109">
        <f t="shared" si="159"/>
        <v>0</v>
      </c>
      <c r="BQ139" s="109">
        <f t="shared" si="160"/>
        <v>0</v>
      </c>
    </row>
    <row r="140" spans="1:69" x14ac:dyDescent="0.25">
      <c r="A140" s="101">
        <f t="shared" si="110"/>
        <v>40087</v>
      </c>
      <c r="B140" s="102">
        <f t="shared" si="47"/>
        <v>3.077</v>
      </c>
      <c r="C140" s="102">
        <f t="shared" si="111"/>
        <v>5.0000000000000001E-3</v>
      </c>
      <c r="D140" s="80">
        <f t="shared" si="161"/>
        <v>0.17</v>
      </c>
      <c r="E140" s="106">
        <f t="shared" si="112"/>
        <v>1</v>
      </c>
      <c r="F140" s="104">
        <f t="shared" si="49"/>
        <v>4.92</v>
      </c>
      <c r="G140" s="104">
        <f t="shared" si="50"/>
        <v>3.5</v>
      </c>
      <c r="H140" s="104">
        <f t="shared" si="51"/>
        <v>2.96</v>
      </c>
      <c r="I140" s="104">
        <f t="shared" si="52"/>
        <v>2.99</v>
      </c>
      <c r="J140" s="80">
        <f t="shared" si="113"/>
        <v>0.114</v>
      </c>
      <c r="K140" s="80" t="e">
        <f t="shared" si="114"/>
        <v>#DIV/0!</v>
      </c>
      <c r="L140" s="80" t="e">
        <f t="shared" si="115"/>
        <v>#DIV/0!</v>
      </c>
      <c r="M140" s="80" t="e">
        <f t="shared" si="116"/>
        <v>#DIV/0!</v>
      </c>
      <c r="N140" s="80">
        <f t="shared" si="117"/>
        <v>0.28400000000000003</v>
      </c>
      <c r="O140" s="80" t="e">
        <f t="shared" si="118"/>
        <v>#DIV/0!</v>
      </c>
      <c r="P140" s="80" t="e">
        <f t="shared" si="119"/>
        <v>#DIV/0!</v>
      </c>
      <c r="Q140" s="80" t="e">
        <f t="shared" si="120"/>
        <v>#DIV/0!</v>
      </c>
      <c r="R140" s="105">
        <f t="shared" ca="1" si="121"/>
        <v>3315</v>
      </c>
      <c r="S140" s="80">
        <f t="shared" si="53"/>
        <v>7.0025588166146027E-2</v>
      </c>
      <c r="T140" s="77">
        <v>0</v>
      </c>
      <c r="U140" s="182">
        <v>0</v>
      </c>
      <c r="X140" s="182"/>
      <c r="Z140" s="82"/>
      <c r="AA140" s="82">
        <f t="shared" si="122"/>
        <v>0</v>
      </c>
      <c r="AB140" s="82">
        <f t="shared" si="162"/>
        <v>0</v>
      </c>
      <c r="AC140" s="77">
        <f t="shared" si="123"/>
        <v>0</v>
      </c>
      <c r="AD140" s="108">
        <f t="shared" si="124"/>
        <v>0</v>
      </c>
      <c r="AE140" s="107">
        <f t="shared" si="125"/>
        <v>0</v>
      </c>
      <c r="AF140" s="107">
        <f t="shared" si="126"/>
        <v>0</v>
      </c>
      <c r="AG140" s="107">
        <f t="shared" si="127"/>
        <v>0</v>
      </c>
      <c r="AH140" s="109">
        <f t="shared" si="128"/>
        <v>0</v>
      </c>
      <c r="AI140" s="109">
        <f t="shared" si="129"/>
        <v>0</v>
      </c>
      <c r="AJ140" s="109">
        <f t="shared" si="130"/>
        <v>0</v>
      </c>
      <c r="AL140" s="82">
        <f t="shared" si="131"/>
        <v>0</v>
      </c>
      <c r="AM140" s="82" t="e">
        <f t="shared" si="132"/>
        <v>#DIV/0!</v>
      </c>
      <c r="AN140" s="77">
        <f t="shared" si="133"/>
        <v>0</v>
      </c>
      <c r="AO140" s="108">
        <f t="shared" si="134"/>
        <v>0</v>
      </c>
      <c r="AP140" s="107">
        <f t="shared" si="135"/>
        <v>0</v>
      </c>
      <c r="AQ140" s="107">
        <f t="shared" si="136"/>
        <v>0</v>
      </c>
      <c r="AR140" s="107">
        <f t="shared" si="137"/>
        <v>0</v>
      </c>
      <c r="AS140" s="109">
        <f t="shared" si="138"/>
        <v>0</v>
      </c>
      <c r="AT140" s="109">
        <f t="shared" si="139"/>
        <v>0</v>
      </c>
      <c r="AU140" s="109">
        <f t="shared" si="140"/>
        <v>0</v>
      </c>
      <c r="AW140" s="82">
        <f t="shared" si="141"/>
        <v>0</v>
      </c>
      <c r="AX140" s="82" t="e">
        <f t="shared" si="142"/>
        <v>#DIV/0!</v>
      </c>
      <c r="AY140" s="77">
        <f t="shared" si="143"/>
        <v>0</v>
      </c>
      <c r="AZ140" s="108">
        <f t="shared" si="144"/>
        <v>0</v>
      </c>
      <c r="BA140" s="107">
        <f t="shared" si="145"/>
        <v>0</v>
      </c>
      <c r="BB140" s="107">
        <f t="shared" si="146"/>
        <v>0</v>
      </c>
      <c r="BC140" s="107">
        <f t="shared" si="147"/>
        <v>0</v>
      </c>
      <c r="BD140" s="109">
        <f t="shared" si="148"/>
        <v>0</v>
      </c>
      <c r="BE140" s="109">
        <f t="shared" si="149"/>
        <v>0</v>
      </c>
      <c r="BF140" s="109">
        <f t="shared" si="150"/>
        <v>0</v>
      </c>
      <c r="BH140" s="82">
        <f t="shared" si="151"/>
        <v>0</v>
      </c>
      <c r="BI140" s="82" t="e">
        <f t="shared" si="152"/>
        <v>#DIV/0!</v>
      </c>
      <c r="BJ140" s="77">
        <f t="shared" si="153"/>
        <v>0</v>
      </c>
      <c r="BK140" s="108">
        <f t="shared" si="154"/>
        <v>0</v>
      </c>
      <c r="BL140" s="107">
        <f t="shared" si="155"/>
        <v>0</v>
      </c>
      <c r="BM140" s="107">
        <f t="shared" si="156"/>
        <v>0</v>
      </c>
      <c r="BN140" s="107">
        <f t="shared" si="157"/>
        <v>0</v>
      </c>
      <c r="BO140" s="109">
        <f t="shared" si="158"/>
        <v>0</v>
      </c>
      <c r="BP140" s="109">
        <f t="shared" si="159"/>
        <v>0</v>
      </c>
      <c r="BQ140" s="109">
        <f t="shared" si="160"/>
        <v>0</v>
      </c>
    </row>
    <row r="141" spans="1:69" x14ac:dyDescent="0.25">
      <c r="A141" s="101">
        <f t="shared" si="110"/>
        <v>40118</v>
      </c>
      <c r="B141" s="102">
        <f t="shared" si="47"/>
        <v>3.1390000000000002</v>
      </c>
      <c r="C141" s="102">
        <f t="shared" si="111"/>
        <v>5.0000000000000001E-3</v>
      </c>
      <c r="D141" s="80">
        <f t="shared" si="161"/>
        <v>0.17</v>
      </c>
      <c r="E141" s="106">
        <f t="shared" si="112"/>
        <v>1</v>
      </c>
      <c r="F141" s="104">
        <f t="shared" si="49"/>
        <v>4.92</v>
      </c>
      <c r="G141" s="104">
        <f t="shared" si="50"/>
        <v>3.5</v>
      </c>
      <c r="H141" s="104">
        <f t="shared" si="51"/>
        <v>2.96</v>
      </c>
      <c r="I141" s="104">
        <f t="shared" si="52"/>
        <v>2.99</v>
      </c>
      <c r="J141" s="80">
        <f t="shared" si="113"/>
        <v>0.114</v>
      </c>
      <c r="K141" s="80" t="e">
        <f t="shared" si="114"/>
        <v>#DIV/0!</v>
      </c>
      <c r="L141" s="80" t="e">
        <f t="shared" si="115"/>
        <v>#DIV/0!</v>
      </c>
      <c r="M141" s="80" t="e">
        <f t="shared" si="116"/>
        <v>#DIV/0!</v>
      </c>
      <c r="N141" s="80">
        <f t="shared" si="117"/>
        <v>0.28400000000000003</v>
      </c>
      <c r="O141" s="80" t="e">
        <f t="shared" si="118"/>
        <v>#DIV/0!</v>
      </c>
      <c r="P141" s="80" t="e">
        <f t="shared" si="119"/>
        <v>#DIV/0!</v>
      </c>
      <c r="Q141" s="80" t="e">
        <f t="shared" si="120"/>
        <v>#DIV/0!</v>
      </c>
      <c r="R141" s="105">
        <f t="shared" ca="1" si="121"/>
        <v>3345</v>
      </c>
      <c r="S141" s="80">
        <f t="shared" si="53"/>
        <v>7.0038725716837016E-2</v>
      </c>
      <c r="T141" s="77">
        <v>0</v>
      </c>
      <c r="U141" s="182">
        <v>0</v>
      </c>
      <c r="X141" s="182"/>
      <c r="Z141" s="82"/>
      <c r="AA141" s="82">
        <f t="shared" si="122"/>
        <v>0</v>
      </c>
      <c r="AB141" s="82">
        <f t="shared" si="162"/>
        <v>0</v>
      </c>
      <c r="AC141" s="77">
        <f t="shared" si="123"/>
        <v>0</v>
      </c>
      <c r="AD141" s="108">
        <f t="shared" si="124"/>
        <v>0</v>
      </c>
      <c r="AE141" s="107">
        <f t="shared" si="125"/>
        <v>0</v>
      </c>
      <c r="AF141" s="107">
        <f t="shared" si="126"/>
        <v>0</v>
      </c>
      <c r="AG141" s="107">
        <f t="shared" si="127"/>
        <v>0</v>
      </c>
      <c r="AH141" s="109">
        <f t="shared" si="128"/>
        <v>0</v>
      </c>
      <c r="AI141" s="109">
        <f t="shared" si="129"/>
        <v>0</v>
      </c>
      <c r="AJ141" s="109">
        <f t="shared" si="130"/>
        <v>0</v>
      </c>
      <c r="AL141" s="82">
        <f t="shared" si="131"/>
        <v>0</v>
      </c>
      <c r="AM141" s="82" t="e">
        <f t="shared" si="132"/>
        <v>#DIV/0!</v>
      </c>
      <c r="AN141" s="77">
        <f t="shared" si="133"/>
        <v>0</v>
      </c>
      <c r="AO141" s="108">
        <f t="shared" si="134"/>
        <v>0</v>
      </c>
      <c r="AP141" s="107">
        <f t="shared" si="135"/>
        <v>0</v>
      </c>
      <c r="AQ141" s="107">
        <f t="shared" si="136"/>
        <v>0</v>
      </c>
      <c r="AR141" s="107">
        <f t="shared" si="137"/>
        <v>0</v>
      </c>
      <c r="AS141" s="109">
        <f t="shared" si="138"/>
        <v>0</v>
      </c>
      <c r="AT141" s="109">
        <f t="shared" si="139"/>
        <v>0</v>
      </c>
      <c r="AU141" s="109">
        <f t="shared" si="140"/>
        <v>0</v>
      </c>
      <c r="AW141" s="82">
        <f t="shared" si="141"/>
        <v>0</v>
      </c>
      <c r="AX141" s="82" t="e">
        <f t="shared" si="142"/>
        <v>#DIV/0!</v>
      </c>
      <c r="AY141" s="77">
        <f t="shared" si="143"/>
        <v>0</v>
      </c>
      <c r="AZ141" s="108">
        <f t="shared" si="144"/>
        <v>0</v>
      </c>
      <c r="BA141" s="107">
        <f t="shared" si="145"/>
        <v>0</v>
      </c>
      <c r="BB141" s="107">
        <f t="shared" si="146"/>
        <v>0</v>
      </c>
      <c r="BC141" s="107">
        <f t="shared" si="147"/>
        <v>0</v>
      </c>
      <c r="BD141" s="109">
        <f t="shared" si="148"/>
        <v>0</v>
      </c>
      <c r="BE141" s="109">
        <f t="shared" si="149"/>
        <v>0</v>
      </c>
      <c r="BF141" s="109">
        <f t="shared" si="150"/>
        <v>0</v>
      </c>
      <c r="BH141" s="82">
        <f t="shared" si="151"/>
        <v>0</v>
      </c>
      <c r="BI141" s="82" t="e">
        <f t="shared" si="152"/>
        <v>#DIV/0!</v>
      </c>
      <c r="BJ141" s="77">
        <f t="shared" si="153"/>
        <v>0</v>
      </c>
      <c r="BK141" s="108">
        <f t="shared" si="154"/>
        <v>0</v>
      </c>
      <c r="BL141" s="107">
        <f t="shared" si="155"/>
        <v>0</v>
      </c>
      <c r="BM141" s="107">
        <f t="shared" si="156"/>
        <v>0</v>
      </c>
      <c r="BN141" s="107">
        <f t="shared" si="157"/>
        <v>0</v>
      </c>
      <c r="BO141" s="109">
        <f t="shared" si="158"/>
        <v>0</v>
      </c>
      <c r="BP141" s="109">
        <f t="shared" si="159"/>
        <v>0</v>
      </c>
      <c r="BQ141" s="109">
        <f t="shared" si="160"/>
        <v>0</v>
      </c>
    </row>
    <row r="142" spans="1:69" x14ac:dyDescent="0.25">
      <c r="A142" s="101">
        <f t="shared" si="110"/>
        <v>40148</v>
      </c>
      <c r="B142" s="102">
        <f t="shared" si="47"/>
        <v>3.2030000000000003</v>
      </c>
      <c r="C142" s="102">
        <f t="shared" si="111"/>
        <v>5.0000000000000001E-3</v>
      </c>
      <c r="D142" s="80">
        <f t="shared" si="161"/>
        <v>0.17</v>
      </c>
      <c r="E142" s="106">
        <f t="shared" si="112"/>
        <v>1</v>
      </c>
      <c r="F142" s="104">
        <f t="shared" si="49"/>
        <v>4.92</v>
      </c>
      <c r="G142" s="104">
        <f t="shared" si="50"/>
        <v>3.5</v>
      </c>
      <c r="H142" s="104">
        <f t="shared" si="51"/>
        <v>2.96</v>
      </c>
      <c r="I142" s="104">
        <f t="shared" si="52"/>
        <v>2.99</v>
      </c>
      <c r="J142" s="80">
        <f t="shared" si="113"/>
        <v>0.114</v>
      </c>
      <c r="K142" s="80" t="e">
        <f t="shared" si="114"/>
        <v>#DIV/0!</v>
      </c>
      <c r="L142" s="80" t="e">
        <f t="shared" si="115"/>
        <v>#DIV/0!</v>
      </c>
      <c r="M142" s="80" t="e">
        <f t="shared" si="116"/>
        <v>#DIV/0!</v>
      </c>
      <c r="N142" s="80">
        <f t="shared" si="117"/>
        <v>0.28400000000000003</v>
      </c>
      <c r="O142" s="80" t="e">
        <f t="shared" si="118"/>
        <v>#DIV/0!</v>
      </c>
      <c r="P142" s="80" t="e">
        <f t="shared" si="119"/>
        <v>#DIV/0!</v>
      </c>
      <c r="Q142" s="80" t="e">
        <f t="shared" si="120"/>
        <v>#DIV/0!</v>
      </c>
      <c r="R142" s="105">
        <f t="shared" ca="1" si="121"/>
        <v>3373</v>
      </c>
      <c r="S142" s="80">
        <f t="shared" si="53"/>
        <v>7.0051439475624019E-2</v>
      </c>
      <c r="T142" s="77">
        <v>0</v>
      </c>
      <c r="U142" s="182">
        <v>0</v>
      </c>
      <c r="X142" s="182"/>
      <c r="Z142" s="82"/>
      <c r="AA142" s="82">
        <f t="shared" si="122"/>
        <v>0</v>
      </c>
      <c r="AB142" s="82">
        <f t="shared" si="162"/>
        <v>0</v>
      </c>
      <c r="AC142" s="77">
        <f t="shared" si="123"/>
        <v>0</v>
      </c>
      <c r="AD142" s="108">
        <f t="shared" si="124"/>
        <v>0</v>
      </c>
      <c r="AE142" s="107">
        <f t="shared" si="125"/>
        <v>0</v>
      </c>
      <c r="AF142" s="107">
        <f t="shared" si="126"/>
        <v>0</v>
      </c>
      <c r="AG142" s="107">
        <f t="shared" si="127"/>
        <v>0</v>
      </c>
      <c r="AH142" s="109">
        <f t="shared" si="128"/>
        <v>0</v>
      </c>
      <c r="AI142" s="109">
        <f t="shared" si="129"/>
        <v>0</v>
      </c>
      <c r="AJ142" s="109">
        <f t="shared" si="130"/>
        <v>0</v>
      </c>
      <c r="AL142" s="82">
        <f t="shared" si="131"/>
        <v>0</v>
      </c>
      <c r="AM142" s="82" t="e">
        <f t="shared" si="132"/>
        <v>#DIV/0!</v>
      </c>
      <c r="AN142" s="77">
        <f t="shared" si="133"/>
        <v>0</v>
      </c>
      <c r="AO142" s="108">
        <f t="shared" si="134"/>
        <v>0</v>
      </c>
      <c r="AP142" s="107">
        <f t="shared" si="135"/>
        <v>0</v>
      </c>
      <c r="AQ142" s="107">
        <f t="shared" si="136"/>
        <v>0</v>
      </c>
      <c r="AR142" s="107">
        <f t="shared" si="137"/>
        <v>0</v>
      </c>
      <c r="AS142" s="109">
        <f t="shared" si="138"/>
        <v>0</v>
      </c>
      <c r="AT142" s="109">
        <f t="shared" si="139"/>
        <v>0</v>
      </c>
      <c r="AU142" s="109">
        <f t="shared" si="140"/>
        <v>0</v>
      </c>
      <c r="AW142" s="82">
        <f t="shared" si="141"/>
        <v>0</v>
      </c>
      <c r="AX142" s="82" t="e">
        <f t="shared" si="142"/>
        <v>#DIV/0!</v>
      </c>
      <c r="AY142" s="77">
        <f t="shared" si="143"/>
        <v>0</v>
      </c>
      <c r="AZ142" s="108">
        <f t="shared" si="144"/>
        <v>0</v>
      </c>
      <c r="BA142" s="107">
        <f t="shared" si="145"/>
        <v>0</v>
      </c>
      <c r="BB142" s="107">
        <f t="shared" si="146"/>
        <v>0</v>
      </c>
      <c r="BC142" s="107">
        <f t="shared" si="147"/>
        <v>0</v>
      </c>
      <c r="BD142" s="109">
        <f t="shared" si="148"/>
        <v>0</v>
      </c>
      <c r="BE142" s="109">
        <f t="shared" si="149"/>
        <v>0</v>
      </c>
      <c r="BF142" s="109">
        <f t="shared" si="150"/>
        <v>0</v>
      </c>
      <c r="BH142" s="82">
        <f t="shared" si="151"/>
        <v>0</v>
      </c>
      <c r="BI142" s="82" t="e">
        <f t="shared" si="152"/>
        <v>#DIV/0!</v>
      </c>
      <c r="BJ142" s="77">
        <f t="shared" si="153"/>
        <v>0</v>
      </c>
      <c r="BK142" s="108">
        <f t="shared" si="154"/>
        <v>0</v>
      </c>
      <c r="BL142" s="107">
        <f t="shared" si="155"/>
        <v>0</v>
      </c>
      <c r="BM142" s="107">
        <f t="shared" si="156"/>
        <v>0</v>
      </c>
      <c r="BN142" s="107">
        <f t="shared" si="157"/>
        <v>0</v>
      </c>
      <c r="BO142" s="109">
        <f t="shared" si="158"/>
        <v>0</v>
      </c>
      <c r="BP142" s="109">
        <f t="shared" si="159"/>
        <v>0</v>
      </c>
      <c r="BQ142" s="109">
        <f t="shared" si="160"/>
        <v>0</v>
      </c>
    </row>
    <row r="143" spans="1:69" x14ac:dyDescent="0.25">
      <c r="A143" s="101">
        <f t="shared" si="110"/>
        <v>40179</v>
      </c>
      <c r="B143" s="102">
        <f t="shared" si="47"/>
        <v>3.5060000000000002</v>
      </c>
      <c r="C143" s="102">
        <f t="shared" si="111"/>
        <v>5.0000000000000001E-3</v>
      </c>
      <c r="D143" s="80">
        <f t="shared" si="161"/>
        <v>0.17</v>
      </c>
      <c r="E143" s="106">
        <f t="shared" si="112"/>
        <v>1</v>
      </c>
      <c r="F143" s="104">
        <f t="shared" si="49"/>
        <v>4.92</v>
      </c>
      <c r="G143" s="104">
        <f t="shared" si="50"/>
        <v>3.5</v>
      </c>
      <c r="H143" s="104">
        <f t="shared" si="51"/>
        <v>2.96</v>
      </c>
      <c r="I143" s="104">
        <f t="shared" si="52"/>
        <v>2.99</v>
      </c>
      <c r="J143" s="80">
        <f t="shared" si="113"/>
        <v>0.114</v>
      </c>
      <c r="K143" s="80" t="e">
        <f t="shared" si="114"/>
        <v>#DIV/0!</v>
      </c>
      <c r="L143" s="80" t="e">
        <f t="shared" si="115"/>
        <v>#DIV/0!</v>
      </c>
      <c r="M143" s="80" t="e">
        <f t="shared" si="116"/>
        <v>#DIV/0!</v>
      </c>
      <c r="N143" s="80">
        <f t="shared" si="117"/>
        <v>0.28400000000000003</v>
      </c>
      <c r="O143" s="80" t="e">
        <f t="shared" si="118"/>
        <v>#DIV/0!</v>
      </c>
      <c r="P143" s="80" t="e">
        <f t="shared" si="119"/>
        <v>#DIV/0!</v>
      </c>
      <c r="Q143" s="80" t="e">
        <f t="shared" si="120"/>
        <v>#DIV/0!</v>
      </c>
      <c r="R143" s="105">
        <f t="shared" ca="1" si="121"/>
        <v>3407</v>
      </c>
      <c r="S143" s="80">
        <f t="shared" si="53"/>
        <v>7.0064577026428002E-2</v>
      </c>
      <c r="T143" s="77">
        <v>0</v>
      </c>
      <c r="U143" s="182">
        <v>0</v>
      </c>
      <c r="X143" s="182"/>
      <c r="Z143" s="82"/>
      <c r="AA143" s="82">
        <f t="shared" si="122"/>
        <v>0</v>
      </c>
      <c r="AB143" s="82">
        <f t="shared" si="162"/>
        <v>0</v>
      </c>
      <c r="AC143" s="77">
        <f t="shared" si="123"/>
        <v>0</v>
      </c>
      <c r="AD143" s="108">
        <f t="shared" si="124"/>
        <v>0</v>
      </c>
      <c r="AE143" s="107">
        <f t="shared" si="125"/>
        <v>0</v>
      </c>
      <c r="AF143" s="107">
        <f t="shared" si="126"/>
        <v>0</v>
      </c>
      <c r="AG143" s="107">
        <f t="shared" si="127"/>
        <v>0</v>
      </c>
      <c r="AH143" s="109">
        <f t="shared" si="128"/>
        <v>0</v>
      </c>
      <c r="AI143" s="109">
        <f t="shared" si="129"/>
        <v>0</v>
      </c>
      <c r="AJ143" s="109">
        <f t="shared" si="130"/>
        <v>0</v>
      </c>
      <c r="AL143" s="82">
        <f t="shared" si="131"/>
        <v>0</v>
      </c>
      <c r="AM143" s="82" t="e">
        <f t="shared" si="132"/>
        <v>#DIV/0!</v>
      </c>
      <c r="AN143" s="77">
        <f t="shared" si="133"/>
        <v>0</v>
      </c>
      <c r="AO143" s="108">
        <f t="shared" si="134"/>
        <v>0</v>
      </c>
      <c r="AP143" s="107">
        <f t="shared" si="135"/>
        <v>0</v>
      </c>
      <c r="AQ143" s="107">
        <f t="shared" si="136"/>
        <v>0</v>
      </c>
      <c r="AR143" s="107">
        <f t="shared" si="137"/>
        <v>0</v>
      </c>
      <c r="AS143" s="109">
        <f t="shared" si="138"/>
        <v>0</v>
      </c>
      <c r="AT143" s="109">
        <f t="shared" si="139"/>
        <v>0</v>
      </c>
      <c r="AU143" s="109">
        <f t="shared" si="140"/>
        <v>0</v>
      </c>
      <c r="AW143" s="82">
        <f t="shared" si="141"/>
        <v>0</v>
      </c>
      <c r="AX143" s="82" t="e">
        <f t="shared" si="142"/>
        <v>#DIV/0!</v>
      </c>
      <c r="AY143" s="77">
        <f t="shared" si="143"/>
        <v>0</v>
      </c>
      <c r="AZ143" s="108">
        <f t="shared" si="144"/>
        <v>0</v>
      </c>
      <c r="BA143" s="107">
        <f t="shared" si="145"/>
        <v>0</v>
      </c>
      <c r="BB143" s="107">
        <f t="shared" si="146"/>
        <v>0</v>
      </c>
      <c r="BC143" s="107">
        <f t="shared" si="147"/>
        <v>0</v>
      </c>
      <c r="BD143" s="109">
        <f t="shared" si="148"/>
        <v>0</v>
      </c>
      <c r="BE143" s="109">
        <f t="shared" si="149"/>
        <v>0</v>
      </c>
      <c r="BF143" s="109">
        <f t="shared" si="150"/>
        <v>0</v>
      </c>
      <c r="BH143" s="82">
        <f t="shared" si="151"/>
        <v>0</v>
      </c>
      <c r="BI143" s="82" t="e">
        <f t="shared" si="152"/>
        <v>#DIV/0!</v>
      </c>
      <c r="BJ143" s="77">
        <f t="shared" si="153"/>
        <v>0</v>
      </c>
      <c r="BK143" s="108">
        <f t="shared" si="154"/>
        <v>0</v>
      </c>
      <c r="BL143" s="107">
        <f t="shared" si="155"/>
        <v>0</v>
      </c>
      <c r="BM143" s="107">
        <f t="shared" si="156"/>
        <v>0</v>
      </c>
      <c r="BN143" s="107">
        <f t="shared" si="157"/>
        <v>0</v>
      </c>
      <c r="BO143" s="109">
        <f t="shared" si="158"/>
        <v>0</v>
      </c>
      <c r="BP143" s="109">
        <f t="shared" si="159"/>
        <v>0</v>
      </c>
      <c r="BQ143" s="109">
        <f t="shared" si="160"/>
        <v>0</v>
      </c>
    </row>
    <row r="144" spans="1:69" x14ac:dyDescent="0.25">
      <c r="A144" s="101">
        <f t="shared" si="110"/>
        <v>40210</v>
      </c>
      <c r="B144" s="102">
        <f t="shared" si="47"/>
        <v>3.3919999999999999</v>
      </c>
      <c r="C144" s="102">
        <f t="shared" si="111"/>
        <v>5.0000000000000001E-3</v>
      </c>
      <c r="D144" s="80">
        <f t="shared" si="161"/>
        <v>0.17</v>
      </c>
      <c r="E144" s="106">
        <f t="shared" si="112"/>
        <v>1</v>
      </c>
      <c r="F144" s="104">
        <f t="shared" si="49"/>
        <v>4.92</v>
      </c>
      <c r="G144" s="104">
        <f t="shared" si="50"/>
        <v>3.5</v>
      </c>
      <c r="H144" s="104">
        <f t="shared" si="51"/>
        <v>2.96</v>
      </c>
      <c r="I144" s="104">
        <f t="shared" si="52"/>
        <v>2.99</v>
      </c>
      <c r="J144" s="80">
        <f t="shared" si="113"/>
        <v>0.114</v>
      </c>
      <c r="K144" s="80" t="e">
        <f t="shared" si="114"/>
        <v>#DIV/0!</v>
      </c>
      <c r="L144" s="80" t="e">
        <f t="shared" si="115"/>
        <v>#DIV/0!</v>
      </c>
      <c r="M144" s="80" t="e">
        <f t="shared" si="116"/>
        <v>#DIV/0!</v>
      </c>
      <c r="N144" s="80">
        <f t="shared" si="117"/>
        <v>0.28400000000000003</v>
      </c>
      <c r="O144" s="80" t="e">
        <f t="shared" si="118"/>
        <v>#DIV/0!</v>
      </c>
      <c r="P144" s="80" t="e">
        <f t="shared" si="119"/>
        <v>#DIV/0!</v>
      </c>
      <c r="Q144" s="80" t="e">
        <f t="shared" si="120"/>
        <v>#DIV/0!</v>
      </c>
      <c r="R144" s="105">
        <f t="shared" ca="1" si="121"/>
        <v>3436</v>
      </c>
      <c r="S144" s="80">
        <f t="shared" si="53"/>
        <v>7.0077714577288008E-2</v>
      </c>
      <c r="T144" s="77">
        <v>0</v>
      </c>
      <c r="U144" s="182">
        <v>0</v>
      </c>
      <c r="X144" s="182"/>
      <c r="Z144" s="82"/>
      <c r="AA144" s="82">
        <f t="shared" si="122"/>
        <v>0</v>
      </c>
      <c r="AB144" s="82">
        <f t="shared" si="162"/>
        <v>0</v>
      </c>
      <c r="AC144" s="77">
        <f t="shared" si="123"/>
        <v>0</v>
      </c>
      <c r="AD144" s="108">
        <f t="shared" si="124"/>
        <v>0</v>
      </c>
      <c r="AE144" s="107">
        <f t="shared" si="125"/>
        <v>0</v>
      </c>
      <c r="AF144" s="107">
        <f t="shared" si="126"/>
        <v>0</v>
      </c>
      <c r="AG144" s="107">
        <f t="shared" si="127"/>
        <v>0</v>
      </c>
      <c r="AH144" s="109">
        <f t="shared" si="128"/>
        <v>0</v>
      </c>
      <c r="AI144" s="109">
        <f t="shared" si="129"/>
        <v>0</v>
      </c>
      <c r="AJ144" s="109">
        <f t="shared" si="130"/>
        <v>0</v>
      </c>
      <c r="AL144" s="82">
        <f t="shared" si="131"/>
        <v>0</v>
      </c>
      <c r="AM144" s="82" t="e">
        <f t="shared" si="132"/>
        <v>#DIV/0!</v>
      </c>
      <c r="AN144" s="77">
        <f t="shared" si="133"/>
        <v>0</v>
      </c>
      <c r="AO144" s="108">
        <f t="shared" si="134"/>
        <v>0</v>
      </c>
      <c r="AP144" s="107">
        <f t="shared" si="135"/>
        <v>0</v>
      </c>
      <c r="AQ144" s="107">
        <f t="shared" si="136"/>
        <v>0</v>
      </c>
      <c r="AR144" s="107">
        <f t="shared" si="137"/>
        <v>0</v>
      </c>
      <c r="AS144" s="109">
        <f t="shared" si="138"/>
        <v>0</v>
      </c>
      <c r="AT144" s="109">
        <f t="shared" si="139"/>
        <v>0</v>
      </c>
      <c r="AU144" s="109">
        <f t="shared" si="140"/>
        <v>0</v>
      </c>
      <c r="AW144" s="82">
        <f t="shared" si="141"/>
        <v>0</v>
      </c>
      <c r="AX144" s="82" t="e">
        <f t="shared" si="142"/>
        <v>#DIV/0!</v>
      </c>
      <c r="AY144" s="77">
        <f t="shared" si="143"/>
        <v>0</v>
      </c>
      <c r="AZ144" s="108">
        <f t="shared" si="144"/>
        <v>0</v>
      </c>
      <c r="BA144" s="107">
        <f t="shared" si="145"/>
        <v>0</v>
      </c>
      <c r="BB144" s="107">
        <f t="shared" si="146"/>
        <v>0</v>
      </c>
      <c r="BC144" s="107">
        <f t="shared" si="147"/>
        <v>0</v>
      </c>
      <c r="BD144" s="109">
        <f t="shared" si="148"/>
        <v>0</v>
      </c>
      <c r="BE144" s="109">
        <f t="shared" si="149"/>
        <v>0</v>
      </c>
      <c r="BF144" s="109">
        <f t="shared" si="150"/>
        <v>0</v>
      </c>
      <c r="BH144" s="82">
        <f t="shared" si="151"/>
        <v>0</v>
      </c>
      <c r="BI144" s="82" t="e">
        <f t="shared" si="152"/>
        <v>#DIV/0!</v>
      </c>
      <c r="BJ144" s="77">
        <f t="shared" si="153"/>
        <v>0</v>
      </c>
      <c r="BK144" s="108">
        <f t="shared" si="154"/>
        <v>0</v>
      </c>
      <c r="BL144" s="107">
        <f t="shared" si="155"/>
        <v>0</v>
      </c>
      <c r="BM144" s="107">
        <f t="shared" si="156"/>
        <v>0</v>
      </c>
      <c r="BN144" s="107">
        <f t="shared" si="157"/>
        <v>0</v>
      </c>
      <c r="BO144" s="109">
        <f t="shared" si="158"/>
        <v>0</v>
      </c>
      <c r="BP144" s="109">
        <f t="shared" si="159"/>
        <v>0</v>
      </c>
      <c r="BQ144" s="109">
        <f t="shared" si="160"/>
        <v>0</v>
      </c>
    </row>
    <row r="145" spans="1:69" x14ac:dyDescent="0.25">
      <c r="A145" s="101">
        <f t="shared" si="110"/>
        <v>40238</v>
      </c>
      <c r="B145" s="102">
        <f t="shared" si="47"/>
        <v>3.2430000000000003</v>
      </c>
      <c r="C145" s="102">
        <f t="shared" si="111"/>
        <v>5.0000000000000001E-3</v>
      </c>
      <c r="D145" s="80">
        <f t="shared" si="161"/>
        <v>0.16</v>
      </c>
      <c r="E145" s="106">
        <f t="shared" si="112"/>
        <v>1</v>
      </c>
      <c r="F145" s="104">
        <f t="shared" si="49"/>
        <v>4.92</v>
      </c>
      <c r="G145" s="104">
        <f t="shared" si="50"/>
        <v>3.5</v>
      </c>
      <c r="H145" s="104">
        <f t="shared" si="51"/>
        <v>2.96</v>
      </c>
      <c r="I145" s="104">
        <f t="shared" si="52"/>
        <v>2.99</v>
      </c>
      <c r="J145" s="80">
        <f t="shared" si="113"/>
        <v>0.114</v>
      </c>
      <c r="K145" s="80" t="e">
        <f t="shared" si="114"/>
        <v>#DIV/0!</v>
      </c>
      <c r="L145" s="80" t="e">
        <f t="shared" si="115"/>
        <v>#DIV/0!</v>
      </c>
      <c r="M145" s="80" t="e">
        <f t="shared" si="116"/>
        <v>#DIV/0!</v>
      </c>
      <c r="N145" s="80">
        <f t="shared" si="117"/>
        <v>0.27400000000000002</v>
      </c>
      <c r="O145" s="80" t="e">
        <f t="shared" si="118"/>
        <v>#DIV/0!</v>
      </c>
      <c r="P145" s="80" t="e">
        <f t="shared" si="119"/>
        <v>#DIV/0!</v>
      </c>
      <c r="Q145" s="80" t="e">
        <f t="shared" si="120"/>
        <v>#DIV/0!</v>
      </c>
      <c r="R145" s="105">
        <f t="shared" ca="1" si="121"/>
        <v>3464</v>
      </c>
      <c r="S145" s="80">
        <f t="shared" si="53"/>
        <v>7.0089580752308006E-2</v>
      </c>
      <c r="T145" s="77">
        <v>0</v>
      </c>
      <c r="U145" s="182">
        <v>0</v>
      </c>
      <c r="X145" s="182"/>
      <c r="Z145" s="82"/>
      <c r="AA145" s="82">
        <f t="shared" si="122"/>
        <v>0</v>
      </c>
      <c r="AB145" s="82">
        <f t="shared" si="162"/>
        <v>0</v>
      </c>
      <c r="AC145" s="77">
        <f t="shared" si="123"/>
        <v>0</v>
      </c>
      <c r="AD145" s="108">
        <f t="shared" si="124"/>
        <v>0</v>
      </c>
      <c r="AE145" s="107">
        <f t="shared" si="125"/>
        <v>0</v>
      </c>
      <c r="AF145" s="107">
        <f t="shared" si="126"/>
        <v>0</v>
      </c>
      <c r="AG145" s="107">
        <f t="shared" si="127"/>
        <v>0</v>
      </c>
      <c r="AH145" s="109">
        <f t="shared" si="128"/>
        <v>0</v>
      </c>
      <c r="AI145" s="109">
        <f t="shared" si="129"/>
        <v>0</v>
      </c>
      <c r="AJ145" s="109">
        <f t="shared" si="130"/>
        <v>0</v>
      </c>
      <c r="AL145" s="82">
        <f t="shared" si="131"/>
        <v>0</v>
      </c>
      <c r="AM145" s="82" t="e">
        <f t="shared" si="132"/>
        <v>#DIV/0!</v>
      </c>
      <c r="AN145" s="77">
        <f t="shared" si="133"/>
        <v>0</v>
      </c>
      <c r="AO145" s="108">
        <f t="shared" si="134"/>
        <v>0</v>
      </c>
      <c r="AP145" s="107">
        <f t="shared" si="135"/>
        <v>0</v>
      </c>
      <c r="AQ145" s="107">
        <f t="shared" si="136"/>
        <v>0</v>
      </c>
      <c r="AR145" s="107">
        <f t="shared" si="137"/>
        <v>0</v>
      </c>
      <c r="AS145" s="109">
        <f t="shared" si="138"/>
        <v>0</v>
      </c>
      <c r="AT145" s="109">
        <f t="shared" si="139"/>
        <v>0</v>
      </c>
      <c r="AU145" s="109">
        <f t="shared" si="140"/>
        <v>0</v>
      </c>
      <c r="AW145" s="82">
        <f t="shared" si="141"/>
        <v>0</v>
      </c>
      <c r="AX145" s="82" t="e">
        <f t="shared" si="142"/>
        <v>#DIV/0!</v>
      </c>
      <c r="AY145" s="77">
        <f t="shared" si="143"/>
        <v>0</v>
      </c>
      <c r="AZ145" s="108">
        <f t="shared" si="144"/>
        <v>0</v>
      </c>
      <c r="BA145" s="107">
        <f t="shared" si="145"/>
        <v>0</v>
      </c>
      <c r="BB145" s="107">
        <f t="shared" si="146"/>
        <v>0</v>
      </c>
      <c r="BC145" s="107">
        <f t="shared" si="147"/>
        <v>0</v>
      </c>
      <c r="BD145" s="109">
        <f t="shared" si="148"/>
        <v>0</v>
      </c>
      <c r="BE145" s="109">
        <f t="shared" si="149"/>
        <v>0</v>
      </c>
      <c r="BF145" s="109">
        <f t="shared" si="150"/>
        <v>0</v>
      </c>
      <c r="BH145" s="82">
        <f t="shared" si="151"/>
        <v>0</v>
      </c>
      <c r="BI145" s="82" t="e">
        <f t="shared" si="152"/>
        <v>#DIV/0!</v>
      </c>
      <c r="BJ145" s="77">
        <f t="shared" si="153"/>
        <v>0</v>
      </c>
      <c r="BK145" s="108">
        <f t="shared" si="154"/>
        <v>0</v>
      </c>
      <c r="BL145" s="107">
        <f t="shared" si="155"/>
        <v>0</v>
      </c>
      <c r="BM145" s="107">
        <f t="shared" si="156"/>
        <v>0</v>
      </c>
      <c r="BN145" s="107">
        <f t="shared" si="157"/>
        <v>0</v>
      </c>
      <c r="BO145" s="109">
        <f t="shared" si="158"/>
        <v>0</v>
      </c>
      <c r="BP145" s="109">
        <f t="shared" si="159"/>
        <v>0</v>
      </c>
      <c r="BQ145" s="109">
        <f t="shared" si="160"/>
        <v>0</v>
      </c>
    </row>
    <row r="146" spans="1:69" x14ac:dyDescent="0.25">
      <c r="A146" s="101">
        <f t="shared" si="110"/>
        <v>40269</v>
      </c>
      <c r="B146" s="102">
        <f t="shared" si="47"/>
        <v>3.0860000000000003</v>
      </c>
      <c r="C146" s="102">
        <f t="shared" si="111"/>
        <v>5.0000000000000001E-3</v>
      </c>
      <c r="D146" s="80">
        <f t="shared" si="161"/>
        <v>0.16</v>
      </c>
      <c r="E146" s="106">
        <f t="shared" si="112"/>
        <v>1</v>
      </c>
      <c r="F146" s="104">
        <f t="shared" si="49"/>
        <v>4.92</v>
      </c>
      <c r="G146" s="104">
        <f t="shared" si="50"/>
        <v>3.5</v>
      </c>
      <c r="H146" s="104">
        <f t="shared" si="51"/>
        <v>2.96</v>
      </c>
      <c r="I146" s="104">
        <f t="shared" si="52"/>
        <v>2.99</v>
      </c>
      <c r="J146" s="80">
        <f t="shared" si="113"/>
        <v>0.114</v>
      </c>
      <c r="K146" s="80" t="e">
        <f t="shared" si="114"/>
        <v>#DIV/0!</v>
      </c>
      <c r="L146" s="80" t="e">
        <f t="shared" si="115"/>
        <v>#DIV/0!</v>
      </c>
      <c r="M146" s="80" t="e">
        <f t="shared" si="116"/>
        <v>#DIV/0!</v>
      </c>
      <c r="N146" s="80">
        <f t="shared" si="117"/>
        <v>0.27400000000000002</v>
      </c>
      <c r="O146" s="80" t="e">
        <f t="shared" si="118"/>
        <v>#DIV/0!</v>
      </c>
      <c r="P146" s="80" t="e">
        <f t="shared" si="119"/>
        <v>#DIV/0!</v>
      </c>
      <c r="Q146" s="80" t="e">
        <f t="shared" si="120"/>
        <v>#DIV/0!</v>
      </c>
      <c r="R146" s="105">
        <f t="shared" ca="1" si="121"/>
        <v>3497</v>
      </c>
      <c r="S146" s="80">
        <f t="shared" si="53"/>
        <v>7.0102718303277023E-2</v>
      </c>
      <c r="T146" s="77">
        <v>0</v>
      </c>
      <c r="U146" s="182">
        <v>0</v>
      </c>
      <c r="X146" s="182"/>
      <c r="Z146" s="82"/>
      <c r="AA146" s="82">
        <f t="shared" si="122"/>
        <v>0</v>
      </c>
      <c r="AB146" s="82">
        <f t="shared" si="162"/>
        <v>0</v>
      </c>
      <c r="AC146" s="77">
        <f t="shared" si="123"/>
        <v>0</v>
      </c>
      <c r="AD146" s="108">
        <f t="shared" si="124"/>
        <v>0</v>
      </c>
      <c r="AE146" s="107">
        <f t="shared" si="125"/>
        <v>0</v>
      </c>
      <c r="AF146" s="107">
        <f t="shared" si="126"/>
        <v>0</v>
      </c>
      <c r="AG146" s="107">
        <f t="shared" si="127"/>
        <v>0</v>
      </c>
      <c r="AH146" s="109">
        <f t="shared" si="128"/>
        <v>0</v>
      </c>
      <c r="AI146" s="109">
        <f t="shared" si="129"/>
        <v>0</v>
      </c>
      <c r="AJ146" s="109">
        <f t="shared" si="130"/>
        <v>0</v>
      </c>
      <c r="AL146" s="82">
        <f t="shared" si="131"/>
        <v>0</v>
      </c>
      <c r="AM146" s="82" t="e">
        <f t="shared" si="132"/>
        <v>#DIV/0!</v>
      </c>
      <c r="AN146" s="77">
        <f t="shared" si="133"/>
        <v>0</v>
      </c>
      <c r="AO146" s="108">
        <f t="shared" si="134"/>
        <v>0</v>
      </c>
      <c r="AP146" s="107">
        <f t="shared" si="135"/>
        <v>0</v>
      </c>
      <c r="AQ146" s="107">
        <f t="shared" si="136"/>
        <v>0</v>
      </c>
      <c r="AR146" s="107">
        <f t="shared" si="137"/>
        <v>0</v>
      </c>
      <c r="AS146" s="109">
        <f t="shared" si="138"/>
        <v>0</v>
      </c>
      <c r="AT146" s="109">
        <f t="shared" si="139"/>
        <v>0</v>
      </c>
      <c r="AU146" s="109">
        <f t="shared" si="140"/>
        <v>0</v>
      </c>
      <c r="AW146" s="82">
        <f t="shared" si="141"/>
        <v>0</v>
      </c>
      <c r="AX146" s="82" t="e">
        <f t="shared" si="142"/>
        <v>#DIV/0!</v>
      </c>
      <c r="AY146" s="77">
        <f t="shared" si="143"/>
        <v>0</v>
      </c>
      <c r="AZ146" s="108">
        <f t="shared" si="144"/>
        <v>0</v>
      </c>
      <c r="BA146" s="107">
        <f t="shared" si="145"/>
        <v>0</v>
      </c>
      <c r="BB146" s="107">
        <f t="shared" si="146"/>
        <v>0</v>
      </c>
      <c r="BC146" s="107">
        <f t="shared" si="147"/>
        <v>0</v>
      </c>
      <c r="BD146" s="109">
        <f t="shared" si="148"/>
        <v>0</v>
      </c>
      <c r="BE146" s="109">
        <f t="shared" si="149"/>
        <v>0</v>
      </c>
      <c r="BF146" s="109">
        <f t="shared" si="150"/>
        <v>0</v>
      </c>
      <c r="BH146" s="82">
        <f t="shared" si="151"/>
        <v>0</v>
      </c>
      <c r="BI146" s="82" t="e">
        <f t="shared" si="152"/>
        <v>#DIV/0!</v>
      </c>
      <c r="BJ146" s="77">
        <f t="shared" si="153"/>
        <v>0</v>
      </c>
      <c r="BK146" s="108">
        <f t="shared" si="154"/>
        <v>0</v>
      </c>
      <c r="BL146" s="107">
        <f t="shared" si="155"/>
        <v>0</v>
      </c>
      <c r="BM146" s="107">
        <f t="shared" si="156"/>
        <v>0</v>
      </c>
      <c r="BN146" s="107">
        <f t="shared" si="157"/>
        <v>0</v>
      </c>
      <c r="BO146" s="109">
        <f t="shared" si="158"/>
        <v>0</v>
      </c>
      <c r="BP146" s="109">
        <f t="shared" si="159"/>
        <v>0</v>
      </c>
      <c r="BQ146" s="109">
        <f t="shared" si="160"/>
        <v>0</v>
      </c>
    </row>
    <row r="147" spans="1:69" x14ac:dyDescent="0.25">
      <c r="A147" s="101">
        <f t="shared" si="110"/>
        <v>40299</v>
      </c>
      <c r="B147" s="102">
        <f t="shared" si="47"/>
        <v>3.0780000000000003</v>
      </c>
      <c r="C147" s="102">
        <f t="shared" si="111"/>
        <v>5.0000000000000001E-3</v>
      </c>
      <c r="D147" s="80">
        <f t="shared" si="161"/>
        <v>0.16</v>
      </c>
      <c r="E147" s="106">
        <f t="shared" si="112"/>
        <v>1</v>
      </c>
      <c r="F147" s="104">
        <f t="shared" si="49"/>
        <v>4.92</v>
      </c>
      <c r="G147" s="104">
        <f t="shared" si="50"/>
        <v>3.5</v>
      </c>
      <c r="H147" s="104">
        <f t="shared" si="51"/>
        <v>2.96</v>
      </c>
      <c r="I147" s="104">
        <f t="shared" si="52"/>
        <v>2.99</v>
      </c>
      <c r="J147" s="80">
        <f t="shared" si="113"/>
        <v>0.114</v>
      </c>
      <c r="K147" s="80" t="e">
        <f t="shared" si="114"/>
        <v>#DIV/0!</v>
      </c>
      <c r="L147" s="80" t="e">
        <f t="shared" si="115"/>
        <v>#DIV/0!</v>
      </c>
      <c r="M147" s="80" t="e">
        <f t="shared" si="116"/>
        <v>#DIV/0!</v>
      </c>
      <c r="N147" s="80">
        <f t="shared" si="117"/>
        <v>0.27400000000000002</v>
      </c>
      <c r="O147" s="80" t="e">
        <f t="shared" si="118"/>
        <v>#DIV/0!</v>
      </c>
      <c r="P147" s="80" t="e">
        <f t="shared" si="119"/>
        <v>#DIV/0!</v>
      </c>
      <c r="Q147" s="80" t="e">
        <f t="shared" si="120"/>
        <v>#DIV/0!</v>
      </c>
      <c r="R147" s="105">
        <f t="shared" ca="1" si="121"/>
        <v>3527</v>
      </c>
      <c r="S147" s="80">
        <f t="shared" si="53"/>
        <v>7.0115432062333005E-2</v>
      </c>
      <c r="T147" s="77">
        <v>0</v>
      </c>
      <c r="U147" s="182">
        <v>0</v>
      </c>
      <c r="X147" s="182"/>
      <c r="Z147" s="82"/>
      <c r="AA147" s="82">
        <f t="shared" si="122"/>
        <v>0</v>
      </c>
      <c r="AB147" s="82">
        <f t="shared" si="162"/>
        <v>0</v>
      </c>
      <c r="AC147" s="77">
        <f t="shared" si="123"/>
        <v>0</v>
      </c>
      <c r="AD147" s="108">
        <f t="shared" si="124"/>
        <v>0</v>
      </c>
      <c r="AE147" s="107">
        <f t="shared" si="125"/>
        <v>0</v>
      </c>
      <c r="AF147" s="107">
        <f t="shared" si="126"/>
        <v>0</v>
      </c>
      <c r="AG147" s="107">
        <f t="shared" si="127"/>
        <v>0</v>
      </c>
      <c r="AH147" s="109">
        <f t="shared" si="128"/>
        <v>0</v>
      </c>
      <c r="AI147" s="109">
        <f t="shared" si="129"/>
        <v>0</v>
      </c>
      <c r="AJ147" s="109">
        <f t="shared" si="130"/>
        <v>0</v>
      </c>
      <c r="AL147" s="82">
        <f t="shared" si="131"/>
        <v>0</v>
      </c>
      <c r="AM147" s="82" t="e">
        <f t="shared" si="132"/>
        <v>#DIV/0!</v>
      </c>
      <c r="AN147" s="77">
        <f t="shared" si="133"/>
        <v>0</v>
      </c>
      <c r="AO147" s="108">
        <f t="shared" si="134"/>
        <v>0</v>
      </c>
      <c r="AP147" s="107">
        <f t="shared" si="135"/>
        <v>0</v>
      </c>
      <c r="AQ147" s="107">
        <f t="shared" si="136"/>
        <v>0</v>
      </c>
      <c r="AR147" s="107">
        <f t="shared" si="137"/>
        <v>0</v>
      </c>
      <c r="AS147" s="109">
        <f t="shared" si="138"/>
        <v>0</v>
      </c>
      <c r="AT147" s="109">
        <f t="shared" si="139"/>
        <v>0</v>
      </c>
      <c r="AU147" s="109">
        <f t="shared" si="140"/>
        <v>0</v>
      </c>
      <c r="AW147" s="82">
        <f t="shared" si="141"/>
        <v>0</v>
      </c>
      <c r="AX147" s="82" t="e">
        <f t="shared" si="142"/>
        <v>#DIV/0!</v>
      </c>
      <c r="AY147" s="77">
        <f t="shared" si="143"/>
        <v>0</v>
      </c>
      <c r="AZ147" s="108">
        <f t="shared" si="144"/>
        <v>0</v>
      </c>
      <c r="BA147" s="107">
        <f t="shared" si="145"/>
        <v>0</v>
      </c>
      <c r="BB147" s="107">
        <f t="shared" si="146"/>
        <v>0</v>
      </c>
      <c r="BC147" s="107">
        <f t="shared" si="147"/>
        <v>0</v>
      </c>
      <c r="BD147" s="109">
        <f t="shared" si="148"/>
        <v>0</v>
      </c>
      <c r="BE147" s="109">
        <f t="shared" si="149"/>
        <v>0</v>
      </c>
      <c r="BF147" s="109">
        <f t="shared" si="150"/>
        <v>0</v>
      </c>
      <c r="BH147" s="82">
        <f t="shared" si="151"/>
        <v>0</v>
      </c>
      <c r="BI147" s="82" t="e">
        <f t="shared" si="152"/>
        <v>#DIV/0!</v>
      </c>
      <c r="BJ147" s="77">
        <f t="shared" si="153"/>
        <v>0</v>
      </c>
      <c r="BK147" s="108">
        <f t="shared" si="154"/>
        <v>0</v>
      </c>
      <c r="BL147" s="107">
        <f t="shared" si="155"/>
        <v>0</v>
      </c>
      <c r="BM147" s="107">
        <f t="shared" si="156"/>
        <v>0</v>
      </c>
      <c r="BN147" s="107">
        <f t="shared" si="157"/>
        <v>0</v>
      </c>
      <c r="BO147" s="109">
        <f t="shared" si="158"/>
        <v>0</v>
      </c>
      <c r="BP147" s="109">
        <f t="shared" si="159"/>
        <v>0</v>
      </c>
      <c r="BQ147" s="109">
        <f t="shared" si="160"/>
        <v>0</v>
      </c>
    </row>
    <row r="148" spans="1:69" x14ac:dyDescent="0.25">
      <c r="A148" s="101">
        <f t="shared" si="110"/>
        <v>40330</v>
      </c>
      <c r="B148" s="102">
        <f t="shared" si="47"/>
        <v>3.105</v>
      </c>
      <c r="C148" s="102">
        <f t="shared" si="111"/>
        <v>5.0000000000000001E-3</v>
      </c>
      <c r="D148" s="80">
        <f t="shared" si="161"/>
        <v>0.16</v>
      </c>
      <c r="E148" s="106">
        <f t="shared" si="112"/>
        <v>1</v>
      </c>
      <c r="F148" s="104">
        <f t="shared" si="49"/>
        <v>4.92</v>
      </c>
      <c r="G148" s="104">
        <f t="shared" si="50"/>
        <v>3.5</v>
      </c>
      <c r="H148" s="104">
        <f t="shared" si="51"/>
        <v>2.96</v>
      </c>
      <c r="I148" s="104">
        <f t="shared" si="52"/>
        <v>2.99</v>
      </c>
      <c r="J148" s="80">
        <f t="shared" si="113"/>
        <v>0.114</v>
      </c>
      <c r="K148" s="80" t="e">
        <f t="shared" si="114"/>
        <v>#DIV/0!</v>
      </c>
      <c r="L148" s="80" t="e">
        <f t="shared" si="115"/>
        <v>#DIV/0!</v>
      </c>
      <c r="M148" s="80" t="e">
        <f t="shared" si="116"/>
        <v>#DIV/0!</v>
      </c>
      <c r="N148" s="80">
        <f t="shared" si="117"/>
        <v>0.27400000000000002</v>
      </c>
      <c r="O148" s="80" t="e">
        <f t="shared" si="118"/>
        <v>#DIV/0!</v>
      </c>
      <c r="P148" s="80" t="e">
        <f t="shared" si="119"/>
        <v>#DIV/0!</v>
      </c>
      <c r="Q148" s="80" t="e">
        <f t="shared" si="120"/>
        <v>#DIV/0!</v>
      </c>
      <c r="R148" s="105">
        <f t="shared" ca="1" si="121"/>
        <v>3555</v>
      </c>
      <c r="S148" s="80">
        <f t="shared" si="53"/>
        <v>7.0128569613415029E-2</v>
      </c>
      <c r="T148" s="77">
        <v>0</v>
      </c>
      <c r="U148" s="182">
        <v>0</v>
      </c>
      <c r="X148" s="182"/>
      <c r="Z148" s="82"/>
      <c r="AA148" s="82">
        <f t="shared" si="122"/>
        <v>0</v>
      </c>
      <c r="AB148" s="82">
        <f t="shared" si="162"/>
        <v>0</v>
      </c>
      <c r="AC148" s="77">
        <f t="shared" si="123"/>
        <v>0</v>
      </c>
      <c r="AD148" s="108">
        <f t="shared" si="124"/>
        <v>0</v>
      </c>
      <c r="AE148" s="107">
        <f t="shared" si="125"/>
        <v>0</v>
      </c>
      <c r="AF148" s="107">
        <f t="shared" si="126"/>
        <v>0</v>
      </c>
      <c r="AG148" s="107">
        <f t="shared" si="127"/>
        <v>0</v>
      </c>
      <c r="AH148" s="109">
        <f t="shared" si="128"/>
        <v>0</v>
      </c>
      <c r="AI148" s="109">
        <f t="shared" si="129"/>
        <v>0</v>
      </c>
      <c r="AJ148" s="109">
        <f t="shared" si="130"/>
        <v>0</v>
      </c>
      <c r="AL148" s="82">
        <f t="shared" si="131"/>
        <v>0</v>
      </c>
      <c r="AM148" s="82" t="e">
        <f t="shared" si="132"/>
        <v>#DIV/0!</v>
      </c>
      <c r="AN148" s="77">
        <f t="shared" si="133"/>
        <v>0</v>
      </c>
      <c r="AO148" s="108">
        <f t="shared" si="134"/>
        <v>0</v>
      </c>
      <c r="AP148" s="107">
        <f t="shared" si="135"/>
        <v>0</v>
      </c>
      <c r="AQ148" s="107">
        <f t="shared" si="136"/>
        <v>0</v>
      </c>
      <c r="AR148" s="107">
        <f t="shared" si="137"/>
        <v>0</v>
      </c>
      <c r="AS148" s="109">
        <f t="shared" si="138"/>
        <v>0</v>
      </c>
      <c r="AT148" s="109">
        <f t="shared" si="139"/>
        <v>0</v>
      </c>
      <c r="AU148" s="109">
        <f t="shared" si="140"/>
        <v>0</v>
      </c>
      <c r="AW148" s="82">
        <f t="shared" si="141"/>
        <v>0</v>
      </c>
      <c r="AX148" s="82" t="e">
        <f t="shared" si="142"/>
        <v>#DIV/0!</v>
      </c>
      <c r="AY148" s="77">
        <f t="shared" si="143"/>
        <v>0</v>
      </c>
      <c r="AZ148" s="108">
        <f t="shared" si="144"/>
        <v>0</v>
      </c>
      <c r="BA148" s="107">
        <f t="shared" si="145"/>
        <v>0</v>
      </c>
      <c r="BB148" s="107">
        <f t="shared" si="146"/>
        <v>0</v>
      </c>
      <c r="BC148" s="107">
        <f t="shared" si="147"/>
        <v>0</v>
      </c>
      <c r="BD148" s="109">
        <f t="shared" si="148"/>
        <v>0</v>
      </c>
      <c r="BE148" s="109">
        <f t="shared" si="149"/>
        <v>0</v>
      </c>
      <c r="BF148" s="109">
        <f t="shared" si="150"/>
        <v>0</v>
      </c>
      <c r="BH148" s="82">
        <f t="shared" si="151"/>
        <v>0</v>
      </c>
      <c r="BI148" s="82" t="e">
        <f t="shared" si="152"/>
        <v>#DIV/0!</v>
      </c>
      <c r="BJ148" s="77">
        <f t="shared" si="153"/>
        <v>0</v>
      </c>
      <c r="BK148" s="108">
        <f t="shared" si="154"/>
        <v>0</v>
      </c>
      <c r="BL148" s="107">
        <f t="shared" si="155"/>
        <v>0</v>
      </c>
      <c r="BM148" s="107">
        <f t="shared" si="156"/>
        <v>0</v>
      </c>
      <c r="BN148" s="107">
        <f t="shared" si="157"/>
        <v>0</v>
      </c>
      <c r="BO148" s="109">
        <f t="shared" si="158"/>
        <v>0</v>
      </c>
      <c r="BP148" s="109">
        <f t="shared" si="159"/>
        <v>0</v>
      </c>
      <c r="BQ148" s="109">
        <f t="shared" si="160"/>
        <v>0</v>
      </c>
    </row>
    <row r="149" spans="1:69" x14ac:dyDescent="0.25">
      <c r="A149" s="101">
        <f t="shared" si="110"/>
        <v>40360</v>
      </c>
      <c r="B149" s="102">
        <f t="shared" si="47"/>
        <v>3.1269999999999998</v>
      </c>
      <c r="C149" s="102">
        <f t="shared" si="111"/>
        <v>5.0000000000000001E-3</v>
      </c>
      <c r="D149" s="80">
        <f t="shared" si="161"/>
        <v>0.16</v>
      </c>
      <c r="E149" s="106">
        <f t="shared" si="112"/>
        <v>1</v>
      </c>
      <c r="F149" s="104">
        <f t="shared" si="49"/>
        <v>4.92</v>
      </c>
      <c r="G149" s="104">
        <f t="shared" si="50"/>
        <v>3.5</v>
      </c>
      <c r="H149" s="104">
        <f t="shared" si="51"/>
        <v>2.96</v>
      </c>
      <c r="I149" s="104">
        <f t="shared" si="52"/>
        <v>2.99</v>
      </c>
      <c r="J149" s="80">
        <f t="shared" si="113"/>
        <v>0.114</v>
      </c>
      <c r="K149" s="80" t="e">
        <f t="shared" si="114"/>
        <v>#DIV/0!</v>
      </c>
      <c r="L149" s="80" t="e">
        <f t="shared" si="115"/>
        <v>#DIV/0!</v>
      </c>
      <c r="M149" s="80" t="e">
        <f t="shared" si="116"/>
        <v>#DIV/0!</v>
      </c>
      <c r="N149" s="80">
        <f t="shared" si="117"/>
        <v>0.27400000000000002</v>
      </c>
      <c r="O149" s="80" t="e">
        <f t="shared" si="118"/>
        <v>#DIV/0!</v>
      </c>
      <c r="P149" s="80" t="e">
        <f t="shared" si="119"/>
        <v>#DIV/0!</v>
      </c>
      <c r="Q149" s="80" t="e">
        <f t="shared" si="120"/>
        <v>#DIV/0!</v>
      </c>
      <c r="R149" s="105">
        <f t="shared" ca="1" si="121"/>
        <v>3588</v>
      </c>
      <c r="S149" s="80">
        <f t="shared" si="53"/>
        <v>7.0141283372581006E-2</v>
      </c>
      <c r="T149" s="77">
        <v>0</v>
      </c>
      <c r="U149" s="182">
        <v>0</v>
      </c>
      <c r="X149" s="182"/>
      <c r="Z149" s="82"/>
      <c r="AA149" s="82">
        <f t="shared" si="122"/>
        <v>0</v>
      </c>
      <c r="AB149" s="82">
        <f t="shared" si="162"/>
        <v>0</v>
      </c>
      <c r="AC149" s="77">
        <f t="shared" si="123"/>
        <v>0</v>
      </c>
      <c r="AD149" s="108">
        <f t="shared" si="124"/>
        <v>0</v>
      </c>
      <c r="AE149" s="107">
        <f t="shared" si="125"/>
        <v>0</v>
      </c>
      <c r="AF149" s="107">
        <f t="shared" si="126"/>
        <v>0</v>
      </c>
      <c r="AG149" s="107">
        <f t="shared" si="127"/>
        <v>0</v>
      </c>
      <c r="AH149" s="109">
        <f t="shared" si="128"/>
        <v>0</v>
      </c>
      <c r="AI149" s="109">
        <f t="shared" si="129"/>
        <v>0</v>
      </c>
      <c r="AJ149" s="109">
        <f t="shared" si="130"/>
        <v>0</v>
      </c>
      <c r="AL149" s="82">
        <f t="shared" si="131"/>
        <v>0</v>
      </c>
      <c r="AM149" s="82" t="e">
        <f t="shared" si="132"/>
        <v>#DIV/0!</v>
      </c>
      <c r="AN149" s="77">
        <f t="shared" si="133"/>
        <v>0</v>
      </c>
      <c r="AO149" s="108">
        <f t="shared" si="134"/>
        <v>0</v>
      </c>
      <c r="AP149" s="107">
        <f t="shared" si="135"/>
        <v>0</v>
      </c>
      <c r="AQ149" s="107">
        <f t="shared" si="136"/>
        <v>0</v>
      </c>
      <c r="AR149" s="107">
        <f t="shared" si="137"/>
        <v>0</v>
      </c>
      <c r="AS149" s="109">
        <f t="shared" si="138"/>
        <v>0</v>
      </c>
      <c r="AT149" s="109">
        <f t="shared" si="139"/>
        <v>0</v>
      </c>
      <c r="AU149" s="109">
        <f t="shared" si="140"/>
        <v>0</v>
      </c>
      <c r="AW149" s="82">
        <f t="shared" si="141"/>
        <v>0</v>
      </c>
      <c r="AX149" s="82" t="e">
        <f t="shared" si="142"/>
        <v>#DIV/0!</v>
      </c>
      <c r="AY149" s="77">
        <f t="shared" si="143"/>
        <v>0</v>
      </c>
      <c r="AZ149" s="108">
        <f t="shared" si="144"/>
        <v>0</v>
      </c>
      <c r="BA149" s="107">
        <f t="shared" si="145"/>
        <v>0</v>
      </c>
      <c r="BB149" s="107">
        <f t="shared" si="146"/>
        <v>0</v>
      </c>
      <c r="BC149" s="107">
        <f t="shared" si="147"/>
        <v>0</v>
      </c>
      <c r="BD149" s="109">
        <f t="shared" si="148"/>
        <v>0</v>
      </c>
      <c r="BE149" s="109">
        <f t="shared" si="149"/>
        <v>0</v>
      </c>
      <c r="BF149" s="109">
        <f t="shared" si="150"/>
        <v>0</v>
      </c>
      <c r="BH149" s="82">
        <f t="shared" si="151"/>
        <v>0</v>
      </c>
      <c r="BI149" s="82" t="e">
        <f t="shared" si="152"/>
        <v>#DIV/0!</v>
      </c>
      <c r="BJ149" s="77">
        <f t="shared" si="153"/>
        <v>0</v>
      </c>
      <c r="BK149" s="108">
        <f t="shared" si="154"/>
        <v>0</v>
      </c>
      <c r="BL149" s="107">
        <f t="shared" si="155"/>
        <v>0</v>
      </c>
      <c r="BM149" s="107">
        <f t="shared" si="156"/>
        <v>0</v>
      </c>
      <c r="BN149" s="107">
        <f t="shared" si="157"/>
        <v>0</v>
      </c>
      <c r="BO149" s="109">
        <f t="shared" si="158"/>
        <v>0</v>
      </c>
      <c r="BP149" s="109">
        <f t="shared" si="159"/>
        <v>0</v>
      </c>
      <c r="BQ149" s="109">
        <f t="shared" si="160"/>
        <v>0</v>
      </c>
    </row>
    <row r="150" spans="1:69" x14ac:dyDescent="0.25">
      <c r="A150" s="101">
        <f t="shared" si="110"/>
        <v>40391</v>
      </c>
      <c r="B150" s="102">
        <f t="shared" si="47"/>
        <v>3.1480000000000001</v>
      </c>
      <c r="C150" s="102">
        <f t="shared" si="111"/>
        <v>5.0000000000000001E-3</v>
      </c>
      <c r="D150" s="80">
        <f t="shared" si="161"/>
        <v>0.16</v>
      </c>
      <c r="E150" s="106">
        <f t="shared" si="112"/>
        <v>1</v>
      </c>
      <c r="F150" s="104">
        <f t="shared" si="49"/>
        <v>4.92</v>
      </c>
      <c r="G150" s="104">
        <f t="shared" si="50"/>
        <v>3.5</v>
      </c>
      <c r="H150" s="104">
        <f t="shared" si="51"/>
        <v>2.96</v>
      </c>
      <c r="I150" s="104">
        <f t="shared" si="52"/>
        <v>2.99</v>
      </c>
      <c r="J150" s="80">
        <f t="shared" si="113"/>
        <v>0.114</v>
      </c>
      <c r="K150" s="80" t="e">
        <f t="shared" si="114"/>
        <v>#DIV/0!</v>
      </c>
      <c r="L150" s="80" t="e">
        <f t="shared" si="115"/>
        <v>#DIV/0!</v>
      </c>
      <c r="M150" s="80" t="e">
        <f t="shared" si="116"/>
        <v>#DIV/0!</v>
      </c>
      <c r="N150" s="80">
        <f t="shared" si="117"/>
        <v>0.27400000000000002</v>
      </c>
      <c r="O150" s="80" t="e">
        <f t="shared" si="118"/>
        <v>#DIV/0!</v>
      </c>
      <c r="P150" s="80" t="e">
        <f t="shared" si="119"/>
        <v>#DIV/0!</v>
      </c>
      <c r="Q150" s="80" t="e">
        <f t="shared" si="120"/>
        <v>#DIV/0!</v>
      </c>
      <c r="R150" s="105">
        <f t="shared" ca="1" si="121"/>
        <v>3618</v>
      </c>
      <c r="S150" s="80">
        <f t="shared" si="53"/>
        <v>7.0154420923774011E-2</v>
      </c>
      <c r="T150" s="77">
        <v>0</v>
      </c>
      <c r="U150" s="182">
        <v>0</v>
      </c>
      <c r="X150" s="182"/>
      <c r="Z150" s="82"/>
      <c r="AA150" s="82">
        <f t="shared" si="122"/>
        <v>0</v>
      </c>
      <c r="AB150" s="82">
        <f t="shared" si="162"/>
        <v>0</v>
      </c>
      <c r="AC150" s="77">
        <f t="shared" si="123"/>
        <v>0</v>
      </c>
      <c r="AD150" s="108">
        <f t="shared" si="124"/>
        <v>0</v>
      </c>
      <c r="AE150" s="107">
        <f t="shared" si="125"/>
        <v>0</v>
      </c>
      <c r="AF150" s="107">
        <f t="shared" si="126"/>
        <v>0</v>
      </c>
      <c r="AG150" s="107">
        <f t="shared" si="127"/>
        <v>0</v>
      </c>
      <c r="AH150" s="109">
        <f t="shared" si="128"/>
        <v>0</v>
      </c>
      <c r="AI150" s="109">
        <f t="shared" si="129"/>
        <v>0</v>
      </c>
      <c r="AJ150" s="109">
        <f t="shared" si="130"/>
        <v>0</v>
      </c>
      <c r="AL150" s="82">
        <f t="shared" si="131"/>
        <v>0</v>
      </c>
      <c r="AM150" s="82" t="e">
        <f t="shared" si="132"/>
        <v>#DIV/0!</v>
      </c>
      <c r="AN150" s="77">
        <f t="shared" si="133"/>
        <v>0</v>
      </c>
      <c r="AO150" s="108">
        <f t="shared" si="134"/>
        <v>0</v>
      </c>
      <c r="AP150" s="107">
        <f t="shared" si="135"/>
        <v>0</v>
      </c>
      <c r="AQ150" s="107">
        <f t="shared" si="136"/>
        <v>0</v>
      </c>
      <c r="AR150" s="107">
        <f t="shared" si="137"/>
        <v>0</v>
      </c>
      <c r="AS150" s="109">
        <f t="shared" si="138"/>
        <v>0</v>
      </c>
      <c r="AT150" s="109">
        <f t="shared" si="139"/>
        <v>0</v>
      </c>
      <c r="AU150" s="109">
        <f t="shared" si="140"/>
        <v>0</v>
      </c>
      <c r="AW150" s="82">
        <f t="shared" si="141"/>
        <v>0</v>
      </c>
      <c r="AX150" s="82" t="e">
        <f t="shared" si="142"/>
        <v>#DIV/0!</v>
      </c>
      <c r="AY150" s="77">
        <f t="shared" si="143"/>
        <v>0</v>
      </c>
      <c r="AZ150" s="108">
        <f t="shared" si="144"/>
        <v>0</v>
      </c>
      <c r="BA150" s="107">
        <f t="shared" si="145"/>
        <v>0</v>
      </c>
      <c r="BB150" s="107">
        <f t="shared" si="146"/>
        <v>0</v>
      </c>
      <c r="BC150" s="107">
        <f t="shared" si="147"/>
        <v>0</v>
      </c>
      <c r="BD150" s="109">
        <f t="shared" si="148"/>
        <v>0</v>
      </c>
      <c r="BE150" s="109">
        <f t="shared" si="149"/>
        <v>0</v>
      </c>
      <c r="BF150" s="109">
        <f t="shared" si="150"/>
        <v>0</v>
      </c>
      <c r="BH150" s="82">
        <f t="shared" si="151"/>
        <v>0</v>
      </c>
      <c r="BI150" s="82" t="e">
        <f t="shared" si="152"/>
        <v>#DIV/0!</v>
      </c>
      <c r="BJ150" s="77">
        <f t="shared" si="153"/>
        <v>0</v>
      </c>
      <c r="BK150" s="108">
        <f t="shared" si="154"/>
        <v>0</v>
      </c>
      <c r="BL150" s="107">
        <f t="shared" si="155"/>
        <v>0</v>
      </c>
      <c r="BM150" s="107">
        <f t="shared" si="156"/>
        <v>0</v>
      </c>
      <c r="BN150" s="107">
        <f t="shared" si="157"/>
        <v>0</v>
      </c>
      <c r="BO150" s="109">
        <f t="shared" si="158"/>
        <v>0</v>
      </c>
      <c r="BP150" s="109">
        <f t="shared" si="159"/>
        <v>0</v>
      </c>
      <c r="BQ150" s="109">
        <f t="shared" si="160"/>
        <v>0</v>
      </c>
    </row>
    <row r="151" spans="1:69" x14ac:dyDescent="0.25">
      <c r="A151" s="101">
        <f>DATE(YEAR(A150),MONTH(A150)+1,1)</f>
        <v>40422</v>
      </c>
      <c r="B151" s="102"/>
      <c r="C151" s="102"/>
      <c r="D151" s="80"/>
      <c r="E151" s="106"/>
      <c r="F151" s="104"/>
      <c r="G151" s="104"/>
      <c r="H151" s="104"/>
      <c r="I151" s="104"/>
      <c r="J151" s="80"/>
      <c r="K151" s="80"/>
      <c r="L151" s="80"/>
      <c r="M151" s="80"/>
      <c r="N151" s="80"/>
      <c r="O151" s="80"/>
      <c r="P151" s="80"/>
      <c r="Q151" s="80"/>
      <c r="R151" s="105"/>
      <c r="S151" s="80"/>
      <c r="T151" s="182"/>
      <c r="X151" s="182"/>
      <c r="Z151" s="82"/>
      <c r="AA151" s="82"/>
      <c r="AB151" s="82"/>
      <c r="AD151" s="108"/>
      <c r="AE151" s="107"/>
      <c r="AF151" s="107"/>
      <c r="AG151" s="107"/>
      <c r="AH151" s="109"/>
      <c r="AI151" s="109"/>
      <c r="AJ151" s="109"/>
      <c r="AL151" s="82"/>
      <c r="AM151" s="82"/>
      <c r="AO151" s="108"/>
      <c r="AP151" s="107"/>
      <c r="AQ151" s="107"/>
      <c r="AR151" s="107"/>
      <c r="AS151" s="109"/>
      <c r="AT151" s="109"/>
      <c r="AU151" s="109"/>
      <c r="AW151" s="82"/>
      <c r="AX151" s="82"/>
      <c r="AZ151" s="108"/>
      <c r="BA151" s="107"/>
      <c r="BB151" s="107"/>
      <c r="BC151" s="107"/>
      <c r="BD151" s="109"/>
      <c r="BE151" s="109"/>
      <c r="BF151" s="109"/>
      <c r="BH151" s="82"/>
      <c r="BI151" s="82"/>
      <c r="BK151" s="108"/>
      <c r="BL151" s="107"/>
      <c r="BM151" s="107"/>
      <c r="BN151" s="107"/>
      <c r="BO151" s="109"/>
      <c r="BP151" s="109"/>
      <c r="BQ151" s="109"/>
    </row>
    <row r="152" spans="1:69" x14ac:dyDescent="0.25">
      <c r="A152" s="101"/>
      <c r="B152" s="115"/>
      <c r="C152" s="134"/>
      <c r="E152" s="112"/>
      <c r="F152" s="112"/>
      <c r="G152" s="112"/>
      <c r="H152" s="113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83"/>
      <c r="Z152" s="84"/>
      <c r="AA152" s="83"/>
      <c r="AB152" s="84"/>
      <c r="AL152" s="83"/>
      <c r="AM152" s="84"/>
      <c r="AW152" s="83"/>
      <c r="AX152" s="84"/>
      <c r="BH152" s="83"/>
      <c r="BI152" s="84"/>
    </row>
    <row r="153" spans="1:69" x14ac:dyDescent="0.25">
      <c r="A153" s="110"/>
      <c r="B153" s="115"/>
      <c r="C153" s="134"/>
      <c r="E153" s="112"/>
      <c r="F153" s="112"/>
      <c r="G153" s="112"/>
      <c r="H153" s="113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83"/>
      <c r="Z153" s="84"/>
      <c r="AA153" s="83"/>
      <c r="AB153" s="84"/>
      <c r="AL153" s="83"/>
      <c r="AM153" s="84"/>
      <c r="AW153" s="83"/>
      <c r="AX153" s="84"/>
      <c r="BH153" s="83"/>
      <c r="BI153" s="84"/>
    </row>
    <row r="154" spans="1:69" x14ac:dyDescent="0.25">
      <c r="A154" s="110"/>
      <c r="B154" s="115"/>
      <c r="C154" s="134"/>
      <c r="E154" s="112"/>
      <c r="F154" s="112"/>
      <c r="G154" s="112"/>
      <c r="H154" s="113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83"/>
      <c r="Z154" s="84"/>
      <c r="AA154" s="83"/>
      <c r="AB154" s="84"/>
      <c r="AL154" s="83"/>
      <c r="AM154" s="84"/>
      <c r="AW154" s="83"/>
      <c r="AX154" s="84"/>
      <c r="BH154" s="83"/>
      <c r="BI154" s="84"/>
    </row>
    <row r="155" spans="1:69" x14ac:dyDescent="0.25">
      <c r="A155" s="110"/>
      <c r="B155" s="115"/>
      <c r="C155" s="134"/>
      <c r="E155" s="112"/>
      <c r="F155" s="112"/>
      <c r="G155" s="112"/>
      <c r="H155" s="113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83"/>
      <c r="Z155" s="84"/>
      <c r="AA155" s="83"/>
      <c r="AB155" s="84"/>
      <c r="AL155" s="83"/>
      <c r="AM155" s="84"/>
      <c r="AW155" s="83"/>
      <c r="AX155" s="84"/>
      <c r="BH155" s="83"/>
      <c r="BI155" s="84"/>
    </row>
    <row r="156" spans="1:69" x14ac:dyDescent="0.25">
      <c r="A156" s="110"/>
      <c r="B156" s="115"/>
      <c r="C156" s="134"/>
      <c r="E156" s="112"/>
      <c r="F156" s="112"/>
      <c r="G156" s="112"/>
      <c r="H156" s="113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83"/>
      <c r="Z156" s="84"/>
      <c r="AA156" s="83"/>
      <c r="AB156" s="84"/>
      <c r="AL156" s="83"/>
      <c r="AM156" s="84"/>
      <c r="AW156" s="83"/>
      <c r="AX156" s="84"/>
      <c r="BH156" s="83"/>
      <c r="BI156" s="84"/>
    </row>
    <row r="157" spans="1:69" x14ac:dyDescent="0.25">
      <c r="A157" s="110"/>
      <c r="B157" s="115"/>
      <c r="C157" s="134"/>
      <c r="E157" s="112"/>
      <c r="F157" s="112"/>
      <c r="G157" s="112"/>
      <c r="H157" s="113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83"/>
      <c r="Z157" s="84"/>
      <c r="AA157" s="83"/>
      <c r="AB157" s="84"/>
      <c r="AL157" s="83"/>
      <c r="AM157" s="84"/>
      <c r="AW157" s="83"/>
      <c r="AX157" s="84"/>
      <c r="BH157" s="83"/>
      <c r="BI157" s="84"/>
    </row>
    <row r="158" spans="1:69" x14ac:dyDescent="0.25">
      <c r="A158" s="110"/>
      <c r="B158" s="115"/>
      <c r="C158" s="134"/>
      <c r="E158" s="112"/>
      <c r="F158" s="112"/>
      <c r="G158" s="112"/>
      <c r="H158" s="113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83"/>
      <c r="Z158" s="84"/>
      <c r="AA158" s="83"/>
      <c r="AB158" s="84"/>
      <c r="AL158" s="83"/>
      <c r="AM158" s="84"/>
      <c r="AW158" s="83"/>
      <c r="AX158" s="84"/>
      <c r="BH158" s="83"/>
      <c r="BI158" s="84"/>
    </row>
    <row r="159" spans="1:69" x14ac:dyDescent="0.25">
      <c r="A159" s="110"/>
      <c r="B159" s="115"/>
      <c r="C159" s="134"/>
      <c r="E159" s="112"/>
      <c r="F159" s="112"/>
      <c r="G159" s="112"/>
      <c r="H159" s="113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83"/>
      <c r="Z159" s="84"/>
      <c r="AA159" s="83"/>
      <c r="AB159" s="84"/>
      <c r="AL159" s="83"/>
      <c r="AM159" s="84"/>
      <c r="AW159" s="83"/>
      <c r="AX159" s="84"/>
      <c r="BH159" s="83"/>
      <c r="BI159" s="84"/>
    </row>
    <row r="160" spans="1:69" x14ac:dyDescent="0.25">
      <c r="A160" s="110"/>
      <c r="B160" s="115"/>
      <c r="C160" s="134"/>
      <c r="E160" s="112"/>
      <c r="F160" s="112"/>
      <c r="G160" s="112"/>
      <c r="H160" s="113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83"/>
      <c r="Z160" s="84"/>
      <c r="AA160" s="83"/>
      <c r="AB160" s="84"/>
      <c r="AL160" s="83"/>
      <c r="AM160" s="84"/>
      <c r="AW160" s="83"/>
      <c r="AX160" s="84"/>
      <c r="BH160" s="83"/>
      <c r="BI160" s="84"/>
    </row>
    <row r="161" spans="1:61" x14ac:dyDescent="0.25">
      <c r="A161" s="110"/>
      <c r="B161" s="115"/>
      <c r="C161" s="134"/>
      <c r="E161" s="112"/>
      <c r="F161" s="112"/>
      <c r="G161" s="112"/>
      <c r="H161" s="113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83"/>
      <c r="Z161" s="84"/>
      <c r="AA161" s="83"/>
      <c r="AB161" s="84"/>
      <c r="AL161" s="83"/>
      <c r="AM161" s="84"/>
      <c r="AW161" s="83"/>
      <c r="AX161" s="84"/>
      <c r="BH161" s="83"/>
      <c r="BI161" s="84"/>
    </row>
    <row r="162" spans="1:61" x14ac:dyDescent="0.25">
      <c r="A162" s="110"/>
      <c r="B162" s="115"/>
      <c r="C162" s="134"/>
      <c r="E162" s="112"/>
      <c r="F162" s="112"/>
      <c r="G162" s="112"/>
      <c r="H162" s="113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83"/>
      <c r="Z162" s="84"/>
      <c r="AA162" s="83"/>
      <c r="AB162" s="84"/>
      <c r="AL162" s="83"/>
      <c r="AM162" s="84"/>
      <c r="AW162" s="83"/>
      <c r="AX162" s="84"/>
      <c r="BH162" s="83"/>
      <c r="BI162" s="84"/>
    </row>
    <row r="163" spans="1:61" x14ac:dyDescent="0.25">
      <c r="A163" s="116"/>
      <c r="E163" s="79"/>
      <c r="F163" s="79"/>
      <c r="G163" s="79"/>
      <c r="H163" s="113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83"/>
      <c r="Z163" s="84"/>
      <c r="AA163" s="83"/>
      <c r="AB163" s="84"/>
      <c r="AL163" s="83"/>
      <c r="AM163" s="84"/>
      <c r="AW163" s="83"/>
      <c r="AX163" s="84"/>
      <c r="BH163" s="83"/>
      <c r="BI163" s="84"/>
    </row>
    <row r="164" spans="1:61" x14ac:dyDescent="0.25">
      <c r="A164" s="110"/>
      <c r="B164" s="115"/>
      <c r="C164" s="134"/>
      <c r="E164" s="112"/>
      <c r="F164" s="112"/>
      <c r="G164" s="112"/>
      <c r="H164" s="113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83"/>
      <c r="Z164" s="84"/>
      <c r="AA164" s="83"/>
      <c r="AB164" s="84"/>
      <c r="AL164" s="83"/>
      <c r="AM164" s="84"/>
      <c r="AW164" s="83"/>
      <c r="AX164" s="84"/>
      <c r="BH164" s="83"/>
      <c r="BI164" s="84"/>
    </row>
    <row r="165" spans="1:61" x14ac:dyDescent="0.25">
      <c r="B165" s="117"/>
      <c r="C165" s="120"/>
      <c r="D165" s="118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4"/>
      <c r="T165" s="111"/>
      <c r="U165" s="111"/>
      <c r="V165" s="114"/>
      <c r="W165" s="114"/>
      <c r="X165" s="114"/>
      <c r="Y165" s="83"/>
      <c r="Z165" s="84"/>
      <c r="AA165" s="83"/>
      <c r="AB165" s="84"/>
      <c r="AL165" s="83"/>
      <c r="AM165" s="84"/>
      <c r="AW165" s="83"/>
      <c r="AX165" s="84"/>
      <c r="BH165" s="83"/>
      <c r="BI165" s="84"/>
    </row>
    <row r="166" spans="1:61" x14ac:dyDescent="0.25">
      <c r="B166" s="117"/>
      <c r="C166" s="120"/>
      <c r="D166" s="118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4"/>
      <c r="T166" s="111"/>
      <c r="U166" s="111"/>
      <c r="V166" s="114"/>
      <c r="W166" s="114"/>
      <c r="X166" s="114"/>
      <c r="Y166" s="83"/>
      <c r="Z166" s="84"/>
      <c r="AA166" s="83"/>
      <c r="AB166" s="84"/>
      <c r="AL166" s="83"/>
      <c r="AM166" s="84"/>
      <c r="AW166" s="83"/>
      <c r="AX166" s="84"/>
      <c r="BH166" s="83"/>
      <c r="BI166" s="84"/>
    </row>
    <row r="167" spans="1:61" x14ac:dyDescent="0.25">
      <c r="B167" s="117"/>
      <c r="C167" s="120"/>
      <c r="D167" s="118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4"/>
      <c r="T167" s="111"/>
      <c r="U167" s="111"/>
      <c r="V167" s="114"/>
      <c r="W167" s="114"/>
      <c r="X167" s="114"/>
      <c r="Y167" s="83"/>
      <c r="Z167" s="84"/>
      <c r="AA167" s="83"/>
      <c r="AB167" s="84"/>
      <c r="AL167" s="83"/>
      <c r="AM167" s="84"/>
      <c r="AW167" s="83"/>
      <c r="AX167" s="84"/>
      <c r="BH167" s="83"/>
      <c r="BI167" s="84"/>
    </row>
    <row r="168" spans="1:61" x14ac:dyDescent="0.25">
      <c r="B168" s="117"/>
      <c r="C168" s="120"/>
      <c r="D168" s="118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4"/>
      <c r="T168" s="111"/>
      <c r="U168" s="111"/>
      <c r="V168" s="114"/>
      <c r="W168" s="114"/>
      <c r="X168" s="114"/>
      <c r="Y168" s="83"/>
      <c r="Z168" s="84"/>
      <c r="AA168" s="83"/>
      <c r="AB168" s="84"/>
      <c r="AL168" s="83"/>
      <c r="AM168" s="84"/>
      <c r="AW168" s="83"/>
      <c r="AX168" s="84"/>
      <c r="BH168" s="83"/>
      <c r="BI168" s="84"/>
    </row>
    <row r="169" spans="1:61" x14ac:dyDescent="0.25">
      <c r="B169" s="117"/>
      <c r="C169" s="120"/>
      <c r="D169" s="118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4"/>
      <c r="T169" s="111"/>
      <c r="U169" s="111"/>
      <c r="V169" s="114"/>
      <c r="W169" s="114"/>
      <c r="X169" s="114"/>
      <c r="Y169" s="83"/>
      <c r="Z169" s="84"/>
      <c r="AA169" s="83"/>
      <c r="AB169" s="84"/>
      <c r="AL169" s="83"/>
      <c r="AM169" s="84"/>
      <c r="AW169" s="83"/>
      <c r="AX169" s="84"/>
      <c r="BH169" s="83"/>
      <c r="BI169" s="84"/>
    </row>
    <row r="170" spans="1:61" x14ac:dyDescent="0.25">
      <c r="B170" s="117"/>
      <c r="C170" s="120"/>
      <c r="D170" s="118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4"/>
      <c r="T170" s="111"/>
      <c r="U170" s="111"/>
      <c r="V170" s="114"/>
      <c r="W170" s="114"/>
      <c r="X170" s="114"/>
      <c r="Y170" s="83"/>
      <c r="Z170" s="84"/>
      <c r="AA170" s="83"/>
      <c r="AB170" s="84"/>
      <c r="AL170" s="83"/>
      <c r="AM170" s="84"/>
      <c r="AW170" s="83"/>
      <c r="AX170" s="84"/>
      <c r="BH170" s="83"/>
      <c r="BI170" s="84"/>
    </row>
    <row r="171" spans="1:61" x14ac:dyDescent="0.25">
      <c r="B171" s="117"/>
      <c r="C171" s="120"/>
      <c r="D171" s="118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4"/>
      <c r="T171" s="111"/>
      <c r="U171" s="111"/>
      <c r="V171" s="114"/>
      <c r="W171" s="114"/>
      <c r="X171" s="114"/>
      <c r="Y171" s="83"/>
      <c r="Z171" s="84"/>
      <c r="AA171" s="83"/>
      <c r="AB171" s="84"/>
      <c r="AL171" s="83"/>
      <c r="AM171" s="84"/>
      <c r="AW171" s="83"/>
      <c r="AX171" s="84"/>
      <c r="BH171" s="83"/>
      <c r="BI171" s="84"/>
    </row>
    <row r="172" spans="1:61" x14ac:dyDescent="0.25">
      <c r="B172" s="117"/>
      <c r="C172" s="120"/>
      <c r="D172" s="118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4"/>
      <c r="T172" s="111"/>
      <c r="U172" s="111"/>
      <c r="V172" s="114"/>
      <c r="W172" s="114"/>
      <c r="X172" s="114"/>
      <c r="Y172" s="83"/>
      <c r="Z172" s="84"/>
      <c r="AA172" s="83"/>
      <c r="AB172" s="84"/>
      <c r="AL172" s="83"/>
      <c r="AM172" s="84"/>
      <c r="AW172" s="83"/>
      <c r="AX172" s="84"/>
      <c r="BH172" s="83"/>
      <c r="BI172" s="84"/>
    </row>
    <row r="173" spans="1:61" x14ac:dyDescent="0.25">
      <c r="B173" s="117"/>
      <c r="C173" s="120"/>
      <c r="D173" s="118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4"/>
      <c r="T173" s="111"/>
      <c r="U173" s="111"/>
      <c r="V173" s="114"/>
      <c r="W173" s="114"/>
      <c r="X173" s="114"/>
      <c r="Y173" s="83"/>
      <c r="Z173" s="84"/>
      <c r="AA173" s="83"/>
      <c r="AB173" s="84"/>
      <c r="AL173" s="83"/>
      <c r="AM173" s="84"/>
      <c r="AW173" s="83"/>
      <c r="AX173" s="84"/>
      <c r="BH173" s="83"/>
      <c r="BI173" s="84"/>
    </row>
    <row r="174" spans="1:61" x14ac:dyDescent="0.25">
      <c r="B174" s="117"/>
      <c r="C174" s="120"/>
      <c r="D174" s="118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4"/>
      <c r="T174" s="111"/>
      <c r="U174" s="111"/>
      <c r="V174" s="114"/>
      <c r="W174" s="114"/>
      <c r="X174" s="114"/>
      <c r="Y174" s="83"/>
      <c r="Z174" s="84"/>
      <c r="AA174" s="83"/>
      <c r="AB174" s="84"/>
      <c r="AL174" s="83"/>
      <c r="AM174" s="84"/>
      <c r="AW174" s="83"/>
      <c r="AX174" s="84"/>
      <c r="BH174" s="83"/>
      <c r="BI174" s="84"/>
    </row>
    <row r="175" spans="1:61" x14ac:dyDescent="0.25">
      <c r="B175" s="117"/>
      <c r="C175" s="120"/>
      <c r="D175" s="118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4"/>
      <c r="T175" s="111"/>
      <c r="U175" s="111"/>
      <c r="V175" s="114"/>
      <c r="W175" s="114"/>
      <c r="X175" s="114"/>
      <c r="Y175" s="83"/>
      <c r="Z175" s="84"/>
      <c r="AA175" s="83"/>
      <c r="AB175" s="84"/>
      <c r="AL175" s="83"/>
      <c r="AM175" s="84"/>
      <c r="AW175" s="83"/>
      <c r="AX175" s="84"/>
      <c r="BH175" s="83"/>
      <c r="BI175" s="84"/>
    </row>
    <row r="176" spans="1:61" x14ac:dyDescent="0.25">
      <c r="B176" s="117"/>
      <c r="C176" s="120"/>
      <c r="D176" s="118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4"/>
      <c r="T176" s="111"/>
      <c r="U176" s="111"/>
      <c r="V176" s="114"/>
      <c r="W176" s="114"/>
      <c r="X176" s="114"/>
      <c r="Y176" s="83"/>
      <c r="Z176" s="84"/>
      <c r="AA176" s="83"/>
      <c r="AB176" s="84"/>
      <c r="AL176" s="83"/>
      <c r="AM176" s="84"/>
      <c r="AW176" s="83"/>
      <c r="AX176" s="84"/>
      <c r="BH176" s="83"/>
      <c r="BI176" s="84"/>
    </row>
    <row r="177" spans="2:61" ht="13.8" thickBot="1" x14ac:dyDescent="0.3">
      <c r="B177" s="117"/>
      <c r="C177" s="120"/>
      <c r="D177" s="121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4"/>
      <c r="T177" s="114"/>
      <c r="U177" s="114"/>
      <c r="V177" s="114"/>
      <c r="W177" s="114"/>
      <c r="X177" s="114"/>
      <c r="Y177" s="83"/>
      <c r="Z177" s="84"/>
      <c r="AA177" s="83"/>
      <c r="AB177" s="84"/>
      <c r="AL177" s="83"/>
      <c r="AM177" s="84"/>
      <c r="AW177" s="83"/>
      <c r="AX177" s="84"/>
      <c r="BH177" s="83"/>
      <c r="BI177" s="84"/>
    </row>
    <row r="178" spans="2:61" x14ac:dyDescent="0.25">
      <c r="B178" s="117"/>
      <c r="C178" s="120"/>
      <c r="D178" s="122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4"/>
      <c r="T178" s="114"/>
      <c r="U178" s="114"/>
      <c r="V178" s="114"/>
      <c r="W178" s="114"/>
      <c r="X178" s="114"/>
      <c r="Y178" s="83"/>
      <c r="Z178" s="84"/>
      <c r="AA178" s="83"/>
      <c r="AB178" s="84"/>
      <c r="AL178" s="83"/>
      <c r="AM178" s="84"/>
      <c r="AW178" s="83"/>
      <c r="AX178" s="84"/>
      <c r="BH178" s="83"/>
      <c r="BI178" s="84"/>
    </row>
    <row r="179" spans="2:61" ht="13.8" thickBot="1" x14ac:dyDescent="0.3">
      <c r="B179" s="117"/>
      <c r="C179" s="120"/>
      <c r="D179" s="123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4"/>
      <c r="T179" s="114"/>
      <c r="U179" s="114"/>
      <c r="V179" s="114"/>
      <c r="W179" s="114"/>
      <c r="X179" s="114"/>
      <c r="Y179" s="83"/>
      <c r="Z179" s="84"/>
      <c r="AA179" s="83"/>
      <c r="AB179" s="84"/>
      <c r="AL179" s="83"/>
      <c r="AM179" s="84"/>
      <c r="AW179" s="83"/>
      <c r="AX179" s="84"/>
      <c r="BH179" s="83"/>
      <c r="BI179" s="84"/>
    </row>
    <row r="180" spans="2:61" ht="13.8" thickBot="1" x14ac:dyDescent="0.3">
      <c r="B180" s="124"/>
      <c r="C180" s="125"/>
      <c r="D180" s="123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4"/>
      <c r="T180" s="114"/>
      <c r="U180" s="114"/>
      <c r="V180" s="114"/>
      <c r="W180" s="114"/>
      <c r="X180" s="114"/>
      <c r="Y180" s="83"/>
      <c r="Z180" s="84"/>
      <c r="AA180" s="83"/>
      <c r="AB180" s="84"/>
      <c r="AL180" s="83"/>
      <c r="AM180" s="84"/>
      <c r="AW180" s="83"/>
      <c r="AX180" s="84"/>
      <c r="BH180" s="83"/>
      <c r="BI180" s="84"/>
    </row>
    <row r="181" spans="2:61" x14ac:dyDescent="0.25">
      <c r="B181" s="124"/>
      <c r="C181" s="12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4"/>
      <c r="T181" s="83"/>
      <c r="U181" s="83"/>
      <c r="V181" s="83"/>
      <c r="W181" s="83"/>
      <c r="X181" s="83"/>
      <c r="Y181" s="83"/>
      <c r="Z181" s="84"/>
      <c r="AA181" s="83"/>
      <c r="AB181" s="84"/>
      <c r="AL181" s="83"/>
      <c r="AM181" s="84"/>
      <c r="AW181" s="83"/>
      <c r="AX181" s="84"/>
      <c r="BH181" s="83"/>
      <c r="BI181" s="84"/>
    </row>
    <row r="182" spans="2:61" x14ac:dyDescent="0.25">
      <c r="B182" s="124"/>
      <c r="C182" s="12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83"/>
      <c r="T182" s="83"/>
      <c r="U182" s="83"/>
      <c r="V182" s="83"/>
      <c r="W182" s="83"/>
      <c r="X182" s="83"/>
      <c r="Y182" s="83"/>
      <c r="Z182" s="84"/>
      <c r="AA182" s="83"/>
      <c r="AB182" s="84"/>
      <c r="AL182" s="83"/>
      <c r="AM182" s="84"/>
      <c r="AW182" s="83"/>
      <c r="AX182" s="84"/>
      <c r="BH182" s="83"/>
      <c r="BI182" s="84"/>
    </row>
    <row r="183" spans="2:61" x14ac:dyDescent="0.25">
      <c r="B183" s="124"/>
      <c r="C183" s="12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83"/>
      <c r="T183" s="83"/>
      <c r="U183" s="83"/>
      <c r="V183" s="83"/>
      <c r="W183" s="83"/>
      <c r="X183" s="83"/>
      <c r="Y183" s="83"/>
      <c r="Z183" s="84"/>
      <c r="AA183" s="83"/>
      <c r="AB183" s="84"/>
      <c r="AL183" s="83"/>
      <c r="AM183" s="84"/>
      <c r="AW183" s="83"/>
      <c r="AX183" s="84"/>
      <c r="BH183" s="83"/>
      <c r="BI183" s="84"/>
    </row>
    <row r="184" spans="2:61" x14ac:dyDescent="0.25">
      <c r="B184" s="124"/>
      <c r="C184" s="12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83"/>
      <c r="T184" s="83"/>
      <c r="U184" s="83"/>
      <c r="V184" s="83"/>
      <c r="W184" s="83"/>
      <c r="X184" s="83"/>
      <c r="Y184" s="83"/>
      <c r="Z184" s="84"/>
      <c r="AA184" s="83"/>
      <c r="AB184" s="84"/>
      <c r="AL184" s="83"/>
      <c r="AM184" s="84"/>
      <c r="AW184" s="83"/>
      <c r="AX184" s="84"/>
      <c r="BH184" s="83"/>
      <c r="BI184" s="84"/>
    </row>
    <row r="185" spans="2:61" x14ac:dyDescent="0.25">
      <c r="B185" s="124"/>
      <c r="C185" s="12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83"/>
      <c r="T185" s="83"/>
      <c r="U185" s="83"/>
      <c r="V185" s="83"/>
      <c r="W185" s="83"/>
      <c r="X185" s="83"/>
      <c r="Y185" s="83"/>
      <c r="Z185" s="84"/>
      <c r="AA185" s="83"/>
      <c r="AB185" s="84"/>
      <c r="AL185" s="83"/>
      <c r="AM185" s="84"/>
      <c r="AW185" s="83"/>
      <c r="AX185" s="84"/>
      <c r="BH185" s="83"/>
      <c r="BI185" s="84"/>
    </row>
    <row r="186" spans="2:61" x14ac:dyDescent="0.25">
      <c r="B186" s="124"/>
      <c r="C186" s="12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83"/>
      <c r="V186" s="83"/>
      <c r="W186" s="83"/>
      <c r="X186" s="83"/>
      <c r="Y186" s="83"/>
      <c r="Z186" s="84"/>
      <c r="AA186" s="83"/>
      <c r="AB186" s="84"/>
      <c r="AL186" s="83"/>
      <c r="AM186" s="84"/>
      <c r="AW186" s="83"/>
      <c r="AX186" s="84"/>
      <c r="BH186" s="83"/>
      <c r="BI186" s="84"/>
    </row>
    <row r="187" spans="2:61" x14ac:dyDescent="0.25">
      <c r="B187" s="124"/>
      <c r="C187" s="12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83"/>
      <c r="T187" s="83"/>
      <c r="U187" s="83"/>
      <c r="V187" s="83"/>
      <c r="W187" s="83"/>
      <c r="X187" s="83"/>
      <c r="Y187" s="83"/>
      <c r="Z187" s="84"/>
      <c r="AA187" s="83"/>
      <c r="AB187" s="84"/>
      <c r="AL187" s="83"/>
      <c r="AM187" s="84"/>
      <c r="AW187" s="83"/>
      <c r="AX187" s="84"/>
      <c r="BH187" s="83"/>
      <c r="BI187" s="84"/>
    </row>
    <row r="188" spans="2:61" x14ac:dyDescent="0.25">
      <c r="B188" s="124"/>
      <c r="C188" s="125"/>
      <c r="D188" s="126"/>
      <c r="E188" s="111"/>
      <c r="F188" s="111"/>
      <c r="G188" s="111"/>
      <c r="H188" s="112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83"/>
      <c r="T188" s="83"/>
      <c r="U188" s="83"/>
      <c r="V188" s="83"/>
      <c r="W188" s="83"/>
      <c r="X188" s="83"/>
      <c r="Y188" s="83"/>
      <c r="Z188" s="84"/>
      <c r="AA188" s="83"/>
      <c r="AB188" s="84"/>
      <c r="AL188" s="83"/>
      <c r="AM188" s="84"/>
      <c r="AW188" s="83"/>
      <c r="AX188" s="84"/>
      <c r="BH188" s="83"/>
      <c r="BI188" s="84"/>
    </row>
    <row r="189" spans="2:61" x14ac:dyDescent="0.25">
      <c r="B189" s="124"/>
      <c r="C189" s="125"/>
      <c r="D189" s="126"/>
      <c r="E189" s="111"/>
      <c r="F189" s="111"/>
      <c r="G189" s="111"/>
      <c r="H189" s="112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83"/>
      <c r="T189" s="83"/>
      <c r="U189" s="83"/>
      <c r="V189" s="83"/>
      <c r="W189" s="83"/>
      <c r="X189" s="83"/>
      <c r="Y189" s="83"/>
      <c r="Z189" s="84"/>
      <c r="AA189" s="83"/>
      <c r="AB189" s="84"/>
      <c r="AL189" s="83"/>
      <c r="AM189" s="84"/>
      <c r="AW189" s="83"/>
      <c r="AX189" s="84"/>
      <c r="BH189" s="83"/>
      <c r="BI189" s="84"/>
    </row>
    <row r="190" spans="2:61" x14ac:dyDescent="0.25">
      <c r="B190" s="124"/>
      <c r="C190" s="125"/>
      <c r="D190" s="126"/>
      <c r="E190" s="111"/>
      <c r="F190" s="111"/>
      <c r="G190" s="111"/>
      <c r="H190" s="112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83"/>
      <c r="T190" s="83"/>
      <c r="U190" s="83"/>
      <c r="V190" s="83"/>
      <c r="W190" s="83"/>
      <c r="X190" s="83"/>
      <c r="Y190" s="83"/>
      <c r="Z190" s="84"/>
      <c r="AA190" s="83"/>
      <c r="AB190" s="84"/>
      <c r="AL190" s="83"/>
      <c r="AM190" s="84"/>
      <c r="AW190" s="83"/>
      <c r="AX190" s="84"/>
      <c r="BH190" s="83"/>
      <c r="BI190" s="84"/>
    </row>
    <row r="191" spans="2:61" x14ac:dyDescent="0.25">
      <c r="B191" s="124"/>
      <c r="C191" s="125"/>
      <c r="D191" s="126"/>
      <c r="E191" s="111"/>
      <c r="F191" s="111"/>
      <c r="G191" s="111"/>
      <c r="H191" s="112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83"/>
      <c r="T191" s="83"/>
      <c r="U191" s="83"/>
      <c r="V191" s="83"/>
      <c r="W191" s="83"/>
      <c r="X191" s="83"/>
      <c r="Y191" s="83"/>
      <c r="Z191" s="84"/>
      <c r="AA191" s="83"/>
      <c r="AB191" s="84"/>
      <c r="AL191" s="83"/>
      <c r="AM191" s="84"/>
      <c r="AW191" s="83"/>
      <c r="AX191" s="84"/>
      <c r="BH191" s="83"/>
      <c r="BI191" s="84"/>
    </row>
    <row r="192" spans="2:61" x14ac:dyDescent="0.25">
      <c r="B192" s="124"/>
      <c r="C192" s="125"/>
      <c r="D192" s="126"/>
      <c r="E192" s="111"/>
      <c r="F192" s="111"/>
      <c r="G192" s="111"/>
      <c r="H192" s="112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83"/>
      <c r="T192" s="83"/>
      <c r="U192" s="83"/>
      <c r="V192" s="83"/>
      <c r="W192" s="83"/>
      <c r="X192" s="83"/>
      <c r="Y192" s="83"/>
      <c r="Z192" s="84"/>
      <c r="AA192" s="83"/>
      <c r="AB192" s="84"/>
      <c r="AL192" s="83"/>
      <c r="AM192" s="84"/>
      <c r="AW192" s="83"/>
      <c r="AX192" s="84"/>
      <c r="BH192" s="83"/>
      <c r="BI192" s="84"/>
    </row>
    <row r="193" spans="2:61" x14ac:dyDescent="0.25">
      <c r="B193" s="124"/>
      <c r="C193" s="125"/>
      <c r="D193" s="126"/>
      <c r="E193" s="111"/>
      <c r="F193" s="111"/>
      <c r="G193" s="111"/>
      <c r="H193" s="112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83"/>
      <c r="T193" s="83"/>
      <c r="U193" s="83"/>
      <c r="V193" s="83"/>
      <c r="W193" s="83"/>
      <c r="X193" s="83"/>
      <c r="Y193" s="83"/>
      <c r="Z193" s="84"/>
      <c r="AA193" s="83"/>
      <c r="AB193" s="84"/>
      <c r="AL193" s="83"/>
      <c r="AM193" s="84"/>
      <c r="AW193" s="83"/>
      <c r="AX193" s="84"/>
      <c r="BH193" s="83"/>
      <c r="BI193" s="84"/>
    </row>
    <row r="194" spans="2:61" x14ac:dyDescent="0.25">
      <c r="B194" s="124"/>
      <c r="C194" s="125"/>
      <c r="D194" s="126"/>
      <c r="E194" s="111"/>
      <c r="F194" s="111"/>
      <c r="G194" s="111"/>
      <c r="H194" s="112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83"/>
      <c r="T194" s="83"/>
      <c r="U194" s="83"/>
      <c r="V194" s="83"/>
      <c r="W194" s="83"/>
      <c r="X194" s="83"/>
      <c r="Y194" s="83"/>
      <c r="Z194" s="84"/>
      <c r="AA194" s="83"/>
      <c r="AB194" s="84"/>
      <c r="AL194" s="83"/>
      <c r="AM194" s="84"/>
      <c r="AW194" s="83"/>
      <c r="AX194" s="84"/>
      <c r="BH194" s="83"/>
      <c r="BI194" s="84"/>
    </row>
    <row r="195" spans="2:61" x14ac:dyDescent="0.25">
      <c r="B195" s="124"/>
      <c r="C195" s="125"/>
      <c r="D195" s="126"/>
      <c r="E195" s="111"/>
      <c r="F195" s="111"/>
      <c r="G195" s="111"/>
      <c r="H195" s="112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83"/>
      <c r="T195" s="83"/>
      <c r="U195" s="83"/>
      <c r="V195" s="83"/>
      <c r="W195" s="83"/>
      <c r="X195" s="83"/>
      <c r="Y195" s="83"/>
      <c r="Z195" s="84"/>
      <c r="AA195" s="83"/>
      <c r="AB195" s="84"/>
      <c r="AL195" s="83"/>
      <c r="AM195" s="84"/>
      <c r="AW195" s="83"/>
      <c r="AX195" s="84"/>
      <c r="BH195" s="83"/>
      <c r="BI195" s="84"/>
    </row>
    <row r="196" spans="2:61" x14ac:dyDescent="0.25">
      <c r="B196" s="124"/>
      <c r="C196" s="125"/>
      <c r="D196" s="126"/>
      <c r="E196" s="111"/>
      <c r="F196" s="111"/>
      <c r="G196" s="111"/>
      <c r="H196" s="112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83"/>
      <c r="T196" s="83"/>
      <c r="U196" s="83"/>
      <c r="V196" s="83"/>
      <c r="W196" s="83"/>
      <c r="X196" s="83"/>
      <c r="Y196" s="83"/>
      <c r="Z196" s="84"/>
      <c r="AA196" s="83"/>
      <c r="AB196" s="84"/>
      <c r="AL196" s="83"/>
      <c r="AM196" s="84"/>
      <c r="AW196" s="83"/>
      <c r="AX196" s="84"/>
      <c r="BH196" s="83"/>
      <c r="BI196" s="84"/>
    </row>
    <row r="197" spans="2:61" x14ac:dyDescent="0.25">
      <c r="B197" s="124"/>
      <c r="C197" s="125"/>
      <c r="D197" s="126"/>
      <c r="E197" s="111"/>
      <c r="F197" s="111"/>
      <c r="G197" s="111"/>
      <c r="H197" s="112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83"/>
      <c r="T197" s="83"/>
      <c r="U197" s="83"/>
      <c r="V197" s="83"/>
      <c r="W197" s="83"/>
      <c r="X197" s="83"/>
      <c r="Y197" s="83"/>
      <c r="Z197" s="84"/>
      <c r="AA197" s="83"/>
      <c r="AB197" s="84"/>
      <c r="AL197" s="83"/>
      <c r="AM197" s="84"/>
      <c r="AW197" s="83"/>
      <c r="AX197" s="84"/>
      <c r="BH197" s="83"/>
      <c r="BI197" s="84"/>
    </row>
    <row r="198" spans="2:61" x14ac:dyDescent="0.25">
      <c r="B198" s="124"/>
      <c r="C198" s="125"/>
      <c r="D198" s="126"/>
      <c r="E198" s="111"/>
      <c r="F198" s="111"/>
      <c r="G198" s="111"/>
      <c r="H198" s="112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83"/>
      <c r="T198" s="83"/>
      <c r="U198" s="83"/>
      <c r="V198" s="83"/>
      <c r="W198" s="83"/>
      <c r="X198" s="83"/>
      <c r="Y198" s="83"/>
      <c r="Z198" s="84"/>
      <c r="AA198" s="83"/>
      <c r="AB198" s="84"/>
      <c r="AL198" s="83"/>
      <c r="AM198" s="84"/>
      <c r="AW198" s="83"/>
      <c r="AX198" s="84"/>
      <c r="BH198" s="83"/>
      <c r="BI198" s="84"/>
    </row>
    <row r="199" spans="2:61" x14ac:dyDescent="0.25">
      <c r="B199" s="124"/>
      <c r="C199" s="125"/>
      <c r="D199" s="126"/>
      <c r="E199" s="111"/>
      <c r="F199" s="111"/>
      <c r="G199" s="111"/>
      <c r="H199" s="112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83"/>
      <c r="T199" s="83"/>
      <c r="U199" s="83"/>
      <c r="V199" s="83"/>
      <c r="W199" s="83"/>
      <c r="X199" s="83"/>
      <c r="Y199" s="83"/>
      <c r="Z199" s="84"/>
      <c r="AA199" s="83"/>
      <c r="AB199" s="84"/>
      <c r="AL199" s="83"/>
      <c r="AM199" s="84"/>
      <c r="AW199" s="83"/>
      <c r="AX199" s="84"/>
      <c r="BH199" s="83"/>
      <c r="BI199" s="84"/>
    </row>
    <row r="200" spans="2:61" x14ac:dyDescent="0.25">
      <c r="B200" s="124"/>
      <c r="C200" s="125"/>
      <c r="D200" s="126"/>
      <c r="E200" s="111"/>
      <c r="F200" s="111"/>
      <c r="G200" s="111"/>
      <c r="H200" s="112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83"/>
      <c r="T200" s="83"/>
      <c r="U200" s="83"/>
      <c r="V200" s="83"/>
      <c r="W200" s="83"/>
      <c r="X200" s="83"/>
      <c r="Y200" s="83"/>
      <c r="Z200" s="84"/>
      <c r="AA200" s="83"/>
      <c r="AB200" s="84"/>
      <c r="AL200" s="83"/>
      <c r="AM200" s="84"/>
      <c r="AW200" s="83"/>
      <c r="AX200" s="84"/>
      <c r="BH200" s="83"/>
      <c r="BI200" s="84"/>
    </row>
    <row r="201" spans="2:61" x14ac:dyDescent="0.25">
      <c r="B201" s="124"/>
      <c r="C201" s="125"/>
      <c r="D201" s="126"/>
      <c r="E201" s="111"/>
      <c r="F201" s="111"/>
      <c r="G201" s="111"/>
      <c r="H201" s="112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83"/>
      <c r="T201" s="83"/>
      <c r="U201" s="83"/>
      <c r="V201" s="83"/>
      <c r="W201" s="83"/>
      <c r="X201" s="83"/>
      <c r="Y201" s="83"/>
      <c r="Z201" s="84"/>
      <c r="AA201" s="83"/>
      <c r="AB201" s="84"/>
      <c r="AL201" s="83"/>
      <c r="AM201" s="84"/>
      <c r="AW201" s="83"/>
      <c r="AX201" s="84"/>
      <c r="BH201" s="83"/>
      <c r="BI201" s="84"/>
    </row>
    <row r="202" spans="2:61" x14ac:dyDescent="0.25">
      <c r="B202" s="124"/>
      <c r="C202" s="125"/>
      <c r="D202" s="126"/>
      <c r="E202" s="111"/>
      <c r="F202" s="111"/>
      <c r="G202" s="111"/>
      <c r="H202" s="112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83"/>
      <c r="T202" s="83"/>
      <c r="U202" s="83"/>
      <c r="V202" s="83"/>
      <c r="W202" s="83"/>
      <c r="X202" s="83"/>
      <c r="Y202" s="83"/>
      <c r="Z202" s="84"/>
      <c r="AA202" s="83"/>
      <c r="AB202" s="84"/>
      <c r="AL202" s="83"/>
      <c r="AM202" s="84"/>
      <c r="AW202" s="83"/>
      <c r="AX202" s="84"/>
      <c r="BH202" s="83"/>
      <c r="BI202" s="84"/>
    </row>
    <row r="203" spans="2:61" x14ac:dyDescent="0.25">
      <c r="B203" s="124"/>
      <c r="C203" s="125"/>
      <c r="D203" s="126"/>
      <c r="E203" s="111"/>
      <c r="F203" s="111"/>
      <c r="G203" s="111"/>
      <c r="H203" s="112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83"/>
      <c r="T203" s="83"/>
      <c r="U203" s="83"/>
      <c r="V203" s="83"/>
      <c r="W203" s="83"/>
      <c r="X203" s="83"/>
      <c r="Y203" s="83"/>
      <c r="Z203" s="84"/>
      <c r="AA203" s="83"/>
      <c r="AB203" s="84"/>
      <c r="AL203" s="83"/>
      <c r="AM203" s="84"/>
      <c r="AW203" s="83"/>
      <c r="AX203" s="84"/>
      <c r="BH203" s="83"/>
      <c r="BI203" s="84"/>
    </row>
    <row r="204" spans="2:61" x14ac:dyDescent="0.25">
      <c r="B204" s="124"/>
      <c r="C204" s="125"/>
      <c r="D204" s="126"/>
      <c r="E204" s="111"/>
      <c r="F204" s="111"/>
      <c r="G204" s="111"/>
      <c r="H204" s="112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83"/>
      <c r="T204" s="83"/>
      <c r="U204" s="83"/>
      <c r="V204" s="83"/>
      <c r="W204" s="83"/>
      <c r="X204" s="83"/>
      <c r="Y204" s="83"/>
      <c r="Z204" s="84"/>
      <c r="AA204" s="83"/>
      <c r="AB204" s="84"/>
      <c r="AL204" s="83"/>
      <c r="AM204" s="84"/>
      <c r="AW204" s="83"/>
      <c r="AX204" s="84"/>
      <c r="BH204" s="83"/>
      <c r="BI204" s="84"/>
    </row>
    <row r="205" spans="2:61" x14ac:dyDescent="0.25">
      <c r="B205" s="124"/>
      <c r="C205" s="125"/>
      <c r="D205" s="126"/>
      <c r="E205" s="111"/>
      <c r="F205" s="111"/>
      <c r="G205" s="111"/>
      <c r="H205" s="112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83"/>
      <c r="T205" s="83"/>
      <c r="U205" s="83"/>
      <c r="V205" s="83"/>
      <c r="W205" s="83"/>
      <c r="X205" s="83"/>
      <c r="Y205" s="83"/>
      <c r="Z205" s="84"/>
      <c r="AA205" s="83"/>
      <c r="AB205" s="84"/>
      <c r="AL205" s="83"/>
      <c r="AM205" s="84"/>
      <c r="AW205" s="83"/>
      <c r="AX205" s="84"/>
      <c r="BH205" s="83"/>
      <c r="BI205" s="84"/>
    </row>
    <row r="206" spans="2:61" x14ac:dyDescent="0.25">
      <c r="B206" s="124"/>
      <c r="C206" s="125"/>
      <c r="D206" s="126"/>
      <c r="E206" s="111"/>
      <c r="F206" s="111"/>
      <c r="G206" s="111"/>
      <c r="H206" s="112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83"/>
      <c r="T206" s="83"/>
      <c r="U206" s="83"/>
      <c r="V206" s="83"/>
      <c r="W206" s="83"/>
      <c r="X206" s="83"/>
      <c r="Y206" s="83"/>
      <c r="Z206" s="84"/>
      <c r="AA206" s="83"/>
      <c r="AB206" s="84"/>
      <c r="AL206" s="83"/>
      <c r="AM206" s="84"/>
      <c r="AW206" s="83"/>
      <c r="AX206" s="84"/>
      <c r="BH206" s="83"/>
      <c r="BI206" s="84"/>
    </row>
    <row r="207" spans="2:61" x14ac:dyDescent="0.25">
      <c r="B207" s="124"/>
      <c r="C207" s="125"/>
      <c r="D207" s="126"/>
      <c r="E207" s="111"/>
      <c r="F207" s="111"/>
      <c r="G207" s="111"/>
      <c r="H207" s="112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83"/>
      <c r="T207" s="83"/>
      <c r="U207" s="83"/>
      <c r="V207" s="83"/>
      <c r="W207" s="83"/>
      <c r="X207" s="83"/>
      <c r="Y207" s="83"/>
      <c r="Z207" s="84"/>
      <c r="AA207" s="83"/>
      <c r="AB207" s="84"/>
      <c r="AL207" s="83"/>
      <c r="AM207" s="84"/>
      <c r="AW207" s="83"/>
      <c r="AX207" s="84"/>
      <c r="BH207" s="83"/>
      <c r="BI207" s="84"/>
    </row>
    <row r="208" spans="2:61" x14ac:dyDescent="0.25">
      <c r="B208" s="124"/>
      <c r="C208" s="125"/>
      <c r="D208" s="126"/>
      <c r="E208" s="111"/>
      <c r="F208" s="111"/>
      <c r="G208" s="111"/>
      <c r="H208" s="112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83"/>
      <c r="T208" s="83"/>
      <c r="U208" s="83"/>
      <c r="V208" s="83"/>
      <c r="W208" s="83"/>
      <c r="X208" s="83"/>
      <c r="Y208" s="83"/>
      <c r="Z208" s="84"/>
      <c r="AA208" s="83"/>
      <c r="AB208" s="84"/>
      <c r="AL208" s="83"/>
      <c r="AM208" s="84"/>
      <c r="AW208" s="83"/>
      <c r="AX208" s="84"/>
      <c r="BH208" s="83"/>
      <c r="BI208" s="84"/>
    </row>
    <row r="209" spans="2:61" x14ac:dyDescent="0.25">
      <c r="B209" s="124"/>
      <c r="C209" s="125"/>
      <c r="D209" s="126"/>
      <c r="E209" s="111"/>
      <c r="F209" s="111"/>
      <c r="G209" s="111"/>
      <c r="H209" s="112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83"/>
      <c r="T209" s="83"/>
      <c r="U209" s="83"/>
      <c r="V209" s="83"/>
      <c r="W209" s="83"/>
      <c r="X209" s="83"/>
      <c r="Y209" s="83"/>
      <c r="Z209" s="84"/>
      <c r="AA209" s="83"/>
      <c r="AB209" s="84"/>
      <c r="AL209" s="83"/>
      <c r="AM209" s="84"/>
      <c r="AW209" s="83"/>
      <c r="AX209" s="84"/>
      <c r="BH209" s="83"/>
      <c r="BI209" s="84"/>
    </row>
    <row r="210" spans="2:61" x14ac:dyDescent="0.25">
      <c r="B210" s="124"/>
      <c r="C210" s="125"/>
      <c r="D210" s="126"/>
      <c r="E210" s="111"/>
      <c r="F210" s="111"/>
      <c r="G210" s="111"/>
      <c r="H210" s="112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83"/>
      <c r="T210" s="83"/>
      <c r="U210" s="83"/>
      <c r="V210" s="83"/>
      <c r="W210" s="83"/>
      <c r="X210" s="83"/>
      <c r="Y210" s="83"/>
      <c r="Z210" s="84"/>
      <c r="AA210" s="83"/>
      <c r="AB210" s="84"/>
      <c r="AL210" s="83"/>
      <c r="AM210" s="84"/>
      <c r="AW210" s="83"/>
      <c r="AX210" s="84"/>
      <c r="BH210" s="83"/>
      <c r="BI210" s="84"/>
    </row>
    <row r="211" spans="2:61" x14ac:dyDescent="0.25">
      <c r="B211" s="127"/>
      <c r="C211" s="135"/>
      <c r="D211" s="126"/>
      <c r="E211" s="111"/>
      <c r="F211" s="111"/>
      <c r="G211" s="111"/>
      <c r="H211" s="112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83"/>
      <c r="T211" s="83"/>
      <c r="U211" s="83"/>
      <c r="V211" s="83"/>
      <c r="W211" s="83"/>
      <c r="X211" s="83"/>
      <c r="Y211" s="83"/>
      <c r="Z211" s="84"/>
      <c r="AA211" s="83"/>
      <c r="AB211" s="84"/>
      <c r="AL211" s="83"/>
      <c r="AM211" s="84"/>
      <c r="AW211" s="83"/>
      <c r="AX211" s="84"/>
      <c r="BH211" s="83"/>
      <c r="BI211" s="84"/>
    </row>
    <row r="212" spans="2:61" x14ac:dyDescent="0.25">
      <c r="B212" s="127"/>
      <c r="C212" s="135"/>
      <c r="D212" s="126"/>
      <c r="E212" s="111"/>
      <c r="F212" s="111"/>
      <c r="G212" s="111"/>
      <c r="H212" s="112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83"/>
      <c r="T212" s="83"/>
      <c r="U212" s="83"/>
      <c r="V212" s="83"/>
      <c r="W212" s="83"/>
      <c r="X212" s="83"/>
      <c r="Y212" s="83"/>
      <c r="Z212" s="84"/>
      <c r="AA212" s="83"/>
      <c r="AB212" s="84"/>
      <c r="AL212" s="83"/>
      <c r="AM212" s="84"/>
      <c r="AW212" s="83"/>
      <c r="AX212" s="84"/>
      <c r="BH212" s="83"/>
      <c r="BI212" s="84"/>
    </row>
    <row r="213" spans="2:61" x14ac:dyDescent="0.25">
      <c r="B213" s="127"/>
      <c r="C213" s="135"/>
      <c r="D213" s="126"/>
      <c r="E213" s="111"/>
      <c r="F213" s="111"/>
      <c r="G213" s="111"/>
      <c r="H213" s="112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83"/>
      <c r="T213" s="83"/>
      <c r="U213" s="83"/>
      <c r="V213" s="83"/>
      <c r="W213" s="83"/>
      <c r="X213" s="83"/>
      <c r="Y213" s="83"/>
      <c r="Z213" s="84"/>
      <c r="AA213" s="83"/>
      <c r="AB213" s="84"/>
      <c r="AL213" s="83"/>
      <c r="AM213" s="84"/>
      <c r="AW213" s="83"/>
      <c r="AX213" s="84"/>
      <c r="BH213" s="83"/>
      <c r="BI213" s="84"/>
    </row>
    <row r="214" spans="2:61" x14ac:dyDescent="0.25">
      <c r="B214" s="127"/>
      <c r="C214" s="135"/>
      <c r="D214" s="126"/>
      <c r="E214" s="111"/>
      <c r="F214" s="111"/>
      <c r="G214" s="111"/>
      <c r="H214" s="112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83"/>
      <c r="T214" s="83"/>
      <c r="U214" s="83"/>
      <c r="V214" s="83"/>
      <c r="W214" s="83"/>
      <c r="X214" s="83"/>
      <c r="Y214" s="83"/>
      <c r="Z214" s="84"/>
      <c r="AA214" s="83"/>
      <c r="AB214" s="84"/>
      <c r="AL214" s="83"/>
      <c r="AM214" s="84"/>
      <c r="AW214" s="83"/>
      <c r="AX214" s="84"/>
      <c r="BH214" s="83"/>
      <c r="BI214" s="84"/>
    </row>
    <row r="215" spans="2:61" x14ac:dyDescent="0.25">
      <c r="B215" s="127"/>
      <c r="C215" s="135"/>
      <c r="D215" s="126"/>
      <c r="E215" s="111"/>
      <c r="F215" s="111"/>
      <c r="G215" s="111"/>
      <c r="H215" s="112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83"/>
      <c r="T215" s="83"/>
      <c r="U215" s="83"/>
      <c r="V215" s="83"/>
      <c r="W215" s="83"/>
      <c r="X215" s="83"/>
      <c r="Y215" s="83"/>
      <c r="Z215" s="84"/>
      <c r="AA215" s="83"/>
      <c r="AB215" s="84"/>
      <c r="AL215" s="83"/>
      <c r="AM215" s="84"/>
      <c r="AW215" s="83"/>
      <c r="AX215" s="84"/>
      <c r="BH215" s="83"/>
      <c r="BI215" s="84"/>
    </row>
    <row r="216" spans="2:61" x14ac:dyDescent="0.25">
      <c r="B216" s="127"/>
      <c r="C216" s="135"/>
      <c r="D216" s="126"/>
      <c r="E216" s="111"/>
      <c r="F216" s="111"/>
      <c r="G216" s="111"/>
      <c r="H216" s="112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83"/>
      <c r="T216" s="83"/>
      <c r="U216" s="83"/>
      <c r="V216" s="83"/>
      <c r="W216" s="83"/>
      <c r="X216" s="83"/>
      <c r="Y216" s="83"/>
      <c r="Z216" s="84"/>
      <c r="AA216" s="83"/>
      <c r="AB216" s="84"/>
      <c r="AL216" s="83"/>
      <c r="AM216" s="84"/>
      <c r="AW216" s="83"/>
      <c r="AX216" s="84"/>
      <c r="BH216" s="83"/>
      <c r="BI216" s="84"/>
    </row>
    <row r="217" spans="2:61" x14ac:dyDescent="0.25">
      <c r="B217" s="127"/>
      <c r="C217" s="135"/>
      <c r="D217" s="126"/>
      <c r="E217" s="111"/>
      <c r="F217" s="111"/>
      <c r="G217" s="111"/>
      <c r="H217" s="112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83"/>
      <c r="T217" s="83"/>
      <c r="U217" s="83"/>
      <c r="V217" s="83"/>
      <c r="W217" s="83"/>
      <c r="X217" s="83"/>
      <c r="Y217" s="83"/>
      <c r="Z217" s="84"/>
      <c r="AA217" s="83"/>
      <c r="AB217" s="84"/>
      <c r="AL217" s="83"/>
      <c r="AM217" s="84"/>
      <c r="AW217" s="83"/>
      <c r="AX217" s="84"/>
      <c r="BH217" s="83"/>
      <c r="BI217" s="84"/>
    </row>
    <row r="218" spans="2:61" x14ac:dyDescent="0.25">
      <c r="B218" s="127"/>
      <c r="C218" s="135"/>
      <c r="D218" s="126"/>
      <c r="E218" s="111"/>
      <c r="F218" s="111"/>
      <c r="G218" s="111"/>
      <c r="H218" s="112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83"/>
      <c r="T218" s="83"/>
      <c r="U218" s="83"/>
      <c r="V218" s="83"/>
      <c r="W218" s="83"/>
      <c r="X218" s="83"/>
      <c r="Y218" s="83"/>
      <c r="Z218" s="84"/>
      <c r="AA218" s="83"/>
      <c r="AB218" s="84"/>
      <c r="AL218" s="83"/>
      <c r="AM218" s="84"/>
      <c r="AW218" s="83"/>
      <c r="AX218" s="84"/>
      <c r="BH218" s="83"/>
      <c r="BI218" s="84"/>
    </row>
    <row r="219" spans="2:61" x14ac:dyDescent="0.25">
      <c r="B219" s="127"/>
      <c r="C219" s="135"/>
      <c r="D219" s="126"/>
      <c r="E219" s="111"/>
      <c r="F219" s="111"/>
      <c r="G219" s="111"/>
      <c r="H219" s="112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83"/>
      <c r="T219" s="83"/>
      <c r="U219" s="83"/>
      <c r="V219" s="83"/>
      <c r="W219" s="83"/>
      <c r="X219" s="83"/>
      <c r="Y219" s="83"/>
      <c r="Z219" s="84"/>
      <c r="AA219" s="83"/>
      <c r="AB219" s="84"/>
      <c r="AL219" s="83"/>
      <c r="AM219" s="84"/>
      <c r="AW219" s="83"/>
      <c r="AX219" s="84"/>
      <c r="BH219" s="83"/>
      <c r="BI219" s="84"/>
    </row>
    <row r="220" spans="2:61" x14ac:dyDescent="0.25">
      <c r="B220" s="127"/>
      <c r="C220" s="135"/>
      <c r="D220" s="126"/>
      <c r="E220" s="111"/>
      <c r="F220" s="111"/>
      <c r="G220" s="111"/>
      <c r="H220" s="112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83"/>
      <c r="T220" s="83"/>
      <c r="U220" s="83"/>
      <c r="V220" s="83"/>
      <c r="W220" s="83"/>
      <c r="X220" s="83"/>
      <c r="Y220" s="83"/>
      <c r="Z220" s="84"/>
      <c r="AA220" s="83"/>
      <c r="AB220" s="84"/>
      <c r="AL220" s="83"/>
      <c r="AM220" s="84"/>
      <c r="AW220" s="83"/>
      <c r="AX220" s="84"/>
      <c r="BH220" s="83"/>
      <c r="BI220" s="84"/>
    </row>
    <row r="221" spans="2:61" x14ac:dyDescent="0.25">
      <c r="B221" s="127"/>
      <c r="C221" s="135"/>
      <c r="D221" s="126"/>
      <c r="E221" s="111"/>
      <c r="F221" s="111"/>
      <c r="G221" s="111"/>
      <c r="H221" s="112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83"/>
      <c r="T221" s="83"/>
      <c r="U221" s="83"/>
      <c r="V221" s="83"/>
      <c r="W221" s="83"/>
      <c r="X221" s="83"/>
      <c r="Y221" s="83"/>
      <c r="Z221" s="84"/>
      <c r="AA221" s="83"/>
      <c r="AB221" s="84"/>
      <c r="AL221" s="83"/>
      <c r="AM221" s="84"/>
      <c r="AW221" s="83"/>
      <c r="AX221" s="84"/>
      <c r="BH221" s="83"/>
      <c r="BI221" s="84"/>
    </row>
    <row r="222" spans="2:61" x14ac:dyDescent="0.25">
      <c r="B222" s="127"/>
      <c r="C222" s="135"/>
      <c r="D222" s="126"/>
      <c r="E222" s="111"/>
      <c r="F222" s="111"/>
      <c r="G222" s="111"/>
      <c r="H222" s="112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83"/>
      <c r="T222" s="83"/>
      <c r="U222" s="83"/>
      <c r="V222" s="83"/>
      <c r="W222" s="83"/>
      <c r="X222" s="83"/>
      <c r="Y222" s="83"/>
      <c r="Z222" s="84"/>
      <c r="AA222" s="83"/>
      <c r="AB222" s="84"/>
      <c r="AL222" s="83"/>
      <c r="AM222" s="84"/>
      <c r="AW222" s="83"/>
      <c r="AX222" s="84"/>
      <c r="BH222" s="83"/>
      <c r="BI222" s="84"/>
    </row>
    <row r="223" spans="2:61" x14ac:dyDescent="0.25">
      <c r="B223" s="127"/>
      <c r="C223" s="135"/>
      <c r="D223" s="126"/>
      <c r="E223" s="111"/>
      <c r="F223" s="111"/>
      <c r="G223" s="111"/>
      <c r="H223" s="112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83"/>
      <c r="T223" s="83"/>
      <c r="U223" s="83"/>
      <c r="V223" s="83"/>
      <c r="W223" s="83"/>
      <c r="X223" s="83"/>
      <c r="Y223" s="83"/>
      <c r="Z223" s="84"/>
      <c r="AA223" s="83"/>
      <c r="AB223" s="84"/>
      <c r="AL223" s="83"/>
      <c r="AM223" s="84"/>
      <c r="AW223" s="83"/>
      <c r="AX223" s="84"/>
      <c r="BH223" s="83"/>
      <c r="BI223" s="8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6"/>
  <sheetViews>
    <sheetView workbookViewId="0">
      <selection activeCell="G1" sqref="G1:H16"/>
    </sheetView>
  </sheetViews>
  <sheetFormatPr defaultRowHeight="13.2" x14ac:dyDescent="0.25"/>
  <cols>
    <col min="1" max="18" width="12.6640625" customWidth="1"/>
  </cols>
  <sheetData>
    <row r="1" spans="1:8" x14ac:dyDescent="0.25">
      <c r="A1" s="62" t="s">
        <v>161</v>
      </c>
      <c r="B1" s="62" t="s">
        <v>176</v>
      </c>
      <c r="C1" s="144" t="s">
        <v>177</v>
      </c>
      <c r="D1" s="62" t="s">
        <v>178</v>
      </c>
      <c r="G1" s="62" t="s">
        <v>161</v>
      </c>
      <c r="H1" s="62" t="s">
        <v>176</v>
      </c>
    </row>
    <row r="2" spans="1:8" x14ac:dyDescent="0.25">
      <c r="A2" s="160" t="s">
        <v>100</v>
      </c>
      <c r="B2" s="160" t="s">
        <v>100</v>
      </c>
      <c r="C2" s="160" t="s">
        <v>100</v>
      </c>
      <c r="D2" s="160" t="s">
        <v>100</v>
      </c>
      <c r="G2" s="160" t="s">
        <v>100</v>
      </c>
      <c r="H2" s="160" t="s">
        <v>100</v>
      </c>
    </row>
    <row r="3" spans="1:8" x14ac:dyDescent="0.25">
      <c r="A3" s="230">
        <v>36800</v>
      </c>
      <c r="B3" s="230">
        <v>36800</v>
      </c>
      <c r="C3" s="230">
        <v>36800</v>
      </c>
      <c r="D3" s="230">
        <v>36800</v>
      </c>
      <c r="G3" s="230">
        <v>36831</v>
      </c>
      <c r="H3" s="230">
        <v>36831</v>
      </c>
    </row>
    <row r="4" spans="1:8" ht="13.8" thickBot="1" x14ac:dyDescent="0.3">
      <c r="A4" s="230">
        <v>37135</v>
      </c>
      <c r="B4" s="230">
        <v>37135</v>
      </c>
      <c r="C4" s="230">
        <v>37135</v>
      </c>
      <c r="D4" s="230">
        <v>37135</v>
      </c>
      <c r="G4" s="230">
        <v>36951</v>
      </c>
      <c r="H4" s="230">
        <v>36951</v>
      </c>
    </row>
    <row r="5" spans="1:8" ht="13.8" thickTop="1" x14ac:dyDescent="0.25">
      <c r="A5" s="248">
        <v>4.3161625048923682</v>
      </c>
      <c r="B5" s="248">
        <v>4.3161625048923682</v>
      </c>
      <c r="C5" s="248">
        <v>4.3161625048923682</v>
      </c>
      <c r="D5" s="248">
        <v>4.3161625048923682</v>
      </c>
      <c r="G5" s="248">
        <v>4.6964251655629141</v>
      </c>
      <c r="H5" s="248">
        <v>4.6964251655629141</v>
      </c>
    </row>
    <row r="6" spans="1:8" ht="13.8" thickBot="1" x14ac:dyDescent="0.3">
      <c r="A6" s="245">
        <v>-0.56839726027397308</v>
      </c>
      <c r="B6" s="245">
        <v>-0.56839726027397308</v>
      </c>
      <c r="C6" s="245">
        <v>-0.56839726027397308</v>
      </c>
      <c r="D6" s="245">
        <v>-0.56839726027397308</v>
      </c>
      <c r="G6" s="245">
        <v>-0.43518211920529826</v>
      </c>
      <c r="H6" s="245">
        <v>-0.43518211920529826</v>
      </c>
    </row>
    <row r="7" spans="1:8" ht="13.8" thickTop="1" x14ac:dyDescent="0.25">
      <c r="A7" s="247">
        <v>0.05</v>
      </c>
      <c r="B7" s="247">
        <v>0.05</v>
      </c>
      <c r="C7" s="247">
        <v>0.05</v>
      </c>
      <c r="D7" s="247">
        <v>0.05</v>
      </c>
      <c r="G7" s="247">
        <v>-0.04</v>
      </c>
      <c r="H7" s="247">
        <v>-0.04</v>
      </c>
    </row>
    <row r="8" spans="1:8" x14ac:dyDescent="0.25">
      <c r="A8" s="244">
        <v>0</v>
      </c>
      <c r="B8" s="244">
        <v>0</v>
      </c>
      <c r="C8" s="244">
        <v>0</v>
      </c>
      <c r="D8" s="244">
        <v>0</v>
      </c>
      <c r="G8" s="244">
        <v>0</v>
      </c>
      <c r="H8" s="244">
        <v>0</v>
      </c>
    </row>
    <row r="9" spans="1:8" x14ac:dyDescent="0.25">
      <c r="A9" s="225">
        <v>0</v>
      </c>
      <c r="B9" s="225">
        <v>0</v>
      </c>
      <c r="C9" s="225">
        <v>0</v>
      </c>
      <c r="D9" s="225">
        <v>0</v>
      </c>
      <c r="G9" s="225">
        <v>1</v>
      </c>
      <c r="H9" s="225">
        <v>1</v>
      </c>
    </row>
    <row r="10" spans="1:8" x14ac:dyDescent="0.25">
      <c r="A10" s="225">
        <v>1</v>
      </c>
      <c r="B10" s="225">
        <v>2</v>
      </c>
      <c r="C10" s="225">
        <v>1</v>
      </c>
      <c r="D10" s="225">
        <v>2</v>
      </c>
      <c r="G10" s="225">
        <v>1</v>
      </c>
      <c r="H10" s="225">
        <v>2</v>
      </c>
    </row>
    <row r="11" spans="1:8" ht="13.8" thickBot="1" x14ac:dyDescent="0.3">
      <c r="A11" s="255">
        <v>4.75</v>
      </c>
      <c r="B11" s="255">
        <v>3.18</v>
      </c>
      <c r="C11" s="255">
        <v>4.25</v>
      </c>
      <c r="D11" s="255">
        <v>3.45</v>
      </c>
      <c r="G11" s="255">
        <v>5.6</v>
      </c>
      <c r="H11" s="255">
        <v>3.5</v>
      </c>
    </row>
    <row r="12" spans="1:8" ht="13.8" thickTop="1" x14ac:dyDescent="0.25">
      <c r="A12" s="155">
        <v>0.18775131274103773</v>
      </c>
      <c r="B12" s="155">
        <v>0.2295765677620836</v>
      </c>
      <c r="C12" s="155">
        <v>0.30371622673206733</v>
      </c>
      <c r="D12" s="155">
        <v>0.33377976346367572</v>
      </c>
      <c r="G12" s="155">
        <v>0.17648131534106218</v>
      </c>
      <c r="H12" s="155">
        <v>0.17588051247668068</v>
      </c>
    </row>
    <row r="13" spans="1:8" x14ac:dyDescent="0.25">
      <c r="A13" s="246">
        <v>0.2668200101318593</v>
      </c>
      <c r="B13" s="246">
        <v>-0.24514466808345628</v>
      </c>
      <c r="C13" s="246">
        <v>0.3909985644651866</v>
      </c>
      <c r="D13" s="246">
        <v>-0.32409977955551922</v>
      </c>
      <c r="G13" s="246">
        <v>0.2416705367580648</v>
      </c>
      <c r="H13" s="246">
        <v>-0.19811068826896772</v>
      </c>
    </row>
    <row r="14" spans="1:8" x14ac:dyDescent="0.25">
      <c r="A14" s="155">
        <v>7.6235171940021874E-3</v>
      </c>
      <c r="B14" s="155">
        <v>7.5150939883704831E-3</v>
      </c>
      <c r="C14" s="155">
        <v>8.7669362022763896E-3</v>
      </c>
      <c r="D14" s="155">
        <v>8.4047041097954044E-3</v>
      </c>
      <c r="G14" s="155">
        <v>7.332231770696483E-3</v>
      </c>
      <c r="H14" s="155">
        <v>6.5080172719256379E-3</v>
      </c>
    </row>
    <row r="15" spans="1:8" x14ac:dyDescent="0.25">
      <c r="A15" s="155">
        <v>-4.1825255021045865E-2</v>
      </c>
      <c r="B15" s="249"/>
      <c r="C15" s="155">
        <v>-3.0063536731608387E-2</v>
      </c>
      <c r="D15" s="141"/>
      <c r="G15" s="155">
        <v>6.0080286438149444E-4</v>
      </c>
      <c r="H15" s="249"/>
    </row>
    <row r="16" spans="1:8" x14ac:dyDescent="0.25">
      <c r="G16" s="57">
        <v>-0.11604363290216139</v>
      </c>
      <c r="H16" s="57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250">
        <v>0.67259999999999998</v>
      </c>
      <c r="B1" s="251">
        <f>A3*A2*A1</f>
        <v>3.7182673199999998</v>
      </c>
    </row>
    <row r="2" spans="1:7" x14ac:dyDescent="0.25">
      <c r="A2" s="250">
        <v>1.0549999999999999</v>
      </c>
      <c r="B2" s="252"/>
    </row>
    <row r="3" spans="1:7" x14ac:dyDescent="0.25">
      <c r="A3" s="253">
        <v>5.24</v>
      </c>
      <c r="B3" s="253"/>
    </row>
    <row r="7" spans="1:7" x14ac:dyDescent="0.25">
      <c r="G7">
        <v>6.32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2"/>
  <sheetViews>
    <sheetView topLeftCell="AB14" workbookViewId="0">
      <selection activeCell="AH38" sqref="AH38"/>
    </sheetView>
  </sheetViews>
  <sheetFormatPr defaultRowHeight="13.2" x14ac:dyDescent="0.25"/>
  <cols>
    <col min="1" max="1" width="12.6640625" style="77" customWidth="1"/>
    <col min="2" max="2" width="9.5546875" style="77" customWidth="1"/>
    <col min="3" max="4" width="9.109375" style="77" customWidth="1"/>
    <col min="5" max="5" width="10.109375" style="77" customWidth="1"/>
    <col min="6" max="10" width="9.109375" style="77" customWidth="1"/>
    <col min="11" max="11" width="10.44140625" style="77" customWidth="1"/>
    <col min="12" max="13" width="9.109375" style="77" customWidth="1"/>
    <col min="14" max="14" width="10.109375" style="77" customWidth="1"/>
    <col min="15" max="30" width="10" style="77" customWidth="1"/>
    <col min="31" max="49" width="9.109375" style="77" customWidth="1"/>
    <col min="51" max="60" width="9.109375" style="77" customWidth="1"/>
    <col min="62" max="71" width="9.109375" style="77" customWidth="1"/>
    <col min="73" max="82" width="9.109375" style="77" customWidth="1"/>
  </cols>
  <sheetData>
    <row r="1" spans="1:74" x14ac:dyDescent="0.25">
      <c r="A1" s="76"/>
      <c r="B1" s="158"/>
      <c r="C1" s="80"/>
      <c r="D1" s="57" t="s">
        <v>157</v>
      </c>
      <c r="E1" s="57">
        <f>summerstrip</f>
        <v>4.8109999999999999</v>
      </c>
      <c r="F1" s="57"/>
      <c r="G1" s="188" t="s">
        <v>34</v>
      </c>
      <c r="I1"/>
      <c r="J1"/>
      <c r="K1" t="s">
        <v>199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5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J2"/>
      <c r="L2" t="s">
        <v>193</v>
      </c>
      <c r="M2" t="s">
        <v>194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3"/>
      <c r="AL2" s="83"/>
      <c r="AM2" s="84"/>
      <c r="AN2" s="83"/>
      <c r="AO2" s="84"/>
      <c r="AY2" s="83"/>
      <c r="AZ2" s="84"/>
      <c r="BJ2" s="83"/>
      <c r="BK2" s="84"/>
      <c r="BU2" s="83"/>
      <c r="BV2" s="84"/>
    </row>
    <row r="3" spans="1:74" x14ac:dyDescent="0.25">
      <c r="A3" s="76"/>
      <c r="B3" s="158"/>
      <c r="D3" s="57"/>
      <c r="E3" s="57"/>
      <c r="F3" s="160" t="s">
        <v>95</v>
      </c>
      <c r="G3" s="57"/>
      <c r="I3"/>
      <c r="J3"/>
      <c r="K3" s="77">
        <v>1</v>
      </c>
      <c r="L3" s="232">
        <f ca="1">B21</f>
        <v>0.19826123091689571</v>
      </c>
      <c r="M3" s="232">
        <f ca="1">B22</f>
        <v>0.25122193858389774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3"/>
      <c r="AL3" s="83"/>
      <c r="AM3" s="84"/>
      <c r="AN3" s="83"/>
      <c r="AO3" s="84"/>
      <c r="AY3" s="83"/>
      <c r="AZ3" s="84"/>
      <c r="BJ3" s="83"/>
      <c r="BK3" s="84"/>
      <c r="BU3" s="83"/>
      <c r="BV3" s="84"/>
    </row>
    <row r="4" spans="1:74" x14ac:dyDescent="0.25">
      <c r="A4" s="57" t="s">
        <v>115</v>
      </c>
      <c r="B4" s="160" t="str">
        <f>STRADDLES!$E2</f>
        <v>IF-ELPO/SJ</v>
      </c>
      <c r="C4" s="131"/>
      <c r="D4" s="160" t="str">
        <f>STRADDLES!$F2</f>
        <v>IF-ELPO/SJ</v>
      </c>
      <c r="E4" s="57"/>
      <c r="F4" s="160" t="str">
        <f>STRADDLES!$G2</f>
        <v>MICH_CG-GD</v>
      </c>
      <c r="G4" s="131"/>
      <c r="H4" s="160" t="str">
        <f>STRADDLES!$H2</f>
        <v>IF-HPL/SHPCHAN</v>
      </c>
      <c r="I4" s="137"/>
      <c r="J4" s="140"/>
      <c r="K4" s="77">
        <v>-1</v>
      </c>
      <c r="L4" s="232">
        <f ca="1">D21</f>
        <v>0.17278503206896567</v>
      </c>
      <c r="M4" s="232">
        <f ca="1">D22</f>
        <v>0.22808556351233444</v>
      </c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7"/>
      <c r="AF4" s="137"/>
      <c r="AG4" s="137"/>
      <c r="AK4" s="83"/>
      <c r="AL4" s="83"/>
      <c r="AM4" s="84"/>
      <c r="AN4" s="83"/>
      <c r="AO4" s="84"/>
      <c r="AY4" s="83"/>
      <c r="AZ4" s="84"/>
      <c r="BJ4" s="83"/>
      <c r="BK4" s="84"/>
      <c r="BU4" s="83"/>
      <c r="BV4" s="84"/>
    </row>
    <row r="5" spans="1:74" x14ac:dyDescent="0.25">
      <c r="A5" s="57"/>
      <c r="B5" s="57" t="s">
        <v>51</v>
      </c>
      <c r="D5" s="57" t="s">
        <v>52</v>
      </c>
      <c r="F5" s="57" t="s">
        <v>160</v>
      </c>
      <c r="H5" s="57" t="s">
        <v>159</v>
      </c>
      <c r="L5" s="232">
        <f ca="1">F21</f>
        <v>1.2343560791547181</v>
      </c>
      <c r="M5" s="232">
        <f ca="1">F22</f>
        <v>0.11894330699359927</v>
      </c>
      <c r="AK5" s="83"/>
      <c r="AL5" s="83"/>
      <c r="AM5" s="84"/>
      <c r="AN5" s="83"/>
      <c r="AO5" s="84"/>
      <c r="AY5" s="83"/>
      <c r="AZ5" s="84"/>
      <c r="BJ5" s="83"/>
      <c r="BK5" s="84"/>
      <c r="BU5" s="83"/>
      <c r="BV5" s="84"/>
    </row>
    <row r="6" spans="1:74" x14ac:dyDescent="0.25">
      <c r="A6" s="57" t="s">
        <v>35</v>
      </c>
      <c r="B6" s="230">
        <f>STRADDLES!$E3</f>
        <v>36982</v>
      </c>
      <c r="C6" s="231"/>
      <c r="D6" s="230">
        <f>STRADDLES!$F3</f>
        <v>36982</v>
      </c>
      <c r="E6" s="231"/>
      <c r="F6" s="230">
        <f>STRADDLES!$G3</f>
        <v>36831</v>
      </c>
      <c r="G6" s="231"/>
      <c r="H6" s="230">
        <f>STRADDLES!$H3</f>
        <v>37196</v>
      </c>
      <c r="L6" s="232">
        <f ca="1">H21</f>
        <v>0.70165775045249656</v>
      </c>
      <c r="M6" s="232">
        <f ca="1">H22</f>
        <v>-0.39143531530385617</v>
      </c>
      <c r="AK6" s="83"/>
      <c r="AL6" s="83"/>
      <c r="AM6" s="84"/>
      <c r="AN6" s="83"/>
      <c r="AO6" s="84"/>
      <c r="AY6" s="83"/>
      <c r="AZ6" s="84"/>
      <c r="BJ6" s="83"/>
      <c r="BK6" s="84"/>
      <c r="BU6" s="83"/>
      <c r="BV6" s="84"/>
    </row>
    <row r="7" spans="1:74" x14ac:dyDescent="0.25">
      <c r="A7" s="76" t="s">
        <v>53</v>
      </c>
      <c r="B7" s="230">
        <f>STRADDLES!$E4</f>
        <v>37316</v>
      </c>
      <c r="C7" s="231"/>
      <c r="D7" s="230">
        <f>STRADDLES!$F4</f>
        <v>37681</v>
      </c>
      <c r="E7" s="231"/>
      <c r="F7" s="230">
        <f>STRADDLES!$G4</f>
        <v>36951</v>
      </c>
      <c r="G7" s="231"/>
      <c r="H7" s="230">
        <f>STRADDLES!$H4</f>
        <v>37316</v>
      </c>
      <c r="J7" s="177"/>
      <c r="L7" s="184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F7" s="160" t="s">
        <v>95</v>
      </c>
      <c r="AG7" s="160"/>
      <c r="AK7" s="83"/>
      <c r="AL7" s="83"/>
      <c r="AM7" s="84"/>
      <c r="AN7" s="83"/>
      <c r="AO7" s="84"/>
      <c r="AY7" s="83"/>
      <c r="AZ7" s="84"/>
      <c r="BJ7" s="83"/>
      <c r="BK7" s="84"/>
      <c r="BU7" s="83"/>
      <c r="BV7" s="84"/>
    </row>
    <row r="8" spans="1:74" x14ac:dyDescent="0.25">
      <c r="I8" s="197"/>
      <c r="K8" s="160"/>
      <c r="L8" s="77">
        <f ca="1">(L3*$K3)+(L4*$K4)+(L5*$K5)+(L6*$K6)</f>
        <v>2.5476198847930037E-2</v>
      </c>
      <c r="M8" s="77">
        <f ca="1">(M3*$K3)+(M4*$K4)+(M5*$K5)+(M6*$K6)</f>
        <v>2.3136375071563298E-2</v>
      </c>
      <c r="AF8" s="160"/>
      <c r="AG8" s="160"/>
      <c r="AK8" s="83"/>
      <c r="AL8" s="83"/>
      <c r="AM8" s="84"/>
      <c r="AN8" s="83"/>
      <c r="AO8" s="84"/>
      <c r="AY8" s="83"/>
      <c r="AZ8" s="84"/>
      <c r="BJ8" s="83"/>
      <c r="BK8" s="84"/>
      <c r="BU8" s="83"/>
      <c r="BV8" s="84"/>
    </row>
    <row r="9" spans="1:74" x14ac:dyDescent="0.25">
      <c r="A9" s="75" t="s">
        <v>123</v>
      </c>
      <c r="B9" s="196">
        <f>AP24</f>
        <v>3.9583452054794517</v>
      </c>
      <c r="C9" s="197"/>
      <c r="D9" s="196">
        <f>BA24</f>
        <v>3.7122246575342461</v>
      </c>
      <c r="E9" s="197"/>
      <c r="F9" s="196">
        <f>BL24</f>
        <v>4.7004304635761587</v>
      </c>
      <c r="G9" s="197"/>
      <c r="H9" s="196">
        <f>BW24</f>
        <v>3.9395430463576164</v>
      </c>
      <c r="I9" s="197"/>
      <c r="AF9" s="160" t="s">
        <v>78</v>
      </c>
      <c r="AG9" s="160"/>
      <c r="AK9" s="83"/>
      <c r="AL9" s="83"/>
      <c r="AM9" s="84"/>
      <c r="AN9" s="83"/>
      <c r="AO9" s="84"/>
      <c r="AY9" s="83"/>
      <c r="AZ9" s="84"/>
      <c r="BJ9" s="83"/>
      <c r="BK9" s="84"/>
      <c r="BU9" s="83"/>
      <c r="BV9" s="84"/>
    </row>
    <row r="10" spans="1:74" x14ac:dyDescent="0.25">
      <c r="A10" s="75" t="s">
        <v>40</v>
      </c>
      <c r="B10" s="196">
        <f>AQ24</f>
        <v>3.5662561643835611</v>
      </c>
      <c r="C10" s="197"/>
      <c r="D10" s="196">
        <f>BB24</f>
        <v>3.4035910958904099</v>
      </c>
      <c r="E10" s="197"/>
      <c r="F10" s="196">
        <f>BM24</f>
        <v>4.9176158940397343</v>
      </c>
      <c r="G10" s="197"/>
      <c r="H10" s="196">
        <f>BX24</f>
        <v>3.886927152317881</v>
      </c>
      <c r="I10" s="197"/>
      <c r="K10" s="160"/>
      <c r="M10" s="160"/>
      <c r="N10" s="214"/>
      <c r="O10" s="160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G10" s="160"/>
      <c r="AK10" s="83"/>
      <c r="AL10" s="83"/>
      <c r="AM10" s="84"/>
      <c r="AN10" s="83"/>
      <c r="AO10" s="84"/>
      <c r="AY10" s="83"/>
      <c r="AZ10" s="84"/>
      <c r="BJ10" s="83"/>
      <c r="BK10" s="84"/>
      <c r="BU10" s="83"/>
      <c r="BV10" s="84"/>
    </row>
    <row r="11" spans="1:74" x14ac:dyDescent="0.25">
      <c r="A11" s="75" t="s">
        <v>36</v>
      </c>
      <c r="B11" s="196">
        <f>B10-B9</f>
        <v>-0.3920890410958906</v>
      </c>
      <c r="C11" s="196"/>
      <c r="D11" s="196">
        <f>D10-D9</f>
        <v>-0.30863356164383626</v>
      </c>
      <c r="E11" s="196"/>
      <c r="F11" s="196">
        <f>F10-F9</f>
        <v>0.21718543046357563</v>
      </c>
      <c r="G11" s="196"/>
      <c r="H11" s="196">
        <f>H10-H9</f>
        <v>-5.2615894039735434E-2</v>
      </c>
      <c r="I11" s="197"/>
      <c r="AF11" s="160"/>
      <c r="AG11" s="160"/>
      <c r="AK11" s="83"/>
      <c r="AL11" s="83"/>
      <c r="AM11" s="84"/>
      <c r="AN11" s="83"/>
      <c r="AO11" s="84"/>
      <c r="AY11" s="83"/>
      <c r="AZ11" s="84"/>
      <c r="BJ11" s="83"/>
      <c r="BK11" s="84"/>
      <c r="BU11" s="83"/>
      <c r="BV11" s="84"/>
    </row>
    <row r="12" spans="1:74" x14ac:dyDescent="0.25">
      <c r="A12" s="75"/>
      <c r="B12" s="196"/>
      <c r="C12" s="197"/>
      <c r="D12" s="196"/>
      <c r="E12" s="197"/>
      <c r="F12" s="196"/>
      <c r="G12" s="197"/>
      <c r="H12" s="196"/>
      <c r="I12" s="197"/>
      <c r="K12" s="160"/>
      <c r="L12" s="160" t="s">
        <v>95</v>
      </c>
      <c r="M12" s="160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F12" s="160"/>
      <c r="AG12" s="160"/>
      <c r="AK12" s="83"/>
      <c r="AL12" s="83"/>
      <c r="AM12" s="84"/>
      <c r="AN12" s="83"/>
      <c r="AO12" s="84"/>
      <c r="AY12" s="83"/>
      <c r="AZ12" s="84"/>
      <c r="BJ12" s="83"/>
      <c r="BK12" s="84"/>
      <c r="BU12" s="83"/>
      <c r="BV12" s="84"/>
    </row>
    <row r="13" spans="1:74" x14ac:dyDescent="0.25">
      <c r="A13" s="75" t="s">
        <v>172</v>
      </c>
      <c r="B13" s="222">
        <f>STRADDLES!$E7</f>
        <v>0.02</v>
      </c>
      <c r="C13" s="223"/>
      <c r="D13" s="222">
        <f>STRADDLES!$F7</f>
        <v>0.01</v>
      </c>
      <c r="E13" s="223"/>
      <c r="F13" s="222">
        <f>STRADDLES!$G7</f>
        <v>0</v>
      </c>
      <c r="G13" s="223"/>
      <c r="H13" s="222">
        <f>STRADDLES!$H7</f>
        <v>0</v>
      </c>
      <c r="I13" s="197"/>
      <c r="K13" s="160"/>
      <c r="L13" s="160" t="s">
        <v>82</v>
      </c>
      <c r="M13" s="160"/>
      <c r="N13" s="214"/>
      <c r="O13" s="160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G13" s="160"/>
      <c r="AK13" s="83"/>
      <c r="AL13" s="83"/>
      <c r="AM13" s="84"/>
      <c r="AN13" s="83"/>
      <c r="AO13" s="84"/>
      <c r="AY13" s="83"/>
      <c r="AZ13" s="84"/>
      <c r="BJ13" s="83"/>
      <c r="BK13" s="84"/>
      <c r="BU13" s="83"/>
      <c r="BV13" s="84"/>
    </row>
    <row r="14" spans="1:74" x14ac:dyDescent="0.25">
      <c r="A14" s="75" t="s">
        <v>121</v>
      </c>
      <c r="B14" s="222">
        <v>0</v>
      </c>
      <c r="C14" s="223"/>
      <c r="D14" s="222">
        <v>0</v>
      </c>
      <c r="E14" s="223"/>
      <c r="F14" s="222">
        <v>0</v>
      </c>
      <c r="G14" s="223"/>
      <c r="H14" s="222">
        <v>0</v>
      </c>
      <c r="I14" s="199"/>
      <c r="J14" s="83"/>
      <c r="K14" s="160"/>
      <c r="L14" s="160" t="s">
        <v>95</v>
      </c>
      <c r="M14" s="160"/>
      <c r="N14" s="83"/>
      <c r="O14" s="160"/>
      <c r="AG14" s="160"/>
      <c r="AJ14" s="137"/>
      <c r="AK14" s="83"/>
      <c r="AL14" s="83"/>
      <c r="AM14" s="84"/>
      <c r="AN14" s="83"/>
      <c r="AO14" s="84"/>
      <c r="AY14" s="83"/>
      <c r="AZ14" s="84"/>
      <c r="BJ14" s="83"/>
      <c r="BK14" s="84"/>
      <c r="BU14" s="83"/>
      <c r="BV14" s="84"/>
    </row>
    <row r="15" spans="1:74" x14ac:dyDescent="0.25">
      <c r="A15" s="62" t="s">
        <v>57</v>
      </c>
      <c r="B15" s="224">
        <f>STRADDLES!$E8</f>
        <v>0</v>
      </c>
      <c r="C15" s="224"/>
      <c r="D15" s="224">
        <f>STRADDLES!$F8</f>
        <v>0</v>
      </c>
      <c r="E15" s="224"/>
      <c r="F15" s="224">
        <f>STRADDLES!$G8</f>
        <v>0</v>
      </c>
      <c r="G15" s="224"/>
      <c r="H15" s="224">
        <f>STRADDLES!$H8</f>
        <v>0</v>
      </c>
      <c r="I15" s="205"/>
      <c r="J15" s="83"/>
      <c r="K15" s="83"/>
      <c r="L15" s="160" t="s">
        <v>78</v>
      </c>
      <c r="M15" s="160"/>
      <c r="N15" s="83"/>
      <c r="O15" s="160"/>
      <c r="AG15" s="160"/>
      <c r="AJ15" s="137"/>
      <c r="AK15" s="83"/>
      <c r="AL15" s="83"/>
      <c r="AM15" s="84"/>
      <c r="AN15" s="83"/>
      <c r="AO15" s="84"/>
      <c r="AY15" s="83"/>
      <c r="AZ15" s="84"/>
      <c r="BJ15" s="83"/>
      <c r="BK15" s="84"/>
      <c r="BU15" s="83"/>
      <c r="BV15" s="84"/>
    </row>
    <row r="16" spans="1:74" x14ac:dyDescent="0.25">
      <c r="A16" s="56" t="s">
        <v>162</v>
      </c>
      <c r="B16" s="225">
        <f>STRADDLES!$E9</f>
        <v>1</v>
      </c>
      <c r="C16" s="226"/>
      <c r="D16" s="225">
        <f>STRADDLES!$F9</f>
        <v>1</v>
      </c>
      <c r="E16" s="227"/>
      <c r="F16" s="225">
        <f>STRADDLES!$G9</f>
        <v>1</v>
      </c>
      <c r="G16" s="227"/>
      <c r="H16" s="225">
        <f>STRADDLES!$H9</f>
        <v>1</v>
      </c>
      <c r="I16" s="197"/>
      <c r="L16" s="160" t="s">
        <v>98</v>
      </c>
      <c r="AF16" s="160"/>
      <c r="AG16" s="160"/>
      <c r="AK16" s="83"/>
      <c r="AL16" s="83"/>
      <c r="AM16" s="84"/>
      <c r="AN16" s="83"/>
      <c r="AO16" s="84"/>
      <c r="AY16" s="83"/>
      <c r="AZ16" s="84"/>
      <c r="BJ16" s="83"/>
      <c r="BK16" s="84"/>
      <c r="BU16" s="83"/>
      <c r="BV16" s="84"/>
    </row>
    <row r="17" spans="1:82" x14ac:dyDescent="0.25">
      <c r="A17" s="75"/>
      <c r="B17" s="222"/>
      <c r="C17" s="223"/>
      <c r="D17" s="222"/>
      <c r="E17" s="223"/>
      <c r="F17" s="222"/>
      <c r="G17" s="223"/>
      <c r="H17" s="222"/>
      <c r="I17" s="199"/>
      <c r="L17" s="160" t="s">
        <v>70</v>
      </c>
      <c r="M17" s="160"/>
      <c r="N17" s="214"/>
      <c r="O17" s="160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G17" s="160"/>
      <c r="AK17" s="83"/>
      <c r="AL17" s="83"/>
      <c r="AM17" s="84"/>
      <c r="AN17" s="83"/>
      <c r="AO17" s="84"/>
      <c r="AY17" s="83"/>
      <c r="AZ17" s="84"/>
      <c r="BJ17" s="83"/>
      <c r="BK17" s="84"/>
      <c r="BU17" s="83"/>
      <c r="BV17" s="84"/>
    </row>
    <row r="18" spans="1:82" x14ac:dyDescent="0.25">
      <c r="A18" s="62" t="s">
        <v>119</v>
      </c>
      <c r="B18" s="228">
        <f>STRADDLES!$E11</f>
        <v>5</v>
      </c>
      <c r="C18" s="227"/>
      <c r="D18" s="228">
        <f>STRADDLES!$F11</f>
        <v>5</v>
      </c>
      <c r="E18" s="227"/>
      <c r="F18" s="228">
        <f>STRADDLES!$G11</f>
        <v>4.95</v>
      </c>
      <c r="G18" s="227"/>
      <c r="H18" s="228">
        <f>STRADDLES!$H11</f>
        <v>3.98</v>
      </c>
      <c r="I18" s="199"/>
      <c r="J18" s="83"/>
      <c r="K18" s="160"/>
      <c r="L18" s="160" t="s">
        <v>100</v>
      </c>
      <c r="M18" s="160"/>
      <c r="N18" s="83"/>
      <c r="O18" s="160"/>
      <c r="AG18" s="160"/>
      <c r="AK18" s="83"/>
      <c r="AL18" s="83"/>
      <c r="AM18" s="84"/>
      <c r="AN18" s="83"/>
      <c r="AO18" s="84"/>
      <c r="AY18" s="83"/>
      <c r="AZ18" s="84"/>
      <c r="BJ18" s="83"/>
      <c r="BK18" s="84"/>
      <c r="BU18" s="83"/>
      <c r="BV18" s="84"/>
    </row>
    <row r="19" spans="1:82" x14ac:dyDescent="0.25">
      <c r="A19" s="62" t="s">
        <v>126</v>
      </c>
      <c r="B19" s="229">
        <f>STRADDLES!$E10</f>
        <v>1</v>
      </c>
      <c r="C19" s="227"/>
      <c r="D19" s="229">
        <f>STRADDLES!$F10</f>
        <v>1</v>
      </c>
      <c r="E19" s="227"/>
      <c r="F19" s="229">
        <f>STRADDLES!$G10</f>
        <v>3</v>
      </c>
      <c r="G19" s="227"/>
      <c r="H19" s="229">
        <f>STRADDLES!$H10</f>
        <v>2</v>
      </c>
      <c r="L19" s="160" t="s">
        <v>76</v>
      </c>
    </row>
    <row r="20" spans="1:82" x14ac:dyDescent="0.25">
      <c r="A20" s="131" t="s">
        <v>201</v>
      </c>
      <c r="L20" s="160" t="s">
        <v>102</v>
      </c>
      <c r="AF20" s="77">
        <f>500000/(300*10000)</f>
        <v>0.16666666666666666</v>
      </c>
    </row>
    <row r="21" spans="1:82" x14ac:dyDescent="0.25">
      <c r="A21" s="62" t="s">
        <v>38</v>
      </c>
      <c r="B21" s="194">
        <f ca="1">AU24</f>
        <v>0.19826123091689571</v>
      </c>
      <c r="C21" s="199"/>
      <c r="D21" s="194">
        <f ca="1">BF24</f>
        <v>0.17278503206896567</v>
      </c>
      <c r="E21" s="199"/>
      <c r="F21" s="194">
        <f ca="1">BQ24</f>
        <v>1.2343560791547181</v>
      </c>
      <c r="G21" s="199"/>
      <c r="H21" s="194">
        <f ca="1">CB24</f>
        <v>0.70165775045249656</v>
      </c>
      <c r="L21" s="160" t="s">
        <v>74</v>
      </c>
      <c r="AI21" s="77">
        <f>500000/181</f>
        <v>2762.4309392265195</v>
      </c>
    </row>
    <row r="22" spans="1:82" x14ac:dyDescent="0.25">
      <c r="A22" s="62" t="s">
        <v>29</v>
      </c>
      <c r="B22" s="194">
        <f ca="1">AV24</f>
        <v>0.25122193858389774</v>
      </c>
      <c r="C22" s="199"/>
      <c r="D22" s="194">
        <f ca="1">BG24</f>
        <v>0.22808556351233444</v>
      </c>
      <c r="E22" s="199"/>
      <c r="F22" s="194">
        <f ca="1">BR24</f>
        <v>0.11894330699359927</v>
      </c>
      <c r="G22" s="199"/>
      <c r="H22" s="194">
        <f ca="1">CC24</f>
        <v>-0.39143531530385617</v>
      </c>
      <c r="L22" s="160" t="s">
        <v>94</v>
      </c>
    </row>
    <row r="23" spans="1:82" x14ac:dyDescent="0.25">
      <c r="A23" s="62" t="str">
        <f>G1</f>
        <v>VEGA</v>
      </c>
      <c r="B23" s="194">
        <f ca="1">AW24</f>
        <v>1.1087525135971261E-2</v>
      </c>
      <c r="C23" s="199"/>
      <c r="D23" s="194">
        <f ca="1">BH24</f>
        <v>1.1790674840562763E-2</v>
      </c>
      <c r="E23" s="199"/>
      <c r="F23" s="194">
        <f ca="1">BS24</f>
        <v>2.0962088454868369E-2</v>
      </c>
      <c r="G23" s="199"/>
      <c r="H23" s="194">
        <f ca="1">CD24</f>
        <v>1.5948502284174468E-2</v>
      </c>
      <c r="L23" s="160" t="s">
        <v>68</v>
      </c>
      <c r="AH23" s="80" t="e">
        <f>VLOOKUP($A23,STRADDLE,12,FALSE)</f>
        <v>#N/A</v>
      </c>
    </row>
    <row r="24" spans="1:82" x14ac:dyDescent="0.25">
      <c r="A24" s="83"/>
      <c r="B24" s="208"/>
      <c r="C24" s="83"/>
      <c r="D24" s="208"/>
      <c r="E24" s="83"/>
      <c r="F24" s="208"/>
      <c r="G24" s="83"/>
      <c r="H24" s="83"/>
      <c r="I24" s="83"/>
      <c r="J24" s="83"/>
      <c r="K24" s="160"/>
      <c r="L24" s="160" t="s">
        <v>89</v>
      </c>
      <c r="M24" s="83"/>
      <c r="N24" s="83"/>
      <c r="O24" s="160"/>
      <c r="AG24" s="160"/>
      <c r="AK24" s="83"/>
      <c r="AL24" s="83"/>
      <c r="AM24" s="84"/>
      <c r="AN24" s="83"/>
      <c r="AP24" s="77">
        <f>AP26/AN28</f>
        <v>3.9583452054794517</v>
      </c>
      <c r="AQ24" s="77">
        <f>AQ26/AN28</f>
        <v>3.5662561643835611</v>
      </c>
      <c r="AU24" s="132">
        <f ca="1">AU26/AN28</f>
        <v>0.19826123091689571</v>
      </c>
      <c r="AV24" s="132">
        <f ca="1">AV26/AN28</f>
        <v>0.25122193858389774</v>
      </c>
      <c r="AW24" s="132">
        <f ca="1">AW26/AN28</f>
        <v>1.1087525135971261E-2</v>
      </c>
      <c r="AY24" s="83"/>
      <c r="BA24" s="77">
        <f>BA26/AY28</f>
        <v>3.7122246575342461</v>
      </c>
      <c r="BB24" s="77">
        <f>BB26/AY28</f>
        <v>3.4035910958904099</v>
      </c>
      <c r="BF24" s="132">
        <f ca="1">BF26/AY28</f>
        <v>0.17278503206896567</v>
      </c>
      <c r="BG24" s="132">
        <f ca="1">BG26/AY28</f>
        <v>0.22808556351233444</v>
      </c>
      <c r="BH24" s="132">
        <f ca="1">BH26/AY28</f>
        <v>1.1790674840562763E-2</v>
      </c>
      <c r="BJ24" s="83"/>
      <c r="BL24" s="77">
        <f>BL26/BJ28</f>
        <v>4.7004304635761587</v>
      </c>
      <c r="BM24" s="77">
        <f>BM26/BJ28</f>
        <v>4.9176158940397343</v>
      </c>
      <c r="BQ24" s="132">
        <f ca="1">BQ26/BJ28</f>
        <v>1.2343560791547181</v>
      </c>
      <c r="BR24" s="132">
        <f ca="1">BR26/BJ28</f>
        <v>0.11894330699359927</v>
      </c>
      <c r="BS24" s="132">
        <f ca="1">BS26/BJ28</f>
        <v>2.0962088454868369E-2</v>
      </c>
      <c r="BU24" s="83"/>
      <c r="BW24" s="77">
        <f>BW26/BU28</f>
        <v>3.9395430463576164</v>
      </c>
      <c r="BX24" s="77">
        <f>BX26/BU28</f>
        <v>3.886927152317881</v>
      </c>
      <c r="CB24" s="132">
        <f ca="1">CB26/BU28</f>
        <v>0.70165775045249656</v>
      </c>
      <c r="CC24" s="132">
        <f ca="1">CC26/BU28</f>
        <v>-0.39143531530385617</v>
      </c>
      <c r="CD24" s="132">
        <f ca="1">CD26/BU28</f>
        <v>1.5948502284174468E-2</v>
      </c>
    </row>
    <row r="25" spans="1:82" x14ac:dyDescent="0.25">
      <c r="A25" s="83"/>
      <c r="B25" s="208">
        <f ca="1">B21-D21</f>
        <v>2.5476198847930037E-2</v>
      </c>
      <c r="C25" s="83"/>
      <c r="D25" s="83"/>
      <c r="E25" s="83"/>
      <c r="F25" s="208">
        <f ca="1">F21-H21</f>
        <v>0.53269832870222156</v>
      </c>
      <c r="G25" s="83"/>
      <c r="H25" s="83"/>
      <c r="I25" s="83"/>
      <c r="J25" s="83"/>
      <c r="K25" s="160"/>
      <c r="L25" s="83"/>
      <c r="M25" s="83"/>
      <c r="N25" s="83"/>
      <c r="O25" s="160"/>
      <c r="AG25" s="160"/>
      <c r="AH25" s="88"/>
      <c r="AK25" s="83"/>
      <c r="AL25" s="83"/>
      <c r="AM25" s="84"/>
      <c r="AN25" s="83"/>
      <c r="AO25" s="78">
        <f>B6</f>
        <v>36982</v>
      </c>
      <c r="AW25"/>
      <c r="AY25" s="83"/>
      <c r="AZ25" s="78">
        <f>D6</f>
        <v>36982</v>
      </c>
      <c r="BH25"/>
      <c r="BJ25" s="83"/>
      <c r="BK25" s="78">
        <f>F6</f>
        <v>36831</v>
      </c>
      <c r="BS25"/>
      <c r="BU25" s="83"/>
      <c r="BV25" s="78">
        <f>H6</f>
        <v>37196</v>
      </c>
      <c r="CD25"/>
    </row>
    <row r="26" spans="1:82" x14ac:dyDescent="0.25">
      <c r="A26" s="83"/>
      <c r="B26" s="215"/>
      <c r="C26" s="83"/>
      <c r="D26" s="215"/>
      <c r="E26" s="83"/>
      <c r="F26" s="83"/>
      <c r="G26" s="83"/>
      <c r="H26" s="83"/>
      <c r="I26" s="83"/>
      <c r="J26" s="133"/>
      <c r="K26" s="133"/>
      <c r="L26" s="133"/>
      <c r="M26" s="133"/>
      <c r="N26" s="133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85"/>
      <c r="AF26" s="87"/>
      <c r="AG26" s="87"/>
      <c r="AH26" s="87"/>
      <c r="AI26" s="90"/>
      <c r="AJ26" s="91"/>
      <c r="AK26" s="83"/>
      <c r="AL26" s="83"/>
      <c r="AM26" s="84"/>
      <c r="AN26" s="83" t="s">
        <v>161</v>
      </c>
      <c r="AO26" s="78">
        <f>B7</f>
        <v>37316</v>
      </c>
      <c r="AP26" s="108">
        <f>SUM(AP31:AP150)</f>
        <v>1444.7959999999998</v>
      </c>
      <c r="AQ26" s="108">
        <f>SUM(AQ31:AQ150)</f>
        <v>1301.6834999999999</v>
      </c>
      <c r="AR26" s="108"/>
      <c r="AS26" s="108"/>
      <c r="AT26" s="108"/>
      <c r="AU26" s="108">
        <f ca="1">SUM(AU31:AU150)</f>
        <v>72.365349284666934</v>
      </c>
      <c r="AV26" s="108">
        <f ca="1">SUM(AV31:AV150)</f>
        <v>91.696007583122679</v>
      </c>
      <c r="AW26" s="108">
        <f ca="1">SUM(AW31:AW150)</f>
        <v>4.0469466746295106</v>
      </c>
      <c r="AY26" s="83" t="s">
        <v>176</v>
      </c>
      <c r="AZ26" s="78">
        <f>D7</f>
        <v>37681</v>
      </c>
      <c r="BA26" s="108">
        <f>SUM(BA31:BA150)</f>
        <v>2709.9239999999995</v>
      </c>
      <c r="BB26" s="108">
        <f>SUM(BB31:BB150)</f>
        <v>2484.6214999999993</v>
      </c>
      <c r="BC26" s="108"/>
      <c r="BD26" s="108"/>
      <c r="BE26" s="108"/>
      <c r="BF26" s="108">
        <f ca="1">SUM(BF31:BF150)</f>
        <v>126.13307341034495</v>
      </c>
      <c r="BG26" s="108">
        <f ca="1">SUM(BG31:BG150)</f>
        <v>166.50246136400415</v>
      </c>
      <c r="BH26" s="108">
        <f ca="1">SUM(BH31:BH150)</f>
        <v>8.6071926336108167</v>
      </c>
      <c r="BJ26" s="83" t="s">
        <v>177</v>
      </c>
      <c r="BK26" s="78">
        <f>F7</f>
        <v>36951</v>
      </c>
      <c r="BL26" s="108">
        <f>SUM(BL31:BL150)</f>
        <v>709.76499999999999</v>
      </c>
      <c r="BM26" s="108">
        <f>SUM(BM31:BM150)</f>
        <v>742.56</v>
      </c>
      <c r="BN26" s="108"/>
      <c r="BO26" s="108"/>
      <c r="BP26" s="108"/>
      <c r="BQ26" s="108">
        <f ca="1">SUM(BQ31:BQ150)</f>
        <v>186.38776795236245</v>
      </c>
      <c r="BR26" s="108">
        <f ca="1">SUM(BR31:BR150)</f>
        <v>17.96043935603349</v>
      </c>
      <c r="BS26" s="108">
        <f ca="1">SUM(BS31:BS150)</f>
        <v>3.1652753566851235</v>
      </c>
      <c r="BU26" s="83" t="s">
        <v>178</v>
      </c>
      <c r="BV26" s="78">
        <f>H7</f>
        <v>37316</v>
      </c>
      <c r="BW26" s="108">
        <f>SUM(BW31:BW150)</f>
        <v>594.87100000000009</v>
      </c>
      <c r="BX26" s="108">
        <f>SUM(BX31:BX150)</f>
        <v>586.92600000000004</v>
      </c>
      <c r="BY26" s="108"/>
      <c r="BZ26" s="108"/>
      <c r="CA26" s="108"/>
      <c r="CB26" s="108">
        <f ca="1">SUM(CB31:CB150)</f>
        <v>105.95032031832699</v>
      </c>
      <c r="CC26" s="108">
        <f ca="1">SUM(CC31:CC150)</f>
        <v>-59.106732610882283</v>
      </c>
      <c r="CD26" s="108">
        <f ca="1">SUM(CD31:CD150)</f>
        <v>2.4082238449103448</v>
      </c>
    </row>
    <row r="27" spans="1:82" x14ac:dyDescent="0.25">
      <c r="A27" s="83"/>
      <c r="B27" s="214"/>
      <c r="C27" s="83"/>
      <c r="D27" s="57" t="s">
        <v>51</v>
      </c>
      <c r="E27" s="83"/>
      <c r="F27" s="214"/>
      <c r="G27" s="83"/>
      <c r="H27" s="214"/>
      <c r="I27" s="83"/>
      <c r="J27" s="106"/>
      <c r="K27" s="57" t="s">
        <v>52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F27" s="106"/>
      <c r="AG27" s="106"/>
      <c r="AH27" s="106"/>
      <c r="AK27" s="83"/>
      <c r="AL27" s="83"/>
      <c r="AM27" s="84"/>
      <c r="AN27" s="83"/>
      <c r="AR27" s="77" t="s">
        <v>126</v>
      </c>
      <c r="AS27" s="77">
        <f>IF(B19=4,3,B19)</f>
        <v>1</v>
      </c>
      <c r="AW27"/>
      <c r="AY27" s="83"/>
      <c r="BC27" s="77" t="s">
        <v>126</v>
      </c>
      <c r="BD27" s="77">
        <f>IF(D19=4,3,D19)</f>
        <v>1</v>
      </c>
      <c r="BH27"/>
      <c r="BJ27" s="83"/>
      <c r="BN27" s="77" t="s">
        <v>126</v>
      </c>
      <c r="BO27" s="77">
        <f>IF(F19=4,3,F19)</f>
        <v>3</v>
      </c>
      <c r="BS27"/>
      <c r="BU27" s="83"/>
      <c r="BY27" s="77" t="s">
        <v>126</v>
      </c>
      <c r="BZ27" s="77">
        <f>IF(H19=4,3,H19)</f>
        <v>2</v>
      </c>
      <c r="CD27"/>
    </row>
    <row r="28" spans="1:82" x14ac:dyDescent="0.25">
      <c r="A28" s="83"/>
      <c r="B28" s="139"/>
      <c r="C28" s="139"/>
      <c r="D28" s="160" t="str">
        <f>B4</f>
        <v>IF-ELPO/SJ</v>
      </c>
      <c r="K28" s="160" t="str">
        <f>D4</f>
        <v>IF-ELPO/SJ</v>
      </c>
      <c r="Q28" s="94"/>
      <c r="R28" s="160" t="str">
        <f>F4</f>
        <v>MICH_CG-GD</v>
      </c>
      <c r="Y28" s="160" t="str">
        <f>H4</f>
        <v>IF-HPL/SHPCHAN</v>
      </c>
      <c r="AF28" s="133"/>
      <c r="AG28" s="133"/>
      <c r="AH28" s="133"/>
      <c r="AM28" s="84"/>
      <c r="AN28" s="136">
        <f>SUM(AN31:AN150)</f>
        <v>365</v>
      </c>
      <c r="AR28" s="77" t="s">
        <v>167</v>
      </c>
      <c r="AS28" s="77">
        <f>IF($G$1="GAMMA",3,IF($G$1="THETA",4,5))</f>
        <v>5</v>
      </c>
      <c r="AW28"/>
      <c r="AY28" s="136">
        <f>SUM(AY31:AY150)</f>
        <v>730</v>
      </c>
      <c r="BC28" s="77" t="s">
        <v>167</v>
      </c>
      <c r="BD28" s="77">
        <f>IF($G$1="GAMMA",3,IF($G$1="THETA",4,5))</f>
        <v>5</v>
      </c>
      <c r="BH28"/>
      <c r="BJ28" s="136">
        <f>SUM(BJ31:BJ150)</f>
        <v>151</v>
      </c>
      <c r="BN28" s="77" t="s">
        <v>167</v>
      </c>
      <c r="BO28" s="77">
        <f>IF($G$1="GAMMA",3,IF($G$1="THETA",4,5))</f>
        <v>5</v>
      </c>
      <c r="BS28"/>
      <c r="BU28" s="136">
        <f>SUM(BU31:BU150)</f>
        <v>151</v>
      </c>
      <c r="BY28" s="77" t="s">
        <v>167</v>
      </c>
      <c r="BZ28" s="77">
        <f>IF($G$1="GAMMA",3,IF($G$1="THETA",4,5))</f>
        <v>5</v>
      </c>
      <c r="CD28"/>
    </row>
    <row r="29" spans="1:82" ht="13.8" thickBot="1" x14ac:dyDescent="0.3">
      <c r="B29" s="186"/>
      <c r="C29" s="186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5"/>
      <c r="AF29" s="77" t="s">
        <v>45</v>
      </c>
      <c r="AI29" s="83"/>
      <c r="AJ29" s="83"/>
      <c r="AL29" s="83"/>
      <c r="AO29" s="77" t="s">
        <v>41</v>
      </c>
      <c r="AP29" s="96" t="s">
        <v>37</v>
      </c>
      <c r="AQ29" s="96" t="s">
        <v>168</v>
      </c>
      <c r="AR29" s="96" t="s">
        <v>38</v>
      </c>
      <c r="AS29" s="96" t="s">
        <v>29</v>
      </c>
      <c r="AT29" s="96" t="str">
        <f>$G1</f>
        <v>VEGA</v>
      </c>
      <c r="AU29" s="80" t="s">
        <v>38</v>
      </c>
      <c r="AV29" s="80" t="s">
        <v>29</v>
      </c>
      <c r="AW29" s="80" t="str">
        <f>AT29</f>
        <v>VEGA</v>
      </c>
      <c r="AZ29" s="77" t="s">
        <v>41</v>
      </c>
      <c r="BA29" s="96" t="s">
        <v>37</v>
      </c>
      <c r="BB29" s="96" t="s">
        <v>168</v>
      </c>
      <c r="BC29" s="96" t="s">
        <v>38</v>
      </c>
      <c r="BD29" s="96" t="s">
        <v>29</v>
      </c>
      <c r="BE29" s="96" t="str">
        <f>$G1</f>
        <v>VEGA</v>
      </c>
      <c r="BF29" s="80" t="s">
        <v>38</v>
      </c>
      <c r="BG29" s="80" t="s">
        <v>29</v>
      </c>
      <c r="BH29" s="80" t="str">
        <f>BE29</f>
        <v>VEGA</v>
      </c>
      <c r="BK29" s="77" t="s">
        <v>41</v>
      </c>
      <c r="BL29" s="96" t="s">
        <v>37</v>
      </c>
      <c r="BM29" s="96" t="s">
        <v>168</v>
      </c>
      <c r="BN29" s="96" t="s">
        <v>38</v>
      </c>
      <c r="BO29" s="96" t="s">
        <v>29</v>
      </c>
      <c r="BP29" s="96" t="str">
        <f>$G1</f>
        <v>VEGA</v>
      </c>
      <c r="BQ29" s="80" t="s">
        <v>38</v>
      </c>
      <c r="BR29" s="80" t="s">
        <v>29</v>
      </c>
      <c r="BS29" s="80" t="str">
        <f>BP29</f>
        <v>VEGA</v>
      </c>
      <c r="BV29" s="77" t="s">
        <v>41</v>
      </c>
      <c r="BW29" s="96" t="s">
        <v>37</v>
      </c>
      <c r="BX29" s="96" t="s">
        <v>168</v>
      </c>
      <c r="BY29" s="96" t="s">
        <v>38</v>
      </c>
      <c r="BZ29" s="96" t="s">
        <v>29</v>
      </c>
      <c r="CA29" s="96" t="str">
        <f>$G1</f>
        <v>VEGA</v>
      </c>
      <c r="CB29" s="80" t="s">
        <v>38</v>
      </c>
      <c r="CC29" s="80" t="s">
        <v>29</v>
      </c>
      <c r="CD29" s="80" t="str">
        <f>CA29</f>
        <v>VEGA</v>
      </c>
    </row>
    <row r="30" spans="1:82" ht="14.4" thickTop="1" thickBot="1" x14ac:dyDescent="0.3">
      <c r="A30" s="100" t="s">
        <v>24</v>
      </c>
      <c r="B30" s="100" t="s">
        <v>61</v>
      </c>
      <c r="C30" s="100" t="s">
        <v>28</v>
      </c>
      <c r="D30" s="100" t="s">
        <v>36</v>
      </c>
      <c r="E30" s="100" t="s">
        <v>57</v>
      </c>
      <c r="F30" s="100" t="s">
        <v>25</v>
      </c>
      <c r="G30" s="100" t="s">
        <v>54</v>
      </c>
      <c r="H30" s="100" t="s">
        <v>124</v>
      </c>
      <c r="I30" s="100" t="s">
        <v>49</v>
      </c>
      <c r="K30" s="100" t="s">
        <v>36</v>
      </c>
      <c r="L30" s="100" t="s">
        <v>57</v>
      </c>
      <c r="M30" s="100" t="s">
        <v>25</v>
      </c>
      <c r="N30" s="100" t="s">
        <v>55</v>
      </c>
      <c r="O30" s="100" t="s">
        <v>125</v>
      </c>
      <c r="P30" s="100" t="s">
        <v>50</v>
      </c>
      <c r="R30" s="100" t="s">
        <v>36</v>
      </c>
      <c r="S30" s="100" t="s">
        <v>57</v>
      </c>
      <c r="T30" s="100" t="s">
        <v>25</v>
      </c>
      <c r="U30" s="100" t="s">
        <v>165</v>
      </c>
      <c r="V30" s="100" t="s">
        <v>169</v>
      </c>
      <c r="W30" s="100" t="s">
        <v>163</v>
      </c>
      <c r="X30" s="193"/>
      <c r="Y30" s="100" t="s">
        <v>36</v>
      </c>
      <c r="Z30" s="100" t="s">
        <v>57</v>
      </c>
      <c r="AA30" s="100" t="s">
        <v>25</v>
      </c>
      <c r="AB30" s="100" t="s">
        <v>166</v>
      </c>
      <c r="AC30" s="100" t="s">
        <v>170</v>
      </c>
      <c r="AD30" s="100" t="s">
        <v>164</v>
      </c>
      <c r="AF30" s="77" t="s">
        <v>197</v>
      </c>
      <c r="AG30" s="100" t="s">
        <v>198</v>
      </c>
      <c r="AH30" s="100" t="s">
        <v>27</v>
      </c>
      <c r="AI30" s="83"/>
      <c r="AL30" s="193"/>
      <c r="AN30" s="77" t="s">
        <v>46</v>
      </c>
      <c r="AQ30" s="84"/>
      <c r="AR30" s="83"/>
      <c r="AS30" s="83"/>
      <c r="AT30" s="83"/>
      <c r="AW30" t="s">
        <v>175</v>
      </c>
      <c r="AY30" s="77" t="s">
        <v>46</v>
      </c>
      <c r="BB30" s="84"/>
      <c r="BC30" s="83"/>
      <c r="BD30" s="83"/>
      <c r="BE30" s="83"/>
      <c r="BH30" t="s">
        <v>175</v>
      </c>
      <c r="BJ30" s="77" t="s">
        <v>46</v>
      </c>
      <c r="BM30" s="84"/>
      <c r="BN30" s="83"/>
      <c r="BO30" s="83"/>
      <c r="BP30" s="83"/>
      <c r="BS30" t="s">
        <v>175</v>
      </c>
      <c r="BU30" s="77" t="s">
        <v>46</v>
      </c>
      <c r="BX30" s="84"/>
      <c r="BY30" s="83"/>
      <c r="BZ30" s="83"/>
      <c r="CA30" s="83"/>
      <c r="CD30" t="s">
        <v>175</v>
      </c>
    </row>
    <row r="31" spans="1:82" ht="13.8" thickTop="1" x14ac:dyDescent="0.25">
      <c r="A31" s="101">
        <v>36800</v>
      </c>
      <c r="B31" s="102">
        <f>VLOOKUP(A31,STRADDLE,5,FALSE)</f>
        <v>4.782</v>
      </c>
      <c r="C31" s="80">
        <f>VLOOKUP(A31,STRADDLE,8,FALSE)</f>
        <v>0.54</v>
      </c>
      <c r="D31" s="102">
        <f t="shared" ref="D31:D94" si="0">IF(D$28="nymex",0,VLOOKUP($A31,curvesettle,HLOOKUP(D$28,curvesettle,2,FALSE)))</f>
        <v>-0.91749999999999998</v>
      </c>
      <c r="E31" s="106">
        <f t="shared" ref="E31:E94" si="1">IF(ISNUMBER(VLOOKUP($A31,VOLCURVES,HLOOKUP(D$28,VOLCURVES,2,FALSE),FALSE)),VLOOKUP($A31,VOLCURVES,HLOOKUP(D$28,VOLCURVES,2,FALSE),FALSE),1)</f>
        <v>0.96</v>
      </c>
      <c r="F31" s="105">
        <f t="shared" ref="F31:F94" ca="1" si="2">IF(D$28="NYMEX",$AG31,$AF31)</f>
        <v>27</v>
      </c>
      <c r="G31" s="80" t="e">
        <f t="shared" ref="G31:G94" si="3">(($C31+H31)*$E31)+B$15</f>
        <v>#DIV/0!</v>
      </c>
      <c r="H31" s="80" t="e">
        <f t="shared" ref="H31:H94" si="4">IF($B$16=1,VLOOKUP($A31,SkewTable,HLOOKUP(ROUND(I31-AO31,1),SkewTable,2,FALSE),FALSE)/100,0)</f>
        <v>#DIV/0!</v>
      </c>
      <c r="I31" s="104">
        <f t="shared" ref="I31:I94" si="5">IF($B$19=4,$AO31,$B$18)</f>
        <v>5</v>
      </c>
      <c r="K31" s="102">
        <f t="shared" ref="K31:K94" si="6">IF(K$28="nymex",0,VLOOKUP($A31,curvesettle,HLOOKUP(K$28,curvesettle,2,FALSE)))</f>
        <v>-0.91749999999999998</v>
      </c>
      <c r="L31" s="106">
        <f t="shared" ref="L31:L94" si="7">IF(ISNUMBER(VLOOKUP($A31,VOLCURVES,HLOOKUP(K$28,VOLCURVES,2,FALSE),FALSE)),VLOOKUP($A31,VOLCURVES,HLOOKUP(K$28,VOLCURVES,2,FALSE),FALSE),1)</f>
        <v>0.96</v>
      </c>
      <c r="M31" s="105">
        <f t="shared" ref="M31:M94" ca="1" si="8">IF(K$28="NYMEX",$AG31,$AF31)</f>
        <v>27</v>
      </c>
      <c r="N31" s="217" t="e">
        <f t="shared" ref="N31:N94" si="9">(($C31+O31)*$L31)+D$15</f>
        <v>#DIV/0!</v>
      </c>
      <c r="O31" s="80" t="e">
        <f t="shared" ref="O31:O94" si="10">IF($D$16=1,VLOOKUP($A31,SkewTable,HLOOKUP(ROUND(P31-AZ31,1),SkewTable,2,FALSE),FALSE)/100,0)</f>
        <v>#DIV/0!</v>
      </c>
      <c r="P31" s="104">
        <f t="shared" ref="P31:P94" si="11">IF($D$19=4,$AZ31,$D$18)</f>
        <v>5</v>
      </c>
      <c r="R31" s="102">
        <f t="shared" ref="R31:R94" si="12">IF(R$28="nymex",0,VLOOKUP($A31,curvesettle,HLOOKUP(R$28,curvesettle,2,FALSE)))</f>
        <v>0.13250000000000001</v>
      </c>
      <c r="S31" s="106">
        <f t="shared" ref="S31:S94" si="13">IF(ISNUMBER(VLOOKUP($A31,VOLCURVES,HLOOKUP(R$28,VOLCURVES,2,FALSE),FALSE)),VLOOKUP($A31,VOLCURVES,HLOOKUP(R$28,VOLCURVES,2,FALSE),FALSE),1)</f>
        <v>1</v>
      </c>
      <c r="T31" s="105">
        <f t="shared" ref="T31:T94" ca="1" si="14">IF(R$28="NYMEX",$AG31,$AF31)</f>
        <v>27</v>
      </c>
      <c r="U31" s="217" t="e">
        <f t="shared" ref="U31:U94" si="15">(($C31+V31)*$S31)+F$15</f>
        <v>#DIV/0!</v>
      </c>
      <c r="V31" s="80" t="e">
        <f t="shared" ref="V31:V94" si="16">IF($F$16=1,VLOOKUP($A31,SkewTable,HLOOKUP(ROUND(W31-BK31,1),SkewTable,2,FALSE),FALSE)/100,0)</f>
        <v>#DIV/0!</v>
      </c>
      <c r="W31" s="104">
        <f t="shared" ref="W31:W94" si="17">IF($F$19=4,$BK31,$F$18)</f>
        <v>4.95</v>
      </c>
      <c r="X31" s="105"/>
      <c r="Y31" s="102">
        <f t="shared" ref="Y31:Y94" si="18">IF(Y$28="nymex",0,VLOOKUP($A31,curvesettle,HLOOKUP(Y$28,curvesettle,2,FALSE)))</f>
        <v>-1.2500000000000001E-2</v>
      </c>
      <c r="Z31" s="106">
        <f t="shared" ref="Z31:Z94" si="19">IF(ISNUMBER(VLOOKUP($A31,VOLCURVES,HLOOKUP(Y$28,VOLCURVES,2,FALSE),FALSE)),VLOOKUP($A31,VOLCURVES,HLOOKUP(Y$28,VOLCURVES,2,FALSE),FALSE),1)</f>
        <v>1</v>
      </c>
      <c r="AA31" s="105">
        <f t="shared" ref="AA31:AA94" ca="1" si="20">IF(Y$28="NYMEX",$AG31,$AF31)</f>
        <v>27</v>
      </c>
      <c r="AB31" s="80" t="e">
        <f t="shared" ref="AB31:AB94" si="21">(($C31+AC31)*$Z31)+H$15</f>
        <v>#DIV/0!</v>
      </c>
      <c r="AC31" s="80" t="e">
        <f t="shared" ref="AC31:AC94" si="22">IF($H$16=1,VLOOKUP($A31,SkewTable,HLOOKUP(ROUND(AD31-BV31,1),SkewTable,2,FALSE),FALSE)/100,0)</f>
        <v>#DIV/0!</v>
      </c>
      <c r="AD31" s="104">
        <f t="shared" ref="AD31:AD94" si="23">IF($H$19=4,$BV31,$H$18)</f>
        <v>3.98</v>
      </c>
      <c r="AF31" s="105">
        <f ca="1">VLOOKUP($A31,expiration,2,FALSE)-$B$2</f>
        <v>27</v>
      </c>
      <c r="AG31" s="105">
        <f ca="1">VLOOKUP($A31,expiration,3,FALSE)-$B$2</f>
        <v>26</v>
      </c>
      <c r="AH31" s="80">
        <f t="shared" ref="AH31:AH94" si="24">VLOOKUP($A31,STRADDLE,12,FALSE)</f>
        <v>6.7998663678555019E-2</v>
      </c>
      <c r="AI31" s="182">
        <f t="shared" ref="AI31:AI94" si="25">A32-A31</f>
        <v>31</v>
      </c>
      <c r="AL31" s="105"/>
      <c r="AM31" s="82"/>
      <c r="AN31" s="82">
        <f t="shared" ref="AN31:AN94" si="26">IF($A31&gt;=AO$25,IF($A31&lt;=AO$26,$AI31,0),0)</f>
        <v>0</v>
      </c>
      <c r="AO31" s="82" t="e">
        <f>AQ31/AN31</f>
        <v>#DIV/0!</v>
      </c>
      <c r="AP31" s="77">
        <f t="shared" ref="AP31:AP94" si="27">AN31*($B31+B$13)</f>
        <v>0</v>
      </c>
      <c r="AQ31" s="108">
        <f t="shared" ref="AQ31:AQ94" si="28">IF(ISNUMBER(((AP31/AN31)+B$14+$D31)*AN31),((AP31/AN31)+B$14+$D31)*AN31,0)</f>
        <v>0</v>
      </c>
      <c r="AR31" s="107">
        <f t="shared" ref="AR31:AR94" si="29">IF(AN31=0,0,bsd(1,AS$27,AO31,$I31,$F31,$G31,$AH31,0.1))</f>
        <v>0</v>
      </c>
      <c r="AS31" s="107">
        <f>IF(AN31=0,0,bsd(2,AS$27,AO31,$I31,$F31,$G31,$AH31,0.1))</f>
        <v>0</v>
      </c>
      <c r="AT31" s="107">
        <f t="shared" ref="AT31:AT94" si="30">IF(AN31=0,0,bsd(AS$28,AS$27,AO31,$I31,$F31,$G31,$AH31,0.1))</f>
        <v>0</v>
      </c>
      <c r="AU31" s="109">
        <f>AN31*AR31</f>
        <v>0</v>
      </c>
      <c r="AV31" s="109">
        <f>AN31*AS31</f>
        <v>0</v>
      </c>
      <c r="AW31" s="109">
        <f>AN31*AT31</f>
        <v>0</v>
      </c>
      <c r="AY31" s="82">
        <f t="shared" ref="AY31:AY94" si="31">IF($A31&gt;=AZ$25,IF($A31&lt;=AZ$26,$AI31,0),0)</f>
        <v>0</v>
      </c>
      <c r="AZ31" s="82" t="e">
        <f>BB31/AY31</f>
        <v>#DIV/0!</v>
      </c>
      <c r="BA31" s="77">
        <f t="shared" ref="BA31:BA94" si="32">AY31*($B31+D$13)</f>
        <v>0</v>
      </c>
      <c r="BB31" s="108">
        <f t="shared" ref="BB31:BB94" si="33">IF(ISNUMBER(((BA31/AY31)+D$14+$K31)*AY31),((BA31/AY31)+D$14+$K31)*AY31,0)</f>
        <v>0</v>
      </c>
      <c r="BC31" s="107">
        <f t="shared" ref="BC31:BC94" si="34">IF(AY31=0,0,bsd(1,BD$27,AZ31,$P31,$M31,$N31,$AH31,0.1))</f>
        <v>0</v>
      </c>
      <c r="BD31" s="107">
        <f t="shared" ref="BD31:BD94" si="35">IF(AY31=0,0,bsd(2,BD$27,AZ31,$P31,$M31,$N31,$AH31,0.1))</f>
        <v>0</v>
      </c>
      <c r="BE31" s="107">
        <f t="shared" ref="BE31:BE94" si="36">IF(AY31=0,0,bsd(BD$28,BD$27,AZ31,$P31,$M31,$N31,$AH31,0.1))</f>
        <v>0</v>
      </c>
      <c r="BF31" s="109">
        <f>AY31*BC31</f>
        <v>0</v>
      </c>
      <c r="BG31" s="109">
        <f>AY31*BD31</f>
        <v>0</v>
      </c>
      <c r="BH31" s="109">
        <f>AY31*BE31</f>
        <v>0</v>
      </c>
      <c r="BJ31" s="82">
        <f t="shared" ref="BJ31:BJ94" si="37">IF($A31&gt;=BK$25,IF($A31&lt;=BK$26,$AI31,0),0)</f>
        <v>0</v>
      </c>
      <c r="BK31" s="82" t="e">
        <f>BM31/BJ31</f>
        <v>#DIV/0!</v>
      </c>
      <c r="BL31" s="77">
        <f t="shared" ref="BL31:BL94" si="38">BJ31*($B31+F$13)</f>
        <v>0</v>
      </c>
      <c r="BM31" s="108">
        <f t="shared" ref="BM31:BM94" si="39">IF(ISNUMBER(((BL31/BJ31)+F$14+$R31)*BJ31),((BL31/BJ31)+F$14+$R31)*BJ31,0)</f>
        <v>0</v>
      </c>
      <c r="BN31" s="107">
        <f t="shared" ref="BN31:BN94" si="40">IF(BJ31=0,0,bsd(1,BO$27,BK31,$W31,$T31,$U31,$AH31,0.1))</f>
        <v>0</v>
      </c>
      <c r="BO31" s="107">
        <f t="shared" ref="BO31:BO94" si="41">IF(BJ31=0,0,bsd(2,BO$27,BK31,$W31,$T31,$U31,$AH31,0.1))</f>
        <v>0</v>
      </c>
      <c r="BP31" s="107">
        <f t="shared" ref="BP31:BP94" si="42">IF(BJ31=0,0,bsd(BO$28,BO$27,BK31,$W31,$T31,$U31,$AH31,0.1))</f>
        <v>0</v>
      </c>
      <c r="BQ31" s="109">
        <f>BJ31*BN31</f>
        <v>0</v>
      </c>
      <c r="BR31" s="109">
        <f>BJ31*BO31</f>
        <v>0</v>
      </c>
      <c r="BS31" s="109">
        <f>BJ31*BP31</f>
        <v>0</v>
      </c>
      <c r="BU31" s="82">
        <f t="shared" ref="BU31:BU94" si="43">IF($A31&gt;=BV$25,IF($A31&lt;=BV$26,$AI31,0),0)</f>
        <v>0</v>
      </c>
      <c r="BV31" s="82" t="e">
        <f>BX31/BU31</f>
        <v>#DIV/0!</v>
      </c>
      <c r="BW31" s="77">
        <f t="shared" ref="BW31:BW94" si="44">BU31*($B31+H$13)</f>
        <v>0</v>
      </c>
      <c r="BX31" s="108">
        <f t="shared" ref="BX31:BX94" si="45">IF(ISNUMBER(((BW31/BU31)+H$14+$Y31)*BU31),((BW31/BU31)+H$14+$Y31)*BU31,0)</f>
        <v>0</v>
      </c>
      <c r="BY31" s="107">
        <f t="shared" ref="BY31:BY94" si="46">IF(BU31=0,0,bsd(1,BZ$27,BV31,$AD31,$AA31,$AB31,$AH31,0.1))</f>
        <v>0</v>
      </c>
      <c r="BZ31" s="107">
        <f t="shared" ref="BZ31:BZ94" si="47">IF(BU31=0,0,bsd(2,BZ$27,BV31,$AD31,$AA31,$AB31,$AH31,0.1))</f>
        <v>0</v>
      </c>
      <c r="CA31" s="107">
        <f t="shared" ref="CA31:CA94" si="48">IF(BU31=0,0,bsd(BZ$28,BZ$27,BV31,$AD31,$AA31,$AB31,$AH31,0.1))</f>
        <v>0</v>
      </c>
      <c r="CB31" s="109">
        <f>BU31*BY31</f>
        <v>0</v>
      </c>
      <c r="CC31" s="109">
        <f>BU31*BZ31</f>
        <v>0</v>
      </c>
      <c r="CD31" s="109">
        <f>BU31*CA31</f>
        <v>0</v>
      </c>
    </row>
    <row r="32" spans="1:82" x14ac:dyDescent="0.25">
      <c r="A32" s="101">
        <f t="shared" ref="A32:A95" si="49">DATE(YEAR(A31),MONTH(A31)+1,1)</f>
        <v>36831</v>
      </c>
      <c r="B32" s="102">
        <f t="shared" ref="B32:B95" si="50">VLOOKUP(A32,STRADDLE,5,FALSE)</f>
        <v>4.84</v>
      </c>
      <c r="C32" s="80">
        <f t="shared" ref="C32:C95" si="51">VLOOKUP(A32,STRADDLE,8,FALSE)</f>
        <v>0.55999999999999994</v>
      </c>
      <c r="D32" s="102">
        <f t="shared" si="0"/>
        <v>-0.46750000000000003</v>
      </c>
      <c r="E32" s="106">
        <f t="shared" si="1"/>
        <v>0.96</v>
      </c>
      <c r="F32" s="105">
        <f t="shared" ca="1" si="2"/>
        <v>57</v>
      </c>
      <c r="G32" s="80" t="e">
        <f t="shared" si="3"/>
        <v>#DIV/0!</v>
      </c>
      <c r="H32" s="80" t="e">
        <f t="shared" si="4"/>
        <v>#DIV/0!</v>
      </c>
      <c r="I32" s="104">
        <f t="shared" si="5"/>
        <v>5</v>
      </c>
      <c r="K32" s="102">
        <f t="shared" si="6"/>
        <v>-0.46750000000000003</v>
      </c>
      <c r="L32" s="106">
        <f t="shared" si="7"/>
        <v>0.96</v>
      </c>
      <c r="M32" s="105">
        <f t="shared" ca="1" si="8"/>
        <v>57</v>
      </c>
      <c r="N32" s="217" t="e">
        <f t="shared" si="9"/>
        <v>#DIV/0!</v>
      </c>
      <c r="O32" s="80" t="e">
        <f t="shared" si="10"/>
        <v>#DIV/0!</v>
      </c>
      <c r="P32" s="104">
        <f t="shared" si="11"/>
        <v>5</v>
      </c>
      <c r="R32" s="102">
        <f t="shared" si="12"/>
        <v>0.17499999999999999</v>
      </c>
      <c r="S32" s="106">
        <f t="shared" si="13"/>
        <v>1</v>
      </c>
      <c r="T32" s="105">
        <f t="shared" ca="1" si="14"/>
        <v>57</v>
      </c>
      <c r="U32" s="217">
        <f t="shared" si="15"/>
        <v>0.55499999999999994</v>
      </c>
      <c r="V32" s="80">
        <f t="shared" si="16"/>
        <v>-5.0000000000000001E-3</v>
      </c>
      <c r="W32" s="104">
        <f t="shared" si="17"/>
        <v>4.95</v>
      </c>
      <c r="X32" s="105"/>
      <c r="Y32" s="102">
        <f t="shared" si="18"/>
        <v>-0.03</v>
      </c>
      <c r="Z32" s="106">
        <f t="shared" si="19"/>
        <v>1</v>
      </c>
      <c r="AA32" s="105">
        <f t="shared" ca="1" si="20"/>
        <v>57</v>
      </c>
      <c r="AB32" s="80" t="e">
        <f t="shared" si="21"/>
        <v>#DIV/0!</v>
      </c>
      <c r="AC32" s="80" t="e">
        <f t="shared" si="22"/>
        <v>#DIV/0!</v>
      </c>
      <c r="AD32" s="104">
        <f t="shared" si="23"/>
        <v>3.98</v>
      </c>
      <c r="AF32" s="105">
        <f t="shared" ref="AF32:AF95" ca="1" si="52">VLOOKUP($A32,expiration,2,FALSE)-$B$2</f>
        <v>57</v>
      </c>
      <c r="AG32" s="105">
        <f t="shared" ref="AG32:AG95" ca="1" si="53">VLOOKUP($A32,expiration,3,FALSE)-$B$2</f>
        <v>56</v>
      </c>
      <c r="AH32" s="80">
        <f t="shared" si="24"/>
        <v>6.8040372818879022E-2</v>
      </c>
      <c r="AI32" s="182">
        <f t="shared" si="25"/>
        <v>30</v>
      </c>
      <c r="AL32" s="105"/>
      <c r="AM32" s="82"/>
      <c r="AN32" s="82">
        <f t="shared" si="26"/>
        <v>0</v>
      </c>
      <c r="AO32" s="82" t="e">
        <f t="shared" ref="AO32:AO95" si="54">AQ32/AN32</f>
        <v>#DIV/0!</v>
      </c>
      <c r="AP32" s="77">
        <f t="shared" si="27"/>
        <v>0</v>
      </c>
      <c r="AQ32" s="108">
        <f t="shared" si="28"/>
        <v>0</v>
      </c>
      <c r="AR32" s="107">
        <f t="shared" si="29"/>
        <v>0</v>
      </c>
      <c r="AS32" s="107">
        <f t="shared" ref="AS32:AS95" si="55">IF(AN32=0,0,bsd(2,AS$27,AO32,$I32,$F32,$G32,$AH32,0.1))</f>
        <v>0</v>
      </c>
      <c r="AT32" s="107">
        <f t="shared" si="30"/>
        <v>0</v>
      </c>
      <c r="AU32" s="109">
        <f t="shared" ref="AU32:AU95" si="56">AN32*AR32</f>
        <v>0</v>
      </c>
      <c r="AV32" s="109">
        <f t="shared" ref="AV32:AV95" si="57">AN32*AS32</f>
        <v>0</v>
      </c>
      <c r="AW32" s="109">
        <f t="shared" ref="AW32:AW95" si="58">AN32*AT32</f>
        <v>0</v>
      </c>
      <c r="AY32" s="82">
        <f t="shared" si="31"/>
        <v>0</v>
      </c>
      <c r="AZ32" s="82" t="e">
        <f t="shared" ref="AZ32:AZ95" si="59">BB32/AY32</f>
        <v>#DIV/0!</v>
      </c>
      <c r="BA32" s="77">
        <f t="shared" si="32"/>
        <v>0</v>
      </c>
      <c r="BB32" s="108">
        <f t="shared" si="33"/>
        <v>0</v>
      </c>
      <c r="BC32" s="107">
        <f t="shared" si="34"/>
        <v>0</v>
      </c>
      <c r="BD32" s="107">
        <f t="shared" si="35"/>
        <v>0</v>
      </c>
      <c r="BE32" s="107">
        <f t="shared" si="36"/>
        <v>0</v>
      </c>
      <c r="BF32" s="109">
        <f t="shared" ref="BF32:BF95" si="60">AY32*BC32</f>
        <v>0</v>
      </c>
      <c r="BG32" s="109">
        <f t="shared" ref="BG32:BG95" si="61">AY32*BD32</f>
        <v>0</v>
      </c>
      <c r="BH32" s="109">
        <f t="shared" ref="BH32:BH95" si="62">AY32*BE32</f>
        <v>0</v>
      </c>
      <c r="BJ32" s="82">
        <f t="shared" si="37"/>
        <v>30</v>
      </c>
      <c r="BK32" s="82">
        <f t="shared" ref="BK32:BK95" si="63">BM32/BJ32</f>
        <v>5.0149999999999997</v>
      </c>
      <c r="BL32" s="77">
        <f t="shared" si="38"/>
        <v>145.19999999999999</v>
      </c>
      <c r="BM32" s="108">
        <f t="shared" si="39"/>
        <v>150.44999999999999</v>
      </c>
      <c r="BN32" s="107">
        <f t="shared" ca="1" si="40"/>
        <v>0.86248618931072496</v>
      </c>
      <c r="BO32" s="107">
        <f t="shared" ca="1" si="41"/>
        <v>0.13289700748404371</v>
      </c>
      <c r="BP32" s="107">
        <f t="shared" ca="1" si="42"/>
        <v>1.5422035912772358E-2</v>
      </c>
      <c r="BQ32" s="109">
        <f t="shared" ref="BQ32:BQ95" ca="1" si="64">BJ32*BN32</f>
        <v>25.874585679321747</v>
      </c>
      <c r="BR32" s="109">
        <f t="shared" ref="BR32:BR95" ca="1" si="65">BJ32*BO32</f>
        <v>3.9869102245213113</v>
      </c>
      <c r="BS32" s="109">
        <f t="shared" ref="BS32:BS95" ca="1" si="66">BJ32*BP32</f>
        <v>0.46266107738317075</v>
      </c>
      <c r="BU32" s="82">
        <f t="shared" si="43"/>
        <v>0</v>
      </c>
      <c r="BV32" s="82" t="e">
        <f t="shared" ref="BV32:BV95" si="67">BX32/BU32</f>
        <v>#DIV/0!</v>
      </c>
      <c r="BW32" s="77">
        <f t="shared" si="44"/>
        <v>0</v>
      </c>
      <c r="BX32" s="108">
        <f t="shared" si="45"/>
        <v>0</v>
      </c>
      <c r="BY32" s="107">
        <f t="shared" si="46"/>
        <v>0</v>
      </c>
      <c r="BZ32" s="107">
        <f t="shared" si="47"/>
        <v>0</v>
      </c>
      <c r="CA32" s="107">
        <f t="shared" si="48"/>
        <v>0</v>
      </c>
      <c r="CB32" s="109">
        <f t="shared" ref="CB32:CB95" si="68">BU32*BY32</f>
        <v>0</v>
      </c>
      <c r="CC32" s="109">
        <f t="shared" ref="CC32:CC95" si="69">BU32*BZ32</f>
        <v>0</v>
      </c>
      <c r="CD32" s="109">
        <f t="shared" ref="CD32:CD95" si="70">BU32*CA32</f>
        <v>0</v>
      </c>
    </row>
    <row r="33" spans="1:82" x14ac:dyDescent="0.25">
      <c r="A33" s="101">
        <f t="shared" si="49"/>
        <v>36861</v>
      </c>
      <c r="B33" s="102">
        <f t="shared" si="50"/>
        <v>4.91</v>
      </c>
      <c r="C33" s="80">
        <f t="shared" si="51"/>
        <v>0.59</v>
      </c>
      <c r="D33" s="102">
        <f t="shared" si="0"/>
        <v>-0.42</v>
      </c>
      <c r="E33" s="106">
        <f t="shared" si="1"/>
        <v>0.96</v>
      </c>
      <c r="F33" s="105">
        <f t="shared" ca="1" si="2"/>
        <v>89</v>
      </c>
      <c r="G33" s="80" t="e">
        <f t="shared" si="3"/>
        <v>#DIV/0!</v>
      </c>
      <c r="H33" s="80" t="e">
        <f t="shared" si="4"/>
        <v>#DIV/0!</v>
      </c>
      <c r="I33" s="104">
        <f t="shared" si="5"/>
        <v>5</v>
      </c>
      <c r="K33" s="102">
        <f t="shared" si="6"/>
        <v>-0.42</v>
      </c>
      <c r="L33" s="106">
        <f t="shared" si="7"/>
        <v>0.96</v>
      </c>
      <c r="M33" s="105">
        <f t="shared" ca="1" si="8"/>
        <v>89</v>
      </c>
      <c r="N33" s="217" t="e">
        <f t="shared" si="9"/>
        <v>#DIV/0!</v>
      </c>
      <c r="O33" s="80" t="e">
        <f t="shared" si="10"/>
        <v>#DIV/0!</v>
      </c>
      <c r="P33" s="104">
        <f t="shared" si="11"/>
        <v>5</v>
      </c>
      <c r="R33" s="102">
        <f t="shared" si="12"/>
        <v>0.20250000000000001</v>
      </c>
      <c r="S33" s="106">
        <f t="shared" si="13"/>
        <v>1</v>
      </c>
      <c r="T33" s="105">
        <f t="shared" ca="1" si="14"/>
        <v>89</v>
      </c>
      <c r="U33" s="217">
        <f t="shared" si="15"/>
        <v>0.57999999999999996</v>
      </c>
      <c r="V33" s="80">
        <f t="shared" si="16"/>
        <v>-0.01</v>
      </c>
      <c r="W33" s="104">
        <f t="shared" si="17"/>
        <v>4.95</v>
      </c>
      <c r="X33" s="105"/>
      <c r="Y33" s="102">
        <f t="shared" si="18"/>
        <v>-6.5000000000000002E-2</v>
      </c>
      <c r="Z33" s="106">
        <f t="shared" si="19"/>
        <v>1</v>
      </c>
      <c r="AA33" s="105">
        <f t="shared" ca="1" si="20"/>
        <v>89</v>
      </c>
      <c r="AB33" s="80" t="e">
        <f t="shared" si="21"/>
        <v>#DIV/0!</v>
      </c>
      <c r="AC33" s="80" t="e">
        <f t="shared" si="22"/>
        <v>#DIV/0!</v>
      </c>
      <c r="AD33" s="104">
        <f t="shared" si="23"/>
        <v>3.98</v>
      </c>
      <c r="AF33" s="105">
        <f t="shared" ca="1" si="52"/>
        <v>89</v>
      </c>
      <c r="AG33" s="105">
        <f t="shared" ca="1" si="53"/>
        <v>88</v>
      </c>
      <c r="AH33" s="80">
        <f t="shared" si="24"/>
        <v>6.8247886953399006E-2</v>
      </c>
      <c r="AI33" s="182">
        <f t="shared" si="25"/>
        <v>31</v>
      </c>
      <c r="AL33" s="105"/>
      <c r="AM33" s="82"/>
      <c r="AN33" s="82">
        <f t="shared" si="26"/>
        <v>0</v>
      </c>
      <c r="AO33" s="82" t="e">
        <f t="shared" si="54"/>
        <v>#DIV/0!</v>
      </c>
      <c r="AP33" s="77">
        <f t="shared" si="27"/>
        <v>0</v>
      </c>
      <c r="AQ33" s="108">
        <f t="shared" si="28"/>
        <v>0</v>
      </c>
      <c r="AR33" s="107">
        <f t="shared" si="29"/>
        <v>0</v>
      </c>
      <c r="AS33" s="107">
        <f t="shared" si="55"/>
        <v>0</v>
      </c>
      <c r="AT33" s="107">
        <f t="shared" si="30"/>
        <v>0</v>
      </c>
      <c r="AU33" s="109">
        <f t="shared" si="56"/>
        <v>0</v>
      </c>
      <c r="AV33" s="109">
        <f t="shared" si="57"/>
        <v>0</v>
      </c>
      <c r="AW33" s="109">
        <f t="shared" si="58"/>
        <v>0</v>
      </c>
      <c r="AY33" s="82">
        <f t="shared" si="31"/>
        <v>0</v>
      </c>
      <c r="AZ33" s="82" t="e">
        <f t="shared" si="59"/>
        <v>#DIV/0!</v>
      </c>
      <c r="BA33" s="77">
        <f t="shared" si="32"/>
        <v>0</v>
      </c>
      <c r="BB33" s="108">
        <f t="shared" si="33"/>
        <v>0</v>
      </c>
      <c r="BC33" s="107">
        <f t="shared" si="34"/>
        <v>0</v>
      </c>
      <c r="BD33" s="107">
        <f t="shared" si="35"/>
        <v>0</v>
      </c>
      <c r="BE33" s="107">
        <f t="shared" si="36"/>
        <v>0</v>
      </c>
      <c r="BF33" s="109">
        <f t="shared" si="60"/>
        <v>0</v>
      </c>
      <c r="BG33" s="109">
        <f t="shared" si="61"/>
        <v>0</v>
      </c>
      <c r="BH33" s="109">
        <f t="shared" si="62"/>
        <v>0</v>
      </c>
      <c r="BJ33" s="82">
        <f t="shared" si="37"/>
        <v>31</v>
      </c>
      <c r="BK33" s="82">
        <f t="shared" si="63"/>
        <v>5.1124999999999998</v>
      </c>
      <c r="BL33" s="77">
        <f t="shared" si="38"/>
        <v>152.21</v>
      </c>
      <c r="BM33" s="108">
        <f t="shared" si="39"/>
        <v>158.48749999999998</v>
      </c>
      <c r="BN33" s="107">
        <f t="shared" ca="1" si="40"/>
        <v>1.1340055475738655</v>
      </c>
      <c r="BO33" s="107">
        <f t="shared" ca="1" si="41"/>
        <v>0.19870186376270127</v>
      </c>
      <c r="BP33" s="107">
        <f t="shared" ca="1" si="42"/>
        <v>1.917065426103548E-2</v>
      </c>
      <c r="BQ33" s="109">
        <f t="shared" ca="1" si="64"/>
        <v>35.154171974789833</v>
      </c>
      <c r="BR33" s="109">
        <f t="shared" ca="1" si="65"/>
        <v>6.1597577766437395</v>
      </c>
      <c r="BS33" s="109">
        <f t="shared" ca="1" si="66"/>
        <v>0.59429028209209989</v>
      </c>
      <c r="BU33" s="82">
        <f t="shared" si="43"/>
        <v>0</v>
      </c>
      <c r="BV33" s="82" t="e">
        <f t="shared" si="67"/>
        <v>#DIV/0!</v>
      </c>
      <c r="BW33" s="77">
        <f t="shared" si="44"/>
        <v>0</v>
      </c>
      <c r="BX33" s="108">
        <f t="shared" si="45"/>
        <v>0</v>
      </c>
      <c r="BY33" s="107">
        <f t="shared" si="46"/>
        <v>0</v>
      </c>
      <c r="BZ33" s="107">
        <f t="shared" si="47"/>
        <v>0</v>
      </c>
      <c r="CA33" s="107">
        <f t="shared" si="48"/>
        <v>0</v>
      </c>
      <c r="CB33" s="109">
        <f t="shared" si="68"/>
        <v>0</v>
      </c>
      <c r="CC33" s="109">
        <f t="shared" si="69"/>
        <v>0</v>
      </c>
      <c r="CD33" s="109">
        <f t="shared" si="70"/>
        <v>0</v>
      </c>
    </row>
    <row r="34" spans="1:82" x14ac:dyDescent="0.25">
      <c r="A34" s="101">
        <f t="shared" si="49"/>
        <v>36892</v>
      </c>
      <c r="B34" s="102">
        <f t="shared" si="50"/>
        <v>4.8499999999999996</v>
      </c>
      <c r="C34" s="80">
        <f t="shared" si="51"/>
        <v>0.6</v>
      </c>
      <c r="D34" s="102">
        <f t="shared" si="0"/>
        <v>-0.40500000000000003</v>
      </c>
      <c r="E34" s="106">
        <f t="shared" si="1"/>
        <v>0.96</v>
      </c>
      <c r="F34" s="105">
        <f t="shared" ca="1" si="2"/>
        <v>118</v>
      </c>
      <c r="G34" s="80" t="e">
        <f t="shared" si="3"/>
        <v>#DIV/0!</v>
      </c>
      <c r="H34" s="80" t="e">
        <f t="shared" si="4"/>
        <v>#DIV/0!</v>
      </c>
      <c r="I34" s="104">
        <f t="shared" si="5"/>
        <v>5</v>
      </c>
      <c r="K34" s="102">
        <f t="shared" si="6"/>
        <v>-0.40500000000000003</v>
      </c>
      <c r="L34" s="106">
        <f t="shared" si="7"/>
        <v>0.96</v>
      </c>
      <c r="M34" s="105">
        <f t="shared" ca="1" si="8"/>
        <v>118</v>
      </c>
      <c r="N34" s="217" t="e">
        <f t="shared" si="9"/>
        <v>#DIV/0!</v>
      </c>
      <c r="O34" s="80" t="e">
        <f t="shared" si="10"/>
        <v>#DIV/0!</v>
      </c>
      <c r="P34" s="104">
        <f t="shared" si="11"/>
        <v>5</v>
      </c>
      <c r="R34" s="102">
        <f t="shared" si="12"/>
        <v>0.22750000000000001</v>
      </c>
      <c r="S34" s="106">
        <f t="shared" si="13"/>
        <v>1</v>
      </c>
      <c r="T34" s="105">
        <f t="shared" ca="1" si="14"/>
        <v>118</v>
      </c>
      <c r="U34" s="217">
        <f t="shared" si="15"/>
        <v>0.59499999999999997</v>
      </c>
      <c r="V34" s="80">
        <f t="shared" si="16"/>
        <v>-5.0000000000000001E-3</v>
      </c>
      <c r="W34" s="104">
        <f t="shared" si="17"/>
        <v>4.95</v>
      </c>
      <c r="X34" s="105"/>
      <c r="Y34" s="102">
        <f t="shared" si="18"/>
        <v>-7.0000000000000007E-2</v>
      </c>
      <c r="Z34" s="106">
        <f t="shared" si="19"/>
        <v>1</v>
      </c>
      <c r="AA34" s="105">
        <f t="shared" ca="1" si="20"/>
        <v>118</v>
      </c>
      <c r="AB34" s="80" t="e">
        <f t="shared" si="21"/>
        <v>#DIV/0!</v>
      </c>
      <c r="AC34" s="80" t="e">
        <f t="shared" si="22"/>
        <v>#DIV/0!</v>
      </c>
      <c r="AD34" s="104">
        <f t="shared" si="23"/>
        <v>3.98</v>
      </c>
      <c r="AF34" s="105">
        <f t="shared" ca="1" si="52"/>
        <v>118</v>
      </c>
      <c r="AG34" s="105">
        <f t="shared" ca="1" si="53"/>
        <v>117</v>
      </c>
      <c r="AH34" s="80">
        <f t="shared" si="24"/>
        <v>6.8245902043498008E-2</v>
      </c>
      <c r="AI34" s="182">
        <f t="shared" si="25"/>
        <v>31</v>
      </c>
      <c r="AL34" s="105"/>
      <c r="AM34" s="82"/>
      <c r="AN34" s="82">
        <f t="shared" si="26"/>
        <v>0</v>
      </c>
      <c r="AO34" s="82" t="e">
        <f t="shared" si="54"/>
        <v>#DIV/0!</v>
      </c>
      <c r="AP34" s="77">
        <f t="shared" si="27"/>
        <v>0</v>
      </c>
      <c r="AQ34" s="108">
        <f t="shared" si="28"/>
        <v>0</v>
      </c>
      <c r="AR34" s="107">
        <f t="shared" si="29"/>
        <v>0</v>
      </c>
      <c r="AS34" s="107">
        <f t="shared" si="55"/>
        <v>0</v>
      </c>
      <c r="AT34" s="107">
        <f t="shared" si="30"/>
        <v>0</v>
      </c>
      <c r="AU34" s="109">
        <f t="shared" si="56"/>
        <v>0</v>
      </c>
      <c r="AV34" s="109">
        <f t="shared" si="57"/>
        <v>0</v>
      </c>
      <c r="AW34" s="109">
        <f t="shared" si="58"/>
        <v>0</v>
      </c>
      <c r="AY34" s="82">
        <f t="shared" si="31"/>
        <v>0</v>
      </c>
      <c r="AZ34" s="82" t="e">
        <f t="shared" si="59"/>
        <v>#DIV/0!</v>
      </c>
      <c r="BA34" s="77">
        <f t="shared" si="32"/>
        <v>0</v>
      </c>
      <c r="BB34" s="108">
        <f t="shared" si="33"/>
        <v>0</v>
      </c>
      <c r="BC34" s="107">
        <f t="shared" si="34"/>
        <v>0</v>
      </c>
      <c r="BD34" s="107">
        <f t="shared" si="35"/>
        <v>0</v>
      </c>
      <c r="BE34" s="107">
        <f t="shared" si="36"/>
        <v>0</v>
      </c>
      <c r="BF34" s="109">
        <f t="shared" si="60"/>
        <v>0</v>
      </c>
      <c r="BG34" s="109">
        <f t="shared" si="61"/>
        <v>0</v>
      </c>
      <c r="BH34" s="109">
        <f t="shared" si="62"/>
        <v>0</v>
      </c>
      <c r="BJ34" s="82">
        <f t="shared" si="37"/>
        <v>31</v>
      </c>
      <c r="BK34" s="82">
        <f t="shared" si="63"/>
        <v>5.0774999999999997</v>
      </c>
      <c r="BL34" s="77">
        <f t="shared" si="38"/>
        <v>150.35</v>
      </c>
      <c r="BM34" s="108">
        <f t="shared" si="39"/>
        <v>157.4025</v>
      </c>
      <c r="BN34" s="107">
        <f t="shared" ca="1" si="40"/>
        <v>1.3212329020976394</v>
      </c>
      <c r="BO34" s="107">
        <f t="shared" ca="1" si="41"/>
        <v>0.18881018836098312</v>
      </c>
      <c r="BP34" s="107">
        <f t="shared" ca="1" si="42"/>
        <v>2.1865313563751876E-2</v>
      </c>
      <c r="BQ34" s="109">
        <f t="shared" ca="1" si="64"/>
        <v>40.958219965026821</v>
      </c>
      <c r="BR34" s="109">
        <f t="shared" ca="1" si="65"/>
        <v>5.853115839190477</v>
      </c>
      <c r="BS34" s="109">
        <f t="shared" ca="1" si="66"/>
        <v>0.67782472047630815</v>
      </c>
      <c r="BU34" s="82">
        <f t="shared" si="43"/>
        <v>0</v>
      </c>
      <c r="BV34" s="82" t="e">
        <f t="shared" si="67"/>
        <v>#DIV/0!</v>
      </c>
      <c r="BW34" s="77">
        <f t="shared" si="44"/>
        <v>0</v>
      </c>
      <c r="BX34" s="108">
        <f t="shared" si="45"/>
        <v>0</v>
      </c>
      <c r="BY34" s="107">
        <f t="shared" si="46"/>
        <v>0</v>
      </c>
      <c r="BZ34" s="107">
        <f t="shared" si="47"/>
        <v>0</v>
      </c>
      <c r="CA34" s="107">
        <f t="shared" si="48"/>
        <v>0</v>
      </c>
      <c r="CB34" s="109">
        <f t="shared" si="68"/>
        <v>0</v>
      </c>
      <c r="CC34" s="109">
        <f t="shared" si="69"/>
        <v>0</v>
      </c>
      <c r="CD34" s="109">
        <f t="shared" si="70"/>
        <v>0</v>
      </c>
    </row>
    <row r="35" spans="1:82" x14ac:dyDescent="0.25">
      <c r="A35" s="101">
        <f t="shared" si="49"/>
        <v>36923</v>
      </c>
      <c r="B35" s="102">
        <f t="shared" si="50"/>
        <v>4.58</v>
      </c>
      <c r="C35" s="80">
        <f t="shared" si="51"/>
        <v>0.59250000000000003</v>
      </c>
      <c r="D35" s="102">
        <f t="shared" si="0"/>
        <v>-0.41</v>
      </c>
      <c r="E35" s="106">
        <f t="shared" si="1"/>
        <v>0.96</v>
      </c>
      <c r="F35" s="105">
        <f t="shared" ca="1" si="2"/>
        <v>151</v>
      </c>
      <c r="G35" s="80" t="e">
        <f t="shared" si="3"/>
        <v>#DIV/0!</v>
      </c>
      <c r="H35" s="80" t="e">
        <f t="shared" si="4"/>
        <v>#DIV/0!</v>
      </c>
      <c r="I35" s="104">
        <f t="shared" si="5"/>
        <v>5</v>
      </c>
      <c r="K35" s="102">
        <f t="shared" si="6"/>
        <v>-0.41</v>
      </c>
      <c r="L35" s="106">
        <f t="shared" si="7"/>
        <v>0.96</v>
      </c>
      <c r="M35" s="105">
        <f t="shared" ca="1" si="8"/>
        <v>151</v>
      </c>
      <c r="N35" s="217" t="e">
        <f t="shared" si="9"/>
        <v>#DIV/0!</v>
      </c>
      <c r="O35" s="80" t="e">
        <f t="shared" si="10"/>
        <v>#DIV/0!</v>
      </c>
      <c r="P35" s="104">
        <f t="shared" si="11"/>
        <v>5</v>
      </c>
      <c r="R35" s="102">
        <f t="shared" si="12"/>
        <v>0.2475</v>
      </c>
      <c r="S35" s="106">
        <f t="shared" si="13"/>
        <v>1</v>
      </c>
      <c r="T35" s="105">
        <f t="shared" ca="1" si="14"/>
        <v>151</v>
      </c>
      <c r="U35" s="217">
        <f t="shared" si="15"/>
        <v>0.59550000000000003</v>
      </c>
      <c r="V35" s="80">
        <f t="shared" si="16"/>
        <v>3.0000000000000001E-3</v>
      </c>
      <c r="W35" s="104">
        <f t="shared" si="17"/>
        <v>4.95</v>
      </c>
      <c r="X35" s="105"/>
      <c r="Y35" s="102">
        <f t="shared" si="18"/>
        <v>-5.2499999999999998E-2</v>
      </c>
      <c r="Z35" s="106">
        <f t="shared" si="19"/>
        <v>1</v>
      </c>
      <c r="AA35" s="105">
        <f t="shared" ca="1" si="20"/>
        <v>151</v>
      </c>
      <c r="AB35" s="80" t="e">
        <f t="shared" si="21"/>
        <v>#DIV/0!</v>
      </c>
      <c r="AC35" s="80" t="e">
        <f t="shared" si="22"/>
        <v>#DIV/0!</v>
      </c>
      <c r="AD35" s="104">
        <f t="shared" si="23"/>
        <v>3.98</v>
      </c>
      <c r="AF35" s="105">
        <f t="shared" ca="1" si="52"/>
        <v>151</v>
      </c>
      <c r="AG35" s="105">
        <f t="shared" ca="1" si="53"/>
        <v>148</v>
      </c>
      <c r="AH35" s="80">
        <f t="shared" si="24"/>
        <v>6.8477342037279024E-2</v>
      </c>
      <c r="AI35" s="182">
        <f t="shared" si="25"/>
        <v>28</v>
      </c>
      <c r="AL35" s="105"/>
      <c r="AM35" s="82"/>
      <c r="AN35" s="82">
        <f t="shared" si="26"/>
        <v>0</v>
      </c>
      <c r="AO35" s="82" t="e">
        <f t="shared" si="54"/>
        <v>#DIV/0!</v>
      </c>
      <c r="AP35" s="77">
        <f t="shared" si="27"/>
        <v>0</v>
      </c>
      <c r="AQ35" s="108">
        <f t="shared" si="28"/>
        <v>0</v>
      </c>
      <c r="AR35" s="107">
        <f t="shared" si="29"/>
        <v>0</v>
      </c>
      <c r="AS35" s="107">
        <f t="shared" si="55"/>
        <v>0</v>
      </c>
      <c r="AT35" s="107">
        <f t="shared" si="30"/>
        <v>0</v>
      </c>
      <c r="AU35" s="109">
        <f t="shared" si="56"/>
        <v>0</v>
      </c>
      <c r="AV35" s="109">
        <f t="shared" si="57"/>
        <v>0</v>
      </c>
      <c r="AW35" s="109">
        <f t="shared" si="58"/>
        <v>0</v>
      </c>
      <c r="AY35" s="82">
        <f t="shared" si="31"/>
        <v>0</v>
      </c>
      <c r="AZ35" s="82" t="e">
        <f t="shared" si="59"/>
        <v>#DIV/0!</v>
      </c>
      <c r="BA35" s="77">
        <f t="shared" si="32"/>
        <v>0</v>
      </c>
      <c r="BB35" s="108">
        <f t="shared" si="33"/>
        <v>0</v>
      </c>
      <c r="BC35" s="107">
        <f t="shared" si="34"/>
        <v>0</v>
      </c>
      <c r="BD35" s="107">
        <f t="shared" si="35"/>
        <v>0</v>
      </c>
      <c r="BE35" s="107">
        <f t="shared" si="36"/>
        <v>0</v>
      </c>
      <c r="BF35" s="109">
        <f t="shared" si="60"/>
        <v>0</v>
      </c>
      <c r="BG35" s="109">
        <f t="shared" si="61"/>
        <v>0</v>
      </c>
      <c r="BH35" s="109">
        <f t="shared" si="62"/>
        <v>0</v>
      </c>
      <c r="BJ35" s="82">
        <f t="shared" si="37"/>
        <v>28</v>
      </c>
      <c r="BK35" s="82">
        <f t="shared" si="63"/>
        <v>4.8274999999999997</v>
      </c>
      <c r="BL35" s="77">
        <f t="shared" si="38"/>
        <v>128.24</v>
      </c>
      <c r="BM35" s="108">
        <f t="shared" si="39"/>
        <v>135.16999999999999</v>
      </c>
      <c r="BN35" s="107">
        <f t="shared" ca="1" si="40"/>
        <v>1.4465330122226108</v>
      </c>
      <c r="BO35" s="107">
        <f t="shared" ca="1" si="41"/>
        <v>9.7534766009588825E-2</v>
      </c>
      <c r="BP35" s="107">
        <f t="shared" ca="1" si="42"/>
        <v>2.3885287493886409E-2</v>
      </c>
      <c r="BQ35" s="109">
        <f t="shared" ca="1" si="64"/>
        <v>40.502924342233101</v>
      </c>
      <c r="BR35" s="109">
        <f t="shared" ca="1" si="65"/>
        <v>2.7309734482684869</v>
      </c>
      <c r="BS35" s="109">
        <f t="shared" ca="1" si="66"/>
        <v>0.66878804982881945</v>
      </c>
      <c r="BU35" s="82">
        <f t="shared" si="43"/>
        <v>0</v>
      </c>
      <c r="BV35" s="82" t="e">
        <f t="shared" si="67"/>
        <v>#DIV/0!</v>
      </c>
      <c r="BW35" s="77">
        <f t="shared" si="44"/>
        <v>0</v>
      </c>
      <c r="BX35" s="108">
        <f t="shared" si="45"/>
        <v>0</v>
      </c>
      <c r="BY35" s="107">
        <f t="shared" si="46"/>
        <v>0</v>
      </c>
      <c r="BZ35" s="107">
        <f t="shared" si="47"/>
        <v>0</v>
      </c>
      <c r="CA35" s="107">
        <f t="shared" si="48"/>
        <v>0</v>
      </c>
      <c r="CB35" s="109">
        <f t="shared" si="68"/>
        <v>0</v>
      </c>
      <c r="CC35" s="109">
        <f t="shared" si="69"/>
        <v>0</v>
      </c>
      <c r="CD35" s="109">
        <f t="shared" si="70"/>
        <v>0</v>
      </c>
    </row>
    <row r="36" spans="1:82" x14ac:dyDescent="0.25">
      <c r="A36" s="101">
        <f t="shared" si="49"/>
        <v>36951</v>
      </c>
      <c r="B36" s="102">
        <f t="shared" si="50"/>
        <v>4.3150000000000004</v>
      </c>
      <c r="C36" s="80">
        <f t="shared" si="51"/>
        <v>0.53</v>
      </c>
      <c r="D36" s="102">
        <f t="shared" si="0"/>
        <v>-0.48249999999999998</v>
      </c>
      <c r="E36" s="106">
        <f t="shared" si="1"/>
        <v>0.96</v>
      </c>
      <c r="F36" s="105">
        <f t="shared" ca="1" si="2"/>
        <v>179</v>
      </c>
      <c r="G36" s="80" t="e">
        <f t="shared" si="3"/>
        <v>#DIV/0!</v>
      </c>
      <c r="H36" s="80" t="e">
        <f t="shared" si="4"/>
        <v>#DIV/0!</v>
      </c>
      <c r="I36" s="104">
        <f t="shared" si="5"/>
        <v>5</v>
      </c>
      <c r="J36" s="132">
        <f>ROUND(I36-B36,1)</f>
        <v>0.7</v>
      </c>
      <c r="K36" s="102">
        <f t="shared" si="6"/>
        <v>-0.48249999999999998</v>
      </c>
      <c r="L36" s="106">
        <f t="shared" si="7"/>
        <v>0.96</v>
      </c>
      <c r="M36" s="105">
        <f t="shared" ca="1" si="8"/>
        <v>179</v>
      </c>
      <c r="N36" s="217" t="e">
        <f t="shared" si="9"/>
        <v>#DIV/0!</v>
      </c>
      <c r="O36" s="80" t="e">
        <f t="shared" si="10"/>
        <v>#DIV/0!</v>
      </c>
      <c r="P36" s="104">
        <f t="shared" si="11"/>
        <v>5</v>
      </c>
      <c r="R36" s="102">
        <f t="shared" si="12"/>
        <v>0.23499999999999999</v>
      </c>
      <c r="S36" s="106">
        <f t="shared" si="13"/>
        <v>1</v>
      </c>
      <c r="T36" s="105">
        <f t="shared" ca="1" si="14"/>
        <v>179</v>
      </c>
      <c r="U36" s="217">
        <f t="shared" si="15"/>
        <v>0.54200000000000004</v>
      </c>
      <c r="V36" s="80">
        <f t="shared" si="16"/>
        <v>1.2E-2</v>
      </c>
      <c r="W36" s="104">
        <f t="shared" si="17"/>
        <v>4.95</v>
      </c>
      <c r="X36" s="105"/>
      <c r="Y36" s="102">
        <f t="shared" si="18"/>
        <v>-3.5000000000000003E-2</v>
      </c>
      <c r="Z36" s="106">
        <f t="shared" si="19"/>
        <v>1</v>
      </c>
      <c r="AA36" s="105">
        <f t="shared" ca="1" si="20"/>
        <v>179</v>
      </c>
      <c r="AB36" s="80" t="e">
        <f t="shared" si="21"/>
        <v>#DIV/0!</v>
      </c>
      <c r="AC36" s="80" t="e">
        <f t="shared" si="22"/>
        <v>#DIV/0!</v>
      </c>
      <c r="AD36" s="104">
        <f t="shared" si="23"/>
        <v>3.98</v>
      </c>
      <c r="AF36" s="105">
        <f t="shared" ca="1" si="52"/>
        <v>179</v>
      </c>
      <c r="AG36" s="105">
        <f t="shared" ca="1" si="53"/>
        <v>176</v>
      </c>
      <c r="AH36" s="80">
        <f t="shared" si="24"/>
        <v>6.8686384627542008E-2</v>
      </c>
      <c r="AI36" s="182">
        <f t="shared" si="25"/>
        <v>31</v>
      </c>
      <c r="AL36" s="105"/>
      <c r="AM36" s="82"/>
      <c r="AN36" s="82">
        <f t="shared" si="26"/>
        <v>0</v>
      </c>
      <c r="AO36" s="82" t="e">
        <f t="shared" si="54"/>
        <v>#DIV/0!</v>
      </c>
      <c r="AP36" s="77">
        <f t="shared" si="27"/>
        <v>0</v>
      </c>
      <c r="AQ36" s="108">
        <f t="shared" si="28"/>
        <v>0</v>
      </c>
      <c r="AR36" s="107">
        <f t="shared" si="29"/>
        <v>0</v>
      </c>
      <c r="AS36" s="107">
        <f t="shared" si="55"/>
        <v>0</v>
      </c>
      <c r="AT36" s="107">
        <f t="shared" si="30"/>
        <v>0</v>
      </c>
      <c r="AU36" s="109">
        <f t="shared" si="56"/>
        <v>0</v>
      </c>
      <c r="AV36" s="109">
        <f t="shared" si="57"/>
        <v>0</v>
      </c>
      <c r="AW36" s="109">
        <f t="shared" si="58"/>
        <v>0</v>
      </c>
      <c r="AY36" s="82">
        <f t="shared" si="31"/>
        <v>0</v>
      </c>
      <c r="AZ36" s="82" t="e">
        <f t="shared" si="59"/>
        <v>#DIV/0!</v>
      </c>
      <c r="BA36" s="77">
        <f t="shared" si="32"/>
        <v>0</v>
      </c>
      <c r="BB36" s="108">
        <f t="shared" si="33"/>
        <v>0</v>
      </c>
      <c r="BC36" s="107">
        <f t="shared" si="34"/>
        <v>0</v>
      </c>
      <c r="BD36" s="107">
        <f t="shared" si="35"/>
        <v>0</v>
      </c>
      <c r="BE36" s="107">
        <f t="shared" si="36"/>
        <v>0</v>
      </c>
      <c r="BF36" s="109">
        <f t="shared" si="60"/>
        <v>0</v>
      </c>
      <c r="BG36" s="109">
        <f t="shared" si="61"/>
        <v>0</v>
      </c>
      <c r="BH36" s="109">
        <f t="shared" si="62"/>
        <v>0</v>
      </c>
      <c r="BJ36" s="82">
        <f t="shared" si="37"/>
        <v>31</v>
      </c>
      <c r="BK36" s="82">
        <f t="shared" si="63"/>
        <v>4.5500000000000007</v>
      </c>
      <c r="BL36" s="77">
        <f t="shared" si="38"/>
        <v>133.76500000000001</v>
      </c>
      <c r="BM36" s="108">
        <f t="shared" si="39"/>
        <v>141.05000000000001</v>
      </c>
      <c r="BN36" s="107">
        <f t="shared" ca="1" si="40"/>
        <v>1.4160601932577723</v>
      </c>
      <c r="BO36" s="107">
        <f t="shared" ca="1" si="41"/>
        <v>-2.484896556743621E-2</v>
      </c>
      <c r="BP36" s="107">
        <f t="shared" ca="1" si="42"/>
        <v>2.4571329900152428E-2</v>
      </c>
      <c r="BQ36" s="109">
        <f t="shared" ca="1" si="64"/>
        <v>43.897865990990944</v>
      </c>
      <c r="BR36" s="109">
        <f t="shared" ca="1" si="65"/>
        <v>-0.7703179325905225</v>
      </c>
      <c r="BS36" s="109">
        <f t="shared" ca="1" si="66"/>
        <v>0.76171122690472526</v>
      </c>
      <c r="BU36" s="82">
        <f t="shared" si="43"/>
        <v>0</v>
      </c>
      <c r="BV36" s="82" t="e">
        <f t="shared" si="67"/>
        <v>#DIV/0!</v>
      </c>
      <c r="BW36" s="77">
        <f t="shared" si="44"/>
        <v>0</v>
      </c>
      <c r="BX36" s="108">
        <f t="shared" si="45"/>
        <v>0</v>
      </c>
      <c r="BY36" s="107">
        <f t="shared" si="46"/>
        <v>0</v>
      </c>
      <c r="BZ36" s="107">
        <f t="shared" si="47"/>
        <v>0</v>
      </c>
      <c r="CA36" s="107">
        <f t="shared" si="48"/>
        <v>0</v>
      </c>
      <c r="CB36" s="109">
        <f t="shared" si="68"/>
        <v>0</v>
      </c>
      <c r="CC36" s="109">
        <f t="shared" si="69"/>
        <v>0</v>
      </c>
      <c r="CD36" s="109">
        <f t="shared" si="70"/>
        <v>0</v>
      </c>
    </row>
    <row r="37" spans="1:82" x14ac:dyDescent="0.25">
      <c r="A37" s="101">
        <f t="shared" si="49"/>
        <v>36982</v>
      </c>
      <c r="B37" s="102">
        <f t="shared" si="50"/>
        <v>4.0549999999999997</v>
      </c>
      <c r="C37" s="80">
        <f t="shared" si="51"/>
        <v>0.435</v>
      </c>
      <c r="D37" s="102">
        <f t="shared" si="0"/>
        <v>-0.48</v>
      </c>
      <c r="E37" s="106">
        <f t="shared" si="1"/>
        <v>0.97</v>
      </c>
      <c r="F37" s="105">
        <f t="shared" ca="1" si="2"/>
        <v>209</v>
      </c>
      <c r="G37" s="80">
        <f t="shared" si="3"/>
        <v>0.45109442638799996</v>
      </c>
      <c r="H37" s="80">
        <f t="shared" si="4"/>
        <v>3.0045800400000003E-2</v>
      </c>
      <c r="I37" s="104">
        <f t="shared" si="5"/>
        <v>5</v>
      </c>
      <c r="K37" s="102">
        <f t="shared" si="6"/>
        <v>-0.48</v>
      </c>
      <c r="L37" s="106">
        <f t="shared" si="7"/>
        <v>0.97</v>
      </c>
      <c r="M37" s="105">
        <f t="shared" ca="1" si="8"/>
        <v>209</v>
      </c>
      <c r="N37" s="217">
        <f t="shared" si="9"/>
        <v>0.45109442638799996</v>
      </c>
      <c r="O37" s="80">
        <f t="shared" si="10"/>
        <v>3.0045800400000003E-2</v>
      </c>
      <c r="P37" s="104">
        <f t="shared" si="11"/>
        <v>5</v>
      </c>
      <c r="R37" s="102">
        <f t="shared" si="12"/>
        <v>0.14000000000000001</v>
      </c>
      <c r="S37" s="106">
        <f t="shared" si="13"/>
        <v>1</v>
      </c>
      <c r="T37" s="105">
        <f t="shared" ca="1" si="14"/>
        <v>209</v>
      </c>
      <c r="U37" s="217" t="e">
        <f t="shared" si="15"/>
        <v>#DIV/0!</v>
      </c>
      <c r="V37" s="80" t="e">
        <f t="shared" si="16"/>
        <v>#DIV/0!</v>
      </c>
      <c r="W37" s="104">
        <f t="shared" si="17"/>
        <v>4.95</v>
      </c>
      <c r="X37" s="105"/>
      <c r="Y37" s="102">
        <f t="shared" si="18"/>
        <v>5.0000000000000001E-3</v>
      </c>
      <c r="Z37" s="106">
        <f t="shared" si="19"/>
        <v>1</v>
      </c>
      <c r="AA37" s="105">
        <f t="shared" ca="1" si="20"/>
        <v>209</v>
      </c>
      <c r="AB37" s="80" t="e">
        <f t="shared" si="21"/>
        <v>#DIV/0!</v>
      </c>
      <c r="AC37" s="80" t="e">
        <f t="shared" si="22"/>
        <v>#DIV/0!</v>
      </c>
      <c r="AD37" s="104">
        <f t="shared" si="23"/>
        <v>3.98</v>
      </c>
      <c r="AF37" s="105">
        <f t="shared" ca="1" si="52"/>
        <v>209</v>
      </c>
      <c r="AG37" s="105">
        <f t="shared" ca="1" si="53"/>
        <v>208</v>
      </c>
      <c r="AH37" s="80">
        <f t="shared" si="24"/>
        <v>6.8834971958648017E-2</v>
      </c>
      <c r="AI37" s="182">
        <f t="shared" si="25"/>
        <v>30</v>
      </c>
      <c r="AL37" s="105"/>
      <c r="AM37" s="82"/>
      <c r="AN37" s="82">
        <f t="shared" si="26"/>
        <v>30</v>
      </c>
      <c r="AO37" s="82">
        <f t="shared" si="54"/>
        <v>3.5949999999999993</v>
      </c>
      <c r="AP37" s="77">
        <f t="shared" si="27"/>
        <v>122.24999999999997</v>
      </c>
      <c r="AQ37" s="108">
        <f t="shared" si="28"/>
        <v>107.84999999999998</v>
      </c>
      <c r="AR37" s="107">
        <f t="shared" ca="1" si="29"/>
        <v>0.12238766492831332</v>
      </c>
      <c r="AS37" s="107">
        <f t="shared" ca="1" si="55"/>
        <v>0.20484582906273335</v>
      </c>
      <c r="AT37" s="107">
        <f t="shared" ca="1" si="30"/>
        <v>7.6766660907827688E-3</v>
      </c>
      <c r="AU37" s="109">
        <f t="shared" ca="1" si="56"/>
        <v>3.6716299478493997</v>
      </c>
      <c r="AV37" s="109">
        <f t="shared" ca="1" si="57"/>
        <v>6.1453748718820007</v>
      </c>
      <c r="AW37" s="109">
        <f t="shared" ca="1" si="58"/>
        <v>0.23029998272348307</v>
      </c>
      <c r="AY37" s="82">
        <f t="shared" si="31"/>
        <v>30</v>
      </c>
      <c r="AZ37" s="82">
        <f t="shared" si="59"/>
        <v>3.5849999999999995</v>
      </c>
      <c r="BA37" s="77">
        <f t="shared" si="32"/>
        <v>121.94999999999999</v>
      </c>
      <c r="BB37" s="108">
        <f t="shared" si="33"/>
        <v>107.54999999999998</v>
      </c>
      <c r="BC37" s="107">
        <f t="shared" ca="1" si="34"/>
        <v>0.12035057557396744</v>
      </c>
      <c r="BD37" s="107">
        <f t="shared" ca="1" si="35"/>
        <v>0.20257293243362307</v>
      </c>
      <c r="BE37" s="107">
        <f t="shared" ca="1" si="36"/>
        <v>7.6068156481908789E-3</v>
      </c>
      <c r="BF37" s="109">
        <f t="shared" ca="1" si="60"/>
        <v>3.6105172672190236</v>
      </c>
      <c r="BG37" s="109">
        <f t="shared" ca="1" si="61"/>
        <v>6.0771879730086917</v>
      </c>
      <c r="BH37" s="109">
        <f t="shared" ca="1" si="62"/>
        <v>0.22820446944572637</v>
      </c>
      <c r="BJ37" s="82">
        <f t="shared" si="37"/>
        <v>0</v>
      </c>
      <c r="BK37" s="82" t="e">
        <f t="shared" si="63"/>
        <v>#DIV/0!</v>
      </c>
      <c r="BL37" s="77">
        <f t="shared" si="38"/>
        <v>0</v>
      </c>
      <c r="BM37" s="108">
        <f t="shared" si="39"/>
        <v>0</v>
      </c>
      <c r="BN37" s="107">
        <f t="shared" si="40"/>
        <v>0</v>
      </c>
      <c r="BO37" s="107">
        <f t="shared" si="41"/>
        <v>0</v>
      </c>
      <c r="BP37" s="107">
        <f t="shared" si="42"/>
        <v>0</v>
      </c>
      <c r="BQ37" s="109">
        <f t="shared" si="64"/>
        <v>0</v>
      </c>
      <c r="BR37" s="109">
        <f t="shared" si="65"/>
        <v>0</v>
      </c>
      <c r="BS37" s="109">
        <f t="shared" si="66"/>
        <v>0</v>
      </c>
      <c r="BU37" s="82">
        <f t="shared" si="43"/>
        <v>0</v>
      </c>
      <c r="BV37" s="82" t="e">
        <f t="shared" si="67"/>
        <v>#DIV/0!</v>
      </c>
      <c r="BW37" s="77">
        <f t="shared" si="44"/>
        <v>0</v>
      </c>
      <c r="BX37" s="108">
        <f t="shared" si="45"/>
        <v>0</v>
      </c>
      <c r="BY37" s="107">
        <f t="shared" si="46"/>
        <v>0</v>
      </c>
      <c r="BZ37" s="107">
        <f t="shared" si="47"/>
        <v>0</v>
      </c>
      <c r="CA37" s="107">
        <f t="shared" si="48"/>
        <v>0</v>
      </c>
      <c r="CB37" s="109">
        <f t="shared" si="68"/>
        <v>0</v>
      </c>
      <c r="CC37" s="109">
        <f t="shared" si="69"/>
        <v>0</v>
      </c>
      <c r="CD37" s="109">
        <f t="shared" si="70"/>
        <v>0</v>
      </c>
    </row>
    <row r="38" spans="1:82" x14ac:dyDescent="0.25">
      <c r="A38" s="101">
        <f t="shared" si="49"/>
        <v>37012</v>
      </c>
      <c r="B38" s="102">
        <f t="shared" si="50"/>
        <v>3.95</v>
      </c>
      <c r="C38" s="80">
        <f t="shared" si="51"/>
        <v>0.4</v>
      </c>
      <c r="D38" s="102">
        <f t="shared" si="0"/>
        <v>-0.48</v>
      </c>
      <c r="E38" s="106">
        <f t="shared" si="1"/>
        <v>0.97</v>
      </c>
      <c r="F38" s="105">
        <f t="shared" ca="1" si="2"/>
        <v>238</v>
      </c>
      <c r="G38" s="80">
        <f t="shared" si="3"/>
        <v>0.41847092117600004</v>
      </c>
      <c r="H38" s="80">
        <f t="shared" si="4"/>
        <v>3.1413320800000005E-2</v>
      </c>
      <c r="I38" s="104">
        <f t="shared" si="5"/>
        <v>5</v>
      </c>
      <c r="K38" s="102">
        <f t="shared" si="6"/>
        <v>-0.48</v>
      </c>
      <c r="L38" s="106">
        <f t="shared" si="7"/>
        <v>0.97</v>
      </c>
      <c r="M38" s="105">
        <f t="shared" ca="1" si="8"/>
        <v>238</v>
      </c>
      <c r="N38" s="217">
        <f t="shared" si="9"/>
        <v>0.41847092117600004</v>
      </c>
      <c r="O38" s="80">
        <f t="shared" si="10"/>
        <v>3.1413320800000005E-2</v>
      </c>
      <c r="P38" s="104">
        <f t="shared" si="11"/>
        <v>5</v>
      </c>
      <c r="R38" s="102">
        <f t="shared" si="12"/>
        <v>0.1275</v>
      </c>
      <c r="S38" s="106">
        <f t="shared" si="13"/>
        <v>1</v>
      </c>
      <c r="T38" s="105">
        <f t="shared" ca="1" si="14"/>
        <v>238</v>
      </c>
      <c r="U38" s="217" t="e">
        <f t="shared" si="15"/>
        <v>#DIV/0!</v>
      </c>
      <c r="V38" s="80" t="e">
        <f t="shared" si="16"/>
        <v>#DIV/0!</v>
      </c>
      <c r="W38" s="104">
        <f t="shared" si="17"/>
        <v>4.95</v>
      </c>
      <c r="X38" s="105"/>
      <c r="Y38" s="102">
        <f t="shared" si="18"/>
        <v>7.4999999999999997E-3</v>
      </c>
      <c r="Z38" s="106">
        <f t="shared" si="19"/>
        <v>1</v>
      </c>
      <c r="AA38" s="105">
        <f t="shared" ca="1" si="20"/>
        <v>238</v>
      </c>
      <c r="AB38" s="80" t="e">
        <f t="shared" si="21"/>
        <v>#DIV/0!</v>
      </c>
      <c r="AC38" s="80" t="e">
        <f t="shared" si="22"/>
        <v>#DIV/0!</v>
      </c>
      <c r="AD38" s="104">
        <f t="shared" si="23"/>
        <v>3.98</v>
      </c>
      <c r="AF38" s="105">
        <f t="shared" ca="1" si="52"/>
        <v>238</v>
      </c>
      <c r="AG38" s="105">
        <f t="shared" ca="1" si="53"/>
        <v>237</v>
      </c>
      <c r="AH38" s="80">
        <f t="shared" si="24"/>
        <v>6.8844146311537027E-2</v>
      </c>
      <c r="AI38" s="182">
        <f t="shared" si="25"/>
        <v>31</v>
      </c>
      <c r="AL38" s="105"/>
      <c r="AM38" s="82"/>
      <c r="AN38" s="82">
        <f t="shared" si="26"/>
        <v>31</v>
      </c>
      <c r="AO38" s="82">
        <f t="shared" si="54"/>
        <v>3.49</v>
      </c>
      <c r="AP38" s="77">
        <f t="shared" si="27"/>
        <v>123.07000000000001</v>
      </c>
      <c r="AQ38" s="108">
        <f t="shared" si="28"/>
        <v>108.19000000000001</v>
      </c>
      <c r="AR38" s="107">
        <f t="shared" ca="1" si="29"/>
        <v>9.8483054964079053E-2</v>
      </c>
      <c r="AS38" s="107">
        <f t="shared" ca="1" si="55"/>
        <v>0.17724913146044474</v>
      </c>
      <c r="AT38" s="107">
        <f t="shared" ca="1" si="30"/>
        <v>7.2950998043934678E-3</v>
      </c>
      <c r="AU38" s="109">
        <f t="shared" ca="1" si="56"/>
        <v>3.0529747038864508</v>
      </c>
      <c r="AV38" s="109">
        <f t="shared" ca="1" si="57"/>
        <v>5.4947230752737868</v>
      </c>
      <c r="AW38" s="109">
        <f t="shared" ca="1" si="58"/>
        <v>0.2261480939361975</v>
      </c>
      <c r="AY38" s="82">
        <f t="shared" si="31"/>
        <v>31</v>
      </c>
      <c r="AZ38" s="82">
        <f t="shared" si="59"/>
        <v>3.48</v>
      </c>
      <c r="BA38" s="77">
        <f t="shared" si="32"/>
        <v>122.76</v>
      </c>
      <c r="BB38" s="108">
        <f t="shared" si="33"/>
        <v>107.88</v>
      </c>
      <c r="BC38" s="107">
        <f t="shared" ca="1" si="34"/>
        <v>9.6721389200786101E-2</v>
      </c>
      <c r="BD38" s="107">
        <f t="shared" ca="1" si="35"/>
        <v>0.1750874050350511</v>
      </c>
      <c r="BE38" s="107">
        <f t="shared" ca="1" si="36"/>
        <v>7.2203929048237914E-3</v>
      </c>
      <c r="BF38" s="109">
        <f t="shared" ca="1" si="60"/>
        <v>2.9983630652243694</v>
      </c>
      <c r="BG38" s="109">
        <f t="shared" ca="1" si="61"/>
        <v>5.427709556086584</v>
      </c>
      <c r="BH38" s="109">
        <f t="shared" ca="1" si="62"/>
        <v>0.22383218004953753</v>
      </c>
      <c r="BJ38" s="82">
        <f t="shared" si="37"/>
        <v>0</v>
      </c>
      <c r="BK38" s="82" t="e">
        <f t="shared" si="63"/>
        <v>#DIV/0!</v>
      </c>
      <c r="BL38" s="77">
        <f t="shared" si="38"/>
        <v>0</v>
      </c>
      <c r="BM38" s="108">
        <f t="shared" si="39"/>
        <v>0</v>
      </c>
      <c r="BN38" s="107">
        <f t="shared" si="40"/>
        <v>0</v>
      </c>
      <c r="BO38" s="107">
        <f t="shared" si="41"/>
        <v>0</v>
      </c>
      <c r="BP38" s="107">
        <f t="shared" si="42"/>
        <v>0</v>
      </c>
      <c r="BQ38" s="109">
        <f t="shared" si="64"/>
        <v>0</v>
      </c>
      <c r="BR38" s="109">
        <f t="shared" si="65"/>
        <v>0</v>
      </c>
      <c r="BS38" s="109">
        <f t="shared" si="66"/>
        <v>0</v>
      </c>
      <c r="BU38" s="82">
        <f t="shared" si="43"/>
        <v>0</v>
      </c>
      <c r="BV38" s="82" t="e">
        <f t="shared" si="67"/>
        <v>#DIV/0!</v>
      </c>
      <c r="BW38" s="77">
        <f t="shared" si="44"/>
        <v>0</v>
      </c>
      <c r="BX38" s="108">
        <f t="shared" si="45"/>
        <v>0</v>
      </c>
      <c r="BY38" s="107">
        <f t="shared" si="46"/>
        <v>0</v>
      </c>
      <c r="BZ38" s="107">
        <f t="shared" si="47"/>
        <v>0</v>
      </c>
      <c r="CA38" s="107">
        <f t="shared" si="48"/>
        <v>0</v>
      </c>
      <c r="CB38" s="109">
        <f t="shared" si="68"/>
        <v>0</v>
      </c>
      <c r="CC38" s="109">
        <f t="shared" si="69"/>
        <v>0</v>
      </c>
      <c r="CD38" s="109">
        <f t="shared" si="70"/>
        <v>0</v>
      </c>
    </row>
    <row r="39" spans="1:82" x14ac:dyDescent="0.25">
      <c r="A39" s="101">
        <f t="shared" si="49"/>
        <v>37043</v>
      </c>
      <c r="B39" s="102">
        <f t="shared" si="50"/>
        <v>3.9350000000000001</v>
      </c>
      <c r="C39" s="80">
        <f t="shared" si="51"/>
        <v>0.39500000000000002</v>
      </c>
      <c r="D39" s="102">
        <f t="shared" si="0"/>
        <v>-0.48</v>
      </c>
      <c r="E39" s="106">
        <f t="shared" si="1"/>
        <v>0.97</v>
      </c>
      <c r="F39" s="105">
        <f t="shared" ca="1" si="2"/>
        <v>271</v>
      </c>
      <c r="G39" s="80">
        <f t="shared" si="3"/>
        <v>0.41362092117600002</v>
      </c>
      <c r="H39" s="80">
        <f t="shared" si="4"/>
        <v>3.1413320800000005E-2</v>
      </c>
      <c r="I39" s="104">
        <f t="shared" si="5"/>
        <v>5</v>
      </c>
      <c r="K39" s="102">
        <f t="shared" si="6"/>
        <v>-0.48</v>
      </c>
      <c r="L39" s="106">
        <f t="shared" si="7"/>
        <v>0.97</v>
      </c>
      <c r="M39" s="105">
        <f t="shared" ca="1" si="8"/>
        <v>271</v>
      </c>
      <c r="N39" s="217">
        <f t="shared" si="9"/>
        <v>0.41362092117600002</v>
      </c>
      <c r="O39" s="80">
        <f t="shared" si="10"/>
        <v>3.1413320800000005E-2</v>
      </c>
      <c r="P39" s="104">
        <f t="shared" si="11"/>
        <v>5</v>
      </c>
      <c r="R39" s="102">
        <f t="shared" si="12"/>
        <v>0.1225</v>
      </c>
      <c r="S39" s="106">
        <f t="shared" si="13"/>
        <v>1</v>
      </c>
      <c r="T39" s="105">
        <f t="shared" ca="1" si="14"/>
        <v>271</v>
      </c>
      <c r="U39" s="217" t="e">
        <f t="shared" si="15"/>
        <v>#DIV/0!</v>
      </c>
      <c r="V39" s="80" t="e">
        <f t="shared" si="16"/>
        <v>#DIV/0!</v>
      </c>
      <c r="W39" s="104">
        <f t="shared" si="17"/>
        <v>4.95</v>
      </c>
      <c r="X39" s="105"/>
      <c r="Y39" s="102">
        <f t="shared" si="18"/>
        <v>1.4999999999999999E-2</v>
      </c>
      <c r="Z39" s="106">
        <f t="shared" si="19"/>
        <v>1</v>
      </c>
      <c r="AA39" s="105">
        <f t="shared" ca="1" si="20"/>
        <v>271</v>
      </c>
      <c r="AB39" s="80" t="e">
        <f t="shared" si="21"/>
        <v>#DIV/0!</v>
      </c>
      <c r="AC39" s="80" t="e">
        <f t="shared" si="22"/>
        <v>#DIV/0!</v>
      </c>
      <c r="AD39" s="104">
        <f t="shared" si="23"/>
        <v>3.98</v>
      </c>
      <c r="AF39" s="105">
        <f t="shared" ca="1" si="52"/>
        <v>271</v>
      </c>
      <c r="AG39" s="105">
        <f t="shared" ca="1" si="53"/>
        <v>267</v>
      </c>
      <c r="AH39" s="80">
        <f t="shared" si="24"/>
        <v>6.8853626476217011E-2</v>
      </c>
      <c r="AI39" s="182">
        <f t="shared" si="25"/>
        <v>30</v>
      </c>
      <c r="AL39" s="105"/>
      <c r="AM39" s="82"/>
      <c r="AN39" s="82">
        <f t="shared" si="26"/>
        <v>30</v>
      </c>
      <c r="AO39" s="82">
        <f t="shared" si="54"/>
        <v>3.4750000000000001</v>
      </c>
      <c r="AP39" s="77">
        <f t="shared" si="27"/>
        <v>118.65</v>
      </c>
      <c r="AQ39" s="108">
        <f t="shared" si="28"/>
        <v>104.25</v>
      </c>
      <c r="AR39" s="107">
        <f t="shared" ca="1" si="29"/>
        <v>0.11186353380569536</v>
      </c>
      <c r="AS39" s="107">
        <f t="shared" ca="1" si="55"/>
        <v>0.18975295933390038</v>
      </c>
      <c r="AT39" s="107">
        <f t="shared" ca="1" si="30"/>
        <v>8.0535992114096899E-3</v>
      </c>
      <c r="AU39" s="109">
        <f t="shared" ca="1" si="56"/>
        <v>3.355906014170861</v>
      </c>
      <c r="AV39" s="109">
        <f t="shared" ca="1" si="57"/>
        <v>5.6925887800170116</v>
      </c>
      <c r="AW39" s="109">
        <f t="shared" ca="1" si="58"/>
        <v>0.2416079763422907</v>
      </c>
      <c r="AY39" s="82">
        <f t="shared" si="31"/>
        <v>30</v>
      </c>
      <c r="AZ39" s="82">
        <f t="shared" si="59"/>
        <v>3.4649999999999994</v>
      </c>
      <c r="BA39" s="77">
        <f t="shared" si="32"/>
        <v>118.35</v>
      </c>
      <c r="BB39" s="108">
        <f t="shared" si="33"/>
        <v>103.94999999999999</v>
      </c>
      <c r="BC39" s="107">
        <f t="shared" ca="1" si="34"/>
        <v>0.10997672357564314</v>
      </c>
      <c r="BD39" s="107">
        <f t="shared" ca="1" si="35"/>
        <v>0.18761125456905692</v>
      </c>
      <c r="BE39" s="107">
        <f t="shared" ca="1" si="36"/>
        <v>7.9771944741775513E-3</v>
      </c>
      <c r="BF39" s="109">
        <f t="shared" ca="1" si="60"/>
        <v>3.2993017072692945</v>
      </c>
      <c r="BG39" s="109">
        <f t="shared" ca="1" si="61"/>
        <v>5.6283376370717075</v>
      </c>
      <c r="BH39" s="109">
        <f t="shared" ca="1" si="62"/>
        <v>0.23931583422532654</v>
      </c>
      <c r="BJ39" s="82">
        <f t="shared" si="37"/>
        <v>0</v>
      </c>
      <c r="BK39" s="82" t="e">
        <f t="shared" si="63"/>
        <v>#DIV/0!</v>
      </c>
      <c r="BL39" s="77">
        <f t="shared" si="38"/>
        <v>0</v>
      </c>
      <c r="BM39" s="108">
        <f t="shared" si="39"/>
        <v>0</v>
      </c>
      <c r="BN39" s="107">
        <f t="shared" si="40"/>
        <v>0</v>
      </c>
      <c r="BO39" s="107">
        <f t="shared" si="41"/>
        <v>0</v>
      </c>
      <c r="BP39" s="107">
        <f t="shared" si="42"/>
        <v>0</v>
      </c>
      <c r="BQ39" s="109">
        <f t="shared" si="64"/>
        <v>0</v>
      </c>
      <c r="BR39" s="109">
        <f t="shared" si="65"/>
        <v>0</v>
      </c>
      <c r="BS39" s="109">
        <f t="shared" si="66"/>
        <v>0</v>
      </c>
      <c r="BU39" s="82">
        <f t="shared" si="43"/>
        <v>0</v>
      </c>
      <c r="BV39" s="82" t="e">
        <f t="shared" si="67"/>
        <v>#DIV/0!</v>
      </c>
      <c r="BW39" s="77">
        <f t="shared" si="44"/>
        <v>0</v>
      </c>
      <c r="BX39" s="108">
        <f t="shared" si="45"/>
        <v>0</v>
      </c>
      <c r="BY39" s="107">
        <f t="shared" si="46"/>
        <v>0</v>
      </c>
      <c r="BZ39" s="107">
        <f t="shared" si="47"/>
        <v>0</v>
      </c>
      <c r="CA39" s="107">
        <f t="shared" si="48"/>
        <v>0</v>
      </c>
      <c r="CB39" s="109">
        <f t="shared" si="68"/>
        <v>0</v>
      </c>
      <c r="CC39" s="109">
        <f t="shared" si="69"/>
        <v>0</v>
      </c>
      <c r="CD39" s="109">
        <f t="shared" si="70"/>
        <v>0</v>
      </c>
    </row>
    <row r="40" spans="1:82" x14ac:dyDescent="0.25">
      <c r="A40" s="101">
        <f t="shared" si="49"/>
        <v>37073</v>
      </c>
      <c r="B40" s="102">
        <f t="shared" si="50"/>
        <v>3.92</v>
      </c>
      <c r="C40" s="80">
        <f t="shared" si="51"/>
        <v>0.39500000000000002</v>
      </c>
      <c r="D40" s="102">
        <f t="shared" si="0"/>
        <v>-0.48</v>
      </c>
      <c r="E40" s="106">
        <f t="shared" si="1"/>
        <v>0.97</v>
      </c>
      <c r="F40" s="105">
        <f t="shared" ca="1" si="2"/>
        <v>300</v>
      </c>
      <c r="G40" s="80">
        <f t="shared" si="3"/>
        <v>0.41362092117600002</v>
      </c>
      <c r="H40" s="80">
        <f t="shared" si="4"/>
        <v>3.1413320800000005E-2</v>
      </c>
      <c r="I40" s="104">
        <f t="shared" si="5"/>
        <v>5</v>
      </c>
      <c r="K40" s="102">
        <f t="shared" si="6"/>
        <v>-0.48</v>
      </c>
      <c r="L40" s="106">
        <f t="shared" si="7"/>
        <v>0.97</v>
      </c>
      <c r="M40" s="105">
        <f t="shared" ca="1" si="8"/>
        <v>300</v>
      </c>
      <c r="N40" s="217">
        <f t="shared" si="9"/>
        <v>0.41476170669368001</v>
      </c>
      <c r="O40" s="80">
        <f t="shared" si="10"/>
        <v>3.2589388344000006E-2</v>
      </c>
      <c r="P40" s="104">
        <f t="shared" si="11"/>
        <v>5</v>
      </c>
      <c r="R40" s="102">
        <f t="shared" si="12"/>
        <v>0.115</v>
      </c>
      <c r="S40" s="106">
        <f t="shared" si="13"/>
        <v>1</v>
      </c>
      <c r="T40" s="105">
        <f t="shared" ca="1" si="14"/>
        <v>300</v>
      </c>
      <c r="U40" s="217" t="e">
        <f t="shared" si="15"/>
        <v>#DIV/0!</v>
      </c>
      <c r="V40" s="80" t="e">
        <f t="shared" si="16"/>
        <v>#DIV/0!</v>
      </c>
      <c r="W40" s="104">
        <f t="shared" si="17"/>
        <v>4.95</v>
      </c>
      <c r="X40" s="105"/>
      <c r="Y40" s="102">
        <f t="shared" si="18"/>
        <v>0.02</v>
      </c>
      <c r="Z40" s="106">
        <f t="shared" si="19"/>
        <v>1</v>
      </c>
      <c r="AA40" s="105">
        <f t="shared" ca="1" si="20"/>
        <v>300</v>
      </c>
      <c r="AB40" s="80" t="e">
        <f t="shared" si="21"/>
        <v>#DIV/0!</v>
      </c>
      <c r="AC40" s="80" t="e">
        <f t="shared" si="22"/>
        <v>#DIV/0!</v>
      </c>
      <c r="AD40" s="104">
        <f t="shared" si="23"/>
        <v>3.98</v>
      </c>
      <c r="AF40" s="105">
        <f t="shared" ca="1" si="52"/>
        <v>300</v>
      </c>
      <c r="AG40" s="105">
        <f t="shared" ca="1" si="53"/>
        <v>299</v>
      </c>
      <c r="AH40" s="80">
        <f t="shared" si="24"/>
        <v>6.8863830234299026E-2</v>
      </c>
      <c r="AI40" s="182">
        <f t="shared" si="25"/>
        <v>31</v>
      </c>
      <c r="AL40" s="105"/>
      <c r="AM40" s="82"/>
      <c r="AN40" s="82">
        <f t="shared" si="26"/>
        <v>31</v>
      </c>
      <c r="AO40" s="82">
        <f t="shared" si="54"/>
        <v>3.46</v>
      </c>
      <c r="AP40" s="77">
        <f t="shared" si="27"/>
        <v>122.14</v>
      </c>
      <c r="AQ40" s="108">
        <f t="shared" si="28"/>
        <v>107.26</v>
      </c>
      <c r="AR40" s="107">
        <f t="shared" ca="1" si="29"/>
        <v>0.12570638682543922</v>
      </c>
      <c r="AS40" s="107">
        <f t="shared" ca="1" si="55"/>
        <v>0.20175575869332765</v>
      </c>
      <c r="AT40" s="107">
        <f t="shared" ca="1" si="30"/>
        <v>8.7211989993795092E-3</v>
      </c>
      <c r="AU40" s="109">
        <f t="shared" ca="1" si="56"/>
        <v>3.8968979915886157</v>
      </c>
      <c r="AV40" s="109">
        <f t="shared" ca="1" si="57"/>
        <v>6.2544285194931568</v>
      </c>
      <c r="AW40" s="109">
        <f t="shared" ca="1" si="58"/>
        <v>0.27035716898076478</v>
      </c>
      <c r="AY40" s="82">
        <f t="shared" si="31"/>
        <v>31</v>
      </c>
      <c r="AZ40" s="82">
        <f t="shared" si="59"/>
        <v>3.4499999999999993</v>
      </c>
      <c r="BA40" s="77">
        <f t="shared" si="32"/>
        <v>121.82999999999998</v>
      </c>
      <c r="BB40" s="108">
        <f t="shared" si="33"/>
        <v>106.94999999999997</v>
      </c>
      <c r="BC40" s="107">
        <f t="shared" ca="1" si="34"/>
        <v>0.12467585857955688</v>
      </c>
      <c r="BD40" s="107">
        <f t="shared" ca="1" si="35"/>
        <v>0.20052605139501437</v>
      </c>
      <c r="BE40" s="107">
        <f t="shared" ca="1" si="36"/>
        <v>8.6657469955814248E-3</v>
      </c>
      <c r="BF40" s="109">
        <f t="shared" ca="1" si="60"/>
        <v>3.8649516159662634</v>
      </c>
      <c r="BG40" s="109">
        <f t="shared" ca="1" si="61"/>
        <v>6.2163075932454452</v>
      </c>
      <c r="BH40" s="109">
        <f t="shared" ca="1" si="62"/>
        <v>0.26863815686302417</v>
      </c>
      <c r="BJ40" s="82">
        <f t="shared" si="37"/>
        <v>0</v>
      </c>
      <c r="BK40" s="82" t="e">
        <f t="shared" si="63"/>
        <v>#DIV/0!</v>
      </c>
      <c r="BL40" s="77">
        <f t="shared" si="38"/>
        <v>0</v>
      </c>
      <c r="BM40" s="108">
        <f t="shared" si="39"/>
        <v>0</v>
      </c>
      <c r="BN40" s="107">
        <f t="shared" si="40"/>
        <v>0</v>
      </c>
      <c r="BO40" s="107">
        <f t="shared" si="41"/>
        <v>0</v>
      </c>
      <c r="BP40" s="107">
        <f t="shared" si="42"/>
        <v>0</v>
      </c>
      <c r="BQ40" s="109">
        <f t="shared" si="64"/>
        <v>0</v>
      </c>
      <c r="BR40" s="109">
        <f t="shared" si="65"/>
        <v>0</v>
      </c>
      <c r="BS40" s="109">
        <f t="shared" si="66"/>
        <v>0</v>
      </c>
      <c r="BU40" s="82">
        <f t="shared" si="43"/>
        <v>0</v>
      </c>
      <c r="BV40" s="82" t="e">
        <f t="shared" si="67"/>
        <v>#DIV/0!</v>
      </c>
      <c r="BW40" s="77">
        <f t="shared" si="44"/>
        <v>0</v>
      </c>
      <c r="BX40" s="108">
        <f t="shared" si="45"/>
        <v>0</v>
      </c>
      <c r="BY40" s="107">
        <f t="shared" si="46"/>
        <v>0</v>
      </c>
      <c r="BZ40" s="107">
        <f t="shared" si="47"/>
        <v>0</v>
      </c>
      <c r="CA40" s="107">
        <f t="shared" si="48"/>
        <v>0</v>
      </c>
      <c r="CB40" s="109">
        <f t="shared" si="68"/>
        <v>0</v>
      </c>
      <c r="CC40" s="109">
        <f t="shared" si="69"/>
        <v>0</v>
      </c>
      <c r="CD40" s="109">
        <f t="shared" si="70"/>
        <v>0</v>
      </c>
    </row>
    <row r="41" spans="1:82" x14ac:dyDescent="0.25">
      <c r="A41" s="101">
        <f t="shared" si="49"/>
        <v>37104</v>
      </c>
      <c r="B41" s="102">
        <f t="shared" si="50"/>
        <v>3.92</v>
      </c>
      <c r="C41" s="80">
        <f t="shared" si="51"/>
        <v>0.39500000000000002</v>
      </c>
      <c r="D41" s="102">
        <f t="shared" si="0"/>
        <v>-0.48</v>
      </c>
      <c r="E41" s="106">
        <f t="shared" si="1"/>
        <v>0.97</v>
      </c>
      <c r="F41" s="105">
        <f t="shared" ca="1" si="2"/>
        <v>330</v>
      </c>
      <c r="G41" s="80">
        <f t="shared" si="3"/>
        <v>0.41362092117600002</v>
      </c>
      <c r="H41" s="80">
        <f t="shared" si="4"/>
        <v>3.1413320800000005E-2</v>
      </c>
      <c r="I41" s="104">
        <f t="shared" si="5"/>
        <v>5</v>
      </c>
      <c r="K41" s="102">
        <f t="shared" si="6"/>
        <v>-0.48</v>
      </c>
      <c r="L41" s="106">
        <f t="shared" si="7"/>
        <v>0.97</v>
      </c>
      <c r="M41" s="105">
        <f t="shared" ca="1" si="8"/>
        <v>330</v>
      </c>
      <c r="N41" s="217">
        <f t="shared" si="9"/>
        <v>0.41476170669368001</v>
      </c>
      <c r="O41" s="80">
        <f t="shared" si="10"/>
        <v>3.2589388344000006E-2</v>
      </c>
      <c r="P41" s="104">
        <f t="shared" si="11"/>
        <v>5</v>
      </c>
      <c r="R41" s="102">
        <f t="shared" si="12"/>
        <v>0.1125</v>
      </c>
      <c r="S41" s="106">
        <f t="shared" si="13"/>
        <v>1</v>
      </c>
      <c r="T41" s="105">
        <f t="shared" ca="1" si="14"/>
        <v>330</v>
      </c>
      <c r="U41" s="217" t="e">
        <f t="shared" si="15"/>
        <v>#DIV/0!</v>
      </c>
      <c r="V41" s="80" t="e">
        <f t="shared" si="16"/>
        <v>#DIV/0!</v>
      </c>
      <c r="W41" s="104">
        <f t="shared" si="17"/>
        <v>4.95</v>
      </c>
      <c r="X41" s="105"/>
      <c r="Y41" s="102">
        <f t="shared" si="18"/>
        <v>0.02</v>
      </c>
      <c r="Z41" s="106">
        <f t="shared" si="19"/>
        <v>1</v>
      </c>
      <c r="AA41" s="105">
        <f t="shared" ca="1" si="20"/>
        <v>330</v>
      </c>
      <c r="AB41" s="80" t="e">
        <f t="shared" si="21"/>
        <v>#DIV/0!</v>
      </c>
      <c r="AC41" s="80" t="e">
        <f t="shared" si="22"/>
        <v>#DIV/0!</v>
      </c>
      <c r="AD41" s="104">
        <f t="shared" si="23"/>
        <v>3.98</v>
      </c>
      <c r="AF41" s="105">
        <f t="shared" ca="1" si="52"/>
        <v>330</v>
      </c>
      <c r="AG41" s="105">
        <f t="shared" ca="1" si="53"/>
        <v>329</v>
      </c>
      <c r="AH41" s="80">
        <f t="shared" si="24"/>
        <v>6.8876303277673023E-2</v>
      </c>
      <c r="AI41" s="182">
        <f t="shared" si="25"/>
        <v>31</v>
      </c>
      <c r="AL41" s="105"/>
      <c r="AM41" s="82"/>
      <c r="AN41" s="82">
        <f t="shared" si="26"/>
        <v>31</v>
      </c>
      <c r="AO41" s="82">
        <f t="shared" si="54"/>
        <v>3.46</v>
      </c>
      <c r="AP41" s="77">
        <f t="shared" si="27"/>
        <v>122.14</v>
      </c>
      <c r="AQ41" s="108">
        <f t="shared" si="28"/>
        <v>107.26</v>
      </c>
      <c r="AR41" s="107">
        <f t="shared" ca="1" si="29"/>
        <v>0.14269035782476913</v>
      </c>
      <c r="AS41" s="107">
        <f t="shared" ca="1" si="55"/>
        <v>0.21593462534936217</v>
      </c>
      <c r="AT41" s="107">
        <f t="shared" ca="1" si="30"/>
        <v>9.4756088927954174E-3</v>
      </c>
      <c r="AU41" s="109">
        <f t="shared" ca="1" si="56"/>
        <v>4.4234010925678433</v>
      </c>
      <c r="AV41" s="109">
        <f t="shared" ca="1" si="57"/>
        <v>6.6939733858302271</v>
      </c>
      <c r="AW41" s="109">
        <f t="shared" ca="1" si="58"/>
        <v>0.29374387567665794</v>
      </c>
      <c r="AY41" s="82">
        <f t="shared" si="31"/>
        <v>31</v>
      </c>
      <c r="AZ41" s="82">
        <f t="shared" si="59"/>
        <v>3.4499999999999993</v>
      </c>
      <c r="BA41" s="77">
        <f t="shared" si="32"/>
        <v>121.82999999999998</v>
      </c>
      <c r="BB41" s="108">
        <f t="shared" si="33"/>
        <v>106.94999999999997</v>
      </c>
      <c r="BC41" s="107">
        <f t="shared" ca="1" si="34"/>
        <v>0.14160413150336248</v>
      </c>
      <c r="BD41" s="107">
        <f t="shared" ca="1" si="35"/>
        <v>0.21473246810154964</v>
      </c>
      <c r="BE41" s="107">
        <f t="shared" ca="1" si="36"/>
        <v>9.4194052550050644E-3</v>
      </c>
      <c r="BF41" s="109">
        <f t="shared" ca="1" si="60"/>
        <v>4.3897280766042375</v>
      </c>
      <c r="BG41" s="109">
        <f t="shared" ca="1" si="61"/>
        <v>6.6567065111480392</v>
      </c>
      <c r="BH41" s="109">
        <f t="shared" ca="1" si="62"/>
        <v>0.292001562905157</v>
      </c>
      <c r="BJ41" s="82">
        <f t="shared" si="37"/>
        <v>0</v>
      </c>
      <c r="BK41" s="82" t="e">
        <f t="shared" si="63"/>
        <v>#DIV/0!</v>
      </c>
      <c r="BL41" s="77">
        <f t="shared" si="38"/>
        <v>0</v>
      </c>
      <c r="BM41" s="108">
        <f t="shared" si="39"/>
        <v>0</v>
      </c>
      <c r="BN41" s="107">
        <f t="shared" si="40"/>
        <v>0</v>
      </c>
      <c r="BO41" s="107">
        <f t="shared" si="41"/>
        <v>0</v>
      </c>
      <c r="BP41" s="107">
        <f t="shared" si="42"/>
        <v>0</v>
      </c>
      <c r="BQ41" s="109">
        <f t="shared" si="64"/>
        <v>0</v>
      </c>
      <c r="BR41" s="109">
        <f t="shared" si="65"/>
        <v>0</v>
      </c>
      <c r="BS41" s="109">
        <f t="shared" si="66"/>
        <v>0</v>
      </c>
      <c r="BU41" s="82">
        <f t="shared" si="43"/>
        <v>0</v>
      </c>
      <c r="BV41" s="82" t="e">
        <f t="shared" si="67"/>
        <v>#DIV/0!</v>
      </c>
      <c r="BW41" s="77">
        <f t="shared" si="44"/>
        <v>0</v>
      </c>
      <c r="BX41" s="108">
        <f t="shared" si="45"/>
        <v>0</v>
      </c>
      <c r="BY41" s="107">
        <f t="shared" si="46"/>
        <v>0</v>
      </c>
      <c r="BZ41" s="107">
        <f t="shared" si="47"/>
        <v>0</v>
      </c>
      <c r="CA41" s="107">
        <f t="shared" si="48"/>
        <v>0</v>
      </c>
      <c r="CB41" s="109">
        <f t="shared" si="68"/>
        <v>0</v>
      </c>
      <c r="CC41" s="109">
        <f t="shared" si="69"/>
        <v>0</v>
      </c>
      <c r="CD41" s="109">
        <f t="shared" si="70"/>
        <v>0</v>
      </c>
    </row>
    <row r="42" spans="1:82" x14ac:dyDescent="0.25">
      <c r="A42" s="101">
        <f t="shared" si="49"/>
        <v>37135</v>
      </c>
      <c r="B42" s="102">
        <f t="shared" si="50"/>
        <v>3.9</v>
      </c>
      <c r="C42" s="80">
        <f t="shared" si="51"/>
        <v>0.39500000000000002</v>
      </c>
      <c r="D42" s="102">
        <f t="shared" si="0"/>
        <v>-0.48</v>
      </c>
      <c r="E42" s="106">
        <f t="shared" si="1"/>
        <v>0.97</v>
      </c>
      <c r="F42" s="105">
        <f t="shared" ca="1" si="2"/>
        <v>363</v>
      </c>
      <c r="G42" s="80">
        <f t="shared" si="3"/>
        <v>0.41476170669368001</v>
      </c>
      <c r="H42" s="80">
        <f t="shared" si="4"/>
        <v>3.2589388344000006E-2</v>
      </c>
      <c r="I42" s="104">
        <f t="shared" si="5"/>
        <v>5</v>
      </c>
      <c r="K42" s="102">
        <f t="shared" si="6"/>
        <v>-0.48</v>
      </c>
      <c r="L42" s="106">
        <f t="shared" si="7"/>
        <v>0.97</v>
      </c>
      <c r="M42" s="105">
        <f t="shared" ca="1" si="8"/>
        <v>363</v>
      </c>
      <c r="N42" s="217">
        <f t="shared" si="9"/>
        <v>0.41476170669368001</v>
      </c>
      <c r="O42" s="80">
        <f t="shared" si="10"/>
        <v>3.2589388344000006E-2</v>
      </c>
      <c r="P42" s="104">
        <f t="shared" si="11"/>
        <v>5</v>
      </c>
      <c r="R42" s="102">
        <f t="shared" si="12"/>
        <v>0.1125</v>
      </c>
      <c r="S42" s="106">
        <f t="shared" si="13"/>
        <v>1</v>
      </c>
      <c r="T42" s="105">
        <f t="shared" ca="1" si="14"/>
        <v>363</v>
      </c>
      <c r="U42" s="217" t="e">
        <f t="shared" si="15"/>
        <v>#DIV/0!</v>
      </c>
      <c r="V42" s="80" t="e">
        <f t="shared" si="16"/>
        <v>#DIV/0!</v>
      </c>
      <c r="W42" s="104">
        <f t="shared" si="17"/>
        <v>4.95</v>
      </c>
      <c r="X42" s="105"/>
      <c r="Y42" s="102">
        <f t="shared" si="18"/>
        <v>1.4999999999999999E-2</v>
      </c>
      <c r="Z42" s="106">
        <f t="shared" si="19"/>
        <v>1</v>
      </c>
      <c r="AA42" s="105">
        <f t="shared" ca="1" si="20"/>
        <v>363</v>
      </c>
      <c r="AB42" s="80" t="e">
        <f t="shared" si="21"/>
        <v>#DIV/0!</v>
      </c>
      <c r="AC42" s="80" t="e">
        <f t="shared" si="22"/>
        <v>#DIV/0!</v>
      </c>
      <c r="AD42" s="104">
        <f t="shared" si="23"/>
        <v>3.98</v>
      </c>
      <c r="AF42" s="105">
        <f t="shared" ca="1" si="52"/>
        <v>363</v>
      </c>
      <c r="AG42" s="105">
        <f t="shared" ca="1" si="53"/>
        <v>362</v>
      </c>
      <c r="AH42" s="80">
        <f t="shared" si="24"/>
        <v>6.8888776321097023E-2</v>
      </c>
      <c r="AI42" s="182">
        <f t="shared" si="25"/>
        <v>30</v>
      </c>
      <c r="AL42" s="105"/>
      <c r="AM42" s="82"/>
      <c r="AN42" s="82">
        <f t="shared" si="26"/>
        <v>30</v>
      </c>
      <c r="AO42" s="82">
        <f t="shared" si="54"/>
        <v>3.44</v>
      </c>
      <c r="AP42" s="77">
        <f t="shared" si="27"/>
        <v>117.6</v>
      </c>
      <c r="AQ42" s="108">
        <f t="shared" si="28"/>
        <v>103.2</v>
      </c>
      <c r="AR42" s="107">
        <f t="shared" ca="1" si="29"/>
        <v>0.1575812649727899</v>
      </c>
      <c r="AS42" s="107">
        <f t="shared" ca="1" si="55"/>
        <v>0.22672808052255405</v>
      </c>
      <c r="AT42" s="107">
        <f t="shared" ca="1" si="30"/>
        <v>1.0113435717949981E-2</v>
      </c>
      <c r="AU42" s="109">
        <f t="shared" ca="1" si="56"/>
        <v>4.7274379491836971</v>
      </c>
      <c r="AV42" s="109">
        <f t="shared" ca="1" si="57"/>
        <v>6.8018424156766217</v>
      </c>
      <c r="AW42" s="109">
        <f t="shared" ca="1" si="58"/>
        <v>0.30340307153849944</v>
      </c>
      <c r="AY42" s="82">
        <f t="shared" si="31"/>
        <v>30</v>
      </c>
      <c r="AZ42" s="82">
        <f t="shared" si="59"/>
        <v>3.4299999999999997</v>
      </c>
      <c r="BA42" s="77">
        <f t="shared" si="32"/>
        <v>117.3</v>
      </c>
      <c r="BB42" s="108">
        <f t="shared" si="33"/>
        <v>102.89999999999999</v>
      </c>
      <c r="BC42" s="107">
        <f t="shared" ca="1" si="34"/>
        <v>0.15532423282291075</v>
      </c>
      <c r="BD42" s="107">
        <f t="shared" ca="1" si="35"/>
        <v>0.22467704923667806</v>
      </c>
      <c r="BE42" s="107">
        <f t="shared" ca="1" si="36"/>
        <v>1.0035929255505449E-2</v>
      </c>
      <c r="BF42" s="109">
        <f t="shared" ca="1" si="60"/>
        <v>4.6597269846873228</v>
      </c>
      <c r="BG42" s="109">
        <f t="shared" ca="1" si="61"/>
        <v>6.7403114771003416</v>
      </c>
      <c r="BH42" s="109">
        <f t="shared" ca="1" si="62"/>
        <v>0.30107787766516347</v>
      </c>
      <c r="BJ42" s="82">
        <f t="shared" si="37"/>
        <v>0</v>
      </c>
      <c r="BK42" s="82" t="e">
        <f t="shared" si="63"/>
        <v>#DIV/0!</v>
      </c>
      <c r="BL42" s="77">
        <f t="shared" si="38"/>
        <v>0</v>
      </c>
      <c r="BM42" s="108">
        <f t="shared" si="39"/>
        <v>0</v>
      </c>
      <c r="BN42" s="107">
        <f t="shared" si="40"/>
        <v>0</v>
      </c>
      <c r="BO42" s="107">
        <f t="shared" si="41"/>
        <v>0</v>
      </c>
      <c r="BP42" s="107">
        <f t="shared" si="42"/>
        <v>0</v>
      </c>
      <c r="BQ42" s="109">
        <f t="shared" si="64"/>
        <v>0</v>
      </c>
      <c r="BR42" s="109">
        <f t="shared" si="65"/>
        <v>0</v>
      </c>
      <c r="BS42" s="109">
        <f t="shared" si="66"/>
        <v>0</v>
      </c>
      <c r="BU42" s="82">
        <f t="shared" si="43"/>
        <v>0</v>
      </c>
      <c r="BV42" s="82" t="e">
        <f t="shared" si="67"/>
        <v>#DIV/0!</v>
      </c>
      <c r="BW42" s="77">
        <f t="shared" si="44"/>
        <v>0</v>
      </c>
      <c r="BX42" s="108">
        <f t="shared" si="45"/>
        <v>0</v>
      </c>
      <c r="BY42" s="107">
        <f t="shared" si="46"/>
        <v>0</v>
      </c>
      <c r="BZ42" s="107">
        <f t="shared" si="47"/>
        <v>0</v>
      </c>
      <c r="CA42" s="107">
        <f t="shared" si="48"/>
        <v>0</v>
      </c>
      <c r="CB42" s="109">
        <f t="shared" si="68"/>
        <v>0</v>
      </c>
      <c r="CC42" s="109">
        <f t="shared" si="69"/>
        <v>0</v>
      </c>
      <c r="CD42" s="109">
        <f t="shared" si="70"/>
        <v>0</v>
      </c>
    </row>
    <row r="43" spans="1:82" x14ac:dyDescent="0.25">
      <c r="A43" s="101">
        <f t="shared" si="49"/>
        <v>37165</v>
      </c>
      <c r="B43" s="102">
        <f t="shared" si="50"/>
        <v>3.8849999999999998</v>
      </c>
      <c r="C43" s="80">
        <f t="shared" si="51"/>
        <v>0.39750000000000002</v>
      </c>
      <c r="D43" s="102">
        <f t="shared" si="0"/>
        <v>-0.48</v>
      </c>
      <c r="E43" s="106">
        <f t="shared" si="1"/>
        <v>0.97</v>
      </c>
      <c r="F43" s="105">
        <f t="shared" ca="1" si="2"/>
        <v>391</v>
      </c>
      <c r="G43" s="80">
        <f t="shared" si="3"/>
        <v>0.41718670669368002</v>
      </c>
      <c r="H43" s="80">
        <f t="shared" si="4"/>
        <v>3.2589388344000006E-2</v>
      </c>
      <c r="I43" s="104">
        <f t="shared" si="5"/>
        <v>5</v>
      </c>
      <c r="K43" s="102">
        <f t="shared" si="6"/>
        <v>-0.48</v>
      </c>
      <c r="L43" s="106">
        <f t="shared" si="7"/>
        <v>0.97</v>
      </c>
      <c r="M43" s="105">
        <f t="shared" ca="1" si="8"/>
        <v>391</v>
      </c>
      <c r="N43" s="217">
        <f t="shared" si="9"/>
        <v>0.41718670669368002</v>
      </c>
      <c r="O43" s="80">
        <f t="shared" si="10"/>
        <v>3.2589388344000006E-2</v>
      </c>
      <c r="P43" s="104">
        <f t="shared" si="11"/>
        <v>5</v>
      </c>
      <c r="R43" s="102">
        <f t="shared" si="12"/>
        <v>0.1275</v>
      </c>
      <c r="S43" s="106">
        <f t="shared" si="13"/>
        <v>1</v>
      </c>
      <c r="T43" s="105">
        <f t="shared" ca="1" si="14"/>
        <v>391</v>
      </c>
      <c r="U43" s="217" t="e">
        <f t="shared" si="15"/>
        <v>#DIV/0!</v>
      </c>
      <c r="V43" s="80" t="e">
        <f t="shared" si="16"/>
        <v>#DIV/0!</v>
      </c>
      <c r="W43" s="104">
        <f t="shared" si="17"/>
        <v>4.95</v>
      </c>
      <c r="X43" s="105"/>
      <c r="Y43" s="102">
        <f t="shared" si="18"/>
        <v>5.0000000000000001E-3</v>
      </c>
      <c r="Z43" s="106">
        <f t="shared" si="19"/>
        <v>1</v>
      </c>
      <c r="AA43" s="105">
        <f t="shared" ca="1" si="20"/>
        <v>391</v>
      </c>
      <c r="AB43" s="80" t="e">
        <f t="shared" si="21"/>
        <v>#DIV/0!</v>
      </c>
      <c r="AC43" s="80" t="e">
        <f t="shared" si="22"/>
        <v>#DIV/0!</v>
      </c>
      <c r="AD43" s="104">
        <f t="shared" si="23"/>
        <v>3.98</v>
      </c>
      <c r="AF43" s="105">
        <f t="shared" ca="1" si="52"/>
        <v>391</v>
      </c>
      <c r="AG43" s="105">
        <f t="shared" ca="1" si="53"/>
        <v>390</v>
      </c>
      <c r="AH43" s="80">
        <f t="shared" si="24"/>
        <v>6.890251912361102E-2</v>
      </c>
      <c r="AI43" s="182">
        <f t="shared" si="25"/>
        <v>31</v>
      </c>
      <c r="AL43" s="105"/>
      <c r="AM43" s="82"/>
      <c r="AN43" s="82">
        <f t="shared" si="26"/>
        <v>31</v>
      </c>
      <c r="AO43" s="82">
        <f t="shared" si="54"/>
        <v>3.4249999999999998</v>
      </c>
      <c r="AP43" s="77">
        <f t="shared" si="27"/>
        <v>121.05499999999999</v>
      </c>
      <c r="AQ43" s="108">
        <f t="shared" si="28"/>
        <v>106.175</v>
      </c>
      <c r="AR43" s="107">
        <f t="shared" ca="1" si="29"/>
        <v>0.17163659954172117</v>
      </c>
      <c r="AS43" s="107">
        <f t="shared" ca="1" si="55"/>
        <v>0.23641890386352152</v>
      </c>
      <c r="AT43" s="107">
        <f t="shared" ca="1" si="30"/>
        <v>1.0652381846330439E-2</v>
      </c>
      <c r="AU43" s="109">
        <f t="shared" ca="1" si="56"/>
        <v>5.3207345857933559</v>
      </c>
      <c r="AV43" s="109">
        <f t="shared" ca="1" si="57"/>
        <v>7.3289860197691672</v>
      </c>
      <c r="AW43" s="109">
        <f t="shared" ca="1" si="58"/>
        <v>0.3302238372362436</v>
      </c>
      <c r="AY43" s="82">
        <f t="shared" si="31"/>
        <v>31</v>
      </c>
      <c r="AZ43" s="82">
        <f t="shared" si="59"/>
        <v>3.4149999999999996</v>
      </c>
      <c r="BA43" s="77">
        <f t="shared" si="32"/>
        <v>120.74499999999999</v>
      </c>
      <c r="BB43" s="108">
        <f t="shared" si="33"/>
        <v>105.86499999999998</v>
      </c>
      <c r="BC43" s="107">
        <f t="shared" ca="1" si="34"/>
        <v>0.16928246671601355</v>
      </c>
      <c r="BD43" s="107">
        <f t="shared" ca="1" si="35"/>
        <v>0.23440560765909588</v>
      </c>
      <c r="BE43" s="107">
        <f t="shared" ca="1" si="36"/>
        <v>1.0575127617898694E-2</v>
      </c>
      <c r="BF43" s="109">
        <f t="shared" ca="1" si="60"/>
        <v>5.2477564681964202</v>
      </c>
      <c r="BG43" s="109">
        <f t="shared" ca="1" si="61"/>
        <v>7.2665738374319719</v>
      </c>
      <c r="BH43" s="109">
        <f t="shared" ca="1" si="62"/>
        <v>0.32782895615485952</v>
      </c>
      <c r="BJ43" s="82">
        <f t="shared" si="37"/>
        <v>0</v>
      </c>
      <c r="BK43" s="82" t="e">
        <f t="shared" si="63"/>
        <v>#DIV/0!</v>
      </c>
      <c r="BL43" s="77">
        <f t="shared" si="38"/>
        <v>0</v>
      </c>
      <c r="BM43" s="108">
        <f t="shared" si="39"/>
        <v>0</v>
      </c>
      <c r="BN43" s="107">
        <f t="shared" si="40"/>
        <v>0</v>
      </c>
      <c r="BO43" s="107">
        <f t="shared" si="41"/>
        <v>0</v>
      </c>
      <c r="BP43" s="107">
        <f t="shared" si="42"/>
        <v>0</v>
      </c>
      <c r="BQ43" s="109">
        <f t="shared" si="64"/>
        <v>0</v>
      </c>
      <c r="BR43" s="109">
        <f t="shared" si="65"/>
        <v>0</v>
      </c>
      <c r="BS43" s="109">
        <f t="shared" si="66"/>
        <v>0</v>
      </c>
      <c r="BU43" s="82">
        <f t="shared" si="43"/>
        <v>0</v>
      </c>
      <c r="BV43" s="82" t="e">
        <f t="shared" si="67"/>
        <v>#DIV/0!</v>
      </c>
      <c r="BW43" s="77">
        <f t="shared" si="44"/>
        <v>0</v>
      </c>
      <c r="BX43" s="108">
        <f t="shared" si="45"/>
        <v>0</v>
      </c>
      <c r="BY43" s="107">
        <f t="shared" si="46"/>
        <v>0</v>
      </c>
      <c r="BZ43" s="107">
        <f t="shared" si="47"/>
        <v>0</v>
      </c>
      <c r="CA43" s="107">
        <f t="shared" si="48"/>
        <v>0</v>
      </c>
      <c r="CB43" s="109">
        <f t="shared" si="68"/>
        <v>0</v>
      </c>
      <c r="CC43" s="109">
        <f t="shared" si="69"/>
        <v>0</v>
      </c>
      <c r="CD43" s="109">
        <f t="shared" si="70"/>
        <v>0</v>
      </c>
    </row>
    <row r="44" spans="1:82" x14ac:dyDescent="0.25">
      <c r="A44" s="101">
        <f t="shared" si="49"/>
        <v>37196</v>
      </c>
      <c r="B44" s="102">
        <f t="shared" si="50"/>
        <v>3.99</v>
      </c>
      <c r="C44" s="80">
        <f t="shared" si="51"/>
        <v>0.40749999999999997</v>
      </c>
      <c r="D44" s="102">
        <f t="shared" si="0"/>
        <v>-0.26750000000000002</v>
      </c>
      <c r="E44" s="106">
        <f t="shared" si="1"/>
        <v>0.97</v>
      </c>
      <c r="F44" s="105">
        <f t="shared" ca="1" si="2"/>
        <v>424</v>
      </c>
      <c r="G44" s="80">
        <f t="shared" si="3"/>
        <v>0.41831831999999997</v>
      </c>
      <c r="H44" s="80">
        <f t="shared" si="4"/>
        <v>2.3756000000000003E-2</v>
      </c>
      <c r="I44" s="104">
        <f t="shared" si="5"/>
        <v>5</v>
      </c>
      <c r="K44" s="102">
        <f t="shared" si="6"/>
        <v>-0.26750000000000002</v>
      </c>
      <c r="L44" s="106">
        <f t="shared" si="7"/>
        <v>0.97</v>
      </c>
      <c r="M44" s="105">
        <f t="shared" ca="1" si="8"/>
        <v>424</v>
      </c>
      <c r="N44" s="217">
        <f t="shared" si="9"/>
        <v>0.41831831999999997</v>
      </c>
      <c r="O44" s="80">
        <f t="shared" si="10"/>
        <v>2.3756000000000003E-2</v>
      </c>
      <c r="P44" s="104">
        <f t="shared" si="11"/>
        <v>5</v>
      </c>
      <c r="R44" s="102">
        <f t="shared" si="12"/>
        <v>0.1875</v>
      </c>
      <c r="S44" s="106">
        <f t="shared" si="13"/>
        <v>1</v>
      </c>
      <c r="T44" s="105">
        <f t="shared" ca="1" si="14"/>
        <v>424</v>
      </c>
      <c r="U44" s="217" t="e">
        <f t="shared" si="15"/>
        <v>#DIV/0!</v>
      </c>
      <c r="V44" s="80" t="e">
        <f t="shared" si="16"/>
        <v>#DIV/0!</v>
      </c>
      <c r="W44" s="104">
        <f t="shared" si="17"/>
        <v>4.95</v>
      </c>
      <c r="X44" s="105"/>
      <c r="Y44" s="102">
        <f t="shared" si="18"/>
        <v>-4.2500000000000003E-2</v>
      </c>
      <c r="Z44" s="106">
        <f t="shared" si="19"/>
        <v>1</v>
      </c>
      <c r="AA44" s="105">
        <f t="shared" ca="1" si="20"/>
        <v>424</v>
      </c>
      <c r="AB44" s="80">
        <f t="shared" si="21"/>
        <v>0.40749999999999997</v>
      </c>
      <c r="AC44" s="80">
        <f t="shared" si="22"/>
        <v>0</v>
      </c>
      <c r="AD44" s="104">
        <f t="shared" si="23"/>
        <v>3.98</v>
      </c>
      <c r="AF44" s="105">
        <f t="shared" ca="1" si="52"/>
        <v>424</v>
      </c>
      <c r="AG44" s="105">
        <f t="shared" ca="1" si="53"/>
        <v>421</v>
      </c>
      <c r="AH44" s="80">
        <f t="shared" si="24"/>
        <v>6.8919453955852014E-2</v>
      </c>
      <c r="AI44" s="182">
        <f t="shared" si="25"/>
        <v>30</v>
      </c>
      <c r="AL44" s="105"/>
      <c r="AM44" s="82"/>
      <c r="AN44" s="82">
        <f t="shared" si="26"/>
        <v>30</v>
      </c>
      <c r="AO44" s="82">
        <f t="shared" si="54"/>
        <v>3.7424999999999997</v>
      </c>
      <c r="AP44" s="77">
        <f t="shared" si="27"/>
        <v>120.3</v>
      </c>
      <c r="AQ44" s="108">
        <f t="shared" si="28"/>
        <v>112.27499999999999</v>
      </c>
      <c r="AR44" s="107">
        <f t="shared" ca="1" si="29"/>
        <v>0.27928346985333552</v>
      </c>
      <c r="AS44" s="107">
        <f t="shared" ca="1" si="55"/>
        <v>0.3122829948740265</v>
      </c>
      <c r="AT44" s="107">
        <f t="shared" ca="1" si="30"/>
        <v>1.3674073791969388E-2</v>
      </c>
      <c r="AU44" s="109">
        <f t="shared" ca="1" si="56"/>
        <v>8.378504095600066</v>
      </c>
      <c r="AV44" s="109">
        <f t="shared" ca="1" si="57"/>
        <v>9.3684898462207951</v>
      </c>
      <c r="AW44" s="109">
        <f t="shared" ca="1" si="58"/>
        <v>0.41022221375908163</v>
      </c>
      <c r="AY44" s="82">
        <f t="shared" si="31"/>
        <v>30</v>
      </c>
      <c r="AZ44" s="82">
        <f t="shared" si="59"/>
        <v>3.7324999999999999</v>
      </c>
      <c r="BA44" s="77">
        <f t="shared" si="32"/>
        <v>120</v>
      </c>
      <c r="BB44" s="108">
        <f t="shared" si="33"/>
        <v>111.97499999999999</v>
      </c>
      <c r="BC44" s="107">
        <f t="shared" ca="1" si="34"/>
        <v>0.27617062446992469</v>
      </c>
      <c r="BD44" s="107">
        <f t="shared" ca="1" si="35"/>
        <v>0.31028218304992994</v>
      </c>
      <c r="BE44" s="107">
        <f t="shared" ca="1" si="36"/>
        <v>1.3604804573942642E-2</v>
      </c>
      <c r="BF44" s="109">
        <f t="shared" ca="1" si="60"/>
        <v>8.2851187340977397</v>
      </c>
      <c r="BG44" s="109">
        <f t="shared" ca="1" si="61"/>
        <v>9.3084654914978984</v>
      </c>
      <c r="BH44" s="109">
        <f t="shared" ca="1" si="62"/>
        <v>0.40814413721827925</v>
      </c>
      <c r="BJ44" s="82">
        <f t="shared" si="37"/>
        <v>0</v>
      </c>
      <c r="BK44" s="82" t="e">
        <f t="shared" si="63"/>
        <v>#DIV/0!</v>
      </c>
      <c r="BL44" s="77">
        <f t="shared" si="38"/>
        <v>0</v>
      </c>
      <c r="BM44" s="108">
        <f t="shared" si="39"/>
        <v>0</v>
      </c>
      <c r="BN44" s="107">
        <f t="shared" si="40"/>
        <v>0</v>
      </c>
      <c r="BO44" s="107">
        <f t="shared" si="41"/>
        <v>0</v>
      </c>
      <c r="BP44" s="107">
        <f t="shared" si="42"/>
        <v>0</v>
      </c>
      <c r="BQ44" s="109">
        <f t="shared" si="64"/>
        <v>0</v>
      </c>
      <c r="BR44" s="109">
        <f t="shared" si="65"/>
        <v>0</v>
      </c>
      <c r="BS44" s="109">
        <f t="shared" si="66"/>
        <v>0</v>
      </c>
      <c r="BU44" s="82">
        <f t="shared" si="43"/>
        <v>30</v>
      </c>
      <c r="BV44" s="82">
        <f t="shared" si="67"/>
        <v>3.9475000000000002</v>
      </c>
      <c r="BW44" s="77">
        <f t="shared" si="44"/>
        <v>119.7</v>
      </c>
      <c r="BX44" s="108">
        <f t="shared" si="45"/>
        <v>118.42500000000001</v>
      </c>
      <c r="BY44" s="107">
        <f t="shared" ca="1" si="46"/>
        <v>0.65107638789702005</v>
      </c>
      <c r="BZ44" s="107">
        <f t="shared" ca="1" si="47"/>
        <v>-0.38803580337673349</v>
      </c>
      <c r="CA44" s="107">
        <f t="shared" ca="1" si="48"/>
        <v>1.5345384681921148E-2</v>
      </c>
      <c r="CB44" s="109">
        <f t="shared" ca="1" si="68"/>
        <v>19.5322916369106</v>
      </c>
      <c r="CC44" s="109">
        <f t="shared" ca="1" si="69"/>
        <v>-11.641074101302005</v>
      </c>
      <c r="CD44" s="109">
        <f t="shared" ca="1" si="70"/>
        <v>0.46036154045763444</v>
      </c>
    </row>
    <row r="45" spans="1:82" x14ac:dyDescent="0.25">
      <c r="A45" s="101">
        <f t="shared" si="49"/>
        <v>37226</v>
      </c>
      <c r="B45" s="102">
        <f t="shared" si="50"/>
        <v>4.0750000000000002</v>
      </c>
      <c r="C45" s="80">
        <f t="shared" si="51"/>
        <v>0.41249999999999998</v>
      </c>
      <c r="D45" s="102">
        <f t="shared" si="0"/>
        <v>-0.26750000000000002</v>
      </c>
      <c r="E45" s="106">
        <f t="shared" si="1"/>
        <v>0.97</v>
      </c>
      <c r="F45" s="105">
        <f t="shared" ca="1" si="2"/>
        <v>454</v>
      </c>
      <c r="G45" s="80">
        <f t="shared" si="3"/>
        <v>0.42175405999999993</v>
      </c>
      <c r="H45" s="80">
        <f t="shared" si="4"/>
        <v>2.2298000000000005E-2</v>
      </c>
      <c r="I45" s="104">
        <f t="shared" si="5"/>
        <v>5</v>
      </c>
      <c r="K45" s="102">
        <f t="shared" si="6"/>
        <v>-0.26750000000000002</v>
      </c>
      <c r="L45" s="106">
        <f t="shared" si="7"/>
        <v>0.97</v>
      </c>
      <c r="M45" s="105">
        <f t="shared" ca="1" si="8"/>
        <v>454</v>
      </c>
      <c r="N45" s="217">
        <f t="shared" si="9"/>
        <v>0.42175405999999993</v>
      </c>
      <c r="O45" s="80">
        <f t="shared" si="10"/>
        <v>2.2298000000000005E-2</v>
      </c>
      <c r="P45" s="104">
        <f t="shared" si="11"/>
        <v>5</v>
      </c>
      <c r="R45" s="102">
        <f t="shared" si="12"/>
        <v>0.22750000000000001</v>
      </c>
      <c r="S45" s="106">
        <f t="shared" si="13"/>
        <v>1</v>
      </c>
      <c r="T45" s="105">
        <f t="shared" ca="1" si="14"/>
        <v>454</v>
      </c>
      <c r="U45" s="217" t="e">
        <f t="shared" si="15"/>
        <v>#DIV/0!</v>
      </c>
      <c r="V45" s="80" t="e">
        <f t="shared" si="16"/>
        <v>#DIV/0!</v>
      </c>
      <c r="W45" s="104">
        <f t="shared" si="17"/>
        <v>4.95</v>
      </c>
      <c r="X45" s="105"/>
      <c r="Y45" s="102">
        <f t="shared" si="18"/>
        <v>-6.5000000000000002E-2</v>
      </c>
      <c r="Z45" s="106">
        <f t="shared" si="19"/>
        <v>1</v>
      </c>
      <c r="AA45" s="105">
        <f t="shared" ca="1" si="20"/>
        <v>454</v>
      </c>
      <c r="AB45" s="80">
        <f t="shared" si="21"/>
        <v>0.41249999999999998</v>
      </c>
      <c r="AC45" s="80">
        <f t="shared" si="22"/>
        <v>0</v>
      </c>
      <c r="AD45" s="104">
        <f t="shared" si="23"/>
        <v>3.98</v>
      </c>
      <c r="AF45" s="105">
        <f t="shared" ca="1" si="52"/>
        <v>454</v>
      </c>
      <c r="AG45" s="105">
        <f t="shared" ca="1" si="53"/>
        <v>453</v>
      </c>
      <c r="AH45" s="80">
        <f t="shared" si="24"/>
        <v>6.8935842503271005E-2</v>
      </c>
      <c r="AI45" s="182">
        <f t="shared" si="25"/>
        <v>31</v>
      </c>
      <c r="AL45" s="105"/>
      <c r="AM45" s="82"/>
      <c r="AN45" s="82">
        <f t="shared" si="26"/>
        <v>31</v>
      </c>
      <c r="AO45" s="82">
        <f t="shared" si="54"/>
        <v>3.8274999999999997</v>
      </c>
      <c r="AP45" s="77">
        <f t="shared" si="27"/>
        <v>126.94499999999999</v>
      </c>
      <c r="AQ45" s="108">
        <f t="shared" si="28"/>
        <v>118.65249999999999</v>
      </c>
      <c r="AR45" s="107">
        <f t="shared" ca="1" si="29"/>
        <v>0.33052976047382676</v>
      </c>
      <c r="AS45" s="107">
        <f t="shared" ca="1" si="55"/>
        <v>0.33922593818331381</v>
      </c>
      <c r="AT45" s="107">
        <f t="shared" ca="1" si="30"/>
        <v>1.4833375603108712E-2</v>
      </c>
      <c r="AU45" s="109">
        <f t="shared" ca="1" si="56"/>
        <v>10.24642257468863</v>
      </c>
      <c r="AV45" s="109">
        <f t="shared" ca="1" si="57"/>
        <v>10.516004083682729</v>
      </c>
      <c r="AW45" s="109">
        <f t="shared" ca="1" si="58"/>
        <v>0.45983464369637006</v>
      </c>
      <c r="AY45" s="82">
        <f t="shared" si="31"/>
        <v>31</v>
      </c>
      <c r="AZ45" s="82">
        <f t="shared" si="59"/>
        <v>3.8174999999999999</v>
      </c>
      <c r="BA45" s="77">
        <f t="shared" si="32"/>
        <v>126.63500000000001</v>
      </c>
      <c r="BB45" s="108">
        <f t="shared" si="33"/>
        <v>118.3425</v>
      </c>
      <c r="BC45" s="107">
        <f t="shared" ca="1" si="34"/>
        <v>0.32714711590566403</v>
      </c>
      <c r="BD45" s="107">
        <f t="shared" ca="1" si="35"/>
        <v>0.33730101270604285</v>
      </c>
      <c r="BE45" s="107">
        <f t="shared" ca="1" si="36"/>
        <v>1.4768112749547813E-2</v>
      </c>
      <c r="BF45" s="109">
        <f t="shared" ca="1" si="60"/>
        <v>10.141560593075585</v>
      </c>
      <c r="BG45" s="109">
        <f t="shared" ca="1" si="61"/>
        <v>10.456331393887329</v>
      </c>
      <c r="BH45" s="109">
        <f t="shared" ca="1" si="62"/>
        <v>0.45781149523598219</v>
      </c>
      <c r="BJ45" s="82">
        <f t="shared" si="37"/>
        <v>0</v>
      </c>
      <c r="BK45" s="82" t="e">
        <f t="shared" si="63"/>
        <v>#DIV/0!</v>
      </c>
      <c r="BL45" s="77">
        <f t="shared" si="38"/>
        <v>0</v>
      </c>
      <c r="BM45" s="108">
        <f t="shared" si="39"/>
        <v>0</v>
      </c>
      <c r="BN45" s="107">
        <f t="shared" si="40"/>
        <v>0</v>
      </c>
      <c r="BO45" s="107">
        <f t="shared" si="41"/>
        <v>0</v>
      </c>
      <c r="BP45" s="107">
        <f t="shared" si="42"/>
        <v>0</v>
      </c>
      <c r="BQ45" s="109">
        <f t="shared" si="64"/>
        <v>0</v>
      </c>
      <c r="BR45" s="109">
        <f t="shared" si="65"/>
        <v>0</v>
      </c>
      <c r="BS45" s="109">
        <f t="shared" si="66"/>
        <v>0</v>
      </c>
      <c r="BU45" s="82">
        <f t="shared" si="43"/>
        <v>31</v>
      </c>
      <c r="BV45" s="82">
        <f t="shared" si="67"/>
        <v>4.01</v>
      </c>
      <c r="BW45" s="77">
        <f t="shared" si="44"/>
        <v>126.325</v>
      </c>
      <c r="BX45" s="108">
        <f t="shared" si="45"/>
        <v>124.30999999999999</v>
      </c>
      <c r="BY45" s="107">
        <f t="shared" ca="1" si="46"/>
        <v>0.65340458694179349</v>
      </c>
      <c r="BZ45" s="107">
        <f t="shared" ca="1" si="47"/>
        <v>-0.36961862843354293</v>
      </c>
      <c r="CA45" s="107">
        <f t="shared" ca="1" si="48"/>
        <v>1.5876075619037255E-2</v>
      </c>
      <c r="CB45" s="109">
        <f t="shared" ca="1" si="68"/>
        <v>20.255542195195599</v>
      </c>
      <c r="CC45" s="109">
        <f t="shared" ca="1" si="69"/>
        <v>-11.458177481439831</v>
      </c>
      <c r="CD45" s="109">
        <f t="shared" ca="1" si="70"/>
        <v>0.49215834419015492</v>
      </c>
    </row>
    <row r="46" spans="1:82" x14ac:dyDescent="0.25">
      <c r="A46" s="101">
        <f t="shared" si="49"/>
        <v>37257</v>
      </c>
      <c r="B46" s="102">
        <f t="shared" si="50"/>
        <v>4.0449999999999999</v>
      </c>
      <c r="C46" s="80">
        <f t="shared" si="51"/>
        <v>0.41749999999999998</v>
      </c>
      <c r="D46" s="102">
        <f t="shared" si="0"/>
        <v>-0.26750000000000002</v>
      </c>
      <c r="E46" s="106">
        <f t="shared" si="1"/>
        <v>0.97</v>
      </c>
      <c r="F46" s="105">
        <f t="shared" ca="1" si="2"/>
        <v>483</v>
      </c>
      <c r="G46" s="80">
        <f t="shared" si="3"/>
        <v>0.42660405999999995</v>
      </c>
      <c r="H46" s="80">
        <f t="shared" si="4"/>
        <v>2.2298000000000005E-2</v>
      </c>
      <c r="I46" s="104">
        <f t="shared" si="5"/>
        <v>5</v>
      </c>
      <c r="K46" s="102">
        <f t="shared" si="6"/>
        <v>-0.26750000000000002</v>
      </c>
      <c r="L46" s="106">
        <f t="shared" si="7"/>
        <v>0.97</v>
      </c>
      <c r="M46" s="105">
        <f t="shared" ca="1" si="8"/>
        <v>483</v>
      </c>
      <c r="N46" s="217">
        <f t="shared" si="9"/>
        <v>0.42660405999999995</v>
      </c>
      <c r="O46" s="80">
        <f t="shared" si="10"/>
        <v>2.2298000000000005E-2</v>
      </c>
      <c r="P46" s="104">
        <f t="shared" si="11"/>
        <v>5</v>
      </c>
      <c r="R46" s="102">
        <f t="shared" si="12"/>
        <v>0.24</v>
      </c>
      <c r="S46" s="106">
        <f t="shared" si="13"/>
        <v>1</v>
      </c>
      <c r="T46" s="105">
        <f t="shared" ca="1" si="14"/>
        <v>483</v>
      </c>
      <c r="U46" s="217" t="e">
        <f t="shared" si="15"/>
        <v>#DIV/0!</v>
      </c>
      <c r="V46" s="80" t="e">
        <f t="shared" si="16"/>
        <v>#DIV/0!</v>
      </c>
      <c r="W46" s="104">
        <f t="shared" si="17"/>
        <v>4.95</v>
      </c>
      <c r="X46" s="105"/>
      <c r="Y46" s="102">
        <f t="shared" si="18"/>
        <v>-6.7500000000000004E-2</v>
      </c>
      <c r="Z46" s="106">
        <f t="shared" si="19"/>
        <v>1</v>
      </c>
      <c r="AA46" s="105">
        <f t="shared" ca="1" si="20"/>
        <v>483</v>
      </c>
      <c r="AB46" s="80">
        <f t="shared" si="21"/>
        <v>0.41749999999999998</v>
      </c>
      <c r="AC46" s="80">
        <f t="shared" si="22"/>
        <v>0</v>
      </c>
      <c r="AD46" s="104">
        <f t="shared" si="23"/>
        <v>3.98</v>
      </c>
      <c r="AF46" s="105">
        <f t="shared" ca="1" si="52"/>
        <v>483</v>
      </c>
      <c r="AG46" s="105">
        <f t="shared" ca="1" si="53"/>
        <v>482</v>
      </c>
      <c r="AH46" s="80">
        <f t="shared" si="24"/>
        <v>6.896655729440701E-2</v>
      </c>
      <c r="AI46" s="182">
        <f t="shared" si="25"/>
        <v>31</v>
      </c>
      <c r="AL46" s="105"/>
      <c r="AM46" s="82"/>
      <c r="AN46" s="82">
        <f t="shared" si="26"/>
        <v>31</v>
      </c>
      <c r="AO46" s="82">
        <f t="shared" si="54"/>
        <v>3.7974999999999994</v>
      </c>
      <c r="AP46" s="77">
        <f t="shared" si="27"/>
        <v>126.01499999999999</v>
      </c>
      <c r="AQ46" s="108">
        <f t="shared" si="28"/>
        <v>117.72249999999998</v>
      </c>
      <c r="AR46" s="107">
        <f t="shared" ca="1" si="29"/>
        <v>0.34533081373038088</v>
      </c>
      <c r="AS46" s="107">
        <f t="shared" ca="1" si="55"/>
        <v>0.34348597601144909</v>
      </c>
      <c r="AT46" s="107">
        <f t="shared" ca="1" si="30"/>
        <v>1.5180466605534404E-2</v>
      </c>
      <c r="AU46" s="109">
        <f t="shared" ca="1" si="56"/>
        <v>10.705255225641807</v>
      </c>
      <c r="AV46" s="109">
        <f t="shared" ca="1" si="57"/>
        <v>10.648065256354922</v>
      </c>
      <c r="AW46" s="109">
        <f t="shared" ca="1" si="58"/>
        <v>0.47059446477156652</v>
      </c>
      <c r="AY46" s="82">
        <f t="shared" si="31"/>
        <v>31</v>
      </c>
      <c r="AZ46" s="82">
        <f t="shared" si="59"/>
        <v>3.7874999999999996</v>
      </c>
      <c r="BA46" s="77">
        <f t="shared" si="32"/>
        <v>125.70499999999998</v>
      </c>
      <c r="BB46" s="108">
        <f t="shared" si="33"/>
        <v>117.41249999999999</v>
      </c>
      <c r="BC46" s="107">
        <f t="shared" ca="1" si="34"/>
        <v>0.3419052470728684</v>
      </c>
      <c r="BD46" s="107">
        <f t="shared" ca="1" si="35"/>
        <v>0.34162578198066079</v>
      </c>
      <c r="BE46" s="107">
        <f t="shared" ca="1" si="36"/>
        <v>1.5115704833477683E-2</v>
      </c>
      <c r="BF46" s="109">
        <f t="shared" ca="1" si="60"/>
        <v>10.599062659258921</v>
      </c>
      <c r="BG46" s="109">
        <f t="shared" ca="1" si="61"/>
        <v>10.590399241400485</v>
      </c>
      <c r="BH46" s="109">
        <f t="shared" ca="1" si="62"/>
        <v>0.46858684983780818</v>
      </c>
      <c r="BJ46" s="82">
        <f t="shared" si="37"/>
        <v>0</v>
      </c>
      <c r="BK46" s="82" t="e">
        <f t="shared" si="63"/>
        <v>#DIV/0!</v>
      </c>
      <c r="BL46" s="77">
        <f t="shared" si="38"/>
        <v>0</v>
      </c>
      <c r="BM46" s="108">
        <f t="shared" si="39"/>
        <v>0</v>
      </c>
      <c r="BN46" s="107">
        <f t="shared" si="40"/>
        <v>0</v>
      </c>
      <c r="BO46" s="107">
        <f t="shared" si="41"/>
        <v>0</v>
      </c>
      <c r="BP46" s="107">
        <f t="shared" si="42"/>
        <v>0</v>
      </c>
      <c r="BQ46" s="109">
        <f t="shared" si="64"/>
        <v>0</v>
      </c>
      <c r="BR46" s="109">
        <f t="shared" si="65"/>
        <v>0</v>
      </c>
      <c r="BS46" s="109">
        <f t="shared" si="66"/>
        <v>0</v>
      </c>
      <c r="BU46" s="82">
        <f t="shared" si="43"/>
        <v>31</v>
      </c>
      <c r="BV46" s="82">
        <f t="shared" si="67"/>
        <v>3.9775</v>
      </c>
      <c r="BW46" s="77">
        <f t="shared" si="44"/>
        <v>125.395</v>
      </c>
      <c r="BX46" s="108">
        <f t="shared" si="45"/>
        <v>123.30249999999999</v>
      </c>
      <c r="BY46" s="107">
        <f t="shared" ca="1" si="46"/>
        <v>0.69035147409852682</v>
      </c>
      <c r="BZ46" s="107">
        <f t="shared" ca="1" si="47"/>
        <v>-0.3702449019138031</v>
      </c>
      <c r="CA46" s="107">
        <f t="shared" ca="1" si="48"/>
        <v>1.6181853672947666E-2</v>
      </c>
      <c r="CB46" s="109">
        <f t="shared" ca="1" si="68"/>
        <v>21.400895697054331</v>
      </c>
      <c r="CC46" s="109">
        <f t="shared" ca="1" si="69"/>
        <v>-11.477591959327896</v>
      </c>
      <c r="CD46" s="109">
        <f t="shared" ca="1" si="70"/>
        <v>0.50163746386137764</v>
      </c>
    </row>
    <row r="47" spans="1:82" x14ac:dyDescent="0.25">
      <c r="A47" s="101">
        <f t="shared" si="49"/>
        <v>37288</v>
      </c>
      <c r="B47" s="102">
        <f t="shared" si="50"/>
        <v>3.8740000000000006</v>
      </c>
      <c r="C47" s="80">
        <f t="shared" si="51"/>
        <v>0.4</v>
      </c>
      <c r="D47" s="102">
        <f t="shared" si="0"/>
        <v>-0.26750000000000002</v>
      </c>
      <c r="E47" s="106">
        <f t="shared" si="1"/>
        <v>0.97</v>
      </c>
      <c r="F47" s="105">
        <f t="shared" ca="1" si="2"/>
        <v>516</v>
      </c>
      <c r="G47" s="80">
        <f t="shared" si="3"/>
        <v>0.41231615399999999</v>
      </c>
      <c r="H47" s="80">
        <f t="shared" si="4"/>
        <v>2.5068200000000002E-2</v>
      </c>
      <c r="I47" s="104">
        <f t="shared" si="5"/>
        <v>5</v>
      </c>
      <c r="K47" s="102">
        <f t="shared" si="6"/>
        <v>-0.26750000000000002</v>
      </c>
      <c r="L47" s="106">
        <f t="shared" si="7"/>
        <v>0.97</v>
      </c>
      <c r="M47" s="105">
        <f t="shared" ca="1" si="8"/>
        <v>516</v>
      </c>
      <c r="N47" s="217">
        <f t="shared" si="9"/>
        <v>0.41231615399999999</v>
      </c>
      <c r="O47" s="80">
        <f t="shared" si="10"/>
        <v>2.5068200000000002E-2</v>
      </c>
      <c r="P47" s="104">
        <f t="shared" si="11"/>
        <v>5</v>
      </c>
      <c r="R47" s="102">
        <f t="shared" si="12"/>
        <v>0.2175</v>
      </c>
      <c r="S47" s="106">
        <f t="shared" si="13"/>
        <v>1</v>
      </c>
      <c r="T47" s="105">
        <f t="shared" ca="1" si="14"/>
        <v>516</v>
      </c>
      <c r="U47" s="217" t="e">
        <f t="shared" si="15"/>
        <v>#DIV/0!</v>
      </c>
      <c r="V47" s="80" t="e">
        <f t="shared" si="16"/>
        <v>#DIV/0!</v>
      </c>
      <c r="W47" s="104">
        <f t="shared" si="17"/>
        <v>4.95</v>
      </c>
      <c r="X47" s="105"/>
      <c r="Y47" s="102">
        <f t="shared" si="18"/>
        <v>-0.05</v>
      </c>
      <c r="Z47" s="106">
        <f t="shared" si="19"/>
        <v>1</v>
      </c>
      <c r="AA47" s="105">
        <f t="shared" ca="1" si="20"/>
        <v>516</v>
      </c>
      <c r="AB47" s="80">
        <f t="shared" si="21"/>
        <v>0.40400000000000003</v>
      </c>
      <c r="AC47" s="80">
        <f t="shared" si="22"/>
        <v>4.0000000000000001E-3</v>
      </c>
      <c r="AD47" s="104">
        <f t="shared" si="23"/>
        <v>3.98</v>
      </c>
      <c r="AF47" s="105">
        <f t="shared" ca="1" si="52"/>
        <v>516</v>
      </c>
      <c r="AG47" s="105">
        <f t="shared" ca="1" si="53"/>
        <v>515</v>
      </c>
      <c r="AH47" s="80">
        <f t="shared" si="24"/>
        <v>6.9016352028977018E-2</v>
      </c>
      <c r="AI47" s="182">
        <f t="shared" si="25"/>
        <v>28</v>
      </c>
      <c r="AL47" s="105"/>
      <c r="AM47" s="82"/>
      <c r="AN47" s="82">
        <f t="shared" si="26"/>
        <v>28</v>
      </c>
      <c r="AO47" s="82">
        <f t="shared" si="54"/>
        <v>3.6265000000000005</v>
      </c>
      <c r="AP47" s="77">
        <f t="shared" si="27"/>
        <v>109.03200000000001</v>
      </c>
      <c r="AQ47" s="108">
        <f t="shared" si="28"/>
        <v>101.54200000000002</v>
      </c>
      <c r="AR47" s="107">
        <f t="shared" ca="1" si="29"/>
        <v>0.28690306199351523</v>
      </c>
      <c r="AS47" s="107">
        <f t="shared" ca="1" si="55"/>
        <v>0.30921330289801119</v>
      </c>
      <c r="AT47" s="107">
        <f t="shared" ca="1" si="30"/>
        <v>1.4407673626570472E-2</v>
      </c>
      <c r="AU47" s="109">
        <f t="shared" ca="1" si="56"/>
        <v>8.033285735818426</v>
      </c>
      <c r="AV47" s="109">
        <f t="shared" ca="1" si="57"/>
        <v>8.6579724811443128</v>
      </c>
      <c r="AW47" s="109">
        <f t="shared" ca="1" si="58"/>
        <v>0.40341486154397321</v>
      </c>
      <c r="AY47" s="82">
        <f t="shared" si="31"/>
        <v>28</v>
      </c>
      <c r="AZ47" s="82">
        <f t="shared" si="59"/>
        <v>3.6164999999999998</v>
      </c>
      <c r="BA47" s="77">
        <f t="shared" si="32"/>
        <v>108.75200000000001</v>
      </c>
      <c r="BB47" s="108">
        <f t="shared" si="33"/>
        <v>101.262</v>
      </c>
      <c r="BC47" s="107">
        <f t="shared" ca="1" si="34"/>
        <v>0.28382026867721577</v>
      </c>
      <c r="BD47" s="107">
        <f t="shared" ca="1" si="35"/>
        <v>0.30734159916438986</v>
      </c>
      <c r="BE47" s="107">
        <f t="shared" ca="1" si="36"/>
        <v>1.4335836327702856E-2</v>
      </c>
      <c r="BF47" s="109">
        <f t="shared" ca="1" si="60"/>
        <v>7.9469675229620416</v>
      </c>
      <c r="BG47" s="109">
        <f t="shared" ca="1" si="61"/>
        <v>8.6055647766029164</v>
      </c>
      <c r="BH47" s="109">
        <f t="shared" ca="1" si="62"/>
        <v>0.40140341717567996</v>
      </c>
      <c r="BJ47" s="82">
        <f t="shared" si="37"/>
        <v>0</v>
      </c>
      <c r="BK47" s="82" t="e">
        <f t="shared" si="63"/>
        <v>#DIV/0!</v>
      </c>
      <c r="BL47" s="77">
        <f t="shared" si="38"/>
        <v>0</v>
      </c>
      <c r="BM47" s="108">
        <f t="shared" si="39"/>
        <v>0</v>
      </c>
      <c r="BN47" s="107">
        <f t="shared" si="40"/>
        <v>0</v>
      </c>
      <c r="BO47" s="107">
        <f t="shared" si="41"/>
        <v>0</v>
      </c>
      <c r="BP47" s="107">
        <f t="shared" si="42"/>
        <v>0</v>
      </c>
      <c r="BQ47" s="109">
        <f t="shared" si="64"/>
        <v>0</v>
      </c>
      <c r="BR47" s="109">
        <f t="shared" si="65"/>
        <v>0</v>
      </c>
      <c r="BS47" s="109">
        <f t="shared" si="66"/>
        <v>0</v>
      </c>
      <c r="BU47" s="82">
        <f t="shared" si="43"/>
        <v>28</v>
      </c>
      <c r="BV47" s="82">
        <f t="shared" si="67"/>
        <v>3.8240000000000003</v>
      </c>
      <c r="BW47" s="77">
        <f t="shared" si="44"/>
        <v>108.47200000000001</v>
      </c>
      <c r="BX47" s="108">
        <f t="shared" si="45"/>
        <v>107.072</v>
      </c>
      <c r="BY47" s="107">
        <f t="shared" ca="1" si="46"/>
        <v>0.74481364420355689</v>
      </c>
      <c r="BZ47" s="107">
        <f t="shared" ca="1" si="47"/>
        <v>-0.39696827672769941</v>
      </c>
      <c r="CA47" s="107">
        <f t="shared" ca="1" si="48"/>
        <v>1.6240988831717873E-2</v>
      </c>
      <c r="CB47" s="109">
        <f t="shared" ca="1" si="68"/>
        <v>20.854782037699593</v>
      </c>
      <c r="CC47" s="109">
        <f t="shared" ca="1" si="69"/>
        <v>-11.115111748375583</v>
      </c>
      <c r="CD47" s="109">
        <f t="shared" ca="1" si="70"/>
        <v>0.45474768728810044</v>
      </c>
    </row>
    <row r="48" spans="1:82" x14ac:dyDescent="0.25">
      <c r="A48" s="101">
        <f t="shared" si="49"/>
        <v>37316</v>
      </c>
      <c r="B48" s="102">
        <f t="shared" si="50"/>
        <v>3.7090000000000005</v>
      </c>
      <c r="C48" s="80">
        <f t="shared" si="51"/>
        <v>0.36749999999999999</v>
      </c>
      <c r="D48" s="102">
        <f t="shared" si="0"/>
        <v>-0.26750000000000002</v>
      </c>
      <c r="E48" s="106">
        <f t="shared" si="1"/>
        <v>0.97</v>
      </c>
      <c r="F48" s="105">
        <f t="shared" ca="1" si="2"/>
        <v>544</v>
      </c>
      <c r="G48" s="80">
        <f t="shared" si="3"/>
        <v>0.38206398800000002</v>
      </c>
      <c r="H48" s="80">
        <f t="shared" si="4"/>
        <v>2.6380400000000002E-2</v>
      </c>
      <c r="I48" s="104">
        <f t="shared" si="5"/>
        <v>5</v>
      </c>
      <c r="K48" s="102">
        <f t="shared" si="6"/>
        <v>-0.26750000000000002</v>
      </c>
      <c r="L48" s="106">
        <f t="shared" si="7"/>
        <v>0.97</v>
      </c>
      <c r="M48" s="105">
        <f t="shared" ca="1" si="8"/>
        <v>544</v>
      </c>
      <c r="N48" s="217">
        <f t="shared" si="9"/>
        <v>0.38206398800000002</v>
      </c>
      <c r="O48" s="80">
        <f t="shared" si="10"/>
        <v>2.6380400000000002E-2</v>
      </c>
      <c r="P48" s="104">
        <f t="shared" si="11"/>
        <v>5</v>
      </c>
      <c r="R48" s="102">
        <f t="shared" si="12"/>
        <v>0.215</v>
      </c>
      <c r="S48" s="106">
        <f t="shared" si="13"/>
        <v>1</v>
      </c>
      <c r="T48" s="105">
        <f t="shared" ca="1" si="14"/>
        <v>544</v>
      </c>
      <c r="U48" s="217" t="e">
        <f t="shared" si="15"/>
        <v>#DIV/0!</v>
      </c>
      <c r="V48" s="80" t="e">
        <f t="shared" si="16"/>
        <v>#DIV/0!</v>
      </c>
      <c r="W48" s="104">
        <f t="shared" si="17"/>
        <v>4.95</v>
      </c>
      <c r="X48" s="105"/>
      <c r="Y48" s="102">
        <f t="shared" si="18"/>
        <v>-3.7499999999999999E-2</v>
      </c>
      <c r="Z48" s="106">
        <f t="shared" si="19"/>
        <v>1</v>
      </c>
      <c r="AA48" s="105">
        <f t="shared" ca="1" si="20"/>
        <v>544</v>
      </c>
      <c r="AB48" s="80">
        <f t="shared" si="21"/>
        <v>0.3735</v>
      </c>
      <c r="AC48" s="80">
        <f t="shared" si="22"/>
        <v>6.0000000000000001E-3</v>
      </c>
      <c r="AD48" s="104">
        <f t="shared" si="23"/>
        <v>3.98</v>
      </c>
      <c r="AF48" s="105">
        <f t="shared" ca="1" si="52"/>
        <v>544</v>
      </c>
      <c r="AG48" s="105">
        <f t="shared" ca="1" si="53"/>
        <v>543</v>
      </c>
      <c r="AH48" s="80">
        <f t="shared" si="24"/>
        <v>6.9061327918971016E-2</v>
      </c>
      <c r="AI48" s="182">
        <f t="shared" si="25"/>
        <v>31</v>
      </c>
      <c r="AL48" s="105"/>
      <c r="AM48" s="82"/>
      <c r="AN48" s="82">
        <f t="shared" si="26"/>
        <v>31</v>
      </c>
      <c r="AO48" s="82">
        <f t="shared" si="54"/>
        <v>3.4615000000000005</v>
      </c>
      <c r="AP48" s="77">
        <f t="shared" si="27"/>
        <v>115.59900000000002</v>
      </c>
      <c r="AQ48" s="108">
        <f t="shared" si="28"/>
        <v>107.30650000000001</v>
      </c>
      <c r="AR48" s="107">
        <f t="shared" ca="1" si="29"/>
        <v>0.2113838505767025</v>
      </c>
      <c r="AS48" s="107">
        <f t="shared" ca="1" si="55"/>
        <v>0.2610825434767079</v>
      </c>
      <c r="AT48" s="107">
        <f t="shared" ca="1" si="30"/>
        <v>1.3132144658851042E-2</v>
      </c>
      <c r="AU48" s="109">
        <f t="shared" ca="1" si="56"/>
        <v>6.552899367877778</v>
      </c>
      <c r="AV48" s="109">
        <f t="shared" ca="1" si="57"/>
        <v>8.0935588477779454</v>
      </c>
      <c r="AW48" s="109">
        <f t="shared" ca="1" si="58"/>
        <v>0.40709648442438229</v>
      </c>
      <c r="AY48" s="82">
        <f t="shared" si="31"/>
        <v>31</v>
      </c>
      <c r="AZ48" s="82">
        <f t="shared" si="59"/>
        <v>3.4515000000000002</v>
      </c>
      <c r="BA48" s="77">
        <f t="shared" si="32"/>
        <v>115.28900000000002</v>
      </c>
      <c r="BB48" s="108">
        <f t="shared" si="33"/>
        <v>106.99650000000001</v>
      </c>
      <c r="BC48" s="107">
        <f t="shared" ca="1" si="34"/>
        <v>0.20878255829602244</v>
      </c>
      <c r="BD48" s="107">
        <f t="shared" ca="1" si="35"/>
        <v>0.25917222143750485</v>
      </c>
      <c r="BE48" s="107">
        <f t="shared" ca="1" si="36"/>
        <v>1.3050579919091754E-2</v>
      </c>
      <c r="BF48" s="109">
        <f t="shared" ca="1" si="60"/>
        <v>6.4722593071766958</v>
      </c>
      <c r="BG48" s="109">
        <f t="shared" ca="1" si="61"/>
        <v>8.0343388645626508</v>
      </c>
      <c r="BH48" s="109">
        <f t="shared" ca="1" si="62"/>
        <v>0.40456797749184437</v>
      </c>
      <c r="BJ48" s="82">
        <f t="shared" si="37"/>
        <v>0</v>
      </c>
      <c r="BK48" s="82" t="e">
        <f t="shared" si="63"/>
        <v>#DIV/0!</v>
      </c>
      <c r="BL48" s="77">
        <f t="shared" si="38"/>
        <v>0</v>
      </c>
      <c r="BM48" s="108">
        <f t="shared" si="39"/>
        <v>0</v>
      </c>
      <c r="BN48" s="107">
        <f t="shared" si="40"/>
        <v>0</v>
      </c>
      <c r="BO48" s="107">
        <f t="shared" si="41"/>
        <v>0</v>
      </c>
      <c r="BP48" s="107">
        <f t="shared" si="42"/>
        <v>0</v>
      </c>
      <c r="BQ48" s="109">
        <f t="shared" si="64"/>
        <v>0</v>
      </c>
      <c r="BR48" s="109">
        <f t="shared" si="65"/>
        <v>0</v>
      </c>
      <c r="BS48" s="109">
        <f t="shared" si="66"/>
        <v>0</v>
      </c>
      <c r="BU48" s="82">
        <f t="shared" si="43"/>
        <v>31</v>
      </c>
      <c r="BV48" s="82">
        <f t="shared" si="67"/>
        <v>3.6715000000000004</v>
      </c>
      <c r="BW48" s="77">
        <f t="shared" si="44"/>
        <v>114.97900000000001</v>
      </c>
      <c r="BX48" s="108">
        <f t="shared" si="45"/>
        <v>113.81650000000002</v>
      </c>
      <c r="BY48" s="107">
        <f t="shared" ca="1" si="46"/>
        <v>0.77118737907957624</v>
      </c>
      <c r="BZ48" s="107">
        <f t="shared" ca="1" si="47"/>
        <v>-0.43273475227216029</v>
      </c>
      <c r="CA48" s="107">
        <f t="shared" ca="1" si="48"/>
        <v>1.6107058358486359E-2</v>
      </c>
      <c r="CB48" s="109">
        <f t="shared" ca="1" si="68"/>
        <v>23.906808751466862</v>
      </c>
      <c r="CC48" s="109">
        <f t="shared" ca="1" si="69"/>
        <v>-13.414777320436968</v>
      </c>
      <c r="CD48" s="109">
        <f t="shared" ca="1" si="70"/>
        <v>0.49931880911307713</v>
      </c>
    </row>
    <row r="49" spans="1:82" x14ac:dyDescent="0.25">
      <c r="A49" s="101">
        <f t="shared" si="49"/>
        <v>37347</v>
      </c>
      <c r="B49" s="102">
        <f t="shared" si="50"/>
        <v>3.532</v>
      </c>
      <c r="C49" s="80">
        <f t="shared" si="51"/>
        <v>0.30249999999999999</v>
      </c>
      <c r="D49" s="102">
        <f t="shared" si="0"/>
        <v>-0.25</v>
      </c>
      <c r="E49" s="106">
        <f t="shared" si="1"/>
        <v>1</v>
      </c>
      <c r="F49" s="105">
        <f t="shared" ca="1" si="2"/>
        <v>572</v>
      </c>
      <c r="G49" s="80" t="e">
        <f t="shared" si="3"/>
        <v>#DIV/0!</v>
      </c>
      <c r="H49" s="80" t="e">
        <f t="shared" si="4"/>
        <v>#DIV/0!</v>
      </c>
      <c r="I49" s="104">
        <f t="shared" si="5"/>
        <v>5</v>
      </c>
      <c r="K49" s="102">
        <f t="shared" si="6"/>
        <v>-0.25</v>
      </c>
      <c r="L49" s="106">
        <f t="shared" si="7"/>
        <v>1</v>
      </c>
      <c r="M49" s="105">
        <f t="shared" ca="1" si="8"/>
        <v>572</v>
      </c>
      <c r="N49" s="217">
        <f t="shared" si="9"/>
        <v>0.33650000000000002</v>
      </c>
      <c r="O49" s="80">
        <f t="shared" si="10"/>
        <v>3.4000000000000002E-2</v>
      </c>
      <c r="P49" s="104">
        <f t="shared" si="11"/>
        <v>5</v>
      </c>
      <c r="R49" s="102">
        <f t="shared" si="12"/>
        <v>0.14000000000000001</v>
      </c>
      <c r="S49" s="106">
        <f t="shared" si="13"/>
        <v>1</v>
      </c>
      <c r="T49" s="105">
        <f t="shared" ca="1" si="14"/>
        <v>572</v>
      </c>
      <c r="U49" s="217" t="e">
        <f t="shared" si="15"/>
        <v>#DIV/0!</v>
      </c>
      <c r="V49" s="80" t="e">
        <f t="shared" si="16"/>
        <v>#DIV/0!</v>
      </c>
      <c r="W49" s="104">
        <f t="shared" si="17"/>
        <v>4.95</v>
      </c>
      <c r="X49" s="105"/>
      <c r="Y49" s="102">
        <f t="shared" si="18"/>
        <v>1.4999999999999999E-2</v>
      </c>
      <c r="Z49" s="106">
        <f t="shared" si="19"/>
        <v>1</v>
      </c>
      <c r="AA49" s="105">
        <f t="shared" ca="1" si="20"/>
        <v>572</v>
      </c>
      <c r="AB49" s="80" t="e">
        <f t="shared" si="21"/>
        <v>#DIV/0!</v>
      </c>
      <c r="AC49" s="80" t="e">
        <f t="shared" si="22"/>
        <v>#DIV/0!</v>
      </c>
      <c r="AD49" s="104">
        <f t="shared" si="23"/>
        <v>3.98</v>
      </c>
      <c r="AF49" s="105">
        <f t="shared" ca="1" si="52"/>
        <v>572</v>
      </c>
      <c r="AG49" s="105">
        <f t="shared" ca="1" si="53"/>
        <v>571</v>
      </c>
      <c r="AH49" s="80">
        <f t="shared" si="24"/>
        <v>6.9092023437082997E-2</v>
      </c>
      <c r="AI49" s="182">
        <f t="shared" si="25"/>
        <v>30</v>
      </c>
      <c r="AL49" s="105"/>
      <c r="AM49" s="82"/>
      <c r="AN49" s="82">
        <f t="shared" si="26"/>
        <v>0</v>
      </c>
      <c r="AO49" s="82" t="e">
        <f t="shared" si="54"/>
        <v>#DIV/0!</v>
      </c>
      <c r="AP49" s="77">
        <f t="shared" si="27"/>
        <v>0</v>
      </c>
      <c r="AQ49" s="108">
        <f t="shared" si="28"/>
        <v>0</v>
      </c>
      <c r="AR49" s="107">
        <f t="shared" si="29"/>
        <v>0</v>
      </c>
      <c r="AS49" s="107">
        <f t="shared" si="55"/>
        <v>0</v>
      </c>
      <c r="AT49" s="107">
        <f t="shared" si="30"/>
        <v>0</v>
      </c>
      <c r="AU49" s="109">
        <f t="shared" si="56"/>
        <v>0</v>
      </c>
      <c r="AV49" s="109">
        <f t="shared" si="57"/>
        <v>0</v>
      </c>
      <c r="AW49" s="109">
        <f t="shared" si="58"/>
        <v>0</v>
      </c>
      <c r="AY49" s="82">
        <f t="shared" si="31"/>
        <v>30</v>
      </c>
      <c r="AZ49" s="82">
        <f t="shared" si="59"/>
        <v>3.2919999999999998</v>
      </c>
      <c r="BA49" s="77">
        <f t="shared" si="32"/>
        <v>106.25999999999999</v>
      </c>
      <c r="BB49" s="108">
        <f t="shared" si="33"/>
        <v>98.759999999999991</v>
      </c>
      <c r="BC49" s="107">
        <f t="shared" ca="1" si="34"/>
        <v>0.12789125992681649</v>
      </c>
      <c r="BD49" s="107">
        <f t="shared" ca="1" si="35"/>
        <v>0.19495313625076807</v>
      </c>
      <c r="BE49" s="107">
        <f t="shared" ca="1" si="36"/>
        <v>1.1019538638791126E-2</v>
      </c>
      <c r="BF49" s="109">
        <f t="shared" ca="1" si="60"/>
        <v>3.8367377978044948</v>
      </c>
      <c r="BG49" s="109">
        <f t="shared" ca="1" si="61"/>
        <v>5.8485940875230424</v>
      </c>
      <c r="BH49" s="109">
        <f t="shared" ca="1" si="62"/>
        <v>0.33058615916373379</v>
      </c>
      <c r="BJ49" s="82">
        <f t="shared" si="37"/>
        <v>0</v>
      </c>
      <c r="BK49" s="82" t="e">
        <f t="shared" si="63"/>
        <v>#DIV/0!</v>
      </c>
      <c r="BL49" s="77">
        <f t="shared" si="38"/>
        <v>0</v>
      </c>
      <c r="BM49" s="108">
        <f t="shared" si="39"/>
        <v>0</v>
      </c>
      <c r="BN49" s="107">
        <f t="shared" si="40"/>
        <v>0</v>
      </c>
      <c r="BO49" s="107">
        <f t="shared" si="41"/>
        <v>0</v>
      </c>
      <c r="BP49" s="107">
        <f t="shared" si="42"/>
        <v>0</v>
      </c>
      <c r="BQ49" s="109">
        <f t="shared" si="64"/>
        <v>0</v>
      </c>
      <c r="BR49" s="109">
        <f t="shared" si="65"/>
        <v>0</v>
      </c>
      <c r="BS49" s="109">
        <f t="shared" si="66"/>
        <v>0</v>
      </c>
      <c r="BU49" s="82">
        <f t="shared" si="43"/>
        <v>0</v>
      </c>
      <c r="BV49" s="82" t="e">
        <f t="shared" si="67"/>
        <v>#DIV/0!</v>
      </c>
      <c r="BW49" s="77">
        <f t="shared" si="44"/>
        <v>0</v>
      </c>
      <c r="BX49" s="108">
        <f t="shared" si="45"/>
        <v>0</v>
      </c>
      <c r="BY49" s="107">
        <f t="shared" si="46"/>
        <v>0</v>
      </c>
      <c r="BZ49" s="107">
        <f t="shared" si="47"/>
        <v>0</v>
      </c>
      <c r="CA49" s="107">
        <f t="shared" si="48"/>
        <v>0</v>
      </c>
      <c r="CB49" s="109">
        <f t="shared" si="68"/>
        <v>0</v>
      </c>
      <c r="CC49" s="109">
        <f t="shared" si="69"/>
        <v>0</v>
      </c>
      <c r="CD49" s="109">
        <f t="shared" si="70"/>
        <v>0</v>
      </c>
    </row>
    <row r="50" spans="1:82" x14ac:dyDescent="0.25">
      <c r="A50" s="101">
        <f t="shared" si="49"/>
        <v>37377</v>
      </c>
      <c r="B50" s="102">
        <f t="shared" si="50"/>
        <v>3.4470000000000001</v>
      </c>
      <c r="C50" s="80">
        <f t="shared" si="51"/>
        <v>0.28749999999999998</v>
      </c>
      <c r="D50" s="102">
        <f t="shared" si="0"/>
        <v>-0.25</v>
      </c>
      <c r="E50" s="106">
        <f t="shared" si="1"/>
        <v>1</v>
      </c>
      <c r="F50" s="105">
        <f t="shared" ca="1" si="2"/>
        <v>603</v>
      </c>
      <c r="G50" s="80" t="e">
        <f t="shared" si="3"/>
        <v>#DIV/0!</v>
      </c>
      <c r="H50" s="80" t="e">
        <f t="shared" si="4"/>
        <v>#DIV/0!</v>
      </c>
      <c r="I50" s="104">
        <f t="shared" si="5"/>
        <v>5</v>
      </c>
      <c r="K50" s="102">
        <f t="shared" si="6"/>
        <v>-0.25</v>
      </c>
      <c r="L50" s="106">
        <f t="shared" si="7"/>
        <v>1</v>
      </c>
      <c r="M50" s="105">
        <f t="shared" ca="1" si="8"/>
        <v>603</v>
      </c>
      <c r="N50" s="217">
        <f t="shared" si="9"/>
        <v>0.32350000000000001</v>
      </c>
      <c r="O50" s="80">
        <f t="shared" si="10"/>
        <v>3.6000000000000004E-2</v>
      </c>
      <c r="P50" s="104">
        <f t="shared" si="11"/>
        <v>5</v>
      </c>
      <c r="R50" s="102">
        <f t="shared" si="12"/>
        <v>0.13</v>
      </c>
      <c r="S50" s="106">
        <f t="shared" si="13"/>
        <v>1</v>
      </c>
      <c r="T50" s="105">
        <f t="shared" ca="1" si="14"/>
        <v>603</v>
      </c>
      <c r="U50" s="217" t="e">
        <f t="shared" si="15"/>
        <v>#DIV/0!</v>
      </c>
      <c r="V50" s="80" t="e">
        <f t="shared" si="16"/>
        <v>#DIV/0!</v>
      </c>
      <c r="W50" s="104">
        <f t="shared" si="17"/>
        <v>4.95</v>
      </c>
      <c r="X50" s="105"/>
      <c r="Y50" s="102">
        <f t="shared" si="18"/>
        <v>1.4999999999999999E-2</v>
      </c>
      <c r="Z50" s="106">
        <f t="shared" si="19"/>
        <v>1</v>
      </c>
      <c r="AA50" s="105">
        <f t="shared" ca="1" si="20"/>
        <v>603</v>
      </c>
      <c r="AB50" s="80" t="e">
        <f t="shared" si="21"/>
        <v>#DIV/0!</v>
      </c>
      <c r="AC50" s="80" t="e">
        <f t="shared" si="22"/>
        <v>#DIV/0!</v>
      </c>
      <c r="AD50" s="104">
        <f t="shared" si="23"/>
        <v>3.98</v>
      </c>
      <c r="AF50" s="105">
        <f t="shared" ca="1" si="52"/>
        <v>603</v>
      </c>
      <c r="AG50" s="105">
        <f t="shared" ca="1" si="53"/>
        <v>602</v>
      </c>
      <c r="AH50" s="80">
        <f t="shared" si="24"/>
        <v>6.909369805104501E-2</v>
      </c>
      <c r="AI50" s="182">
        <f t="shared" si="25"/>
        <v>31</v>
      </c>
      <c r="AL50" s="105"/>
      <c r="AM50" s="82"/>
      <c r="AN50" s="82">
        <f t="shared" si="26"/>
        <v>0</v>
      </c>
      <c r="AO50" s="82" t="e">
        <f t="shared" si="54"/>
        <v>#DIV/0!</v>
      </c>
      <c r="AP50" s="77">
        <f t="shared" si="27"/>
        <v>0</v>
      </c>
      <c r="AQ50" s="108">
        <f t="shared" si="28"/>
        <v>0</v>
      </c>
      <c r="AR50" s="107">
        <f t="shared" si="29"/>
        <v>0</v>
      </c>
      <c r="AS50" s="107">
        <f t="shared" si="55"/>
        <v>0</v>
      </c>
      <c r="AT50" s="107">
        <f t="shared" si="30"/>
        <v>0</v>
      </c>
      <c r="AU50" s="109">
        <f t="shared" si="56"/>
        <v>0</v>
      </c>
      <c r="AV50" s="109">
        <f t="shared" si="57"/>
        <v>0</v>
      </c>
      <c r="AW50" s="109">
        <f t="shared" si="58"/>
        <v>0</v>
      </c>
      <c r="AY50" s="82">
        <f t="shared" si="31"/>
        <v>31</v>
      </c>
      <c r="AZ50" s="82">
        <f t="shared" si="59"/>
        <v>3.2069999999999999</v>
      </c>
      <c r="BA50" s="77">
        <f t="shared" si="32"/>
        <v>107.167</v>
      </c>
      <c r="BB50" s="108">
        <f t="shared" si="33"/>
        <v>99.417000000000002</v>
      </c>
      <c r="BC50" s="107">
        <f t="shared" ca="1" si="34"/>
        <v>0.10702298148300671</v>
      </c>
      <c r="BD50" s="107">
        <f t="shared" ca="1" si="35"/>
        <v>0.17383327442264657</v>
      </c>
      <c r="BE50" s="107">
        <f t="shared" ca="1" si="36"/>
        <v>1.0302514517523564E-2</v>
      </c>
      <c r="BF50" s="109">
        <f t="shared" ca="1" si="60"/>
        <v>3.317712425973208</v>
      </c>
      <c r="BG50" s="109">
        <f t="shared" ca="1" si="61"/>
        <v>5.3888315071020436</v>
      </c>
      <c r="BH50" s="109">
        <f t="shared" ca="1" si="62"/>
        <v>0.3193779500432305</v>
      </c>
      <c r="BJ50" s="82">
        <f t="shared" si="37"/>
        <v>0</v>
      </c>
      <c r="BK50" s="82" t="e">
        <f t="shared" si="63"/>
        <v>#DIV/0!</v>
      </c>
      <c r="BL50" s="77">
        <f t="shared" si="38"/>
        <v>0</v>
      </c>
      <c r="BM50" s="108">
        <f t="shared" si="39"/>
        <v>0</v>
      </c>
      <c r="BN50" s="107">
        <f t="shared" si="40"/>
        <v>0</v>
      </c>
      <c r="BO50" s="107">
        <f t="shared" si="41"/>
        <v>0</v>
      </c>
      <c r="BP50" s="107">
        <f t="shared" si="42"/>
        <v>0</v>
      </c>
      <c r="BQ50" s="109">
        <f t="shared" si="64"/>
        <v>0</v>
      </c>
      <c r="BR50" s="109">
        <f t="shared" si="65"/>
        <v>0</v>
      </c>
      <c r="BS50" s="109">
        <f t="shared" si="66"/>
        <v>0</v>
      </c>
      <c r="BU50" s="82">
        <f t="shared" si="43"/>
        <v>0</v>
      </c>
      <c r="BV50" s="82" t="e">
        <f t="shared" si="67"/>
        <v>#DIV/0!</v>
      </c>
      <c r="BW50" s="77">
        <f t="shared" si="44"/>
        <v>0</v>
      </c>
      <c r="BX50" s="108">
        <f t="shared" si="45"/>
        <v>0</v>
      </c>
      <c r="BY50" s="107">
        <f t="shared" si="46"/>
        <v>0</v>
      </c>
      <c r="BZ50" s="107">
        <f t="shared" si="47"/>
        <v>0</v>
      </c>
      <c r="CA50" s="107">
        <f t="shared" si="48"/>
        <v>0</v>
      </c>
      <c r="CB50" s="109">
        <f t="shared" si="68"/>
        <v>0</v>
      </c>
      <c r="CC50" s="109">
        <f t="shared" si="69"/>
        <v>0</v>
      </c>
      <c r="CD50" s="109">
        <f t="shared" si="70"/>
        <v>0</v>
      </c>
    </row>
    <row r="51" spans="1:82" x14ac:dyDescent="0.25">
      <c r="A51" s="101">
        <f t="shared" si="49"/>
        <v>37408</v>
      </c>
      <c r="B51" s="102">
        <f t="shared" si="50"/>
        <v>3.427</v>
      </c>
      <c r="C51" s="80">
        <f t="shared" si="51"/>
        <v>0.28499999999999998</v>
      </c>
      <c r="D51" s="102">
        <f t="shared" si="0"/>
        <v>-0.25</v>
      </c>
      <c r="E51" s="106">
        <f t="shared" si="1"/>
        <v>1</v>
      </c>
      <c r="F51" s="105">
        <f t="shared" ca="1" si="2"/>
        <v>636</v>
      </c>
      <c r="G51" s="80" t="e">
        <f t="shared" si="3"/>
        <v>#DIV/0!</v>
      </c>
      <c r="H51" s="80" t="e">
        <f t="shared" si="4"/>
        <v>#DIV/0!</v>
      </c>
      <c r="I51" s="104">
        <f t="shared" si="5"/>
        <v>5</v>
      </c>
      <c r="K51" s="102">
        <f t="shared" si="6"/>
        <v>-0.25</v>
      </c>
      <c r="L51" s="106">
        <f t="shared" si="7"/>
        <v>1</v>
      </c>
      <c r="M51" s="105">
        <f t="shared" ca="1" si="8"/>
        <v>636</v>
      </c>
      <c r="N51" s="217">
        <f t="shared" si="9"/>
        <v>0.32099999999999995</v>
      </c>
      <c r="O51" s="80">
        <f t="shared" si="10"/>
        <v>3.6000000000000004E-2</v>
      </c>
      <c r="P51" s="104">
        <f t="shared" si="11"/>
        <v>5</v>
      </c>
      <c r="R51" s="102">
        <f t="shared" si="12"/>
        <v>0.125</v>
      </c>
      <c r="S51" s="106">
        <f t="shared" si="13"/>
        <v>1</v>
      </c>
      <c r="T51" s="105">
        <f t="shared" ca="1" si="14"/>
        <v>636</v>
      </c>
      <c r="U51" s="217" t="e">
        <f t="shared" si="15"/>
        <v>#DIV/0!</v>
      </c>
      <c r="V51" s="80" t="e">
        <f t="shared" si="16"/>
        <v>#DIV/0!</v>
      </c>
      <c r="W51" s="104">
        <f t="shared" si="17"/>
        <v>4.95</v>
      </c>
      <c r="X51" s="105"/>
      <c r="Y51" s="102">
        <f t="shared" si="18"/>
        <v>0.02</v>
      </c>
      <c r="Z51" s="106">
        <f t="shared" si="19"/>
        <v>1</v>
      </c>
      <c r="AA51" s="105">
        <f t="shared" ca="1" si="20"/>
        <v>636</v>
      </c>
      <c r="AB51" s="80" t="e">
        <f t="shared" si="21"/>
        <v>#DIV/0!</v>
      </c>
      <c r="AC51" s="80" t="e">
        <f t="shared" si="22"/>
        <v>#DIV/0!</v>
      </c>
      <c r="AD51" s="104">
        <f t="shared" si="23"/>
        <v>3.98</v>
      </c>
      <c r="AF51" s="105">
        <f t="shared" ca="1" si="52"/>
        <v>636</v>
      </c>
      <c r="AG51" s="105">
        <f t="shared" ca="1" si="53"/>
        <v>635</v>
      </c>
      <c r="AH51" s="80">
        <f t="shared" si="24"/>
        <v>6.9095428485473995E-2</v>
      </c>
      <c r="AI51" s="182">
        <f t="shared" si="25"/>
        <v>30</v>
      </c>
      <c r="AL51" s="105"/>
      <c r="AM51" s="82"/>
      <c r="AN51" s="82">
        <f t="shared" si="26"/>
        <v>0</v>
      </c>
      <c r="AO51" s="82" t="e">
        <f t="shared" si="54"/>
        <v>#DIV/0!</v>
      </c>
      <c r="AP51" s="77">
        <f t="shared" si="27"/>
        <v>0</v>
      </c>
      <c r="AQ51" s="108">
        <f t="shared" si="28"/>
        <v>0</v>
      </c>
      <c r="AR51" s="107">
        <f t="shared" si="29"/>
        <v>0</v>
      </c>
      <c r="AS51" s="107">
        <f t="shared" si="55"/>
        <v>0</v>
      </c>
      <c r="AT51" s="107">
        <f t="shared" si="30"/>
        <v>0</v>
      </c>
      <c r="AU51" s="109">
        <f t="shared" si="56"/>
        <v>0</v>
      </c>
      <c r="AV51" s="109">
        <f t="shared" si="57"/>
        <v>0</v>
      </c>
      <c r="AW51" s="109">
        <f t="shared" si="58"/>
        <v>0</v>
      </c>
      <c r="AY51" s="82">
        <f t="shared" si="31"/>
        <v>30</v>
      </c>
      <c r="AZ51" s="82">
        <f t="shared" si="59"/>
        <v>3.1869999999999998</v>
      </c>
      <c r="BA51" s="77">
        <f t="shared" si="32"/>
        <v>103.11</v>
      </c>
      <c r="BB51" s="108">
        <f t="shared" si="33"/>
        <v>95.61</v>
      </c>
      <c r="BC51" s="107">
        <f t="shared" ca="1" si="34"/>
        <v>0.10909423180509475</v>
      </c>
      <c r="BD51" s="107">
        <f t="shared" ca="1" si="35"/>
        <v>0.17500153144447342</v>
      </c>
      <c r="BE51" s="107">
        <f t="shared" ca="1" si="36"/>
        <v>1.053081319898358E-2</v>
      </c>
      <c r="BF51" s="109">
        <f t="shared" ca="1" si="60"/>
        <v>3.2728269541528427</v>
      </c>
      <c r="BG51" s="109">
        <f t="shared" ca="1" si="61"/>
        <v>5.2500459433342028</v>
      </c>
      <c r="BH51" s="109">
        <f t="shared" ca="1" si="62"/>
        <v>0.31592439596950739</v>
      </c>
      <c r="BJ51" s="82">
        <f t="shared" si="37"/>
        <v>0</v>
      </c>
      <c r="BK51" s="82" t="e">
        <f t="shared" si="63"/>
        <v>#DIV/0!</v>
      </c>
      <c r="BL51" s="77">
        <f t="shared" si="38"/>
        <v>0</v>
      </c>
      <c r="BM51" s="108">
        <f t="shared" si="39"/>
        <v>0</v>
      </c>
      <c r="BN51" s="107">
        <f t="shared" si="40"/>
        <v>0</v>
      </c>
      <c r="BO51" s="107">
        <f t="shared" si="41"/>
        <v>0</v>
      </c>
      <c r="BP51" s="107">
        <f t="shared" si="42"/>
        <v>0</v>
      </c>
      <c r="BQ51" s="109">
        <f t="shared" si="64"/>
        <v>0</v>
      </c>
      <c r="BR51" s="109">
        <f t="shared" si="65"/>
        <v>0</v>
      </c>
      <c r="BS51" s="109">
        <f t="shared" si="66"/>
        <v>0</v>
      </c>
      <c r="BU51" s="82">
        <f t="shared" si="43"/>
        <v>0</v>
      </c>
      <c r="BV51" s="82" t="e">
        <f t="shared" si="67"/>
        <v>#DIV/0!</v>
      </c>
      <c r="BW51" s="77">
        <f t="shared" si="44"/>
        <v>0</v>
      </c>
      <c r="BX51" s="108">
        <f t="shared" si="45"/>
        <v>0</v>
      </c>
      <c r="BY51" s="107">
        <f t="shared" si="46"/>
        <v>0</v>
      </c>
      <c r="BZ51" s="107">
        <f t="shared" si="47"/>
        <v>0</v>
      </c>
      <c r="CA51" s="107">
        <f t="shared" si="48"/>
        <v>0</v>
      </c>
      <c r="CB51" s="109">
        <f t="shared" si="68"/>
        <v>0</v>
      </c>
      <c r="CC51" s="109">
        <f t="shared" si="69"/>
        <v>0</v>
      </c>
      <c r="CD51" s="109">
        <f t="shared" si="70"/>
        <v>0</v>
      </c>
    </row>
    <row r="52" spans="1:82" x14ac:dyDescent="0.25">
      <c r="A52" s="101">
        <f t="shared" si="49"/>
        <v>37438</v>
      </c>
      <c r="B52" s="102">
        <f t="shared" si="50"/>
        <v>3.42</v>
      </c>
      <c r="C52" s="80">
        <f t="shared" si="51"/>
        <v>0.28499999999999998</v>
      </c>
      <c r="D52" s="102">
        <f t="shared" si="0"/>
        <v>-0.25</v>
      </c>
      <c r="E52" s="106">
        <f t="shared" si="1"/>
        <v>1</v>
      </c>
      <c r="F52" s="105">
        <f t="shared" ca="1" si="2"/>
        <v>664</v>
      </c>
      <c r="G52" s="80" t="e">
        <f t="shared" si="3"/>
        <v>#DIV/0!</v>
      </c>
      <c r="H52" s="80" t="e">
        <f t="shared" si="4"/>
        <v>#DIV/0!</v>
      </c>
      <c r="I52" s="104">
        <f t="shared" si="5"/>
        <v>5</v>
      </c>
      <c r="K52" s="102">
        <f t="shared" si="6"/>
        <v>-0.25</v>
      </c>
      <c r="L52" s="106">
        <f t="shared" si="7"/>
        <v>1</v>
      </c>
      <c r="M52" s="105">
        <f t="shared" ca="1" si="8"/>
        <v>664</v>
      </c>
      <c r="N52" s="217">
        <f t="shared" si="9"/>
        <v>0.32099999999999995</v>
      </c>
      <c r="O52" s="80">
        <f t="shared" si="10"/>
        <v>3.6000000000000004E-2</v>
      </c>
      <c r="P52" s="104">
        <f t="shared" si="11"/>
        <v>5</v>
      </c>
      <c r="R52" s="102">
        <f t="shared" si="12"/>
        <v>0.115</v>
      </c>
      <c r="S52" s="106">
        <f t="shared" si="13"/>
        <v>1</v>
      </c>
      <c r="T52" s="105">
        <f t="shared" ca="1" si="14"/>
        <v>664</v>
      </c>
      <c r="U52" s="217" t="e">
        <f t="shared" si="15"/>
        <v>#DIV/0!</v>
      </c>
      <c r="V52" s="80" t="e">
        <f t="shared" si="16"/>
        <v>#DIV/0!</v>
      </c>
      <c r="W52" s="104">
        <f t="shared" si="17"/>
        <v>4.95</v>
      </c>
      <c r="X52" s="105"/>
      <c r="Y52" s="102">
        <f t="shared" si="18"/>
        <v>2.2499999999999999E-2</v>
      </c>
      <c r="Z52" s="106">
        <f t="shared" si="19"/>
        <v>1</v>
      </c>
      <c r="AA52" s="105">
        <f t="shared" ca="1" si="20"/>
        <v>664</v>
      </c>
      <c r="AB52" s="80" t="e">
        <f t="shared" si="21"/>
        <v>#DIV/0!</v>
      </c>
      <c r="AC52" s="80" t="e">
        <f t="shared" si="22"/>
        <v>#DIV/0!</v>
      </c>
      <c r="AD52" s="104">
        <f t="shared" si="23"/>
        <v>3.98</v>
      </c>
      <c r="AF52" s="105">
        <f t="shared" ca="1" si="52"/>
        <v>664</v>
      </c>
      <c r="AG52" s="105">
        <f t="shared" ca="1" si="53"/>
        <v>663</v>
      </c>
      <c r="AH52" s="80">
        <f t="shared" si="24"/>
        <v>6.9097118524442017E-2</v>
      </c>
      <c r="AI52" s="182">
        <f t="shared" si="25"/>
        <v>31</v>
      </c>
      <c r="AL52" s="105"/>
      <c r="AM52" s="82"/>
      <c r="AN52" s="82">
        <f t="shared" si="26"/>
        <v>0</v>
      </c>
      <c r="AO52" s="82" t="e">
        <f t="shared" si="54"/>
        <v>#DIV/0!</v>
      </c>
      <c r="AP52" s="77">
        <f t="shared" si="27"/>
        <v>0</v>
      </c>
      <c r="AQ52" s="108">
        <f t="shared" si="28"/>
        <v>0</v>
      </c>
      <c r="AR52" s="107">
        <f t="shared" si="29"/>
        <v>0</v>
      </c>
      <c r="AS52" s="107">
        <f t="shared" si="55"/>
        <v>0</v>
      </c>
      <c r="AT52" s="107">
        <f t="shared" si="30"/>
        <v>0</v>
      </c>
      <c r="AU52" s="109">
        <f t="shared" si="56"/>
        <v>0</v>
      </c>
      <c r="AV52" s="109">
        <f t="shared" si="57"/>
        <v>0</v>
      </c>
      <c r="AW52" s="109">
        <f t="shared" si="58"/>
        <v>0</v>
      </c>
      <c r="AY52" s="82">
        <f t="shared" si="31"/>
        <v>31</v>
      </c>
      <c r="AZ52" s="82">
        <f t="shared" si="59"/>
        <v>3.1799999999999993</v>
      </c>
      <c r="BA52" s="77">
        <f t="shared" si="32"/>
        <v>106.32999999999998</v>
      </c>
      <c r="BB52" s="108">
        <f t="shared" si="33"/>
        <v>98.579999999999984</v>
      </c>
      <c r="BC52" s="107">
        <f t="shared" ca="1" si="34"/>
        <v>0.11454259022425833</v>
      </c>
      <c r="BD52" s="107">
        <f t="shared" ca="1" si="35"/>
        <v>0.17956141415575846</v>
      </c>
      <c r="BE52" s="107">
        <f t="shared" ca="1" si="36"/>
        <v>1.0874123341154507E-2</v>
      </c>
      <c r="BF52" s="109">
        <f t="shared" ca="1" si="60"/>
        <v>3.5508202969520082</v>
      </c>
      <c r="BG52" s="109">
        <f t="shared" ca="1" si="61"/>
        <v>5.5664038388285126</v>
      </c>
      <c r="BH52" s="109">
        <f t="shared" ca="1" si="62"/>
        <v>0.33709782357578971</v>
      </c>
      <c r="BJ52" s="82">
        <f t="shared" si="37"/>
        <v>0</v>
      </c>
      <c r="BK52" s="82" t="e">
        <f t="shared" si="63"/>
        <v>#DIV/0!</v>
      </c>
      <c r="BL52" s="77">
        <f t="shared" si="38"/>
        <v>0</v>
      </c>
      <c r="BM52" s="108">
        <f t="shared" si="39"/>
        <v>0</v>
      </c>
      <c r="BN52" s="107">
        <f t="shared" si="40"/>
        <v>0</v>
      </c>
      <c r="BO52" s="107">
        <f t="shared" si="41"/>
        <v>0</v>
      </c>
      <c r="BP52" s="107">
        <f t="shared" si="42"/>
        <v>0</v>
      </c>
      <c r="BQ52" s="109">
        <f t="shared" si="64"/>
        <v>0</v>
      </c>
      <c r="BR52" s="109">
        <f t="shared" si="65"/>
        <v>0</v>
      </c>
      <c r="BS52" s="109">
        <f t="shared" si="66"/>
        <v>0</v>
      </c>
      <c r="BU52" s="82">
        <f t="shared" si="43"/>
        <v>0</v>
      </c>
      <c r="BV52" s="82" t="e">
        <f t="shared" si="67"/>
        <v>#DIV/0!</v>
      </c>
      <c r="BW52" s="77">
        <f t="shared" si="44"/>
        <v>0</v>
      </c>
      <c r="BX52" s="108">
        <f t="shared" si="45"/>
        <v>0</v>
      </c>
      <c r="BY52" s="107">
        <f t="shared" si="46"/>
        <v>0</v>
      </c>
      <c r="BZ52" s="107">
        <f t="shared" si="47"/>
        <v>0</v>
      </c>
      <c r="CA52" s="107">
        <f t="shared" si="48"/>
        <v>0</v>
      </c>
      <c r="CB52" s="109">
        <f t="shared" si="68"/>
        <v>0</v>
      </c>
      <c r="CC52" s="109">
        <f t="shared" si="69"/>
        <v>0</v>
      </c>
      <c r="CD52" s="109">
        <f t="shared" si="70"/>
        <v>0</v>
      </c>
    </row>
    <row r="53" spans="1:82" x14ac:dyDescent="0.25">
      <c r="A53" s="101">
        <f t="shared" si="49"/>
        <v>37469</v>
      </c>
      <c r="B53" s="102">
        <f t="shared" si="50"/>
        <v>3.4249999999999998</v>
      </c>
      <c r="C53" s="80">
        <f t="shared" si="51"/>
        <v>0.28499999999999998</v>
      </c>
      <c r="D53" s="102">
        <f t="shared" si="0"/>
        <v>-0.25</v>
      </c>
      <c r="E53" s="106">
        <f t="shared" si="1"/>
        <v>1</v>
      </c>
      <c r="F53" s="105">
        <f t="shared" ca="1" si="2"/>
        <v>697</v>
      </c>
      <c r="G53" s="80" t="e">
        <f t="shared" si="3"/>
        <v>#DIV/0!</v>
      </c>
      <c r="H53" s="80" t="e">
        <f t="shared" si="4"/>
        <v>#DIV/0!</v>
      </c>
      <c r="I53" s="104">
        <f t="shared" si="5"/>
        <v>5</v>
      </c>
      <c r="K53" s="102">
        <f t="shared" si="6"/>
        <v>-0.25</v>
      </c>
      <c r="L53" s="106">
        <f t="shared" si="7"/>
        <v>1</v>
      </c>
      <c r="M53" s="105">
        <f t="shared" ca="1" si="8"/>
        <v>697</v>
      </c>
      <c r="N53" s="217">
        <f t="shared" si="9"/>
        <v>0.32099999999999995</v>
      </c>
      <c r="O53" s="80">
        <f t="shared" si="10"/>
        <v>3.6000000000000004E-2</v>
      </c>
      <c r="P53" s="104">
        <f t="shared" si="11"/>
        <v>5</v>
      </c>
      <c r="R53" s="102">
        <f t="shared" si="12"/>
        <v>0.1125</v>
      </c>
      <c r="S53" s="106">
        <f t="shared" si="13"/>
        <v>1</v>
      </c>
      <c r="T53" s="105">
        <f t="shared" ca="1" si="14"/>
        <v>697</v>
      </c>
      <c r="U53" s="217" t="e">
        <f t="shared" si="15"/>
        <v>#DIV/0!</v>
      </c>
      <c r="V53" s="80" t="e">
        <f t="shared" si="16"/>
        <v>#DIV/0!</v>
      </c>
      <c r="W53" s="104">
        <f t="shared" si="17"/>
        <v>4.95</v>
      </c>
      <c r="X53" s="105"/>
      <c r="Y53" s="102">
        <f t="shared" si="18"/>
        <v>2.5000000000000001E-2</v>
      </c>
      <c r="Z53" s="106">
        <f t="shared" si="19"/>
        <v>1</v>
      </c>
      <c r="AA53" s="105">
        <f t="shared" ca="1" si="20"/>
        <v>697</v>
      </c>
      <c r="AB53" s="80" t="e">
        <f t="shared" si="21"/>
        <v>#DIV/0!</v>
      </c>
      <c r="AC53" s="80" t="e">
        <f t="shared" si="22"/>
        <v>#DIV/0!</v>
      </c>
      <c r="AD53" s="104">
        <f t="shared" si="23"/>
        <v>3.98</v>
      </c>
      <c r="AF53" s="105">
        <f t="shared" ca="1" si="52"/>
        <v>697</v>
      </c>
      <c r="AG53" s="105">
        <f t="shared" ca="1" si="53"/>
        <v>694</v>
      </c>
      <c r="AH53" s="80">
        <f t="shared" si="24"/>
        <v>6.9098892085220007E-2</v>
      </c>
      <c r="AI53" s="182">
        <f t="shared" si="25"/>
        <v>31</v>
      </c>
      <c r="AL53" s="105"/>
      <c r="AM53" s="82"/>
      <c r="AN53" s="82">
        <f t="shared" si="26"/>
        <v>0</v>
      </c>
      <c r="AO53" s="82" t="e">
        <f t="shared" si="54"/>
        <v>#DIV/0!</v>
      </c>
      <c r="AP53" s="77">
        <f t="shared" si="27"/>
        <v>0</v>
      </c>
      <c r="AQ53" s="108">
        <f t="shared" si="28"/>
        <v>0</v>
      </c>
      <c r="AR53" s="107">
        <f t="shared" si="29"/>
        <v>0</v>
      </c>
      <c r="AS53" s="107">
        <f t="shared" si="55"/>
        <v>0</v>
      </c>
      <c r="AT53" s="107">
        <f t="shared" si="30"/>
        <v>0</v>
      </c>
      <c r="AU53" s="109">
        <f t="shared" si="56"/>
        <v>0</v>
      </c>
      <c r="AV53" s="109">
        <f t="shared" si="57"/>
        <v>0</v>
      </c>
      <c r="AW53" s="109">
        <f t="shared" si="58"/>
        <v>0</v>
      </c>
      <c r="AY53" s="82">
        <f t="shared" si="31"/>
        <v>31</v>
      </c>
      <c r="AZ53" s="82">
        <f t="shared" si="59"/>
        <v>3.1849999999999996</v>
      </c>
      <c r="BA53" s="77">
        <f t="shared" si="32"/>
        <v>106.48499999999999</v>
      </c>
      <c r="BB53" s="108">
        <f t="shared" si="33"/>
        <v>98.734999999999985</v>
      </c>
      <c r="BC53" s="107">
        <f t="shared" ca="1" si="34"/>
        <v>0.12324906264366053</v>
      </c>
      <c r="BD53" s="107">
        <f t="shared" ca="1" si="35"/>
        <v>0.1869675952248856</v>
      </c>
      <c r="BE53" s="107">
        <f t="shared" ca="1" si="36"/>
        <v>1.1387889964825593E-2</v>
      </c>
      <c r="BF53" s="109">
        <f t="shared" ca="1" si="60"/>
        <v>3.8207209419534767</v>
      </c>
      <c r="BG53" s="109">
        <f t="shared" ca="1" si="61"/>
        <v>5.7959954519714536</v>
      </c>
      <c r="BH53" s="109">
        <f t="shared" ca="1" si="62"/>
        <v>0.35302458890959337</v>
      </c>
      <c r="BJ53" s="82">
        <f t="shared" si="37"/>
        <v>0</v>
      </c>
      <c r="BK53" s="82" t="e">
        <f t="shared" si="63"/>
        <v>#DIV/0!</v>
      </c>
      <c r="BL53" s="77">
        <f t="shared" si="38"/>
        <v>0</v>
      </c>
      <c r="BM53" s="108">
        <f t="shared" si="39"/>
        <v>0</v>
      </c>
      <c r="BN53" s="107">
        <f t="shared" si="40"/>
        <v>0</v>
      </c>
      <c r="BO53" s="107">
        <f t="shared" si="41"/>
        <v>0</v>
      </c>
      <c r="BP53" s="107">
        <f t="shared" si="42"/>
        <v>0</v>
      </c>
      <c r="BQ53" s="109">
        <f t="shared" si="64"/>
        <v>0</v>
      </c>
      <c r="BR53" s="109">
        <f t="shared" si="65"/>
        <v>0</v>
      </c>
      <c r="BS53" s="109">
        <f t="shared" si="66"/>
        <v>0</v>
      </c>
      <c r="BU53" s="82">
        <f t="shared" si="43"/>
        <v>0</v>
      </c>
      <c r="BV53" s="82" t="e">
        <f t="shared" si="67"/>
        <v>#DIV/0!</v>
      </c>
      <c r="BW53" s="77">
        <f t="shared" si="44"/>
        <v>0</v>
      </c>
      <c r="BX53" s="108">
        <f t="shared" si="45"/>
        <v>0</v>
      </c>
      <c r="BY53" s="107">
        <f t="shared" si="46"/>
        <v>0</v>
      </c>
      <c r="BZ53" s="107">
        <f t="shared" si="47"/>
        <v>0</v>
      </c>
      <c r="CA53" s="107">
        <f t="shared" si="48"/>
        <v>0</v>
      </c>
      <c r="CB53" s="109">
        <f t="shared" si="68"/>
        <v>0</v>
      </c>
      <c r="CC53" s="109">
        <f t="shared" si="69"/>
        <v>0</v>
      </c>
      <c r="CD53" s="109">
        <f t="shared" si="70"/>
        <v>0</v>
      </c>
    </row>
    <row r="54" spans="1:82" x14ac:dyDescent="0.25">
      <c r="A54" s="101">
        <f t="shared" si="49"/>
        <v>37500</v>
      </c>
      <c r="B54" s="102">
        <f t="shared" si="50"/>
        <v>3.42</v>
      </c>
      <c r="C54" s="80">
        <f t="shared" si="51"/>
        <v>0.28499999999999998</v>
      </c>
      <c r="D54" s="102">
        <f t="shared" si="0"/>
        <v>-0.25</v>
      </c>
      <c r="E54" s="106">
        <f t="shared" si="1"/>
        <v>1</v>
      </c>
      <c r="F54" s="105">
        <f t="shared" ca="1" si="2"/>
        <v>727</v>
      </c>
      <c r="G54" s="80" t="e">
        <f t="shared" si="3"/>
        <v>#DIV/0!</v>
      </c>
      <c r="H54" s="80" t="e">
        <f t="shared" si="4"/>
        <v>#DIV/0!</v>
      </c>
      <c r="I54" s="104">
        <f t="shared" si="5"/>
        <v>5</v>
      </c>
      <c r="K54" s="102">
        <f t="shared" si="6"/>
        <v>-0.25</v>
      </c>
      <c r="L54" s="106">
        <f t="shared" si="7"/>
        <v>1</v>
      </c>
      <c r="M54" s="105">
        <f t="shared" ca="1" si="8"/>
        <v>727</v>
      </c>
      <c r="N54" s="217">
        <f t="shared" si="9"/>
        <v>0.32099999999999995</v>
      </c>
      <c r="O54" s="80">
        <f t="shared" si="10"/>
        <v>3.6000000000000004E-2</v>
      </c>
      <c r="P54" s="104">
        <f t="shared" si="11"/>
        <v>5</v>
      </c>
      <c r="R54" s="102">
        <f t="shared" si="12"/>
        <v>0.11</v>
      </c>
      <c r="S54" s="106">
        <f t="shared" si="13"/>
        <v>1</v>
      </c>
      <c r="T54" s="105">
        <f t="shared" ca="1" si="14"/>
        <v>727</v>
      </c>
      <c r="U54" s="217" t="e">
        <f t="shared" si="15"/>
        <v>#DIV/0!</v>
      </c>
      <c r="V54" s="80" t="e">
        <f t="shared" si="16"/>
        <v>#DIV/0!</v>
      </c>
      <c r="W54" s="104">
        <f t="shared" si="17"/>
        <v>4.95</v>
      </c>
      <c r="X54" s="105"/>
      <c r="Y54" s="102">
        <f t="shared" si="18"/>
        <v>1.7500000000000002E-2</v>
      </c>
      <c r="Z54" s="106">
        <f t="shared" si="19"/>
        <v>1</v>
      </c>
      <c r="AA54" s="105">
        <f t="shared" ca="1" si="20"/>
        <v>727</v>
      </c>
      <c r="AB54" s="80" t="e">
        <f t="shared" si="21"/>
        <v>#DIV/0!</v>
      </c>
      <c r="AC54" s="80" t="e">
        <f t="shared" si="22"/>
        <v>#DIV/0!</v>
      </c>
      <c r="AD54" s="104">
        <f t="shared" si="23"/>
        <v>3.98</v>
      </c>
      <c r="AF54" s="105">
        <f t="shared" ca="1" si="52"/>
        <v>727</v>
      </c>
      <c r="AG54" s="105">
        <f t="shared" ca="1" si="53"/>
        <v>726</v>
      </c>
      <c r="AH54" s="80">
        <f t="shared" si="24"/>
        <v>6.9100665646000009E-2</v>
      </c>
      <c r="AI54" s="182">
        <f t="shared" si="25"/>
        <v>30</v>
      </c>
      <c r="AL54" s="105"/>
      <c r="AM54" s="82"/>
      <c r="AN54" s="82">
        <f t="shared" si="26"/>
        <v>0</v>
      </c>
      <c r="AO54" s="82" t="e">
        <f t="shared" si="54"/>
        <v>#DIV/0!</v>
      </c>
      <c r="AP54" s="77">
        <f t="shared" si="27"/>
        <v>0</v>
      </c>
      <c r="AQ54" s="108">
        <f t="shared" si="28"/>
        <v>0</v>
      </c>
      <c r="AR54" s="107">
        <f t="shared" si="29"/>
        <v>0</v>
      </c>
      <c r="AS54" s="107">
        <f t="shared" si="55"/>
        <v>0</v>
      </c>
      <c r="AT54" s="107">
        <f t="shared" si="30"/>
        <v>0</v>
      </c>
      <c r="AU54" s="109">
        <f t="shared" si="56"/>
        <v>0</v>
      </c>
      <c r="AV54" s="109">
        <f t="shared" si="57"/>
        <v>0</v>
      </c>
      <c r="AW54" s="109">
        <f t="shared" si="58"/>
        <v>0</v>
      </c>
      <c r="AY54" s="82">
        <f t="shared" si="31"/>
        <v>30</v>
      </c>
      <c r="AZ54" s="82">
        <f t="shared" si="59"/>
        <v>3.1799999999999997</v>
      </c>
      <c r="BA54" s="77">
        <f t="shared" si="32"/>
        <v>102.89999999999999</v>
      </c>
      <c r="BB54" s="108">
        <f t="shared" si="33"/>
        <v>95.399999999999991</v>
      </c>
      <c r="BC54" s="107">
        <f t="shared" ca="1" si="34"/>
        <v>0.12929459412741701</v>
      </c>
      <c r="BD54" s="107">
        <f t="shared" ca="1" si="35"/>
        <v>0.19165007160260211</v>
      </c>
      <c r="BE54" s="107">
        <f t="shared" ca="1" si="36"/>
        <v>1.1744537072172212E-2</v>
      </c>
      <c r="BF54" s="109">
        <f t="shared" ca="1" si="60"/>
        <v>3.8788378238225101</v>
      </c>
      <c r="BG54" s="109">
        <f t="shared" ca="1" si="61"/>
        <v>5.7495021480780633</v>
      </c>
      <c r="BH54" s="109">
        <f t="shared" ca="1" si="62"/>
        <v>0.35233611216516636</v>
      </c>
      <c r="BJ54" s="82">
        <f t="shared" si="37"/>
        <v>0</v>
      </c>
      <c r="BK54" s="82" t="e">
        <f t="shared" si="63"/>
        <v>#DIV/0!</v>
      </c>
      <c r="BL54" s="77">
        <f t="shared" si="38"/>
        <v>0</v>
      </c>
      <c r="BM54" s="108">
        <f t="shared" si="39"/>
        <v>0</v>
      </c>
      <c r="BN54" s="107">
        <f t="shared" si="40"/>
        <v>0</v>
      </c>
      <c r="BO54" s="107">
        <f t="shared" si="41"/>
        <v>0</v>
      </c>
      <c r="BP54" s="107">
        <f t="shared" si="42"/>
        <v>0</v>
      </c>
      <c r="BQ54" s="109">
        <f t="shared" si="64"/>
        <v>0</v>
      </c>
      <c r="BR54" s="109">
        <f t="shared" si="65"/>
        <v>0</v>
      </c>
      <c r="BS54" s="109">
        <f t="shared" si="66"/>
        <v>0</v>
      </c>
      <c r="BU54" s="82">
        <f t="shared" si="43"/>
        <v>0</v>
      </c>
      <c r="BV54" s="82" t="e">
        <f t="shared" si="67"/>
        <v>#DIV/0!</v>
      </c>
      <c r="BW54" s="77">
        <f t="shared" si="44"/>
        <v>0</v>
      </c>
      <c r="BX54" s="108">
        <f t="shared" si="45"/>
        <v>0</v>
      </c>
      <c r="BY54" s="107">
        <f t="shared" si="46"/>
        <v>0</v>
      </c>
      <c r="BZ54" s="107">
        <f t="shared" si="47"/>
        <v>0</v>
      </c>
      <c r="CA54" s="107">
        <f t="shared" si="48"/>
        <v>0</v>
      </c>
      <c r="CB54" s="109">
        <f t="shared" si="68"/>
        <v>0</v>
      </c>
      <c r="CC54" s="109">
        <f t="shared" si="69"/>
        <v>0</v>
      </c>
      <c r="CD54" s="109">
        <f t="shared" si="70"/>
        <v>0</v>
      </c>
    </row>
    <row r="55" spans="1:82" x14ac:dyDescent="0.25">
      <c r="A55" s="101">
        <f t="shared" si="49"/>
        <v>37530</v>
      </c>
      <c r="B55" s="102">
        <f t="shared" si="50"/>
        <v>3.4350000000000001</v>
      </c>
      <c r="C55" s="80">
        <f t="shared" si="51"/>
        <v>0.28749999999999998</v>
      </c>
      <c r="D55" s="102">
        <f t="shared" si="0"/>
        <v>-0.25</v>
      </c>
      <c r="E55" s="106">
        <f t="shared" si="1"/>
        <v>1</v>
      </c>
      <c r="F55" s="105">
        <f t="shared" ca="1" si="2"/>
        <v>756</v>
      </c>
      <c r="G55" s="80" t="e">
        <f t="shared" si="3"/>
        <v>#DIV/0!</v>
      </c>
      <c r="H55" s="80" t="e">
        <f t="shared" si="4"/>
        <v>#DIV/0!</v>
      </c>
      <c r="I55" s="104">
        <f t="shared" si="5"/>
        <v>5</v>
      </c>
      <c r="K55" s="102">
        <f t="shared" si="6"/>
        <v>-0.25</v>
      </c>
      <c r="L55" s="106">
        <f t="shared" si="7"/>
        <v>1</v>
      </c>
      <c r="M55" s="105">
        <f t="shared" ca="1" si="8"/>
        <v>756</v>
      </c>
      <c r="N55" s="217">
        <f t="shared" si="9"/>
        <v>0.32350000000000001</v>
      </c>
      <c r="O55" s="80">
        <f t="shared" si="10"/>
        <v>3.6000000000000004E-2</v>
      </c>
      <c r="P55" s="104">
        <f t="shared" si="11"/>
        <v>5</v>
      </c>
      <c r="R55" s="102">
        <f t="shared" si="12"/>
        <v>0.125</v>
      </c>
      <c r="S55" s="106">
        <f t="shared" si="13"/>
        <v>1</v>
      </c>
      <c r="T55" s="105">
        <f t="shared" ca="1" si="14"/>
        <v>756</v>
      </c>
      <c r="U55" s="217" t="e">
        <f t="shared" si="15"/>
        <v>#DIV/0!</v>
      </c>
      <c r="V55" s="80" t="e">
        <f t="shared" si="16"/>
        <v>#DIV/0!</v>
      </c>
      <c r="W55" s="104">
        <f t="shared" si="17"/>
        <v>4.95</v>
      </c>
      <c r="X55" s="105"/>
      <c r="Y55" s="102">
        <f t="shared" si="18"/>
        <v>7.4999999999999997E-3</v>
      </c>
      <c r="Z55" s="106">
        <f t="shared" si="19"/>
        <v>1</v>
      </c>
      <c r="AA55" s="105">
        <f t="shared" ca="1" si="20"/>
        <v>756</v>
      </c>
      <c r="AB55" s="80" t="e">
        <f t="shared" si="21"/>
        <v>#DIV/0!</v>
      </c>
      <c r="AC55" s="80" t="e">
        <f t="shared" si="22"/>
        <v>#DIV/0!</v>
      </c>
      <c r="AD55" s="104">
        <f t="shared" si="23"/>
        <v>3.98</v>
      </c>
      <c r="AF55" s="105">
        <f t="shared" ca="1" si="52"/>
        <v>756</v>
      </c>
      <c r="AG55" s="105">
        <f t="shared" ca="1" si="53"/>
        <v>755</v>
      </c>
      <c r="AH55" s="80">
        <f t="shared" si="24"/>
        <v>6.9099982062237011E-2</v>
      </c>
      <c r="AI55" s="182">
        <f t="shared" si="25"/>
        <v>31</v>
      </c>
      <c r="AL55" s="105"/>
      <c r="AM55" s="82"/>
      <c r="AN55" s="82">
        <f t="shared" si="26"/>
        <v>0</v>
      </c>
      <c r="AO55" s="82" t="e">
        <f t="shared" si="54"/>
        <v>#DIV/0!</v>
      </c>
      <c r="AP55" s="77">
        <f t="shared" si="27"/>
        <v>0</v>
      </c>
      <c r="AQ55" s="108">
        <f t="shared" si="28"/>
        <v>0</v>
      </c>
      <c r="AR55" s="107">
        <f t="shared" si="29"/>
        <v>0</v>
      </c>
      <c r="AS55" s="107">
        <f t="shared" si="55"/>
        <v>0</v>
      </c>
      <c r="AT55" s="107">
        <f t="shared" si="30"/>
        <v>0</v>
      </c>
      <c r="AU55" s="109">
        <f t="shared" si="56"/>
        <v>0</v>
      </c>
      <c r="AV55" s="109">
        <f t="shared" si="57"/>
        <v>0</v>
      </c>
      <c r="AW55" s="109">
        <f t="shared" si="58"/>
        <v>0</v>
      </c>
      <c r="AY55" s="82">
        <f t="shared" si="31"/>
        <v>31</v>
      </c>
      <c r="AZ55" s="82">
        <f t="shared" si="59"/>
        <v>3.1949999999999998</v>
      </c>
      <c r="BA55" s="77">
        <f t="shared" si="32"/>
        <v>106.795</v>
      </c>
      <c r="BB55" s="108">
        <f t="shared" si="33"/>
        <v>99.045000000000002</v>
      </c>
      <c r="BC55" s="107">
        <f t="shared" ca="1" si="34"/>
        <v>0.14196200329289022</v>
      </c>
      <c r="BD55" s="107">
        <f t="shared" ca="1" si="35"/>
        <v>0.20189410447143316</v>
      </c>
      <c r="BE55" s="107">
        <f t="shared" ca="1" si="36"/>
        <v>1.2347171329681439E-2</v>
      </c>
      <c r="BF55" s="109">
        <f t="shared" ca="1" si="60"/>
        <v>4.400822102079597</v>
      </c>
      <c r="BG55" s="109">
        <f t="shared" ca="1" si="61"/>
        <v>6.2587172386144276</v>
      </c>
      <c r="BH55" s="109">
        <f t="shared" ca="1" si="62"/>
        <v>0.38276231122012461</v>
      </c>
      <c r="BJ55" s="82">
        <f t="shared" si="37"/>
        <v>0</v>
      </c>
      <c r="BK55" s="82" t="e">
        <f t="shared" si="63"/>
        <v>#DIV/0!</v>
      </c>
      <c r="BL55" s="77">
        <f t="shared" si="38"/>
        <v>0</v>
      </c>
      <c r="BM55" s="108">
        <f t="shared" si="39"/>
        <v>0</v>
      </c>
      <c r="BN55" s="107">
        <f t="shared" si="40"/>
        <v>0</v>
      </c>
      <c r="BO55" s="107">
        <f t="shared" si="41"/>
        <v>0</v>
      </c>
      <c r="BP55" s="107">
        <f t="shared" si="42"/>
        <v>0</v>
      </c>
      <c r="BQ55" s="109">
        <f t="shared" si="64"/>
        <v>0</v>
      </c>
      <c r="BR55" s="109">
        <f t="shared" si="65"/>
        <v>0</v>
      </c>
      <c r="BS55" s="109">
        <f t="shared" si="66"/>
        <v>0</v>
      </c>
      <c r="BU55" s="82">
        <f t="shared" si="43"/>
        <v>0</v>
      </c>
      <c r="BV55" s="82" t="e">
        <f t="shared" si="67"/>
        <v>#DIV/0!</v>
      </c>
      <c r="BW55" s="77">
        <f t="shared" si="44"/>
        <v>0</v>
      </c>
      <c r="BX55" s="108">
        <f t="shared" si="45"/>
        <v>0</v>
      </c>
      <c r="BY55" s="107">
        <f t="shared" si="46"/>
        <v>0</v>
      </c>
      <c r="BZ55" s="107">
        <f t="shared" si="47"/>
        <v>0</v>
      </c>
      <c r="CA55" s="107">
        <f t="shared" si="48"/>
        <v>0</v>
      </c>
      <c r="CB55" s="109">
        <f t="shared" si="68"/>
        <v>0</v>
      </c>
      <c r="CC55" s="109">
        <f t="shared" si="69"/>
        <v>0</v>
      </c>
      <c r="CD55" s="109">
        <f t="shared" si="70"/>
        <v>0</v>
      </c>
    </row>
    <row r="56" spans="1:82" x14ac:dyDescent="0.25">
      <c r="A56" s="101">
        <f t="shared" si="49"/>
        <v>37561</v>
      </c>
      <c r="B56" s="102">
        <f t="shared" si="50"/>
        <v>3.5270000000000001</v>
      </c>
      <c r="C56" s="80">
        <f t="shared" si="51"/>
        <v>0.29499999999999998</v>
      </c>
      <c r="D56" s="102">
        <f t="shared" si="0"/>
        <v>-0.19</v>
      </c>
      <c r="E56" s="106">
        <f t="shared" si="1"/>
        <v>1</v>
      </c>
      <c r="F56" s="105">
        <f t="shared" ca="1" si="2"/>
        <v>789</v>
      </c>
      <c r="G56" s="80" t="e">
        <f t="shared" si="3"/>
        <v>#DIV/0!</v>
      </c>
      <c r="H56" s="80" t="e">
        <f t="shared" si="4"/>
        <v>#DIV/0!</v>
      </c>
      <c r="I56" s="104">
        <f t="shared" si="5"/>
        <v>5</v>
      </c>
      <c r="K56" s="102">
        <f t="shared" si="6"/>
        <v>-0.19</v>
      </c>
      <c r="L56" s="106">
        <f t="shared" si="7"/>
        <v>1</v>
      </c>
      <c r="M56" s="105">
        <f t="shared" ca="1" si="8"/>
        <v>789</v>
      </c>
      <c r="N56" s="217">
        <f t="shared" si="9"/>
        <v>0.32899999999999996</v>
      </c>
      <c r="O56" s="80">
        <f t="shared" si="10"/>
        <v>3.4000000000000002E-2</v>
      </c>
      <c r="P56" s="104">
        <f t="shared" si="11"/>
        <v>5</v>
      </c>
      <c r="R56" s="102">
        <f t="shared" si="12"/>
        <v>0.1875</v>
      </c>
      <c r="S56" s="106">
        <f t="shared" si="13"/>
        <v>1</v>
      </c>
      <c r="T56" s="105">
        <f t="shared" ca="1" si="14"/>
        <v>789</v>
      </c>
      <c r="U56" s="217" t="e">
        <f t="shared" si="15"/>
        <v>#DIV/0!</v>
      </c>
      <c r="V56" s="80" t="e">
        <f t="shared" si="16"/>
        <v>#DIV/0!</v>
      </c>
      <c r="W56" s="104">
        <f t="shared" si="17"/>
        <v>4.95</v>
      </c>
      <c r="X56" s="105"/>
      <c r="Y56" s="102">
        <f t="shared" si="18"/>
        <v>-3.2500000000000001E-2</v>
      </c>
      <c r="Z56" s="106">
        <f t="shared" si="19"/>
        <v>1</v>
      </c>
      <c r="AA56" s="105">
        <f t="shared" ca="1" si="20"/>
        <v>789</v>
      </c>
      <c r="AB56" s="80" t="e">
        <f t="shared" si="21"/>
        <v>#DIV/0!</v>
      </c>
      <c r="AC56" s="80" t="e">
        <f t="shared" si="22"/>
        <v>#DIV/0!</v>
      </c>
      <c r="AD56" s="104">
        <f t="shared" si="23"/>
        <v>3.98</v>
      </c>
      <c r="AF56" s="105">
        <f t="shared" ca="1" si="52"/>
        <v>789</v>
      </c>
      <c r="AG56" s="105">
        <f t="shared" ca="1" si="53"/>
        <v>788</v>
      </c>
      <c r="AH56" s="80">
        <f t="shared" si="24"/>
        <v>6.9095832436425003E-2</v>
      </c>
      <c r="AI56" s="182">
        <f t="shared" si="25"/>
        <v>30</v>
      </c>
      <c r="AL56" s="105"/>
      <c r="AM56" s="82"/>
      <c r="AN56" s="82">
        <f t="shared" si="26"/>
        <v>0</v>
      </c>
      <c r="AO56" s="82" t="e">
        <f t="shared" si="54"/>
        <v>#DIV/0!</v>
      </c>
      <c r="AP56" s="77">
        <f t="shared" si="27"/>
        <v>0</v>
      </c>
      <c r="AQ56" s="108">
        <f t="shared" si="28"/>
        <v>0</v>
      </c>
      <c r="AR56" s="107">
        <f t="shared" si="29"/>
        <v>0</v>
      </c>
      <c r="AS56" s="107">
        <f t="shared" si="55"/>
        <v>0</v>
      </c>
      <c r="AT56" s="107">
        <f t="shared" si="30"/>
        <v>0</v>
      </c>
      <c r="AU56" s="109">
        <f t="shared" si="56"/>
        <v>0</v>
      </c>
      <c r="AV56" s="109">
        <f t="shared" si="57"/>
        <v>0</v>
      </c>
      <c r="AW56" s="109">
        <f t="shared" si="58"/>
        <v>0</v>
      </c>
      <c r="AY56" s="82">
        <f t="shared" si="31"/>
        <v>30</v>
      </c>
      <c r="AZ56" s="82">
        <f t="shared" si="59"/>
        <v>3.347</v>
      </c>
      <c r="BA56" s="77">
        <f t="shared" si="32"/>
        <v>106.11</v>
      </c>
      <c r="BB56" s="108">
        <f t="shared" si="33"/>
        <v>100.41</v>
      </c>
      <c r="BC56" s="107">
        <f t="shared" ca="1" si="34"/>
        <v>0.1909735381892893</v>
      </c>
      <c r="BD56" s="107">
        <f t="shared" ca="1" si="35"/>
        <v>0.2396861417998577</v>
      </c>
      <c r="BE56" s="107">
        <f t="shared" ca="1" si="36"/>
        <v>1.4357199346026861E-2</v>
      </c>
      <c r="BF56" s="109">
        <f t="shared" ca="1" si="60"/>
        <v>5.7292061456786794</v>
      </c>
      <c r="BG56" s="109">
        <f t="shared" ca="1" si="61"/>
        <v>7.1905842539957305</v>
      </c>
      <c r="BH56" s="109">
        <f t="shared" ca="1" si="62"/>
        <v>0.43071598038080583</v>
      </c>
      <c r="BJ56" s="82">
        <f t="shared" si="37"/>
        <v>0</v>
      </c>
      <c r="BK56" s="82" t="e">
        <f t="shared" si="63"/>
        <v>#DIV/0!</v>
      </c>
      <c r="BL56" s="77">
        <f t="shared" si="38"/>
        <v>0</v>
      </c>
      <c r="BM56" s="108">
        <f t="shared" si="39"/>
        <v>0</v>
      </c>
      <c r="BN56" s="107">
        <f t="shared" si="40"/>
        <v>0</v>
      </c>
      <c r="BO56" s="107">
        <f t="shared" si="41"/>
        <v>0</v>
      </c>
      <c r="BP56" s="107">
        <f t="shared" si="42"/>
        <v>0</v>
      </c>
      <c r="BQ56" s="109">
        <f t="shared" si="64"/>
        <v>0</v>
      </c>
      <c r="BR56" s="109">
        <f t="shared" si="65"/>
        <v>0</v>
      </c>
      <c r="BS56" s="109">
        <f t="shared" si="66"/>
        <v>0</v>
      </c>
      <c r="BU56" s="82">
        <f t="shared" si="43"/>
        <v>0</v>
      </c>
      <c r="BV56" s="82" t="e">
        <f t="shared" si="67"/>
        <v>#DIV/0!</v>
      </c>
      <c r="BW56" s="77">
        <f t="shared" si="44"/>
        <v>0</v>
      </c>
      <c r="BX56" s="108">
        <f t="shared" si="45"/>
        <v>0</v>
      </c>
      <c r="BY56" s="107">
        <f t="shared" si="46"/>
        <v>0</v>
      </c>
      <c r="BZ56" s="107">
        <f t="shared" si="47"/>
        <v>0</v>
      </c>
      <c r="CA56" s="107">
        <f t="shared" si="48"/>
        <v>0</v>
      </c>
      <c r="CB56" s="109">
        <f t="shared" si="68"/>
        <v>0</v>
      </c>
      <c r="CC56" s="109">
        <f t="shared" si="69"/>
        <v>0</v>
      </c>
      <c r="CD56" s="109">
        <f t="shared" si="70"/>
        <v>0</v>
      </c>
    </row>
    <row r="57" spans="1:82" x14ac:dyDescent="0.25">
      <c r="A57" s="101">
        <f t="shared" si="49"/>
        <v>37591</v>
      </c>
      <c r="B57" s="102">
        <f t="shared" si="50"/>
        <v>3.6090000000000004</v>
      </c>
      <c r="C57" s="80">
        <f t="shared" si="51"/>
        <v>0.29749999999999999</v>
      </c>
      <c r="D57" s="102">
        <f t="shared" si="0"/>
        <v>-0.19</v>
      </c>
      <c r="E57" s="106">
        <f t="shared" si="1"/>
        <v>1</v>
      </c>
      <c r="F57" s="105">
        <f t="shared" ca="1" si="2"/>
        <v>817</v>
      </c>
      <c r="G57" s="80" t="e">
        <f t="shared" si="3"/>
        <v>#DIV/0!</v>
      </c>
      <c r="H57" s="80" t="e">
        <f t="shared" si="4"/>
        <v>#DIV/0!</v>
      </c>
      <c r="I57" s="104">
        <f t="shared" si="5"/>
        <v>5</v>
      </c>
      <c r="K57" s="102">
        <f t="shared" si="6"/>
        <v>-0.19</v>
      </c>
      <c r="L57" s="106">
        <f t="shared" si="7"/>
        <v>1</v>
      </c>
      <c r="M57" s="105">
        <f t="shared" ca="1" si="8"/>
        <v>817</v>
      </c>
      <c r="N57" s="217">
        <f t="shared" si="9"/>
        <v>0.32950000000000002</v>
      </c>
      <c r="O57" s="80">
        <f t="shared" si="10"/>
        <v>3.2000000000000001E-2</v>
      </c>
      <c r="P57" s="104">
        <f t="shared" si="11"/>
        <v>5</v>
      </c>
      <c r="R57" s="102">
        <f t="shared" si="12"/>
        <v>0.22750000000000001</v>
      </c>
      <c r="S57" s="106">
        <f t="shared" si="13"/>
        <v>1</v>
      </c>
      <c r="T57" s="105">
        <f t="shared" ca="1" si="14"/>
        <v>817</v>
      </c>
      <c r="U57" s="217" t="e">
        <f t="shared" si="15"/>
        <v>#DIV/0!</v>
      </c>
      <c r="V57" s="80" t="e">
        <f t="shared" si="16"/>
        <v>#DIV/0!</v>
      </c>
      <c r="W57" s="104">
        <f t="shared" si="17"/>
        <v>4.95</v>
      </c>
      <c r="X57" s="105"/>
      <c r="Y57" s="102">
        <f t="shared" si="18"/>
        <v>-5.5E-2</v>
      </c>
      <c r="Z57" s="106">
        <f t="shared" si="19"/>
        <v>1</v>
      </c>
      <c r="AA57" s="105">
        <f t="shared" ca="1" si="20"/>
        <v>817</v>
      </c>
      <c r="AB57" s="80" t="e">
        <f t="shared" si="21"/>
        <v>#DIV/0!</v>
      </c>
      <c r="AC57" s="80" t="e">
        <f t="shared" si="22"/>
        <v>#DIV/0!</v>
      </c>
      <c r="AD57" s="104">
        <f t="shared" si="23"/>
        <v>3.98</v>
      </c>
      <c r="AF57" s="105">
        <f t="shared" ca="1" si="52"/>
        <v>817</v>
      </c>
      <c r="AG57" s="105">
        <f t="shared" ca="1" si="53"/>
        <v>816</v>
      </c>
      <c r="AH57" s="80">
        <f t="shared" si="24"/>
        <v>6.9091816669514014E-2</v>
      </c>
      <c r="AI57" s="182">
        <f t="shared" si="25"/>
        <v>31</v>
      </c>
      <c r="AL57" s="105"/>
      <c r="AM57" s="82"/>
      <c r="AN57" s="82">
        <f t="shared" si="26"/>
        <v>0</v>
      </c>
      <c r="AO57" s="82" t="e">
        <f t="shared" si="54"/>
        <v>#DIV/0!</v>
      </c>
      <c r="AP57" s="77">
        <f t="shared" si="27"/>
        <v>0</v>
      </c>
      <c r="AQ57" s="108">
        <f t="shared" si="28"/>
        <v>0</v>
      </c>
      <c r="AR57" s="107">
        <f t="shared" si="29"/>
        <v>0</v>
      </c>
      <c r="AS57" s="107">
        <f t="shared" si="55"/>
        <v>0</v>
      </c>
      <c r="AT57" s="107">
        <f t="shared" si="30"/>
        <v>0</v>
      </c>
      <c r="AU57" s="109">
        <f t="shared" si="56"/>
        <v>0</v>
      </c>
      <c r="AV57" s="109">
        <f t="shared" si="57"/>
        <v>0</v>
      </c>
      <c r="AW57" s="109">
        <f t="shared" si="58"/>
        <v>0</v>
      </c>
      <c r="AY57" s="82">
        <f t="shared" si="31"/>
        <v>31</v>
      </c>
      <c r="AZ57" s="82">
        <f t="shared" si="59"/>
        <v>3.4290000000000003</v>
      </c>
      <c r="BA57" s="77">
        <f t="shared" si="32"/>
        <v>112.18900000000001</v>
      </c>
      <c r="BB57" s="108">
        <f t="shared" si="33"/>
        <v>106.29900000000001</v>
      </c>
      <c r="BC57" s="107">
        <f t="shared" ca="1" si="34"/>
        <v>0.21955005687275198</v>
      </c>
      <c r="BD57" s="107">
        <f t="shared" ca="1" si="35"/>
        <v>0.25874499054729372</v>
      </c>
      <c r="BE57" s="107">
        <f t="shared" ca="1" si="36"/>
        <v>1.5446384771384714E-2</v>
      </c>
      <c r="BF57" s="109">
        <f t="shared" ca="1" si="60"/>
        <v>6.8060517630553115</v>
      </c>
      <c r="BG57" s="109">
        <f t="shared" ca="1" si="61"/>
        <v>8.0210947069661049</v>
      </c>
      <c r="BH57" s="109">
        <f t="shared" ca="1" si="62"/>
        <v>0.47883792791292612</v>
      </c>
      <c r="BJ57" s="82">
        <f t="shared" si="37"/>
        <v>0</v>
      </c>
      <c r="BK57" s="82" t="e">
        <f t="shared" si="63"/>
        <v>#DIV/0!</v>
      </c>
      <c r="BL57" s="77">
        <f t="shared" si="38"/>
        <v>0</v>
      </c>
      <c r="BM57" s="108">
        <f t="shared" si="39"/>
        <v>0</v>
      </c>
      <c r="BN57" s="107">
        <f t="shared" si="40"/>
        <v>0</v>
      </c>
      <c r="BO57" s="107">
        <f t="shared" si="41"/>
        <v>0</v>
      </c>
      <c r="BP57" s="107">
        <f t="shared" si="42"/>
        <v>0</v>
      </c>
      <c r="BQ57" s="109">
        <f t="shared" si="64"/>
        <v>0</v>
      </c>
      <c r="BR57" s="109">
        <f t="shared" si="65"/>
        <v>0</v>
      </c>
      <c r="BS57" s="109">
        <f t="shared" si="66"/>
        <v>0</v>
      </c>
      <c r="BU57" s="82">
        <f t="shared" si="43"/>
        <v>0</v>
      </c>
      <c r="BV57" s="82" t="e">
        <f t="shared" si="67"/>
        <v>#DIV/0!</v>
      </c>
      <c r="BW57" s="77">
        <f t="shared" si="44"/>
        <v>0</v>
      </c>
      <c r="BX57" s="108">
        <f t="shared" si="45"/>
        <v>0</v>
      </c>
      <c r="BY57" s="107">
        <f t="shared" si="46"/>
        <v>0</v>
      </c>
      <c r="BZ57" s="107">
        <f t="shared" si="47"/>
        <v>0</v>
      </c>
      <c r="CA57" s="107">
        <f t="shared" si="48"/>
        <v>0</v>
      </c>
      <c r="CB57" s="109">
        <f t="shared" si="68"/>
        <v>0</v>
      </c>
      <c r="CC57" s="109">
        <f t="shared" si="69"/>
        <v>0</v>
      </c>
      <c r="CD57" s="109">
        <f t="shared" si="70"/>
        <v>0</v>
      </c>
    </row>
    <row r="58" spans="1:82" x14ac:dyDescent="0.25">
      <c r="A58" s="101">
        <f t="shared" si="49"/>
        <v>37622</v>
      </c>
      <c r="B58" s="102">
        <f t="shared" si="50"/>
        <v>3.6019999999999999</v>
      </c>
      <c r="C58" s="80">
        <f t="shared" si="51"/>
        <v>0.28499999999999998</v>
      </c>
      <c r="D58" s="102">
        <f t="shared" si="0"/>
        <v>-0.19</v>
      </c>
      <c r="E58" s="106">
        <f t="shared" si="1"/>
        <v>1</v>
      </c>
      <c r="F58" s="105">
        <f t="shared" ca="1" si="2"/>
        <v>848</v>
      </c>
      <c r="G58" s="80" t="e">
        <f t="shared" si="3"/>
        <v>#DIV/0!</v>
      </c>
      <c r="H58" s="80" t="e">
        <f t="shared" si="4"/>
        <v>#DIV/0!</v>
      </c>
      <c r="I58" s="104">
        <f t="shared" si="5"/>
        <v>5</v>
      </c>
      <c r="K58" s="102">
        <f t="shared" si="6"/>
        <v>-0.19</v>
      </c>
      <c r="L58" s="106">
        <f t="shared" si="7"/>
        <v>1</v>
      </c>
      <c r="M58" s="105">
        <f t="shared" ca="1" si="8"/>
        <v>848</v>
      </c>
      <c r="N58" s="217">
        <f t="shared" si="9"/>
        <v>0.31699999999999995</v>
      </c>
      <c r="O58" s="80">
        <f t="shared" si="10"/>
        <v>3.2000000000000001E-2</v>
      </c>
      <c r="P58" s="104">
        <f t="shared" si="11"/>
        <v>5</v>
      </c>
      <c r="R58" s="102">
        <f t="shared" si="12"/>
        <v>0.24</v>
      </c>
      <c r="S58" s="106">
        <f t="shared" si="13"/>
        <v>1</v>
      </c>
      <c r="T58" s="105">
        <f t="shared" ca="1" si="14"/>
        <v>848</v>
      </c>
      <c r="U58" s="217" t="e">
        <f t="shared" si="15"/>
        <v>#DIV/0!</v>
      </c>
      <c r="V58" s="80" t="e">
        <f t="shared" si="16"/>
        <v>#DIV/0!</v>
      </c>
      <c r="W58" s="104">
        <f t="shared" si="17"/>
        <v>4.95</v>
      </c>
      <c r="X58" s="105"/>
      <c r="Y58" s="102">
        <f t="shared" si="18"/>
        <v>-5.7500000000000002E-2</v>
      </c>
      <c r="Z58" s="106">
        <f t="shared" si="19"/>
        <v>1</v>
      </c>
      <c r="AA58" s="105">
        <f t="shared" ca="1" si="20"/>
        <v>848</v>
      </c>
      <c r="AB58" s="80" t="e">
        <f t="shared" si="21"/>
        <v>#DIV/0!</v>
      </c>
      <c r="AC58" s="80" t="e">
        <f t="shared" si="22"/>
        <v>#DIV/0!</v>
      </c>
      <c r="AD58" s="104">
        <f t="shared" si="23"/>
        <v>3.98</v>
      </c>
      <c r="AF58" s="105">
        <f t="shared" ca="1" si="52"/>
        <v>848</v>
      </c>
      <c r="AG58" s="105">
        <f t="shared" ca="1" si="53"/>
        <v>847</v>
      </c>
      <c r="AH58" s="80">
        <f t="shared" si="24"/>
        <v>6.9095762126817992E-2</v>
      </c>
      <c r="AI58" s="182">
        <f t="shared" si="25"/>
        <v>31</v>
      </c>
      <c r="AL58" s="105"/>
      <c r="AM58" s="82"/>
      <c r="AN58" s="82">
        <f t="shared" si="26"/>
        <v>0</v>
      </c>
      <c r="AO58" s="82" t="e">
        <f t="shared" si="54"/>
        <v>#DIV/0!</v>
      </c>
      <c r="AP58" s="77">
        <f t="shared" si="27"/>
        <v>0</v>
      </c>
      <c r="AQ58" s="108">
        <f t="shared" si="28"/>
        <v>0</v>
      </c>
      <c r="AR58" s="107">
        <f t="shared" si="29"/>
        <v>0</v>
      </c>
      <c r="AS58" s="107">
        <f t="shared" si="55"/>
        <v>0</v>
      </c>
      <c r="AT58" s="107">
        <f t="shared" si="30"/>
        <v>0</v>
      </c>
      <c r="AU58" s="109">
        <f t="shared" si="56"/>
        <v>0</v>
      </c>
      <c r="AV58" s="109">
        <f t="shared" si="57"/>
        <v>0</v>
      </c>
      <c r="AW58" s="109">
        <f t="shared" si="58"/>
        <v>0</v>
      </c>
      <c r="AY58" s="82">
        <f t="shared" si="31"/>
        <v>31</v>
      </c>
      <c r="AZ58" s="82">
        <f t="shared" si="59"/>
        <v>3.4219999999999997</v>
      </c>
      <c r="BA58" s="77">
        <f t="shared" si="32"/>
        <v>111.97199999999999</v>
      </c>
      <c r="BB58" s="108">
        <f t="shared" si="33"/>
        <v>106.08199999999999</v>
      </c>
      <c r="BC58" s="107">
        <f t="shared" ca="1" si="34"/>
        <v>0.20659382838350249</v>
      </c>
      <c r="BD58" s="107">
        <f t="shared" ca="1" si="35"/>
        <v>0.24996301177732339</v>
      </c>
      <c r="BE58" s="107">
        <f t="shared" ca="1" si="36"/>
        <v>1.5422137942005643E-2</v>
      </c>
      <c r="BF58" s="109">
        <f t="shared" ca="1" si="60"/>
        <v>6.4044086798885775</v>
      </c>
      <c r="BG58" s="109">
        <f t="shared" ca="1" si="61"/>
        <v>7.748853365097025</v>
      </c>
      <c r="BH58" s="109">
        <f t="shared" ca="1" si="62"/>
        <v>0.47808627620217492</v>
      </c>
      <c r="BJ58" s="82">
        <f t="shared" si="37"/>
        <v>0</v>
      </c>
      <c r="BK58" s="82" t="e">
        <f t="shared" si="63"/>
        <v>#DIV/0!</v>
      </c>
      <c r="BL58" s="77">
        <f t="shared" si="38"/>
        <v>0</v>
      </c>
      <c r="BM58" s="108">
        <f t="shared" si="39"/>
        <v>0</v>
      </c>
      <c r="BN58" s="107">
        <f t="shared" si="40"/>
        <v>0</v>
      </c>
      <c r="BO58" s="107">
        <f t="shared" si="41"/>
        <v>0</v>
      </c>
      <c r="BP58" s="107">
        <f t="shared" si="42"/>
        <v>0</v>
      </c>
      <c r="BQ58" s="109">
        <f t="shared" si="64"/>
        <v>0</v>
      </c>
      <c r="BR58" s="109">
        <f t="shared" si="65"/>
        <v>0</v>
      </c>
      <c r="BS58" s="109">
        <f t="shared" si="66"/>
        <v>0</v>
      </c>
      <c r="BU58" s="82">
        <f t="shared" si="43"/>
        <v>0</v>
      </c>
      <c r="BV58" s="82" t="e">
        <f t="shared" si="67"/>
        <v>#DIV/0!</v>
      </c>
      <c r="BW58" s="77">
        <f t="shared" si="44"/>
        <v>0</v>
      </c>
      <c r="BX58" s="108">
        <f t="shared" si="45"/>
        <v>0</v>
      </c>
      <c r="BY58" s="107">
        <f t="shared" si="46"/>
        <v>0</v>
      </c>
      <c r="BZ58" s="107">
        <f t="shared" si="47"/>
        <v>0</v>
      </c>
      <c r="CA58" s="107">
        <f t="shared" si="48"/>
        <v>0</v>
      </c>
      <c r="CB58" s="109">
        <f t="shared" si="68"/>
        <v>0</v>
      </c>
      <c r="CC58" s="109">
        <f t="shared" si="69"/>
        <v>0</v>
      </c>
      <c r="CD58" s="109">
        <f t="shared" si="70"/>
        <v>0</v>
      </c>
    </row>
    <row r="59" spans="1:82" x14ac:dyDescent="0.25">
      <c r="A59" s="101">
        <f t="shared" si="49"/>
        <v>37653</v>
      </c>
      <c r="B59" s="102">
        <f t="shared" si="50"/>
        <v>3.46</v>
      </c>
      <c r="C59" s="80">
        <f t="shared" si="51"/>
        <v>0.28499999999999998</v>
      </c>
      <c r="D59" s="102">
        <f t="shared" si="0"/>
        <v>-0.19</v>
      </c>
      <c r="E59" s="106">
        <f t="shared" si="1"/>
        <v>1</v>
      </c>
      <c r="F59" s="105">
        <f t="shared" ca="1" si="2"/>
        <v>881</v>
      </c>
      <c r="G59" s="80" t="e">
        <f t="shared" si="3"/>
        <v>#DIV/0!</v>
      </c>
      <c r="H59" s="80" t="e">
        <f t="shared" si="4"/>
        <v>#DIV/0!</v>
      </c>
      <c r="I59" s="104">
        <f t="shared" si="5"/>
        <v>5</v>
      </c>
      <c r="K59" s="102">
        <f t="shared" si="6"/>
        <v>-0.19</v>
      </c>
      <c r="L59" s="106">
        <f t="shared" si="7"/>
        <v>1</v>
      </c>
      <c r="M59" s="105">
        <f t="shared" ca="1" si="8"/>
        <v>881</v>
      </c>
      <c r="N59" s="217">
        <f t="shared" si="9"/>
        <v>0.31899999999999995</v>
      </c>
      <c r="O59" s="80">
        <f t="shared" si="10"/>
        <v>3.4000000000000002E-2</v>
      </c>
      <c r="P59" s="104">
        <f t="shared" si="11"/>
        <v>5</v>
      </c>
      <c r="R59" s="102">
        <f t="shared" si="12"/>
        <v>0.2175</v>
      </c>
      <c r="S59" s="106">
        <f t="shared" si="13"/>
        <v>1</v>
      </c>
      <c r="T59" s="105">
        <f t="shared" ca="1" si="14"/>
        <v>881</v>
      </c>
      <c r="U59" s="217" t="e">
        <f t="shared" si="15"/>
        <v>#DIV/0!</v>
      </c>
      <c r="V59" s="80" t="e">
        <f t="shared" si="16"/>
        <v>#DIV/0!</v>
      </c>
      <c r="W59" s="104">
        <f t="shared" si="17"/>
        <v>4.95</v>
      </c>
      <c r="X59" s="105"/>
      <c r="Y59" s="102">
        <f t="shared" si="18"/>
        <v>-0.04</v>
      </c>
      <c r="Z59" s="106">
        <f t="shared" si="19"/>
        <v>1</v>
      </c>
      <c r="AA59" s="105">
        <f t="shared" ca="1" si="20"/>
        <v>881</v>
      </c>
      <c r="AB59" s="80" t="e">
        <f t="shared" si="21"/>
        <v>#DIV/0!</v>
      </c>
      <c r="AC59" s="80" t="e">
        <f t="shared" si="22"/>
        <v>#DIV/0!</v>
      </c>
      <c r="AD59" s="104">
        <f t="shared" si="23"/>
        <v>3.98</v>
      </c>
      <c r="AF59" s="105">
        <f t="shared" ca="1" si="52"/>
        <v>881</v>
      </c>
      <c r="AG59" s="105">
        <f t="shared" ca="1" si="53"/>
        <v>880</v>
      </c>
      <c r="AH59" s="80">
        <f t="shared" si="24"/>
        <v>6.9109537327938009E-2</v>
      </c>
      <c r="AI59" s="182">
        <f t="shared" si="25"/>
        <v>28</v>
      </c>
      <c r="AL59" s="105"/>
      <c r="AM59" s="82"/>
      <c r="AN59" s="82">
        <f t="shared" si="26"/>
        <v>0</v>
      </c>
      <c r="AO59" s="82" t="e">
        <f t="shared" si="54"/>
        <v>#DIV/0!</v>
      </c>
      <c r="AP59" s="77">
        <f t="shared" si="27"/>
        <v>0</v>
      </c>
      <c r="AQ59" s="108">
        <f t="shared" si="28"/>
        <v>0</v>
      </c>
      <c r="AR59" s="107">
        <f t="shared" si="29"/>
        <v>0</v>
      </c>
      <c r="AS59" s="107">
        <f t="shared" si="55"/>
        <v>0</v>
      </c>
      <c r="AT59" s="107">
        <f t="shared" si="30"/>
        <v>0</v>
      </c>
      <c r="AU59" s="109">
        <f t="shared" si="56"/>
        <v>0</v>
      </c>
      <c r="AV59" s="109">
        <f t="shared" si="57"/>
        <v>0</v>
      </c>
      <c r="AW59" s="109">
        <f t="shared" si="58"/>
        <v>0</v>
      </c>
      <c r="AY59" s="82">
        <f t="shared" si="31"/>
        <v>28</v>
      </c>
      <c r="AZ59" s="82">
        <f t="shared" si="59"/>
        <v>3.28</v>
      </c>
      <c r="BA59" s="77">
        <f t="shared" si="32"/>
        <v>97.16</v>
      </c>
      <c r="BB59" s="108">
        <f t="shared" si="33"/>
        <v>91.839999999999989</v>
      </c>
      <c r="BC59" s="107">
        <f t="shared" ca="1" si="34"/>
        <v>0.18317134446379379</v>
      </c>
      <c r="BD59" s="107">
        <f t="shared" ca="1" si="35"/>
        <v>0.23131156635360176</v>
      </c>
      <c r="BE59" s="107">
        <f t="shared" ca="1" si="36"/>
        <v>1.4491982452857322E-2</v>
      </c>
      <c r="BF59" s="109">
        <f t="shared" ca="1" si="60"/>
        <v>5.1287976449862267</v>
      </c>
      <c r="BG59" s="109">
        <f t="shared" ca="1" si="61"/>
        <v>6.4767238579008488</v>
      </c>
      <c r="BH59" s="109">
        <f t="shared" ca="1" si="62"/>
        <v>0.405775508680005</v>
      </c>
      <c r="BJ59" s="82">
        <f t="shared" si="37"/>
        <v>0</v>
      </c>
      <c r="BK59" s="82" t="e">
        <f t="shared" si="63"/>
        <v>#DIV/0!</v>
      </c>
      <c r="BL59" s="77">
        <f t="shared" si="38"/>
        <v>0</v>
      </c>
      <c r="BM59" s="108">
        <f t="shared" si="39"/>
        <v>0</v>
      </c>
      <c r="BN59" s="107">
        <f t="shared" si="40"/>
        <v>0</v>
      </c>
      <c r="BO59" s="107">
        <f t="shared" si="41"/>
        <v>0</v>
      </c>
      <c r="BP59" s="107">
        <f t="shared" si="42"/>
        <v>0</v>
      </c>
      <c r="BQ59" s="109">
        <f t="shared" si="64"/>
        <v>0</v>
      </c>
      <c r="BR59" s="109">
        <f t="shared" si="65"/>
        <v>0</v>
      </c>
      <c r="BS59" s="109">
        <f t="shared" si="66"/>
        <v>0</v>
      </c>
      <c r="BU59" s="82">
        <f t="shared" si="43"/>
        <v>0</v>
      </c>
      <c r="BV59" s="82" t="e">
        <f t="shared" si="67"/>
        <v>#DIV/0!</v>
      </c>
      <c r="BW59" s="77">
        <f t="shared" si="44"/>
        <v>0</v>
      </c>
      <c r="BX59" s="108">
        <f t="shared" si="45"/>
        <v>0</v>
      </c>
      <c r="BY59" s="107">
        <f t="shared" si="46"/>
        <v>0</v>
      </c>
      <c r="BZ59" s="107">
        <f t="shared" si="47"/>
        <v>0</v>
      </c>
      <c r="CA59" s="107">
        <f t="shared" si="48"/>
        <v>0</v>
      </c>
      <c r="CB59" s="109">
        <f t="shared" si="68"/>
        <v>0</v>
      </c>
      <c r="CC59" s="109">
        <f t="shared" si="69"/>
        <v>0</v>
      </c>
      <c r="CD59" s="109">
        <f t="shared" si="70"/>
        <v>0</v>
      </c>
    </row>
    <row r="60" spans="1:82" x14ac:dyDescent="0.25">
      <c r="A60" s="101">
        <f t="shared" si="49"/>
        <v>37681</v>
      </c>
      <c r="B60" s="102">
        <f t="shared" si="50"/>
        <v>3.29</v>
      </c>
      <c r="C60" s="80">
        <f t="shared" si="51"/>
        <v>0.27500000000000002</v>
      </c>
      <c r="D60" s="102">
        <f t="shared" si="0"/>
        <v>-0.19</v>
      </c>
      <c r="E60" s="106">
        <f t="shared" si="1"/>
        <v>1</v>
      </c>
      <c r="F60" s="105">
        <f t="shared" ca="1" si="2"/>
        <v>909</v>
      </c>
      <c r="G60" s="80" t="e">
        <f t="shared" si="3"/>
        <v>#DIV/0!</v>
      </c>
      <c r="H60" s="80" t="e">
        <f t="shared" si="4"/>
        <v>#DIV/0!</v>
      </c>
      <c r="I60" s="104">
        <f t="shared" si="5"/>
        <v>5</v>
      </c>
      <c r="K60" s="102">
        <f t="shared" si="6"/>
        <v>-0.19</v>
      </c>
      <c r="L60" s="106">
        <f t="shared" si="7"/>
        <v>1</v>
      </c>
      <c r="M60" s="105">
        <f t="shared" ca="1" si="8"/>
        <v>909</v>
      </c>
      <c r="N60" s="217">
        <f t="shared" si="9"/>
        <v>0.313</v>
      </c>
      <c r="O60" s="80">
        <f t="shared" si="10"/>
        <v>3.7999999999999999E-2</v>
      </c>
      <c r="P60" s="104">
        <f t="shared" si="11"/>
        <v>5</v>
      </c>
      <c r="R60" s="102">
        <f t="shared" si="12"/>
        <v>0.215</v>
      </c>
      <c r="S60" s="106">
        <f t="shared" si="13"/>
        <v>1</v>
      </c>
      <c r="T60" s="105">
        <f t="shared" ca="1" si="14"/>
        <v>909</v>
      </c>
      <c r="U60" s="217" t="e">
        <f t="shared" si="15"/>
        <v>#DIV/0!</v>
      </c>
      <c r="V60" s="80" t="e">
        <f t="shared" si="16"/>
        <v>#DIV/0!</v>
      </c>
      <c r="W60" s="104">
        <f t="shared" si="17"/>
        <v>4.95</v>
      </c>
      <c r="X60" s="105"/>
      <c r="Y60" s="102">
        <f t="shared" si="18"/>
        <v>-2.75E-2</v>
      </c>
      <c r="Z60" s="106">
        <f t="shared" si="19"/>
        <v>1</v>
      </c>
      <c r="AA60" s="105">
        <f t="shared" ca="1" si="20"/>
        <v>909</v>
      </c>
      <c r="AB60" s="80" t="e">
        <f t="shared" si="21"/>
        <v>#DIV/0!</v>
      </c>
      <c r="AC60" s="80" t="e">
        <f t="shared" si="22"/>
        <v>#DIV/0!</v>
      </c>
      <c r="AD60" s="104">
        <f t="shared" si="23"/>
        <v>3.98</v>
      </c>
      <c r="AF60" s="105">
        <f t="shared" ca="1" si="52"/>
        <v>909</v>
      </c>
      <c r="AG60" s="105">
        <f t="shared" ca="1" si="53"/>
        <v>908</v>
      </c>
      <c r="AH60" s="80">
        <f t="shared" si="24"/>
        <v>6.9121979445132001E-2</v>
      </c>
      <c r="AI60" s="182">
        <f t="shared" si="25"/>
        <v>31</v>
      </c>
      <c r="AL60" s="105"/>
      <c r="AM60" s="82"/>
      <c r="AN60" s="82">
        <f t="shared" si="26"/>
        <v>0</v>
      </c>
      <c r="AO60" s="82" t="e">
        <f t="shared" si="54"/>
        <v>#DIV/0!</v>
      </c>
      <c r="AP60" s="77">
        <f t="shared" si="27"/>
        <v>0</v>
      </c>
      <c r="AQ60" s="108">
        <f t="shared" si="28"/>
        <v>0</v>
      </c>
      <c r="AR60" s="107">
        <f t="shared" si="29"/>
        <v>0</v>
      </c>
      <c r="AS60" s="107">
        <f t="shared" si="55"/>
        <v>0</v>
      </c>
      <c r="AT60" s="107">
        <f t="shared" si="30"/>
        <v>0</v>
      </c>
      <c r="AU60" s="109">
        <f t="shared" si="56"/>
        <v>0</v>
      </c>
      <c r="AV60" s="109">
        <f t="shared" si="57"/>
        <v>0</v>
      </c>
      <c r="AW60" s="109">
        <f t="shared" si="58"/>
        <v>0</v>
      </c>
      <c r="AY60" s="82">
        <f t="shared" si="31"/>
        <v>31</v>
      </c>
      <c r="AZ60" s="82">
        <f t="shared" si="59"/>
        <v>3.11</v>
      </c>
      <c r="BA60" s="77">
        <f t="shared" si="32"/>
        <v>102.3</v>
      </c>
      <c r="BB60" s="108">
        <f t="shared" si="33"/>
        <v>96.41</v>
      </c>
      <c r="BC60" s="107">
        <f t="shared" ca="1" si="34"/>
        <v>0.14421989781484196</v>
      </c>
      <c r="BD60" s="107">
        <f t="shared" ca="1" si="35"/>
        <v>0.19996389069511741</v>
      </c>
      <c r="BE60" s="107">
        <f t="shared" ca="1" si="36"/>
        <v>1.2943699519979646E-2</v>
      </c>
      <c r="BF60" s="109">
        <f t="shared" ca="1" si="60"/>
        <v>4.470816832260101</v>
      </c>
      <c r="BG60" s="109">
        <f t="shared" ca="1" si="61"/>
        <v>6.1988806115486401</v>
      </c>
      <c r="BH60" s="109">
        <f t="shared" ca="1" si="62"/>
        <v>0.40125468511936901</v>
      </c>
      <c r="BJ60" s="82">
        <f t="shared" si="37"/>
        <v>0</v>
      </c>
      <c r="BK60" s="82" t="e">
        <f t="shared" si="63"/>
        <v>#DIV/0!</v>
      </c>
      <c r="BL60" s="77">
        <f t="shared" si="38"/>
        <v>0</v>
      </c>
      <c r="BM60" s="108">
        <f t="shared" si="39"/>
        <v>0</v>
      </c>
      <c r="BN60" s="107">
        <f t="shared" si="40"/>
        <v>0</v>
      </c>
      <c r="BO60" s="107">
        <f t="shared" si="41"/>
        <v>0</v>
      </c>
      <c r="BP60" s="107">
        <f t="shared" si="42"/>
        <v>0</v>
      </c>
      <c r="BQ60" s="109">
        <f t="shared" si="64"/>
        <v>0</v>
      </c>
      <c r="BR60" s="109">
        <f t="shared" si="65"/>
        <v>0</v>
      </c>
      <c r="BS60" s="109">
        <f t="shared" si="66"/>
        <v>0</v>
      </c>
      <c r="BU60" s="82">
        <f t="shared" si="43"/>
        <v>0</v>
      </c>
      <c r="BV60" s="82" t="e">
        <f t="shared" si="67"/>
        <v>#DIV/0!</v>
      </c>
      <c r="BW60" s="77">
        <f t="shared" si="44"/>
        <v>0</v>
      </c>
      <c r="BX60" s="108">
        <f t="shared" si="45"/>
        <v>0</v>
      </c>
      <c r="BY60" s="107">
        <f t="shared" si="46"/>
        <v>0</v>
      </c>
      <c r="BZ60" s="107">
        <f t="shared" si="47"/>
        <v>0</v>
      </c>
      <c r="CA60" s="107">
        <f t="shared" si="48"/>
        <v>0</v>
      </c>
      <c r="CB60" s="109">
        <f t="shared" si="68"/>
        <v>0</v>
      </c>
      <c r="CC60" s="109">
        <f t="shared" si="69"/>
        <v>0</v>
      </c>
      <c r="CD60" s="109">
        <f t="shared" si="70"/>
        <v>0</v>
      </c>
    </row>
    <row r="61" spans="1:82" x14ac:dyDescent="0.25">
      <c r="A61" s="101">
        <f t="shared" si="49"/>
        <v>37712</v>
      </c>
      <c r="B61" s="102">
        <f t="shared" si="50"/>
        <v>3.1120000000000001</v>
      </c>
      <c r="C61" s="80">
        <f t="shared" si="51"/>
        <v>0.26250000000000001</v>
      </c>
      <c r="D61" s="102">
        <f t="shared" si="0"/>
        <v>-0.19500000000000001</v>
      </c>
      <c r="E61" s="106">
        <f t="shared" si="1"/>
        <v>1</v>
      </c>
      <c r="F61" s="105">
        <f t="shared" ca="1" si="2"/>
        <v>938</v>
      </c>
      <c r="G61" s="80" t="e">
        <f t="shared" si="3"/>
        <v>#DIV/0!</v>
      </c>
      <c r="H61" s="80" t="e">
        <f t="shared" si="4"/>
        <v>#DIV/0!</v>
      </c>
      <c r="I61" s="104">
        <f t="shared" si="5"/>
        <v>5</v>
      </c>
      <c r="K61" s="102">
        <f t="shared" si="6"/>
        <v>-0.19500000000000001</v>
      </c>
      <c r="L61" s="106">
        <f t="shared" si="7"/>
        <v>1</v>
      </c>
      <c r="M61" s="105">
        <f t="shared" ca="1" si="8"/>
        <v>938</v>
      </c>
      <c r="N61" s="217" t="e">
        <f t="shared" si="9"/>
        <v>#DIV/0!</v>
      </c>
      <c r="O61" s="80" t="e">
        <f t="shared" si="10"/>
        <v>#DIV/0!</v>
      </c>
      <c r="P61" s="104">
        <f t="shared" si="11"/>
        <v>5</v>
      </c>
      <c r="R61" s="102">
        <f t="shared" si="12"/>
        <v>0.16750000000000001</v>
      </c>
      <c r="S61" s="106">
        <f t="shared" si="13"/>
        <v>1</v>
      </c>
      <c r="T61" s="105">
        <f t="shared" ca="1" si="14"/>
        <v>938</v>
      </c>
      <c r="U61" s="217" t="e">
        <f t="shared" si="15"/>
        <v>#DIV/0!</v>
      </c>
      <c r="V61" s="80" t="e">
        <f t="shared" si="16"/>
        <v>#DIV/0!</v>
      </c>
      <c r="W61" s="104">
        <f t="shared" si="17"/>
        <v>4.95</v>
      </c>
      <c r="X61" s="105"/>
      <c r="Y61" s="102">
        <f t="shared" si="18"/>
        <v>1.4999999999999999E-2</v>
      </c>
      <c r="Z61" s="106">
        <f t="shared" si="19"/>
        <v>1</v>
      </c>
      <c r="AA61" s="105">
        <f t="shared" ca="1" si="20"/>
        <v>938</v>
      </c>
      <c r="AB61" s="80" t="e">
        <f t="shared" si="21"/>
        <v>#DIV/0!</v>
      </c>
      <c r="AC61" s="80" t="e">
        <f t="shared" si="22"/>
        <v>#DIV/0!</v>
      </c>
      <c r="AD61" s="104">
        <f t="shared" si="23"/>
        <v>3.98</v>
      </c>
      <c r="AF61" s="105">
        <f t="shared" ca="1" si="52"/>
        <v>938</v>
      </c>
      <c r="AG61" s="105">
        <f t="shared" ca="1" si="53"/>
        <v>937</v>
      </c>
      <c r="AH61" s="80">
        <f t="shared" si="24"/>
        <v>6.9125864762811004E-2</v>
      </c>
      <c r="AI61" s="182">
        <f t="shared" si="25"/>
        <v>30</v>
      </c>
      <c r="AL61" s="105"/>
      <c r="AM61" s="82"/>
      <c r="AN61" s="82">
        <f t="shared" si="26"/>
        <v>0</v>
      </c>
      <c r="AO61" s="82" t="e">
        <f t="shared" si="54"/>
        <v>#DIV/0!</v>
      </c>
      <c r="AP61" s="77">
        <f t="shared" si="27"/>
        <v>0</v>
      </c>
      <c r="AQ61" s="108">
        <f t="shared" si="28"/>
        <v>0</v>
      </c>
      <c r="AR61" s="107">
        <f t="shared" si="29"/>
        <v>0</v>
      </c>
      <c r="AS61" s="107">
        <f t="shared" si="55"/>
        <v>0</v>
      </c>
      <c r="AT61" s="107">
        <f t="shared" si="30"/>
        <v>0</v>
      </c>
      <c r="AU61" s="109">
        <f t="shared" si="56"/>
        <v>0</v>
      </c>
      <c r="AV61" s="109">
        <f t="shared" si="57"/>
        <v>0</v>
      </c>
      <c r="AW61" s="109">
        <f t="shared" si="58"/>
        <v>0</v>
      </c>
      <c r="AY61" s="82">
        <f t="shared" si="31"/>
        <v>0</v>
      </c>
      <c r="AZ61" s="82" t="e">
        <f t="shared" si="59"/>
        <v>#DIV/0!</v>
      </c>
      <c r="BA61" s="77">
        <f t="shared" si="32"/>
        <v>0</v>
      </c>
      <c r="BB61" s="108">
        <f t="shared" si="33"/>
        <v>0</v>
      </c>
      <c r="BC61" s="107">
        <f t="shared" si="34"/>
        <v>0</v>
      </c>
      <c r="BD61" s="107">
        <f t="shared" si="35"/>
        <v>0</v>
      </c>
      <c r="BE61" s="107">
        <f t="shared" si="36"/>
        <v>0</v>
      </c>
      <c r="BF61" s="109">
        <f t="shared" si="60"/>
        <v>0</v>
      </c>
      <c r="BG61" s="109">
        <f t="shared" si="61"/>
        <v>0</v>
      </c>
      <c r="BH61" s="109">
        <f t="shared" si="62"/>
        <v>0</v>
      </c>
      <c r="BJ61" s="82">
        <f t="shared" si="37"/>
        <v>0</v>
      </c>
      <c r="BK61" s="82" t="e">
        <f t="shared" si="63"/>
        <v>#DIV/0!</v>
      </c>
      <c r="BL61" s="77">
        <f t="shared" si="38"/>
        <v>0</v>
      </c>
      <c r="BM61" s="108">
        <f t="shared" si="39"/>
        <v>0</v>
      </c>
      <c r="BN61" s="107">
        <f t="shared" si="40"/>
        <v>0</v>
      </c>
      <c r="BO61" s="107">
        <f t="shared" si="41"/>
        <v>0</v>
      </c>
      <c r="BP61" s="107">
        <f t="shared" si="42"/>
        <v>0</v>
      </c>
      <c r="BQ61" s="109">
        <f t="shared" si="64"/>
        <v>0</v>
      </c>
      <c r="BR61" s="109">
        <f t="shared" si="65"/>
        <v>0</v>
      </c>
      <c r="BS61" s="109">
        <f t="shared" si="66"/>
        <v>0</v>
      </c>
      <c r="BU61" s="82">
        <f t="shared" si="43"/>
        <v>0</v>
      </c>
      <c r="BV61" s="82" t="e">
        <f t="shared" si="67"/>
        <v>#DIV/0!</v>
      </c>
      <c r="BW61" s="77">
        <f t="shared" si="44"/>
        <v>0</v>
      </c>
      <c r="BX61" s="108">
        <f t="shared" si="45"/>
        <v>0</v>
      </c>
      <c r="BY61" s="107">
        <f t="shared" si="46"/>
        <v>0</v>
      </c>
      <c r="BZ61" s="107">
        <f t="shared" si="47"/>
        <v>0</v>
      </c>
      <c r="CA61" s="107">
        <f t="shared" si="48"/>
        <v>0</v>
      </c>
      <c r="CB61" s="109">
        <f t="shared" si="68"/>
        <v>0</v>
      </c>
      <c r="CC61" s="109">
        <f t="shared" si="69"/>
        <v>0</v>
      </c>
      <c r="CD61" s="109">
        <f t="shared" si="70"/>
        <v>0</v>
      </c>
    </row>
    <row r="62" spans="1:82" x14ac:dyDescent="0.25">
      <c r="A62" s="101">
        <f t="shared" si="49"/>
        <v>37742</v>
      </c>
      <c r="B62" s="102">
        <f t="shared" si="50"/>
        <v>3.097</v>
      </c>
      <c r="C62" s="80">
        <f t="shared" si="51"/>
        <v>0.25750000000000001</v>
      </c>
      <c r="D62" s="102">
        <f t="shared" si="0"/>
        <v>-0.19500000000000001</v>
      </c>
      <c r="E62" s="106">
        <f t="shared" si="1"/>
        <v>1</v>
      </c>
      <c r="F62" s="105">
        <f t="shared" ca="1" si="2"/>
        <v>970</v>
      </c>
      <c r="G62" s="80" t="e">
        <f t="shared" si="3"/>
        <v>#DIV/0!</v>
      </c>
      <c r="H62" s="80" t="e">
        <f t="shared" si="4"/>
        <v>#DIV/0!</v>
      </c>
      <c r="I62" s="104">
        <f t="shared" si="5"/>
        <v>5</v>
      </c>
      <c r="K62" s="102">
        <f t="shared" si="6"/>
        <v>-0.19500000000000001</v>
      </c>
      <c r="L62" s="106">
        <f t="shared" si="7"/>
        <v>1</v>
      </c>
      <c r="M62" s="105">
        <f t="shared" ca="1" si="8"/>
        <v>970</v>
      </c>
      <c r="N62" s="217" t="e">
        <f t="shared" si="9"/>
        <v>#DIV/0!</v>
      </c>
      <c r="O62" s="80" t="e">
        <f t="shared" si="10"/>
        <v>#DIV/0!</v>
      </c>
      <c r="P62" s="104">
        <f t="shared" si="11"/>
        <v>5</v>
      </c>
      <c r="R62" s="102">
        <f t="shared" si="12"/>
        <v>0.1575</v>
      </c>
      <c r="S62" s="106">
        <f t="shared" si="13"/>
        <v>1</v>
      </c>
      <c r="T62" s="105">
        <f t="shared" ca="1" si="14"/>
        <v>970</v>
      </c>
      <c r="U62" s="217" t="e">
        <f t="shared" si="15"/>
        <v>#DIV/0!</v>
      </c>
      <c r="V62" s="80" t="e">
        <f t="shared" si="16"/>
        <v>#DIV/0!</v>
      </c>
      <c r="W62" s="104">
        <f t="shared" si="17"/>
        <v>4.95</v>
      </c>
      <c r="X62" s="105"/>
      <c r="Y62" s="102">
        <f t="shared" si="18"/>
        <v>1.4999999999999999E-2</v>
      </c>
      <c r="Z62" s="106">
        <f t="shared" si="19"/>
        <v>1</v>
      </c>
      <c r="AA62" s="105">
        <f t="shared" ca="1" si="20"/>
        <v>970</v>
      </c>
      <c r="AB62" s="80" t="e">
        <f t="shared" si="21"/>
        <v>#DIV/0!</v>
      </c>
      <c r="AC62" s="80" t="e">
        <f t="shared" si="22"/>
        <v>#DIV/0!</v>
      </c>
      <c r="AD62" s="104">
        <f t="shared" si="23"/>
        <v>3.98</v>
      </c>
      <c r="AF62" s="105">
        <f t="shared" ca="1" si="52"/>
        <v>970</v>
      </c>
      <c r="AG62" s="105">
        <f t="shared" ca="1" si="53"/>
        <v>967</v>
      </c>
      <c r="AH62" s="80">
        <f t="shared" si="24"/>
        <v>6.9116714336692017E-2</v>
      </c>
      <c r="AI62" s="182">
        <f t="shared" si="25"/>
        <v>31</v>
      </c>
      <c r="AL62" s="105"/>
      <c r="AM62" s="82"/>
      <c r="AN62" s="82">
        <f t="shared" si="26"/>
        <v>0</v>
      </c>
      <c r="AO62" s="82" t="e">
        <f t="shared" si="54"/>
        <v>#DIV/0!</v>
      </c>
      <c r="AP62" s="77">
        <f t="shared" si="27"/>
        <v>0</v>
      </c>
      <c r="AQ62" s="108">
        <f t="shared" si="28"/>
        <v>0</v>
      </c>
      <c r="AR62" s="107">
        <f t="shared" si="29"/>
        <v>0</v>
      </c>
      <c r="AS62" s="107">
        <f t="shared" si="55"/>
        <v>0</v>
      </c>
      <c r="AT62" s="107">
        <f t="shared" si="30"/>
        <v>0</v>
      </c>
      <c r="AU62" s="109">
        <f t="shared" si="56"/>
        <v>0</v>
      </c>
      <c r="AV62" s="109">
        <f t="shared" si="57"/>
        <v>0</v>
      </c>
      <c r="AW62" s="109">
        <f t="shared" si="58"/>
        <v>0</v>
      </c>
      <c r="AY62" s="82">
        <f t="shared" si="31"/>
        <v>0</v>
      </c>
      <c r="AZ62" s="82" t="e">
        <f t="shared" si="59"/>
        <v>#DIV/0!</v>
      </c>
      <c r="BA62" s="77">
        <f t="shared" si="32"/>
        <v>0</v>
      </c>
      <c r="BB62" s="108">
        <f t="shared" si="33"/>
        <v>0</v>
      </c>
      <c r="BC62" s="107">
        <f t="shared" si="34"/>
        <v>0</v>
      </c>
      <c r="BD62" s="107">
        <f t="shared" si="35"/>
        <v>0</v>
      </c>
      <c r="BE62" s="107">
        <f t="shared" si="36"/>
        <v>0</v>
      </c>
      <c r="BF62" s="109">
        <f t="shared" si="60"/>
        <v>0</v>
      </c>
      <c r="BG62" s="109">
        <f t="shared" si="61"/>
        <v>0</v>
      </c>
      <c r="BH62" s="109">
        <f t="shared" si="62"/>
        <v>0</v>
      </c>
      <c r="BJ62" s="82">
        <f t="shared" si="37"/>
        <v>0</v>
      </c>
      <c r="BK62" s="82" t="e">
        <f t="shared" si="63"/>
        <v>#DIV/0!</v>
      </c>
      <c r="BL62" s="77">
        <f t="shared" si="38"/>
        <v>0</v>
      </c>
      <c r="BM62" s="108">
        <f t="shared" si="39"/>
        <v>0</v>
      </c>
      <c r="BN62" s="107">
        <f t="shared" si="40"/>
        <v>0</v>
      </c>
      <c r="BO62" s="107">
        <f t="shared" si="41"/>
        <v>0</v>
      </c>
      <c r="BP62" s="107">
        <f t="shared" si="42"/>
        <v>0</v>
      </c>
      <c r="BQ62" s="109">
        <f t="shared" si="64"/>
        <v>0</v>
      </c>
      <c r="BR62" s="109">
        <f t="shared" si="65"/>
        <v>0</v>
      </c>
      <c r="BS62" s="109">
        <f t="shared" si="66"/>
        <v>0</v>
      </c>
      <c r="BU62" s="82">
        <f t="shared" si="43"/>
        <v>0</v>
      </c>
      <c r="BV62" s="82" t="e">
        <f t="shared" si="67"/>
        <v>#DIV/0!</v>
      </c>
      <c r="BW62" s="77">
        <f t="shared" si="44"/>
        <v>0</v>
      </c>
      <c r="BX62" s="108">
        <f t="shared" si="45"/>
        <v>0</v>
      </c>
      <c r="BY62" s="107">
        <f t="shared" si="46"/>
        <v>0</v>
      </c>
      <c r="BZ62" s="107">
        <f t="shared" si="47"/>
        <v>0</v>
      </c>
      <c r="CA62" s="107">
        <f t="shared" si="48"/>
        <v>0</v>
      </c>
      <c r="CB62" s="109">
        <f t="shared" si="68"/>
        <v>0</v>
      </c>
      <c r="CC62" s="109">
        <f t="shared" si="69"/>
        <v>0</v>
      </c>
      <c r="CD62" s="109">
        <f t="shared" si="70"/>
        <v>0</v>
      </c>
    </row>
    <row r="63" spans="1:82" x14ac:dyDescent="0.25">
      <c r="A63" s="101">
        <f t="shared" si="49"/>
        <v>37773</v>
      </c>
      <c r="B63" s="102">
        <f t="shared" si="50"/>
        <v>3.117</v>
      </c>
      <c r="C63" s="80">
        <f t="shared" si="51"/>
        <v>0.255</v>
      </c>
      <c r="D63" s="102">
        <f t="shared" si="0"/>
        <v>-0.19500000000000001</v>
      </c>
      <c r="E63" s="106">
        <f t="shared" si="1"/>
        <v>1</v>
      </c>
      <c r="F63" s="105">
        <f t="shared" ca="1" si="2"/>
        <v>1000</v>
      </c>
      <c r="G63" s="80" t="e">
        <f t="shared" si="3"/>
        <v>#DIV/0!</v>
      </c>
      <c r="H63" s="80" t="e">
        <f t="shared" si="4"/>
        <v>#DIV/0!</v>
      </c>
      <c r="I63" s="104">
        <f t="shared" si="5"/>
        <v>5</v>
      </c>
      <c r="K63" s="102">
        <f t="shared" si="6"/>
        <v>-0.19500000000000001</v>
      </c>
      <c r="L63" s="106">
        <f t="shared" si="7"/>
        <v>1</v>
      </c>
      <c r="M63" s="105">
        <f t="shared" ca="1" si="8"/>
        <v>1000</v>
      </c>
      <c r="N63" s="217" t="e">
        <f t="shared" si="9"/>
        <v>#DIV/0!</v>
      </c>
      <c r="O63" s="80" t="e">
        <f t="shared" si="10"/>
        <v>#DIV/0!</v>
      </c>
      <c r="P63" s="104">
        <f t="shared" si="11"/>
        <v>5</v>
      </c>
      <c r="R63" s="102">
        <f t="shared" si="12"/>
        <v>0.1525</v>
      </c>
      <c r="S63" s="106">
        <f t="shared" si="13"/>
        <v>1</v>
      </c>
      <c r="T63" s="105">
        <f t="shared" ca="1" si="14"/>
        <v>1000</v>
      </c>
      <c r="U63" s="217" t="e">
        <f t="shared" si="15"/>
        <v>#DIV/0!</v>
      </c>
      <c r="V63" s="80" t="e">
        <f t="shared" si="16"/>
        <v>#DIV/0!</v>
      </c>
      <c r="W63" s="104">
        <f t="shared" si="17"/>
        <v>4.95</v>
      </c>
      <c r="X63" s="105"/>
      <c r="Y63" s="102">
        <f t="shared" si="18"/>
        <v>0.02</v>
      </c>
      <c r="Z63" s="106">
        <f t="shared" si="19"/>
        <v>1</v>
      </c>
      <c r="AA63" s="105">
        <f t="shared" ca="1" si="20"/>
        <v>1000</v>
      </c>
      <c r="AB63" s="80" t="e">
        <f t="shared" si="21"/>
        <v>#DIV/0!</v>
      </c>
      <c r="AC63" s="80" t="e">
        <f t="shared" si="22"/>
        <v>#DIV/0!</v>
      </c>
      <c r="AD63" s="104">
        <f t="shared" si="23"/>
        <v>3.98</v>
      </c>
      <c r="AF63" s="105">
        <f t="shared" ca="1" si="52"/>
        <v>1000</v>
      </c>
      <c r="AG63" s="105">
        <f t="shared" ca="1" si="53"/>
        <v>999</v>
      </c>
      <c r="AH63" s="80">
        <f t="shared" si="24"/>
        <v>6.9107258896399015E-2</v>
      </c>
      <c r="AI63" s="182">
        <f t="shared" si="25"/>
        <v>30</v>
      </c>
      <c r="AL63" s="105"/>
      <c r="AM63" s="82"/>
      <c r="AN63" s="82">
        <f t="shared" si="26"/>
        <v>0</v>
      </c>
      <c r="AO63" s="82" t="e">
        <f t="shared" si="54"/>
        <v>#DIV/0!</v>
      </c>
      <c r="AP63" s="77">
        <f t="shared" si="27"/>
        <v>0</v>
      </c>
      <c r="AQ63" s="108">
        <f t="shared" si="28"/>
        <v>0</v>
      </c>
      <c r="AR63" s="107">
        <f t="shared" si="29"/>
        <v>0</v>
      </c>
      <c r="AS63" s="107">
        <f t="shared" si="55"/>
        <v>0</v>
      </c>
      <c r="AT63" s="107">
        <f t="shared" si="30"/>
        <v>0</v>
      </c>
      <c r="AU63" s="109">
        <f t="shared" si="56"/>
        <v>0</v>
      </c>
      <c r="AV63" s="109">
        <f t="shared" si="57"/>
        <v>0</v>
      </c>
      <c r="AW63" s="109">
        <f t="shared" si="58"/>
        <v>0</v>
      </c>
      <c r="AY63" s="82">
        <f t="shared" si="31"/>
        <v>0</v>
      </c>
      <c r="AZ63" s="82" t="e">
        <f t="shared" si="59"/>
        <v>#DIV/0!</v>
      </c>
      <c r="BA63" s="77">
        <f t="shared" si="32"/>
        <v>0</v>
      </c>
      <c r="BB63" s="108">
        <f t="shared" si="33"/>
        <v>0</v>
      </c>
      <c r="BC63" s="107">
        <f t="shared" si="34"/>
        <v>0</v>
      </c>
      <c r="BD63" s="107">
        <f t="shared" si="35"/>
        <v>0</v>
      </c>
      <c r="BE63" s="107">
        <f t="shared" si="36"/>
        <v>0</v>
      </c>
      <c r="BF63" s="109">
        <f t="shared" si="60"/>
        <v>0</v>
      </c>
      <c r="BG63" s="109">
        <f t="shared" si="61"/>
        <v>0</v>
      </c>
      <c r="BH63" s="109">
        <f t="shared" si="62"/>
        <v>0</v>
      </c>
      <c r="BJ63" s="82">
        <f t="shared" si="37"/>
        <v>0</v>
      </c>
      <c r="BK63" s="82" t="e">
        <f t="shared" si="63"/>
        <v>#DIV/0!</v>
      </c>
      <c r="BL63" s="77">
        <f t="shared" si="38"/>
        <v>0</v>
      </c>
      <c r="BM63" s="108">
        <f t="shared" si="39"/>
        <v>0</v>
      </c>
      <c r="BN63" s="107">
        <f t="shared" si="40"/>
        <v>0</v>
      </c>
      <c r="BO63" s="107">
        <f t="shared" si="41"/>
        <v>0</v>
      </c>
      <c r="BP63" s="107">
        <f t="shared" si="42"/>
        <v>0</v>
      </c>
      <c r="BQ63" s="109">
        <f t="shared" si="64"/>
        <v>0</v>
      </c>
      <c r="BR63" s="109">
        <f t="shared" si="65"/>
        <v>0</v>
      </c>
      <c r="BS63" s="109">
        <f t="shared" si="66"/>
        <v>0</v>
      </c>
      <c r="BU63" s="82">
        <f t="shared" si="43"/>
        <v>0</v>
      </c>
      <c r="BV63" s="82" t="e">
        <f t="shared" si="67"/>
        <v>#DIV/0!</v>
      </c>
      <c r="BW63" s="77">
        <f t="shared" si="44"/>
        <v>0</v>
      </c>
      <c r="BX63" s="108">
        <f t="shared" si="45"/>
        <v>0</v>
      </c>
      <c r="BY63" s="107">
        <f t="shared" si="46"/>
        <v>0</v>
      </c>
      <c r="BZ63" s="107">
        <f t="shared" si="47"/>
        <v>0</v>
      </c>
      <c r="CA63" s="107">
        <f t="shared" si="48"/>
        <v>0</v>
      </c>
      <c r="CB63" s="109">
        <f t="shared" si="68"/>
        <v>0</v>
      </c>
      <c r="CC63" s="109">
        <f t="shared" si="69"/>
        <v>0</v>
      </c>
      <c r="CD63" s="109">
        <f t="shared" si="70"/>
        <v>0</v>
      </c>
    </row>
    <row r="64" spans="1:82" x14ac:dyDescent="0.25">
      <c r="A64" s="101">
        <f t="shared" si="49"/>
        <v>37803</v>
      </c>
      <c r="B64" s="102">
        <f t="shared" si="50"/>
        <v>3.1390000000000002</v>
      </c>
      <c r="C64" s="80">
        <f t="shared" si="51"/>
        <v>0.255</v>
      </c>
      <c r="D64" s="102">
        <f t="shared" si="0"/>
        <v>-0.19500000000000001</v>
      </c>
      <c r="E64" s="106">
        <f t="shared" si="1"/>
        <v>1</v>
      </c>
      <c r="F64" s="105">
        <f t="shared" ca="1" si="2"/>
        <v>1029</v>
      </c>
      <c r="G64" s="80" t="e">
        <f t="shared" si="3"/>
        <v>#DIV/0!</v>
      </c>
      <c r="H64" s="80" t="e">
        <f t="shared" si="4"/>
        <v>#DIV/0!</v>
      </c>
      <c r="I64" s="104">
        <f t="shared" si="5"/>
        <v>5</v>
      </c>
      <c r="K64" s="102">
        <f t="shared" si="6"/>
        <v>-0.19500000000000001</v>
      </c>
      <c r="L64" s="106">
        <f t="shared" si="7"/>
        <v>1</v>
      </c>
      <c r="M64" s="105">
        <f t="shared" ca="1" si="8"/>
        <v>1029</v>
      </c>
      <c r="N64" s="217" t="e">
        <f t="shared" si="9"/>
        <v>#DIV/0!</v>
      </c>
      <c r="O64" s="80" t="e">
        <f t="shared" si="10"/>
        <v>#DIV/0!</v>
      </c>
      <c r="P64" s="104">
        <f t="shared" si="11"/>
        <v>5</v>
      </c>
      <c r="R64" s="102">
        <f t="shared" si="12"/>
        <v>0.14249999999999999</v>
      </c>
      <c r="S64" s="106">
        <f t="shared" si="13"/>
        <v>1</v>
      </c>
      <c r="T64" s="105">
        <f t="shared" ca="1" si="14"/>
        <v>1029</v>
      </c>
      <c r="U64" s="217" t="e">
        <f t="shared" si="15"/>
        <v>#DIV/0!</v>
      </c>
      <c r="V64" s="80" t="e">
        <f t="shared" si="16"/>
        <v>#DIV/0!</v>
      </c>
      <c r="W64" s="104">
        <f t="shared" si="17"/>
        <v>4.95</v>
      </c>
      <c r="X64" s="105"/>
      <c r="Y64" s="102">
        <f t="shared" si="18"/>
        <v>2.2499999999999999E-2</v>
      </c>
      <c r="Z64" s="106">
        <f t="shared" si="19"/>
        <v>1</v>
      </c>
      <c r="AA64" s="105">
        <f t="shared" ca="1" si="20"/>
        <v>1029</v>
      </c>
      <c r="AB64" s="80" t="e">
        <f t="shared" si="21"/>
        <v>#DIV/0!</v>
      </c>
      <c r="AC64" s="80" t="e">
        <f t="shared" si="22"/>
        <v>#DIV/0!</v>
      </c>
      <c r="AD64" s="104">
        <f t="shared" si="23"/>
        <v>3.98</v>
      </c>
      <c r="AF64" s="105">
        <f t="shared" ca="1" si="52"/>
        <v>1029</v>
      </c>
      <c r="AG64" s="105">
        <f t="shared" ca="1" si="53"/>
        <v>1028</v>
      </c>
      <c r="AH64" s="80">
        <f t="shared" si="24"/>
        <v>6.9098977225039007E-2</v>
      </c>
      <c r="AI64" s="182">
        <f t="shared" si="25"/>
        <v>31</v>
      </c>
      <c r="AL64" s="105"/>
      <c r="AM64" s="82"/>
      <c r="AN64" s="82">
        <f t="shared" si="26"/>
        <v>0</v>
      </c>
      <c r="AO64" s="82" t="e">
        <f t="shared" si="54"/>
        <v>#DIV/0!</v>
      </c>
      <c r="AP64" s="77">
        <f t="shared" si="27"/>
        <v>0</v>
      </c>
      <c r="AQ64" s="108">
        <f t="shared" si="28"/>
        <v>0</v>
      </c>
      <c r="AR64" s="107">
        <f t="shared" si="29"/>
        <v>0</v>
      </c>
      <c r="AS64" s="107">
        <f t="shared" si="55"/>
        <v>0</v>
      </c>
      <c r="AT64" s="107">
        <f t="shared" si="30"/>
        <v>0</v>
      </c>
      <c r="AU64" s="109">
        <f t="shared" si="56"/>
        <v>0</v>
      </c>
      <c r="AV64" s="109">
        <f t="shared" si="57"/>
        <v>0</v>
      </c>
      <c r="AW64" s="109">
        <f t="shared" si="58"/>
        <v>0</v>
      </c>
      <c r="AY64" s="82">
        <f t="shared" si="31"/>
        <v>0</v>
      </c>
      <c r="AZ64" s="82" t="e">
        <f t="shared" si="59"/>
        <v>#DIV/0!</v>
      </c>
      <c r="BA64" s="77">
        <f t="shared" si="32"/>
        <v>0</v>
      </c>
      <c r="BB64" s="108">
        <f t="shared" si="33"/>
        <v>0</v>
      </c>
      <c r="BC64" s="107">
        <f t="shared" si="34"/>
        <v>0</v>
      </c>
      <c r="BD64" s="107">
        <f t="shared" si="35"/>
        <v>0</v>
      </c>
      <c r="BE64" s="107">
        <f t="shared" si="36"/>
        <v>0</v>
      </c>
      <c r="BF64" s="109">
        <f t="shared" si="60"/>
        <v>0</v>
      </c>
      <c r="BG64" s="109">
        <f t="shared" si="61"/>
        <v>0</v>
      </c>
      <c r="BH64" s="109">
        <f t="shared" si="62"/>
        <v>0</v>
      </c>
      <c r="BJ64" s="82">
        <f t="shared" si="37"/>
        <v>0</v>
      </c>
      <c r="BK64" s="82" t="e">
        <f t="shared" si="63"/>
        <v>#DIV/0!</v>
      </c>
      <c r="BL64" s="77">
        <f t="shared" si="38"/>
        <v>0</v>
      </c>
      <c r="BM64" s="108">
        <f t="shared" si="39"/>
        <v>0</v>
      </c>
      <c r="BN64" s="107">
        <f t="shared" si="40"/>
        <v>0</v>
      </c>
      <c r="BO64" s="107">
        <f t="shared" si="41"/>
        <v>0</v>
      </c>
      <c r="BP64" s="107">
        <f t="shared" si="42"/>
        <v>0</v>
      </c>
      <c r="BQ64" s="109">
        <f t="shared" si="64"/>
        <v>0</v>
      </c>
      <c r="BR64" s="109">
        <f t="shared" si="65"/>
        <v>0</v>
      </c>
      <c r="BS64" s="109">
        <f t="shared" si="66"/>
        <v>0</v>
      </c>
      <c r="BU64" s="82">
        <f t="shared" si="43"/>
        <v>0</v>
      </c>
      <c r="BV64" s="82" t="e">
        <f t="shared" si="67"/>
        <v>#DIV/0!</v>
      </c>
      <c r="BW64" s="77">
        <f t="shared" si="44"/>
        <v>0</v>
      </c>
      <c r="BX64" s="108">
        <f t="shared" si="45"/>
        <v>0</v>
      </c>
      <c r="BY64" s="107">
        <f t="shared" si="46"/>
        <v>0</v>
      </c>
      <c r="BZ64" s="107">
        <f t="shared" si="47"/>
        <v>0</v>
      </c>
      <c r="CA64" s="107">
        <f t="shared" si="48"/>
        <v>0</v>
      </c>
      <c r="CB64" s="109">
        <f t="shared" si="68"/>
        <v>0</v>
      </c>
      <c r="CC64" s="109">
        <f t="shared" si="69"/>
        <v>0</v>
      </c>
      <c r="CD64" s="109">
        <f t="shared" si="70"/>
        <v>0</v>
      </c>
    </row>
    <row r="65" spans="1:82" x14ac:dyDescent="0.25">
      <c r="A65" s="101">
        <f t="shared" si="49"/>
        <v>37834</v>
      </c>
      <c r="B65" s="102">
        <f t="shared" si="50"/>
        <v>3.16</v>
      </c>
      <c r="C65" s="80">
        <f t="shared" si="51"/>
        <v>0.255</v>
      </c>
      <c r="D65" s="102">
        <f t="shared" si="0"/>
        <v>-0.19500000000000001</v>
      </c>
      <c r="E65" s="106">
        <f t="shared" si="1"/>
        <v>1</v>
      </c>
      <c r="F65" s="105">
        <f t="shared" ca="1" si="2"/>
        <v>1062</v>
      </c>
      <c r="G65" s="80" t="e">
        <f t="shared" si="3"/>
        <v>#DIV/0!</v>
      </c>
      <c r="H65" s="80" t="e">
        <f t="shared" si="4"/>
        <v>#DIV/0!</v>
      </c>
      <c r="I65" s="104">
        <f t="shared" si="5"/>
        <v>5</v>
      </c>
      <c r="K65" s="102">
        <f t="shared" si="6"/>
        <v>-0.19500000000000001</v>
      </c>
      <c r="L65" s="106">
        <f t="shared" si="7"/>
        <v>1</v>
      </c>
      <c r="M65" s="105">
        <f t="shared" ca="1" si="8"/>
        <v>1062</v>
      </c>
      <c r="N65" s="217" t="e">
        <f t="shared" si="9"/>
        <v>#DIV/0!</v>
      </c>
      <c r="O65" s="80" t="e">
        <f t="shared" si="10"/>
        <v>#DIV/0!</v>
      </c>
      <c r="P65" s="104">
        <f t="shared" si="11"/>
        <v>5</v>
      </c>
      <c r="R65" s="102">
        <f t="shared" si="12"/>
        <v>0.14000000000000001</v>
      </c>
      <c r="S65" s="106">
        <f t="shared" si="13"/>
        <v>1</v>
      </c>
      <c r="T65" s="105">
        <f t="shared" ca="1" si="14"/>
        <v>1062</v>
      </c>
      <c r="U65" s="217" t="e">
        <f t="shared" si="15"/>
        <v>#DIV/0!</v>
      </c>
      <c r="V65" s="80" t="e">
        <f t="shared" si="16"/>
        <v>#DIV/0!</v>
      </c>
      <c r="W65" s="104">
        <f t="shared" si="17"/>
        <v>4.95</v>
      </c>
      <c r="X65" s="105"/>
      <c r="Y65" s="102">
        <f t="shared" si="18"/>
        <v>2.5000000000000001E-2</v>
      </c>
      <c r="Z65" s="106">
        <f t="shared" si="19"/>
        <v>1</v>
      </c>
      <c r="AA65" s="105">
        <f t="shared" ca="1" si="20"/>
        <v>1062</v>
      </c>
      <c r="AB65" s="80" t="e">
        <f t="shared" si="21"/>
        <v>#DIV/0!</v>
      </c>
      <c r="AC65" s="80" t="e">
        <f t="shared" si="22"/>
        <v>#DIV/0!</v>
      </c>
      <c r="AD65" s="104">
        <f t="shared" si="23"/>
        <v>3.98</v>
      </c>
      <c r="AF65" s="105">
        <f t="shared" ca="1" si="52"/>
        <v>1062</v>
      </c>
      <c r="AG65" s="105">
        <f t="shared" ca="1" si="53"/>
        <v>1061</v>
      </c>
      <c r="AH65" s="80">
        <f t="shared" si="24"/>
        <v>6.9091668761529015E-2</v>
      </c>
      <c r="AI65" s="182">
        <f t="shared" si="25"/>
        <v>31</v>
      </c>
      <c r="AL65" s="105"/>
      <c r="AM65" s="82"/>
      <c r="AN65" s="82">
        <f t="shared" si="26"/>
        <v>0</v>
      </c>
      <c r="AO65" s="82" t="e">
        <f t="shared" si="54"/>
        <v>#DIV/0!</v>
      </c>
      <c r="AP65" s="77">
        <f t="shared" si="27"/>
        <v>0</v>
      </c>
      <c r="AQ65" s="108">
        <f t="shared" si="28"/>
        <v>0</v>
      </c>
      <c r="AR65" s="107">
        <f t="shared" si="29"/>
        <v>0</v>
      </c>
      <c r="AS65" s="107">
        <f t="shared" si="55"/>
        <v>0</v>
      </c>
      <c r="AT65" s="107">
        <f t="shared" si="30"/>
        <v>0</v>
      </c>
      <c r="AU65" s="109">
        <f t="shared" si="56"/>
        <v>0</v>
      </c>
      <c r="AV65" s="109">
        <f t="shared" si="57"/>
        <v>0</v>
      </c>
      <c r="AW65" s="109">
        <f t="shared" si="58"/>
        <v>0</v>
      </c>
      <c r="AY65" s="82">
        <f t="shared" si="31"/>
        <v>0</v>
      </c>
      <c r="AZ65" s="82" t="e">
        <f t="shared" si="59"/>
        <v>#DIV/0!</v>
      </c>
      <c r="BA65" s="77">
        <f t="shared" si="32"/>
        <v>0</v>
      </c>
      <c r="BB65" s="108">
        <f t="shared" si="33"/>
        <v>0</v>
      </c>
      <c r="BC65" s="107">
        <f t="shared" si="34"/>
        <v>0</v>
      </c>
      <c r="BD65" s="107">
        <f t="shared" si="35"/>
        <v>0</v>
      </c>
      <c r="BE65" s="107">
        <f t="shared" si="36"/>
        <v>0</v>
      </c>
      <c r="BF65" s="109">
        <f t="shared" si="60"/>
        <v>0</v>
      </c>
      <c r="BG65" s="109">
        <f t="shared" si="61"/>
        <v>0</v>
      </c>
      <c r="BH65" s="109">
        <f t="shared" si="62"/>
        <v>0</v>
      </c>
      <c r="BJ65" s="82">
        <f t="shared" si="37"/>
        <v>0</v>
      </c>
      <c r="BK65" s="82" t="e">
        <f t="shared" si="63"/>
        <v>#DIV/0!</v>
      </c>
      <c r="BL65" s="77">
        <f t="shared" si="38"/>
        <v>0</v>
      </c>
      <c r="BM65" s="108">
        <f t="shared" si="39"/>
        <v>0</v>
      </c>
      <c r="BN65" s="107">
        <f t="shared" si="40"/>
        <v>0</v>
      </c>
      <c r="BO65" s="107">
        <f t="shared" si="41"/>
        <v>0</v>
      </c>
      <c r="BP65" s="107">
        <f t="shared" si="42"/>
        <v>0</v>
      </c>
      <c r="BQ65" s="109">
        <f t="shared" si="64"/>
        <v>0</v>
      </c>
      <c r="BR65" s="109">
        <f t="shared" si="65"/>
        <v>0</v>
      </c>
      <c r="BS65" s="109">
        <f t="shared" si="66"/>
        <v>0</v>
      </c>
      <c r="BU65" s="82">
        <f t="shared" si="43"/>
        <v>0</v>
      </c>
      <c r="BV65" s="82" t="e">
        <f t="shared" si="67"/>
        <v>#DIV/0!</v>
      </c>
      <c r="BW65" s="77">
        <f t="shared" si="44"/>
        <v>0</v>
      </c>
      <c r="BX65" s="108">
        <f t="shared" si="45"/>
        <v>0</v>
      </c>
      <c r="BY65" s="107">
        <f t="shared" si="46"/>
        <v>0</v>
      </c>
      <c r="BZ65" s="107">
        <f t="shared" si="47"/>
        <v>0</v>
      </c>
      <c r="CA65" s="107">
        <f t="shared" si="48"/>
        <v>0</v>
      </c>
      <c r="CB65" s="109">
        <f t="shared" si="68"/>
        <v>0</v>
      </c>
      <c r="CC65" s="109">
        <f t="shared" si="69"/>
        <v>0</v>
      </c>
      <c r="CD65" s="109">
        <f t="shared" si="70"/>
        <v>0</v>
      </c>
    </row>
    <row r="66" spans="1:82" x14ac:dyDescent="0.25">
      <c r="A66" s="101">
        <f t="shared" si="49"/>
        <v>37865</v>
      </c>
      <c r="B66" s="102">
        <f t="shared" si="50"/>
        <v>3.15</v>
      </c>
      <c r="C66" s="80">
        <f t="shared" si="51"/>
        <v>0.255</v>
      </c>
      <c r="D66" s="102">
        <f t="shared" si="0"/>
        <v>-0.19500000000000001</v>
      </c>
      <c r="E66" s="106">
        <f t="shared" si="1"/>
        <v>1</v>
      </c>
      <c r="F66" s="105">
        <f t="shared" ca="1" si="2"/>
        <v>1091</v>
      </c>
      <c r="G66" s="80" t="e">
        <f t="shared" si="3"/>
        <v>#DIV/0!</v>
      </c>
      <c r="H66" s="80" t="e">
        <f t="shared" si="4"/>
        <v>#DIV/0!</v>
      </c>
      <c r="I66" s="104">
        <f t="shared" si="5"/>
        <v>5</v>
      </c>
      <c r="K66" s="102">
        <f t="shared" si="6"/>
        <v>-0.19500000000000001</v>
      </c>
      <c r="L66" s="106">
        <f t="shared" si="7"/>
        <v>1</v>
      </c>
      <c r="M66" s="105">
        <f t="shared" ca="1" si="8"/>
        <v>1091</v>
      </c>
      <c r="N66" s="217" t="e">
        <f t="shared" si="9"/>
        <v>#DIV/0!</v>
      </c>
      <c r="O66" s="80" t="e">
        <f t="shared" si="10"/>
        <v>#DIV/0!</v>
      </c>
      <c r="P66" s="104">
        <f t="shared" si="11"/>
        <v>5</v>
      </c>
      <c r="R66" s="102">
        <f t="shared" si="12"/>
        <v>0.13750000000000001</v>
      </c>
      <c r="S66" s="106">
        <f t="shared" si="13"/>
        <v>1</v>
      </c>
      <c r="T66" s="105">
        <f t="shared" ca="1" si="14"/>
        <v>1091</v>
      </c>
      <c r="U66" s="217" t="e">
        <f t="shared" si="15"/>
        <v>#DIV/0!</v>
      </c>
      <c r="V66" s="80" t="e">
        <f t="shared" si="16"/>
        <v>#DIV/0!</v>
      </c>
      <c r="W66" s="104">
        <f t="shared" si="17"/>
        <v>4.95</v>
      </c>
      <c r="X66" s="105"/>
      <c r="Y66" s="102">
        <f t="shared" si="18"/>
        <v>1.7500000000000002E-2</v>
      </c>
      <c r="Z66" s="106">
        <f t="shared" si="19"/>
        <v>1</v>
      </c>
      <c r="AA66" s="105">
        <f t="shared" ca="1" si="20"/>
        <v>1091</v>
      </c>
      <c r="AB66" s="80" t="e">
        <f t="shared" si="21"/>
        <v>#DIV/0!</v>
      </c>
      <c r="AC66" s="80" t="e">
        <f t="shared" si="22"/>
        <v>#DIV/0!</v>
      </c>
      <c r="AD66" s="104">
        <f t="shared" si="23"/>
        <v>3.98</v>
      </c>
      <c r="AF66" s="105">
        <f t="shared" ca="1" si="52"/>
        <v>1091</v>
      </c>
      <c r="AG66" s="105">
        <f t="shared" ca="1" si="53"/>
        <v>1090</v>
      </c>
      <c r="AH66" s="80">
        <f t="shared" si="24"/>
        <v>6.9084360298035025E-2</v>
      </c>
      <c r="AI66" s="182">
        <f t="shared" si="25"/>
        <v>30</v>
      </c>
      <c r="AL66" s="105"/>
      <c r="AM66" s="82"/>
      <c r="AN66" s="82">
        <f t="shared" si="26"/>
        <v>0</v>
      </c>
      <c r="AO66" s="82" t="e">
        <f t="shared" si="54"/>
        <v>#DIV/0!</v>
      </c>
      <c r="AP66" s="77">
        <f t="shared" si="27"/>
        <v>0</v>
      </c>
      <c r="AQ66" s="108">
        <f t="shared" si="28"/>
        <v>0</v>
      </c>
      <c r="AR66" s="107">
        <f t="shared" si="29"/>
        <v>0</v>
      </c>
      <c r="AS66" s="107">
        <f t="shared" si="55"/>
        <v>0</v>
      </c>
      <c r="AT66" s="107">
        <f t="shared" si="30"/>
        <v>0</v>
      </c>
      <c r="AU66" s="109">
        <f t="shared" si="56"/>
        <v>0</v>
      </c>
      <c r="AV66" s="109">
        <f t="shared" si="57"/>
        <v>0</v>
      </c>
      <c r="AW66" s="109">
        <f t="shared" si="58"/>
        <v>0</v>
      </c>
      <c r="AY66" s="82">
        <f t="shared" si="31"/>
        <v>0</v>
      </c>
      <c r="AZ66" s="82" t="e">
        <f t="shared" si="59"/>
        <v>#DIV/0!</v>
      </c>
      <c r="BA66" s="77">
        <f t="shared" si="32"/>
        <v>0</v>
      </c>
      <c r="BB66" s="108">
        <f t="shared" si="33"/>
        <v>0</v>
      </c>
      <c r="BC66" s="107">
        <f t="shared" si="34"/>
        <v>0</v>
      </c>
      <c r="BD66" s="107">
        <f t="shared" si="35"/>
        <v>0</v>
      </c>
      <c r="BE66" s="107">
        <f t="shared" si="36"/>
        <v>0</v>
      </c>
      <c r="BF66" s="109">
        <f t="shared" si="60"/>
        <v>0</v>
      </c>
      <c r="BG66" s="109">
        <f t="shared" si="61"/>
        <v>0</v>
      </c>
      <c r="BH66" s="109">
        <f t="shared" si="62"/>
        <v>0</v>
      </c>
      <c r="BJ66" s="82">
        <f t="shared" si="37"/>
        <v>0</v>
      </c>
      <c r="BK66" s="82" t="e">
        <f t="shared" si="63"/>
        <v>#DIV/0!</v>
      </c>
      <c r="BL66" s="77">
        <f t="shared" si="38"/>
        <v>0</v>
      </c>
      <c r="BM66" s="108">
        <f t="shared" si="39"/>
        <v>0</v>
      </c>
      <c r="BN66" s="107">
        <f t="shared" si="40"/>
        <v>0</v>
      </c>
      <c r="BO66" s="107">
        <f t="shared" si="41"/>
        <v>0</v>
      </c>
      <c r="BP66" s="107">
        <f t="shared" si="42"/>
        <v>0</v>
      </c>
      <c r="BQ66" s="109">
        <f t="shared" si="64"/>
        <v>0</v>
      </c>
      <c r="BR66" s="109">
        <f t="shared" si="65"/>
        <v>0</v>
      </c>
      <c r="BS66" s="109">
        <f t="shared" si="66"/>
        <v>0</v>
      </c>
      <c r="BU66" s="82">
        <f t="shared" si="43"/>
        <v>0</v>
      </c>
      <c r="BV66" s="82" t="e">
        <f t="shared" si="67"/>
        <v>#DIV/0!</v>
      </c>
      <c r="BW66" s="77">
        <f t="shared" si="44"/>
        <v>0</v>
      </c>
      <c r="BX66" s="108">
        <f t="shared" si="45"/>
        <v>0</v>
      </c>
      <c r="BY66" s="107">
        <f t="shared" si="46"/>
        <v>0</v>
      </c>
      <c r="BZ66" s="107">
        <f t="shared" si="47"/>
        <v>0</v>
      </c>
      <c r="CA66" s="107">
        <f t="shared" si="48"/>
        <v>0</v>
      </c>
      <c r="CB66" s="109">
        <f t="shared" si="68"/>
        <v>0</v>
      </c>
      <c r="CC66" s="109">
        <f t="shared" si="69"/>
        <v>0</v>
      </c>
      <c r="CD66" s="109">
        <f t="shared" si="70"/>
        <v>0</v>
      </c>
    </row>
    <row r="67" spans="1:82" x14ac:dyDescent="0.25">
      <c r="A67" s="101">
        <f t="shared" si="49"/>
        <v>37895</v>
      </c>
      <c r="B67" s="102">
        <f t="shared" si="50"/>
        <v>3.1549999999999998</v>
      </c>
      <c r="C67" s="80">
        <f t="shared" si="51"/>
        <v>0.255</v>
      </c>
      <c r="D67" s="102">
        <f t="shared" si="0"/>
        <v>-0.19500000000000001</v>
      </c>
      <c r="E67" s="106">
        <f t="shared" si="1"/>
        <v>1</v>
      </c>
      <c r="F67" s="105">
        <f t="shared" ca="1" si="2"/>
        <v>1121</v>
      </c>
      <c r="G67" s="80" t="e">
        <f t="shared" si="3"/>
        <v>#DIV/0!</v>
      </c>
      <c r="H67" s="80" t="e">
        <f t="shared" si="4"/>
        <v>#DIV/0!</v>
      </c>
      <c r="I67" s="104">
        <f t="shared" si="5"/>
        <v>5</v>
      </c>
      <c r="K67" s="102">
        <f t="shared" si="6"/>
        <v>-0.19500000000000001</v>
      </c>
      <c r="L67" s="106">
        <f t="shared" si="7"/>
        <v>1</v>
      </c>
      <c r="M67" s="105">
        <f t="shared" ca="1" si="8"/>
        <v>1121</v>
      </c>
      <c r="N67" s="217" t="e">
        <f t="shared" si="9"/>
        <v>#DIV/0!</v>
      </c>
      <c r="O67" s="80" t="e">
        <f t="shared" si="10"/>
        <v>#DIV/0!</v>
      </c>
      <c r="P67" s="104">
        <f t="shared" si="11"/>
        <v>5</v>
      </c>
      <c r="R67" s="102">
        <f t="shared" si="12"/>
        <v>0.1525</v>
      </c>
      <c r="S67" s="106">
        <f t="shared" si="13"/>
        <v>1</v>
      </c>
      <c r="T67" s="105">
        <f t="shared" ca="1" si="14"/>
        <v>1121</v>
      </c>
      <c r="U67" s="217" t="e">
        <f t="shared" si="15"/>
        <v>#DIV/0!</v>
      </c>
      <c r="V67" s="80" t="e">
        <f t="shared" si="16"/>
        <v>#DIV/0!</v>
      </c>
      <c r="W67" s="104">
        <f t="shared" si="17"/>
        <v>4.95</v>
      </c>
      <c r="X67" s="105"/>
      <c r="Y67" s="102">
        <f t="shared" si="18"/>
        <v>7.4999999999999997E-3</v>
      </c>
      <c r="Z67" s="106">
        <f t="shared" si="19"/>
        <v>1</v>
      </c>
      <c r="AA67" s="105">
        <f t="shared" ca="1" si="20"/>
        <v>1121</v>
      </c>
      <c r="AB67" s="80" t="e">
        <f t="shared" si="21"/>
        <v>#DIV/0!</v>
      </c>
      <c r="AC67" s="80" t="e">
        <f t="shared" si="22"/>
        <v>#DIV/0!</v>
      </c>
      <c r="AD67" s="104">
        <f t="shared" si="23"/>
        <v>3.98</v>
      </c>
      <c r="AF67" s="105">
        <f t="shared" ca="1" si="52"/>
        <v>1121</v>
      </c>
      <c r="AG67" s="105">
        <f t="shared" ca="1" si="53"/>
        <v>1120</v>
      </c>
      <c r="AH67" s="80">
        <f t="shared" si="24"/>
        <v>6.9077020617554011E-2</v>
      </c>
      <c r="AI67" s="182">
        <f t="shared" si="25"/>
        <v>31</v>
      </c>
      <c r="AL67" s="105"/>
      <c r="AM67" s="82"/>
      <c r="AN67" s="82">
        <f t="shared" si="26"/>
        <v>0</v>
      </c>
      <c r="AO67" s="82" t="e">
        <f t="shared" si="54"/>
        <v>#DIV/0!</v>
      </c>
      <c r="AP67" s="77">
        <f t="shared" si="27"/>
        <v>0</v>
      </c>
      <c r="AQ67" s="108">
        <f t="shared" si="28"/>
        <v>0</v>
      </c>
      <c r="AR67" s="107">
        <f t="shared" si="29"/>
        <v>0</v>
      </c>
      <c r="AS67" s="107">
        <f t="shared" si="55"/>
        <v>0</v>
      </c>
      <c r="AT67" s="107">
        <f t="shared" si="30"/>
        <v>0</v>
      </c>
      <c r="AU67" s="109">
        <f t="shared" si="56"/>
        <v>0</v>
      </c>
      <c r="AV67" s="109">
        <f t="shared" si="57"/>
        <v>0</v>
      </c>
      <c r="AW67" s="109">
        <f t="shared" si="58"/>
        <v>0</v>
      </c>
      <c r="AY67" s="82">
        <f t="shared" si="31"/>
        <v>0</v>
      </c>
      <c r="AZ67" s="82" t="e">
        <f t="shared" si="59"/>
        <v>#DIV/0!</v>
      </c>
      <c r="BA67" s="77">
        <f t="shared" si="32"/>
        <v>0</v>
      </c>
      <c r="BB67" s="108">
        <f t="shared" si="33"/>
        <v>0</v>
      </c>
      <c r="BC67" s="107">
        <f t="shared" si="34"/>
        <v>0</v>
      </c>
      <c r="BD67" s="107">
        <f t="shared" si="35"/>
        <v>0</v>
      </c>
      <c r="BE67" s="107">
        <f t="shared" si="36"/>
        <v>0</v>
      </c>
      <c r="BF67" s="109">
        <f t="shared" si="60"/>
        <v>0</v>
      </c>
      <c r="BG67" s="109">
        <f t="shared" si="61"/>
        <v>0</v>
      </c>
      <c r="BH67" s="109">
        <f t="shared" si="62"/>
        <v>0</v>
      </c>
      <c r="BJ67" s="82">
        <f t="shared" si="37"/>
        <v>0</v>
      </c>
      <c r="BK67" s="82" t="e">
        <f t="shared" si="63"/>
        <v>#DIV/0!</v>
      </c>
      <c r="BL67" s="77">
        <f t="shared" si="38"/>
        <v>0</v>
      </c>
      <c r="BM67" s="108">
        <f t="shared" si="39"/>
        <v>0</v>
      </c>
      <c r="BN67" s="107">
        <f t="shared" si="40"/>
        <v>0</v>
      </c>
      <c r="BO67" s="107">
        <f t="shared" si="41"/>
        <v>0</v>
      </c>
      <c r="BP67" s="107">
        <f t="shared" si="42"/>
        <v>0</v>
      </c>
      <c r="BQ67" s="109">
        <f t="shared" si="64"/>
        <v>0</v>
      </c>
      <c r="BR67" s="109">
        <f t="shared" si="65"/>
        <v>0</v>
      </c>
      <c r="BS67" s="109">
        <f t="shared" si="66"/>
        <v>0</v>
      </c>
      <c r="BU67" s="82">
        <f t="shared" si="43"/>
        <v>0</v>
      </c>
      <c r="BV67" s="82" t="e">
        <f t="shared" si="67"/>
        <v>#DIV/0!</v>
      </c>
      <c r="BW67" s="77">
        <f t="shared" si="44"/>
        <v>0</v>
      </c>
      <c r="BX67" s="108">
        <f t="shared" si="45"/>
        <v>0</v>
      </c>
      <c r="BY67" s="107">
        <f t="shared" si="46"/>
        <v>0</v>
      </c>
      <c r="BZ67" s="107">
        <f t="shared" si="47"/>
        <v>0</v>
      </c>
      <c r="CA67" s="107">
        <f t="shared" si="48"/>
        <v>0</v>
      </c>
      <c r="CB67" s="109">
        <f t="shared" si="68"/>
        <v>0</v>
      </c>
      <c r="CC67" s="109">
        <f t="shared" si="69"/>
        <v>0</v>
      </c>
      <c r="CD67" s="109">
        <f t="shared" si="70"/>
        <v>0</v>
      </c>
    </row>
    <row r="68" spans="1:82" x14ac:dyDescent="0.25">
      <c r="A68" s="101">
        <f t="shared" si="49"/>
        <v>37926</v>
      </c>
      <c r="B68" s="102">
        <f t="shared" si="50"/>
        <v>3.2469999999999999</v>
      </c>
      <c r="C68" s="80">
        <f t="shared" si="51"/>
        <v>0.26500000000000001</v>
      </c>
      <c r="D68" s="102">
        <f t="shared" si="0"/>
        <v>-0.17499999999999999</v>
      </c>
      <c r="E68" s="106">
        <f t="shared" si="1"/>
        <v>1</v>
      </c>
      <c r="F68" s="105">
        <f t="shared" ca="1" si="2"/>
        <v>1154</v>
      </c>
      <c r="G68" s="80" t="e">
        <f t="shared" si="3"/>
        <v>#DIV/0!</v>
      </c>
      <c r="H68" s="80" t="e">
        <f t="shared" si="4"/>
        <v>#DIV/0!</v>
      </c>
      <c r="I68" s="104">
        <f t="shared" si="5"/>
        <v>5</v>
      </c>
      <c r="K68" s="102">
        <f t="shared" si="6"/>
        <v>-0.17499999999999999</v>
      </c>
      <c r="L68" s="106">
        <f t="shared" si="7"/>
        <v>1</v>
      </c>
      <c r="M68" s="105">
        <f t="shared" ca="1" si="8"/>
        <v>1154</v>
      </c>
      <c r="N68" s="217" t="e">
        <f t="shared" si="9"/>
        <v>#DIV/0!</v>
      </c>
      <c r="O68" s="80" t="e">
        <f t="shared" si="10"/>
        <v>#DIV/0!</v>
      </c>
      <c r="P68" s="104">
        <f t="shared" si="11"/>
        <v>5</v>
      </c>
      <c r="R68" s="102">
        <f t="shared" si="12"/>
        <v>0.20250000000000001</v>
      </c>
      <c r="S68" s="106">
        <f t="shared" si="13"/>
        <v>1</v>
      </c>
      <c r="T68" s="105">
        <f t="shared" ca="1" si="14"/>
        <v>1154</v>
      </c>
      <c r="U68" s="217" t="e">
        <f t="shared" si="15"/>
        <v>#DIV/0!</v>
      </c>
      <c r="V68" s="80" t="e">
        <f t="shared" si="16"/>
        <v>#DIV/0!</v>
      </c>
      <c r="W68" s="104">
        <f t="shared" si="17"/>
        <v>4.95</v>
      </c>
      <c r="X68" s="105"/>
      <c r="Y68" s="102">
        <f t="shared" si="18"/>
        <v>-3.2500000000000001E-2</v>
      </c>
      <c r="Z68" s="106">
        <f t="shared" si="19"/>
        <v>1</v>
      </c>
      <c r="AA68" s="105">
        <f t="shared" ca="1" si="20"/>
        <v>1154</v>
      </c>
      <c r="AB68" s="80" t="e">
        <f t="shared" si="21"/>
        <v>#DIV/0!</v>
      </c>
      <c r="AC68" s="80" t="e">
        <f t="shared" si="22"/>
        <v>#DIV/0!</v>
      </c>
      <c r="AD68" s="104">
        <f t="shared" si="23"/>
        <v>3.98</v>
      </c>
      <c r="AF68" s="105">
        <f t="shared" ca="1" si="52"/>
        <v>1154</v>
      </c>
      <c r="AG68" s="105">
        <f t="shared" ca="1" si="53"/>
        <v>1153</v>
      </c>
      <c r="AH68" s="80">
        <f t="shared" si="24"/>
        <v>6.9069100944941009E-2</v>
      </c>
      <c r="AI68" s="182">
        <f t="shared" si="25"/>
        <v>30</v>
      </c>
      <c r="AL68" s="105"/>
      <c r="AM68" s="82"/>
      <c r="AN68" s="82">
        <f t="shared" si="26"/>
        <v>0</v>
      </c>
      <c r="AO68" s="82" t="e">
        <f t="shared" si="54"/>
        <v>#DIV/0!</v>
      </c>
      <c r="AP68" s="77">
        <f t="shared" si="27"/>
        <v>0</v>
      </c>
      <c r="AQ68" s="108">
        <f t="shared" si="28"/>
        <v>0</v>
      </c>
      <c r="AR68" s="107">
        <f t="shared" si="29"/>
        <v>0</v>
      </c>
      <c r="AS68" s="107">
        <f t="shared" si="55"/>
        <v>0</v>
      </c>
      <c r="AT68" s="107">
        <f t="shared" si="30"/>
        <v>0</v>
      </c>
      <c r="AU68" s="109">
        <f t="shared" si="56"/>
        <v>0</v>
      </c>
      <c r="AV68" s="109">
        <f t="shared" si="57"/>
        <v>0</v>
      </c>
      <c r="AW68" s="109">
        <f t="shared" si="58"/>
        <v>0</v>
      </c>
      <c r="AY68" s="82">
        <f t="shared" si="31"/>
        <v>0</v>
      </c>
      <c r="AZ68" s="82" t="e">
        <f t="shared" si="59"/>
        <v>#DIV/0!</v>
      </c>
      <c r="BA68" s="77">
        <f t="shared" si="32"/>
        <v>0</v>
      </c>
      <c r="BB68" s="108">
        <f t="shared" si="33"/>
        <v>0</v>
      </c>
      <c r="BC68" s="107">
        <f t="shared" si="34"/>
        <v>0</v>
      </c>
      <c r="BD68" s="107">
        <f t="shared" si="35"/>
        <v>0</v>
      </c>
      <c r="BE68" s="107">
        <f t="shared" si="36"/>
        <v>0</v>
      </c>
      <c r="BF68" s="109">
        <f t="shared" si="60"/>
        <v>0</v>
      </c>
      <c r="BG68" s="109">
        <f t="shared" si="61"/>
        <v>0</v>
      </c>
      <c r="BH68" s="109">
        <f t="shared" si="62"/>
        <v>0</v>
      </c>
      <c r="BJ68" s="82">
        <f t="shared" si="37"/>
        <v>0</v>
      </c>
      <c r="BK68" s="82" t="e">
        <f t="shared" si="63"/>
        <v>#DIV/0!</v>
      </c>
      <c r="BL68" s="77">
        <f t="shared" si="38"/>
        <v>0</v>
      </c>
      <c r="BM68" s="108">
        <f t="shared" si="39"/>
        <v>0</v>
      </c>
      <c r="BN68" s="107">
        <f t="shared" si="40"/>
        <v>0</v>
      </c>
      <c r="BO68" s="107">
        <f t="shared" si="41"/>
        <v>0</v>
      </c>
      <c r="BP68" s="107">
        <f t="shared" si="42"/>
        <v>0</v>
      </c>
      <c r="BQ68" s="109">
        <f t="shared" si="64"/>
        <v>0</v>
      </c>
      <c r="BR68" s="109">
        <f t="shared" si="65"/>
        <v>0</v>
      </c>
      <c r="BS68" s="109">
        <f t="shared" si="66"/>
        <v>0</v>
      </c>
      <c r="BU68" s="82">
        <f t="shared" si="43"/>
        <v>0</v>
      </c>
      <c r="BV68" s="82" t="e">
        <f t="shared" si="67"/>
        <v>#DIV/0!</v>
      </c>
      <c r="BW68" s="77">
        <f t="shared" si="44"/>
        <v>0</v>
      </c>
      <c r="BX68" s="108">
        <f t="shared" si="45"/>
        <v>0</v>
      </c>
      <c r="BY68" s="107">
        <f t="shared" si="46"/>
        <v>0</v>
      </c>
      <c r="BZ68" s="107">
        <f t="shared" si="47"/>
        <v>0</v>
      </c>
      <c r="CA68" s="107">
        <f t="shared" si="48"/>
        <v>0</v>
      </c>
      <c r="CB68" s="109">
        <f t="shared" si="68"/>
        <v>0</v>
      </c>
      <c r="CC68" s="109">
        <f t="shared" si="69"/>
        <v>0</v>
      </c>
      <c r="CD68" s="109">
        <f t="shared" si="70"/>
        <v>0</v>
      </c>
    </row>
    <row r="69" spans="1:82" x14ac:dyDescent="0.25">
      <c r="A69" s="101">
        <f t="shared" si="49"/>
        <v>37956</v>
      </c>
      <c r="B69" s="102">
        <f t="shared" si="50"/>
        <v>3.3290000000000006</v>
      </c>
      <c r="C69" s="80">
        <f t="shared" si="51"/>
        <v>0.27</v>
      </c>
      <c r="D69" s="102">
        <f t="shared" si="0"/>
        <v>-0.17499999999999999</v>
      </c>
      <c r="E69" s="106">
        <f t="shared" si="1"/>
        <v>1</v>
      </c>
      <c r="F69" s="105">
        <f t="shared" ca="1" si="2"/>
        <v>1181</v>
      </c>
      <c r="G69" s="80" t="e">
        <f t="shared" si="3"/>
        <v>#DIV/0!</v>
      </c>
      <c r="H69" s="80" t="e">
        <f t="shared" si="4"/>
        <v>#DIV/0!</v>
      </c>
      <c r="I69" s="104">
        <f t="shared" si="5"/>
        <v>5</v>
      </c>
      <c r="K69" s="102">
        <f t="shared" si="6"/>
        <v>-0.17499999999999999</v>
      </c>
      <c r="L69" s="106">
        <f t="shared" si="7"/>
        <v>1</v>
      </c>
      <c r="M69" s="105">
        <f t="shared" ca="1" si="8"/>
        <v>1181</v>
      </c>
      <c r="N69" s="217" t="e">
        <f t="shared" si="9"/>
        <v>#DIV/0!</v>
      </c>
      <c r="O69" s="80" t="e">
        <f t="shared" si="10"/>
        <v>#DIV/0!</v>
      </c>
      <c r="P69" s="104">
        <f t="shared" si="11"/>
        <v>5</v>
      </c>
      <c r="R69" s="102">
        <f t="shared" si="12"/>
        <v>0.24249999999999999</v>
      </c>
      <c r="S69" s="106">
        <f t="shared" si="13"/>
        <v>1</v>
      </c>
      <c r="T69" s="105">
        <f t="shared" ca="1" si="14"/>
        <v>1181</v>
      </c>
      <c r="U69" s="217" t="e">
        <f t="shared" si="15"/>
        <v>#DIV/0!</v>
      </c>
      <c r="V69" s="80" t="e">
        <f t="shared" si="16"/>
        <v>#DIV/0!</v>
      </c>
      <c r="W69" s="104">
        <f t="shared" si="17"/>
        <v>4.95</v>
      </c>
      <c r="X69" s="105"/>
      <c r="Y69" s="102">
        <f t="shared" si="18"/>
        <v>-5.5E-2</v>
      </c>
      <c r="Z69" s="106">
        <f t="shared" si="19"/>
        <v>1</v>
      </c>
      <c r="AA69" s="105">
        <f t="shared" ca="1" si="20"/>
        <v>1181</v>
      </c>
      <c r="AB69" s="80" t="e">
        <f t="shared" si="21"/>
        <v>#DIV/0!</v>
      </c>
      <c r="AC69" s="80" t="e">
        <f t="shared" si="22"/>
        <v>#DIV/0!</v>
      </c>
      <c r="AD69" s="104">
        <f t="shared" si="23"/>
        <v>3.98</v>
      </c>
      <c r="AF69" s="105">
        <f t="shared" ca="1" si="52"/>
        <v>1181</v>
      </c>
      <c r="AG69" s="105">
        <f t="shared" ca="1" si="53"/>
        <v>1180</v>
      </c>
      <c r="AH69" s="80">
        <f t="shared" si="24"/>
        <v>6.9061436745656998E-2</v>
      </c>
      <c r="AI69" s="182">
        <f t="shared" si="25"/>
        <v>31</v>
      </c>
      <c r="AL69" s="105"/>
      <c r="AM69" s="82"/>
      <c r="AN69" s="82">
        <f t="shared" si="26"/>
        <v>0</v>
      </c>
      <c r="AO69" s="82" t="e">
        <f t="shared" si="54"/>
        <v>#DIV/0!</v>
      </c>
      <c r="AP69" s="77">
        <f t="shared" si="27"/>
        <v>0</v>
      </c>
      <c r="AQ69" s="108">
        <f t="shared" si="28"/>
        <v>0</v>
      </c>
      <c r="AR69" s="107">
        <f t="shared" si="29"/>
        <v>0</v>
      </c>
      <c r="AS69" s="107">
        <f t="shared" si="55"/>
        <v>0</v>
      </c>
      <c r="AT69" s="107">
        <f t="shared" si="30"/>
        <v>0</v>
      </c>
      <c r="AU69" s="109">
        <f t="shared" si="56"/>
        <v>0</v>
      </c>
      <c r="AV69" s="109">
        <f t="shared" si="57"/>
        <v>0</v>
      </c>
      <c r="AW69" s="109">
        <f t="shared" si="58"/>
        <v>0</v>
      </c>
      <c r="AY69" s="82">
        <f t="shared" si="31"/>
        <v>0</v>
      </c>
      <c r="AZ69" s="82" t="e">
        <f t="shared" si="59"/>
        <v>#DIV/0!</v>
      </c>
      <c r="BA69" s="77">
        <f t="shared" si="32"/>
        <v>0</v>
      </c>
      <c r="BB69" s="108">
        <f t="shared" si="33"/>
        <v>0</v>
      </c>
      <c r="BC69" s="107">
        <f t="shared" si="34"/>
        <v>0</v>
      </c>
      <c r="BD69" s="107">
        <f t="shared" si="35"/>
        <v>0</v>
      </c>
      <c r="BE69" s="107">
        <f t="shared" si="36"/>
        <v>0</v>
      </c>
      <c r="BF69" s="109">
        <f t="shared" si="60"/>
        <v>0</v>
      </c>
      <c r="BG69" s="109">
        <f t="shared" si="61"/>
        <v>0</v>
      </c>
      <c r="BH69" s="109">
        <f t="shared" si="62"/>
        <v>0</v>
      </c>
      <c r="BJ69" s="82">
        <f t="shared" si="37"/>
        <v>0</v>
      </c>
      <c r="BK69" s="82" t="e">
        <f t="shared" si="63"/>
        <v>#DIV/0!</v>
      </c>
      <c r="BL69" s="77">
        <f t="shared" si="38"/>
        <v>0</v>
      </c>
      <c r="BM69" s="108">
        <f t="shared" si="39"/>
        <v>0</v>
      </c>
      <c r="BN69" s="107">
        <f t="shared" si="40"/>
        <v>0</v>
      </c>
      <c r="BO69" s="107">
        <f t="shared" si="41"/>
        <v>0</v>
      </c>
      <c r="BP69" s="107">
        <f t="shared" si="42"/>
        <v>0</v>
      </c>
      <c r="BQ69" s="109">
        <f t="shared" si="64"/>
        <v>0</v>
      </c>
      <c r="BR69" s="109">
        <f t="shared" si="65"/>
        <v>0</v>
      </c>
      <c r="BS69" s="109">
        <f t="shared" si="66"/>
        <v>0</v>
      </c>
      <c r="BU69" s="82">
        <f t="shared" si="43"/>
        <v>0</v>
      </c>
      <c r="BV69" s="82" t="e">
        <f t="shared" si="67"/>
        <v>#DIV/0!</v>
      </c>
      <c r="BW69" s="77">
        <f t="shared" si="44"/>
        <v>0</v>
      </c>
      <c r="BX69" s="108">
        <f t="shared" si="45"/>
        <v>0</v>
      </c>
      <c r="BY69" s="107">
        <f t="shared" si="46"/>
        <v>0</v>
      </c>
      <c r="BZ69" s="107">
        <f t="shared" si="47"/>
        <v>0</v>
      </c>
      <c r="CA69" s="107">
        <f t="shared" si="48"/>
        <v>0</v>
      </c>
      <c r="CB69" s="109">
        <f t="shared" si="68"/>
        <v>0</v>
      </c>
      <c r="CC69" s="109">
        <f t="shared" si="69"/>
        <v>0</v>
      </c>
      <c r="CD69" s="109">
        <f t="shared" si="70"/>
        <v>0</v>
      </c>
    </row>
    <row r="70" spans="1:82" x14ac:dyDescent="0.25">
      <c r="A70" s="101">
        <f t="shared" si="49"/>
        <v>37987</v>
      </c>
      <c r="B70" s="102">
        <f t="shared" si="50"/>
        <v>3.4740000000000002</v>
      </c>
      <c r="C70" s="80">
        <f t="shared" si="51"/>
        <v>0.28749999999999998</v>
      </c>
      <c r="D70" s="102">
        <f t="shared" si="0"/>
        <v>-0.17499999999999999</v>
      </c>
      <c r="E70" s="106">
        <f t="shared" si="1"/>
        <v>1</v>
      </c>
      <c r="F70" s="105">
        <f t="shared" ca="1" si="2"/>
        <v>1215</v>
      </c>
      <c r="G70" s="80" t="e">
        <f t="shared" si="3"/>
        <v>#DIV/0!</v>
      </c>
      <c r="H70" s="80" t="e">
        <f t="shared" si="4"/>
        <v>#DIV/0!</v>
      </c>
      <c r="I70" s="104">
        <f t="shared" si="5"/>
        <v>5</v>
      </c>
      <c r="K70" s="102">
        <f t="shared" si="6"/>
        <v>-0.17499999999999999</v>
      </c>
      <c r="L70" s="106">
        <f t="shared" si="7"/>
        <v>1</v>
      </c>
      <c r="M70" s="105">
        <f t="shared" ca="1" si="8"/>
        <v>1215</v>
      </c>
      <c r="N70" s="217" t="e">
        <f t="shared" si="9"/>
        <v>#DIV/0!</v>
      </c>
      <c r="O70" s="80" t="e">
        <f t="shared" si="10"/>
        <v>#DIV/0!</v>
      </c>
      <c r="P70" s="104">
        <f t="shared" si="11"/>
        <v>5</v>
      </c>
      <c r="R70" s="102">
        <f t="shared" si="12"/>
        <v>0.27750000000000002</v>
      </c>
      <c r="S70" s="106">
        <f t="shared" si="13"/>
        <v>1</v>
      </c>
      <c r="T70" s="105">
        <f t="shared" ca="1" si="14"/>
        <v>1215</v>
      </c>
      <c r="U70" s="217" t="e">
        <f t="shared" si="15"/>
        <v>#DIV/0!</v>
      </c>
      <c r="V70" s="80" t="e">
        <f t="shared" si="16"/>
        <v>#DIV/0!</v>
      </c>
      <c r="W70" s="104">
        <f t="shared" si="17"/>
        <v>4.95</v>
      </c>
      <c r="X70" s="105"/>
      <c r="Y70" s="102">
        <f t="shared" si="18"/>
        <v>-5.7500000000000002E-2</v>
      </c>
      <c r="Z70" s="106">
        <f t="shared" si="19"/>
        <v>1</v>
      </c>
      <c r="AA70" s="105">
        <f t="shared" ca="1" si="20"/>
        <v>1215</v>
      </c>
      <c r="AB70" s="80" t="e">
        <f t="shared" si="21"/>
        <v>#DIV/0!</v>
      </c>
      <c r="AC70" s="80" t="e">
        <f t="shared" si="22"/>
        <v>#DIV/0!</v>
      </c>
      <c r="AD70" s="104">
        <f t="shared" si="23"/>
        <v>3.98</v>
      </c>
      <c r="AF70" s="105">
        <f t="shared" ca="1" si="52"/>
        <v>1215</v>
      </c>
      <c r="AG70" s="105">
        <f t="shared" ca="1" si="53"/>
        <v>1212</v>
      </c>
      <c r="AH70" s="80">
        <f t="shared" si="24"/>
        <v>6.9060876284692999E-2</v>
      </c>
      <c r="AI70" s="182">
        <f t="shared" si="25"/>
        <v>31</v>
      </c>
      <c r="AL70" s="105"/>
      <c r="AM70" s="82"/>
      <c r="AN70" s="82">
        <f t="shared" si="26"/>
        <v>0</v>
      </c>
      <c r="AO70" s="82" t="e">
        <f t="shared" si="54"/>
        <v>#DIV/0!</v>
      </c>
      <c r="AP70" s="77">
        <f t="shared" si="27"/>
        <v>0</v>
      </c>
      <c r="AQ70" s="108">
        <f t="shared" si="28"/>
        <v>0</v>
      </c>
      <c r="AR70" s="107">
        <f t="shared" si="29"/>
        <v>0</v>
      </c>
      <c r="AS70" s="107">
        <f t="shared" si="55"/>
        <v>0</v>
      </c>
      <c r="AT70" s="107">
        <f t="shared" si="30"/>
        <v>0</v>
      </c>
      <c r="AU70" s="109">
        <f t="shared" si="56"/>
        <v>0</v>
      </c>
      <c r="AV70" s="109">
        <f t="shared" si="57"/>
        <v>0</v>
      </c>
      <c r="AW70" s="109">
        <f t="shared" si="58"/>
        <v>0</v>
      </c>
      <c r="AY70" s="82">
        <f t="shared" si="31"/>
        <v>0</v>
      </c>
      <c r="AZ70" s="82" t="e">
        <f t="shared" si="59"/>
        <v>#DIV/0!</v>
      </c>
      <c r="BA70" s="77">
        <f t="shared" si="32"/>
        <v>0</v>
      </c>
      <c r="BB70" s="108">
        <f t="shared" si="33"/>
        <v>0</v>
      </c>
      <c r="BC70" s="107">
        <f t="shared" si="34"/>
        <v>0</v>
      </c>
      <c r="BD70" s="107">
        <f t="shared" si="35"/>
        <v>0</v>
      </c>
      <c r="BE70" s="107">
        <f t="shared" si="36"/>
        <v>0</v>
      </c>
      <c r="BF70" s="109">
        <f t="shared" si="60"/>
        <v>0</v>
      </c>
      <c r="BG70" s="109">
        <f t="shared" si="61"/>
        <v>0</v>
      </c>
      <c r="BH70" s="109">
        <f t="shared" si="62"/>
        <v>0</v>
      </c>
      <c r="BJ70" s="82">
        <f t="shared" si="37"/>
        <v>0</v>
      </c>
      <c r="BK70" s="82" t="e">
        <f t="shared" si="63"/>
        <v>#DIV/0!</v>
      </c>
      <c r="BL70" s="77">
        <f t="shared" si="38"/>
        <v>0</v>
      </c>
      <c r="BM70" s="108">
        <f t="shared" si="39"/>
        <v>0</v>
      </c>
      <c r="BN70" s="107">
        <f t="shared" si="40"/>
        <v>0</v>
      </c>
      <c r="BO70" s="107">
        <f t="shared" si="41"/>
        <v>0</v>
      </c>
      <c r="BP70" s="107">
        <f t="shared" si="42"/>
        <v>0</v>
      </c>
      <c r="BQ70" s="109">
        <f t="shared" si="64"/>
        <v>0</v>
      </c>
      <c r="BR70" s="109">
        <f t="shared" si="65"/>
        <v>0</v>
      </c>
      <c r="BS70" s="109">
        <f t="shared" si="66"/>
        <v>0</v>
      </c>
      <c r="BU70" s="82">
        <f t="shared" si="43"/>
        <v>0</v>
      </c>
      <c r="BV70" s="82" t="e">
        <f t="shared" si="67"/>
        <v>#DIV/0!</v>
      </c>
      <c r="BW70" s="77">
        <f t="shared" si="44"/>
        <v>0</v>
      </c>
      <c r="BX70" s="108">
        <f t="shared" si="45"/>
        <v>0</v>
      </c>
      <c r="BY70" s="107">
        <f t="shared" si="46"/>
        <v>0</v>
      </c>
      <c r="BZ70" s="107">
        <f t="shared" si="47"/>
        <v>0</v>
      </c>
      <c r="CA70" s="107">
        <f t="shared" si="48"/>
        <v>0</v>
      </c>
      <c r="CB70" s="109">
        <f t="shared" si="68"/>
        <v>0</v>
      </c>
      <c r="CC70" s="109">
        <f t="shared" si="69"/>
        <v>0</v>
      </c>
      <c r="CD70" s="109">
        <f t="shared" si="70"/>
        <v>0</v>
      </c>
    </row>
    <row r="71" spans="1:82" x14ac:dyDescent="0.25">
      <c r="A71" s="101">
        <f t="shared" si="49"/>
        <v>38018</v>
      </c>
      <c r="B71" s="102">
        <f t="shared" si="50"/>
        <v>3.3360000000000003</v>
      </c>
      <c r="C71" s="80">
        <f t="shared" si="51"/>
        <v>0.27500000000000002</v>
      </c>
      <c r="D71" s="102">
        <f t="shared" si="0"/>
        <v>-0.17499999999999999</v>
      </c>
      <c r="E71" s="106">
        <f t="shared" si="1"/>
        <v>1</v>
      </c>
      <c r="F71" s="105">
        <f t="shared" ca="1" si="2"/>
        <v>1245</v>
      </c>
      <c r="G71" s="80" t="e">
        <f t="shared" si="3"/>
        <v>#DIV/0!</v>
      </c>
      <c r="H71" s="80" t="e">
        <f t="shared" si="4"/>
        <v>#DIV/0!</v>
      </c>
      <c r="I71" s="104">
        <f t="shared" si="5"/>
        <v>5</v>
      </c>
      <c r="K71" s="102">
        <f t="shared" si="6"/>
        <v>-0.17499999999999999</v>
      </c>
      <c r="L71" s="106">
        <f t="shared" si="7"/>
        <v>1</v>
      </c>
      <c r="M71" s="105">
        <f t="shared" ca="1" si="8"/>
        <v>1245</v>
      </c>
      <c r="N71" s="217" t="e">
        <f t="shared" si="9"/>
        <v>#DIV/0!</v>
      </c>
      <c r="O71" s="80" t="e">
        <f t="shared" si="10"/>
        <v>#DIV/0!</v>
      </c>
      <c r="P71" s="104">
        <f t="shared" si="11"/>
        <v>5</v>
      </c>
      <c r="R71" s="102">
        <f t="shared" si="12"/>
        <v>0.2525</v>
      </c>
      <c r="S71" s="106">
        <f t="shared" si="13"/>
        <v>1</v>
      </c>
      <c r="T71" s="105">
        <f t="shared" ca="1" si="14"/>
        <v>1245</v>
      </c>
      <c r="U71" s="217" t="e">
        <f t="shared" si="15"/>
        <v>#DIV/0!</v>
      </c>
      <c r="V71" s="80" t="e">
        <f t="shared" si="16"/>
        <v>#DIV/0!</v>
      </c>
      <c r="W71" s="104">
        <f t="shared" si="17"/>
        <v>4.95</v>
      </c>
      <c r="X71" s="105"/>
      <c r="Y71" s="102">
        <f t="shared" si="18"/>
        <v>-0.04</v>
      </c>
      <c r="Z71" s="106">
        <f t="shared" si="19"/>
        <v>1</v>
      </c>
      <c r="AA71" s="105">
        <f t="shared" ca="1" si="20"/>
        <v>1245</v>
      </c>
      <c r="AB71" s="80" t="e">
        <f t="shared" si="21"/>
        <v>#DIV/0!</v>
      </c>
      <c r="AC71" s="80" t="e">
        <f t="shared" si="22"/>
        <v>#DIV/0!</v>
      </c>
      <c r="AD71" s="104">
        <f t="shared" si="23"/>
        <v>3.98</v>
      </c>
      <c r="AF71" s="105">
        <f t="shared" ca="1" si="52"/>
        <v>1245</v>
      </c>
      <c r="AG71" s="105">
        <f t="shared" ca="1" si="53"/>
        <v>1244</v>
      </c>
      <c r="AH71" s="80">
        <f t="shared" si="24"/>
        <v>6.9068165649462027E-2</v>
      </c>
      <c r="AI71" s="182">
        <f t="shared" si="25"/>
        <v>29</v>
      </c>
      <c r="AL71" s="105"/>
      <c r="AM71" s="82"/>
      <c r="AN71" s="82">
        <f t="shared" si="26"/>
        <v>0</v>
      </c>
      <c r="AO71" s="82" t="e">
        <f t="shared" si="54"/>
        <v>#DIV/0!</v>
      </c>
      <c r="AP71" s="77">
        <f t="shared" si="27"/>
        <v>0</v>
      </c>
      <c r="AQ71" s="108">
        <f t="shared" si="28"/>
        <v>0</v>
      </c>
      <c r="AR71" s="107">
        <f t="shared" si="29"/>
        <v>0</v>
      </c>
      <c r="AS71" s="107">
        <f t="shared" si="55"/>
        <v>0</v>
      </c>
      <c r="AT71" s="107">
        <f t="shared" si="30"/>
        <v>0</v>
      </c>
      <c r="AU71" s="109">
        <f t="shared" si="56"/>
        <v>0</v>
      </c>
      <c r="AV71" s="109">
        <f t="shared" si="57"/>
        <v>0</v>
      </c>
      <c r="AW71" s="109">
        <f t="shared" si="58"/>
        <v>0</v>
      </c>
      <c r="AY71" s="82">
        <f t="shared" si="31"/>
        <v>0</v>
      </c>
      <c r="AZ71" s="82" t="e">
        <f t="shared" si="59"/>
        <v>#DIV/0!</v>
      </c>
      <c r="BA71" s="77">
        <f t="shared" si="32"/>
        <v>0</v>
      </c>
      <c r="BB71" s="108">
        <f t="shared" si="33"/>
        <v>0</v>
      </c>
      <c r="BC71" s="107">
        <f t="shared" si="34"/>
        <v>0</v>
      </c>
      <c r="BD71" s="107">
        <f t="shared" si="35"/>
        <v>0</v>
      </c>
      <c r="BE71" s="107">
        <f t="shared" si="36"/>
        <v>0</v>
      </c>
      <c r="BF71" s="109">
        <f t="shared" si="60"/>
        <v>0</v>
      </c>
      <c r="BG71" s="109">
        <f t="shared" si="61"/>
        <v>0</v>
      </c>
      <c r="BH71" s="109">
        <f t="shared" si="62"/>
        <v>0</v>
      </c>
      <c r="BJ71" s="82">
        <f t="shared" si="37"/>
        <v>0</v>
      </c>
      <c r="BK71" s="82" t="e">
        <f t="shared" si="63"/>
        <v>#DIV/0!</v>
      </c>
      <c r="BL71" s="77">
        <f t="shared" si="38"/>
        <v>0</v>
      </c>
      <c r="BM71" s="108">
        <f t="shared" si="39"/>
        <v>0</v>
      </c>
      <c r="BN71" s="107">
        <f t="shared" si="40"/>
        <v>0</v>
      </c>
      <c r="BO71" s="107">
        <f t="shared" si="41"/>
        <v>0</v>
      </c>
      <c r="BP71" s="107">
        <f t="shared" si="42"/>
        <v>0</v>
      </c>
      <c r="BQ71" s="109">
        <f t="shared" si="64"/>
        <v>0</v>
      </c>
      <c r="BR71" s="109">
        <f t="shared" si="65"/>
        <v>0</v>
      </c>
      <c r="BS71" s="109">
        <f t="shared" si="66"/>
        <v>0</v>
      </c>
      <c r="BU71" s="82">
        <f t="shared" si="43"/>
        <v>0</v>
      </c>
      <c r="BV71" s="82" t="e">
        <f t="shared" si="67"/>
        <v>#DIV/0!</v>
      </c>
      <c r="BW71" s="77">
        <f t="shared" si="44"/>
        <v>0</v>
      </c>
      <c r="BX71" s="108">
        <f t="shared" si="45"/>
        <v>0</v>
      </c>
      <c r="BY71" s="107">
        <f t="shared" si="46"/>
        <v>0</v>
      </c>
      <c r="BZ71" s="107">
        <f t="shared" si="47"/>
        <v>0</v>
      </c>
      <c r="CA71" s="107">
        <f t="shared" si="48"/>
        <v>0</v>
      </c>
      <c r="CB71" s="109">
        <f t="shared" si="68"/>
        <v>0</v>
      </c>
      <c r="CC71" s="109">
        <f t="shared" si="69"/>
        <v>0</v>
      </c>
      <c r="CD71" s="109">
        <f t="shared" si="70"/>
        <v>0</v>
      </c>
    </row>
    <row r="72" spans="1:82" x14ac:dyDescent="0.25">
      <c r="A72" s="101">
        <f t="shared" si="49"/>
        <v>38047</v>
      </c>
      <c r="B72" s="102">
        <f t="shared" si="50"/>
        <v>3.1690000000000005</v>
      </c>
      <c r="C72" s="80">
        <f t="shared" si="51"/>
        <v>0.27250000000000002</v>
      </c>
      <c r="D72" s="102">
        <f t="shared" si="0"/>
        <v>-0.17499999999999999</v>
      </c>
      <c r="E72" s="106">
        <f t="shared" si="1"/>
        <v>1</v>
      </c>
      <c r="F72" s="105">
        <f t="shared" ca="1" si="2"/>
        <v>1273</v>
      </c>
      <c r="G72" s="80" t="e">
        <f t="shared" si="3"/>
        <v>#DIV/0!</v>
      </c>
      <c r="H72" s="80" t="e">
        <f t="shared" si="4"/>
        <v>#DIV/0!</v>
      </c>
      <c r="I72" s="104">
        <f t="shared" si="5"/>
        <v>5</v>
      </c>
      <c r="K72" s="102">
        <f t="shared" si="6"/>
        <v>-0.17499999999999999</v>
      </c>
      <c r="L72" s="106">
        <f t="shared" si="7"/>
        <v>1</v>
      </c>
      <c r="M72" s="105">
        <f t="shared" ca="1" si="8"/>
        <v>1273</v>
      </c>
      <c r="N72" s="217" t="e">
        <f t="shared" si="9"/>
        <v>#DIV/0!</v>
      </c>
      <c r="O72" s="80" t="e">
        <f t="shared" si="10"/>
        <v>#DIV/0!</v>
      </c>
      <c r="P72" s="104">
        <f t="shared" si="11"/>
        <v>5</v>
      </c>
      <c r="R72" s="102">
        <f t="shared" si="12"/>
        <v>0.25</v>
      </c>
      <c r="S72" s="106">
        <f t="shared" si="13"/>
        <v>1</v>
      </c>
      <c r="T72" s="105">
        <f t="shared" ca="1" si="14"/>
        <v>1273</v>
      </c>
      <c r="U72" s="217" t="e">
        <f t="shared" si="15"/>
        <v>#DIV/0!</v>
      </c>
      <c r="V72" s="80" t="e">
        <f t="shared" si="16"/>
        <v>#DIV/0!</v>
      </c>
      <c r="W72" s="104">
        <f t="shared" si="17"/>
        <v>4.95</v>
      </c>
      <c r="X72" s="105"/>
      <c r="Y72" s="102">
        <f t="shared" si="18"/>
        <v>-2.75E-2</v>
      </c>
      <c r="Z72" s="106">
        <f t="shared" si="19"/>
        <v>1</v>
      </c>
      <c r="AA72" s="105">
        <f t="shared" ca="1" si="20"/>
        <v>1273</v>
      </c>
      <c r="AB72" s="80" t="e">
        <f t="shared" si="21"/>
        <v>#DIV/0!</v>
      </c>
      <c r="AC72" s="80" t="e">
        <f t="shared" si="22"/>
        <v>#DIV/0!</v>
      </c>
      <c r="AD72" s="104">
        <f t="shared" si="23"/>
        <v>3.98</v>
      </c>
      <c r="AF72" s="105">
        <f t="shared" ca="1" si="52"/>
        <v>1273</v>
      </c>
      <c r="AG72" s="105">
        <f t="shared" ca="1" si="53"/>
        <v>1272</v>
      </c>
      <c r="AH72" s="80">
        <f t="shared" si="24"/>
        <v>6.9074984732649017E-2</v>
      </c>
      <c r="AI72" s="182">
        <f t="shared" si="25"/>
        <v>31</v>
      </c>
      <c r="AL72" s="105"/>
      <c r="AM72" s="82"/>
      <c r="AN72" s="82">
        <f t="shared" si="26"/>
        <v>0</v>
      </c>
      <c r="AO72" s="82" t="e">
        <f t="shared" si="54"/>
        <v>#DIV/0!</v>
      </c>
      <c r="AP72" s="77">
        <f t="shared" si="27"/>
        <v>0</v>
      </c>
      <c r="AQ72" s="108">
        <f t="shared" si="28"/>
        <v>0</v>
      </c>
      <c r="AR72" s="107">
        <f t="shared" si="29"/>
        <v>0</v>
      </c>
      <c r="AS72" s="107">
        <f t="shared" si="55"/>
        <v>0</v>
      </c>
      <c r="AT72" s="107">
        <f t="shared" si="30"/>
        <v>0</v>
      </c>
      <c r="AU72" s="109">
        <f t="shared" si="56"/>
        <v>0</v>
      </c>
      <c r="AV72" s="109">
        <f t="shared" si="57"/>
        <v>0</v>
      </c>
      <c r="AW72" s="109">
        <f t="shared" si="58"/>
        <v>0</v>
      </c>
      <c r="AY72" s="82">
        <f t="shared" si="31"/>
        <v>0</v>
      </c>
      <c r="AZ72" s="82" t="e">
        <f t="shared" si="59"/>
        <v>#DIV/0!</v>
      </c>
      <c r="BA72" s="77">
        <f t="shared" si="32"/>
        <v>0</v>
      </c>
      <c r="BB72" s="108">
        <f t="shared" si="33"/>
        <v>0</v>
      </c>
      <c r="BC72" s="107">
        <f t="shared" si="34"/>
        <v>0</v>
      </c>
      <c r="BD72" s="107">
        <f t="shared" si="35"/>
        <v>0</v>
      </c>
      <c r="BE72" s="107">
        <f t="shared" si="36"/>
        <v>0</v>
      </c>
      <c r="BF72" s="109">
        <f t="shared" si="60"/>
        <v>0</v>
      </c>
      <c r="BG72" s="109">
        <f t="shared" si="61"/>
        <v>0</v>
      </c>
      <c r="BH72" s="109">
        <f t="shared" si="62"/>
        <v>0</v>
      </c>
      <c r="BJ72" s="82">
        <f t="shared" si="37"/>
        <v>0</v>
      </c>
      <c r="BK72" s="82" t="e">
        <f t="shared" si="63"/>
        <v>#DIV/0!</v>
      </c>
      <c r="BL72" s="77">
        <f t="shared" si="38"/>
        <v>0</v>
      </c>
      <c r="BM72" s="108">
        <f t="shared" si="39"/>
        <v>0</v>
      </c>
      <c r="BN72" s="107">
        <f t="shared" si="40"/>
        <v>0</v>
      </c>
      <c r="BO72" s="107">
        <f t="shared" si="41"/>
        <v>0</v>
      </c>
      <c r="BP72" s="107">
        <f t="shared" si="42"/>
        <v>0</v>
      </c>
      <c r="BQ72" s="109">
        <f t="shared" si="64"/>
        <v>0</v>
      </c>
      <c r="BR72" s="109">
        <f t="shared" si="65"/>
        <v>0</v>
      </c>
      <c r="BS72" s="109">
        <f t="shared" si="66"/>
        <v>0</v>
      </c>
      <c r="BU72" s="82">
        <f t="shared" si="43"/>
        <v>0</v>
      </c>
      <c r="BV72" s="82" t="e">
        <f t="shared" si="67"/>
        <v>#DIV/0!</v>
      </c>
      <c r="BW72" s="77">
        <f t="shared" si="44"/>
        <v>0</v>
      </c>
      <c r="BX72" s="108">
        <f t="shared" si="45"/>
        <v>0</v>
      </c>
      <c r="BY72" s="107">
        <f t="shared" si="46"/>
        <v>0</v>
      </c>
      <c r="BZ72" s="107">
        <f t="shared" si="47"/>
        <v>0</v>
      </c>
      <c r="CA72" s="107">
        <f t="shared" si="48"/>
        <v>0</v>
      </c>
      <c r="CB72" s="109">
        <f t="shared" si="68"/>
        <v>0</v>
      </c>
      <c r="CC72" s="109">
        <f t="shared" si="69"/>
        <v>0</v>
      </c>
      <c r="CD72" s="109">
        <f t="shared" si="70"/>
        <v>0</v>
      </c>
    </row>
    <row r="73" spans="1:82" x14ac:dyDescent="0.25">
      <c r="A73" s="101">
        <f t="shared" si="49"/>
        <v>38078</v>
      </c>
      <c r="B73" s="102">
        <f t="shared" si="50"/>
        <v>2.9940000000000002</v>
      </c>
      <c r="C73" s="80">
        <f t="shared" si="51"/>
        <v>0.2525</v>
      </c>
      <c r="D73" s="102">
        <f t="shared" si="0"/>
        <v>-0.17499999999999999</v>
      </c>
      <c r="E73" s="106">
        <f t="shared" si="1"/>
        <v>1</v>
      </c>
      <c r="F73" s="105">
        <f t="shared" ca="1" si="2"/>
        <v>1306</v>
      </c>
      <c r="G73" s="80" t="e">
        <f t="shared" si="3"/>
        <v>#DIV/0!</v>
      </c>
      <c r="H73" s="80" t="e">
        <f t="shared" si="4"/>
        <v>#DIV/0!</v>
      </c>
      <c r="I73" s="104">
        <f t="shared" si="5"/>
        <v>5</v>
      </c>
      <c r="K73" s="102">
        <f t="shared" si="6"/>
        <v>-0.17499999999999999</v>
      </c>
      <c r="L73" s="106">
        <f t="shared" si="7"/>
        <v>1</v>
      </c>
      <c r="M73" s="105">
        <f t="shared" ca="1" si="8"/>
        <v>1306</v>
      </c>
      <c r="N73" s="217" t="e">
        <f t="shared" si="9"/>
        <v>#DIV/0!</v>
      </c>
      <c r="O73" s="80" t="e">
        <f t="shared" si="10"/>
        <v>#DIV/0!</v>
      </c>
      <c r="P73" s="104">
        <f t="shared" si="11"/>
        <v>5</v>
      </c>
      <c r="R73" s="102">
        <f t="shared" si="12"/>
        <v>0.16750000000000001</v>
      </c>
      <c r="S73" s="106">
        <f t="shared" si="13"/>
        <v>1</v>
      </c>
      <c r="T73" s="105">
        <f t="shared" ca="1" si="14"/>
        <v>1306</v>
      </c>
      <c r="U73" s="217" t="e">
        <f t="shared" si="15"/>
        <v>#DIV/0!</v>
      </c>
      <c r="V73" s="80" t="e">
        <f t="shared" si="16"/>
        <v>#DIV/0!</v>
      </c>
      <c r="W73" s="104">
        <f t="shared" si="17"/>
        <v>4.95</v>
      </c>
      <c r="X73" s="105"/>
      <c r="Y73" s="102">
        <f t="shared" si="18"/>
        <v>1.4999999999999999E-2</v>
      </c>
      <c r="Z73" s="106">
        <f t="shared" si="19"/>
        <v>1</v>
      </c>
      <c r="AA73" s="105">
        <f t="shared" ca="1" si="20"/>
        <v>1306</v>
      </c>
      <c r="AB73" s="80" t="e">
        <f t="shared" si="21"/>
        <v>#DIV/0!</v>
      </c>
      <c r="AC73" s="80" t="e">
        <f t="shared" si="22"/>
        <v>#DIV/0!</v>
      </c>
      <c r="AD73" s="104">
        <f t="shared" si="23"/>
        <v>3.98</v>
      </c>
      <c r="AF73" s="105">
        <f t="shared" ca="1" si="52"/>
        <v>1306</v>
      </c>
      <c r="AG73" s="105">
        <f t="shared" ca="1" si="53"/>
        <v>1303</v>
      </c>
      <c r="AH73" s="80">
        <f t="shared" si="24"/>
        <v>6.9075819107611999E-2</v>
      </c>
      <c r="AI73" s="182">
        <f t="shared" si="25"/>
        <v>30</v>
      </c>
      <c r="AL73" s="105"/>
      <c r="AM73" s="82"/>
      <c r="AN73" s="82">
        <f t="shared" si="26"/>
        <v>0</v>
      </c>
      <c r="AO73" s="82" t="e">
        <f t="shared" si="54"/>
        <v>#DIV/0!</v>
      </c>
      <c r="AP73" s="77">
        <f t="shared" si="27"/>
        <v>0</v>
      </c>
      <c r="AQ73" s="108">
        <f t="shared" si="28"/>
        <v>0</v>
      </c>
      <c r="AR73" s="107">
        <f t="shared" si="29"/>
        <v>0</v>
      </c>
      <c r="AS73" s="107">
        <f t="shared" si="55"/>
        <v>0</v>
      </c>
      <c r="AT73" s="107">
        <f t="shared" si="30"/>
        <v>0</v>
      </c>
      <c r="AU73" s="109">
        <f t="shared" si="56"/>
        <v>0</v>
      </c>
      <c r="AV73" s="109">
        <f t="shared" si="57"/>
        <v>0</v>
      </c>
      <c r="AW73" s="109">
        <f t="shared" si="58"/>
        <v>0</v>
      </c>
      <c r="AY73" s="82">
        <f t="shared" si="31"/>
        <v>0</v>
      </c>
      <c r="AZ73" s="82" t="e">
        <f t="shared" si="59"/>
        <v>#DIV/0!</v>
      </c>
      <c r="BA73" s="77">
        <f t="shared" si="32"/>
        <v>0</v>
      </c>
      <c r="BB73" s="108">
        <f t="shared" si="33"/>
        <v>0</v>
      </c>
      <c r="BC73" s="107">
        <f t="shared" si="34"/>
        <v>0</v>
      </c>
      <c r="BD73" s="107">
        <f t="shared" si="35"/>
        <v>0</v>
      </c>
      <c r="BE73" s="107">
        <f t="shared" si="36"/>
        <v>0</v>
      </c>
      <c r="BF73" s="109">
        <f t="shared" si="60"/>
        <v>0</v>
      </c>
      <c r="BG73" s="109">
        <f t="shared" si="61"/>
        <v>0</v>
      </c>
      <c r="BH73" s="109">
        <f t="shared" si="62"/>
        <v>0</v>
      </c>
      <c r="BJ73" s="82">
        <f t="shared" si="37"/>
        <v>0</v>
      </c>
      <c r="BK73" s="82" t="e">
        <f t="shared" si="63"/>
        <v>#DIV/0!</v>
      </c>
      <c r="BL73" s="77">
        <f t="shared" si="38"/>
        <v>0</v>
      </c>
      <c r="BM73" s="108">
        <f t="shared" si="39"/>
        <v>0</v>
      </c>
      <c r="BN73" s="107">
        <f t="shared" si="40"/>
        <v>0</v>
      </c>
      <c r="BO73" s="107">
        <f t="shared" si="41"/>
        <v>0</v>
      </c>
      <c r="BP73" s="107">
        <f t="shared" si="42"/>
        <v>0</v>
      </c>
      <c r="BQ73" s="109">
        <f t="shared" si="64"/>
        <v>0</v>
      </c>
      <c r="BR73" s="109">
        <f t="shared" si="65"/>
        <v>0</v>
      </c>
      <c r="BS73" s="109">
        <f t="shared" si="66"/>
        <v>0</v>
      </c>
      <c r="BU73" s="82">
        <f t="shared" si="43"/>
        <v>0</v>
      </c>
      <c r="BV73" s="82" t="e">
        <f t="shared" si="67"/>
        <v>#DIV/0!</v>
      </c>
      <c r="BW73" s="77">
        <f t="shared" si="44"/>
        <v>0</v>
      </c>
      <c r="BX73" s="108">
        <f t="shared" si="45"/>
        <v>0</v>
      </c>
      <c r="BY73" s="107">
        <f t="shared" si="46"/>
        <v>0</v>
      </c>
      <c r="BZ73" s="107">
        <f t="shared" si="47"/>
        <v>0</v>
      </c>
      <c r="CA73" s="107">
        <f t="shared" si="48"/>
        <v>0</v>
      </c>
      <c r="CB73" s="109">
        <f t="shared" si="68"/>
        <v>0</v>
      </c>
      <c r="CC73" s="109">
        <f t="shared" si="69"/>
        <v>0</v>
      </c>
      <c r="CD73" s="109">
        <f t="shared" si="70"/>
        <v>0</v>
      </c>
    </row>
    <row r="74" spans="1:82" x14ac:dyDescent="0.25">
      <c r="A74" s="101">
        <f t="shared" si="49"/>
        <v>38108</v>
      </c>
      <c r="B74" s="102">
        <f t="shared" si="50"/>
        <v>2.98</v>
      </c>
      <c r="C74" s="80">
        <f t="shared" si="51"/>
        <v>0.2525</v>
      </c>
      <c r="D74" s="102">
        <f t="shared" si="0"/>
        <v>-0.17499999999999999</v>
      </c>
      <c r="E74" s="106">
        <f t="shared" si="1"/>
        <v>1</v>
      </c>
      <c r="F74" s="105">
        <f t="shared" ca="1" si="2"/>
        <v>1336</v>
      </c>
      <c r="G74" s="80" t="e">
        <f t="shared" si="3"/>
        <v>#DIV/0!</v>
      </c>
      <c r="H74" s="80" t="e">
        <f t="shared" si="4"/>
        <v>#DIV/0!</v>
      </c>
      <c r="I74" s="104">
        <f t="shared" si="5"/>
        <v>5</v>
      </c>
      <c r="K74" s="102">
        <f t="shared" si="6"/>
        <v>-0.17499999999999999</v>
      </c>
      <c r="L74" s="106">
        <f t="shared" si="7"/>
        <v>1</v>
      </c>
      <c r="M74" s="105">
        <f t="shared" ca="1" si="8"/>
        <v>1336</v>
      </c>
      <c r="N74" s="217" t="e">
        <f t="shared" si="9"/>
        <v>#DIV/0!</v>
      </c>
      <c r="O74" s="80" t="e">
        <f t="shared" si="10"/>
        <v>#DIV/0!</v>
      </c>
      <c r="P74" s="104">
        <f t="shared" si="11"/>
        <v>5</v>
      </c>
      <c r="R74" s="102">
        <f t="shared" si="12"/>
        <v>0.1575</v>
      </c>
      <c r="S74" s="106">
        <f t="shared" si="13"/>
        <v>1</v>
      </c>
      <c r="T74" s="105">
        <f t="shared" ca="1" si="14"/>
        <v>1336</v>
      </c>
      <c r="U74" s="217" t="e">
        <f t="shared" si="15"/>
        <v>#DIV/0!</v>
      </c>
      <c r="V74" s="80" t="e">
        <f t="shared" si="16"/>
        <v>#DIV/0!</v>
      </c>
      <c r="W74" s="104">
        <f t="shared" si="17"/>
        <v>4.95</v>
      </c>
      <c r="X74" s="105"/>
      <c r="Y74" s="102">
        <f t="shared" si="18"/>
        <v>1.4999999999999999E-2</v>
      </c>
      <c r="Z74" s="106">
        <f t="shared" si="19"/>
        <v>1</v>
      </c>
      <c r="AA74" s="105">
        <f t="shared" ca="1" si="20"/>
        <v>1336</v>
      </c>
      <c r="AB74" s="80" t="e">
        <f t="shared" si="21"/>
        <v>#DIV/0!</v>
      </c>
      <c r="AC74" s="80" t="e">
        <f t="shared" si="22"/>
        <v>#DIV/0!</v>
      </c>
      <c r="AD74" s="104">
        <f t="shared" si="23"/>
        <v>3.98</v>
      </c>
      <c r="AF74" s="105">
        <f t="shared" ca="1" si="52"/>
        <v>1336</v>
      </c>
      <c r="AG74" s="105">
        <f t="shared" ca="1" si="53"/>
        <v>1335</v>
      </c>
      <c r="AH74" s="80">
        <f t="shared" si="24"/>
        <v>6.9069963351949024E-2</v>
      </c>
      <c r="AI74" s="182">
        <f t="shared" si="25"/>
        <v>31</v>
      </c>
      <c r="AL74" s="105"/>
      <c r="AM74" s="82"/>
      <c r="AN74" s="82">
        <f t="shared" si="26"/>
        <v>0</v>
      </c>
      <c r="AO74" s="82" t="e">
        <f t="shared" si="54"/>
        <v>#DIV/0!</v>
      </c>
      <c r="AP74" s="77">
        <f t="shared" si="27"/>
        <v>0</v>
      </c>
      <c r="AQ74" s="108">
        <f t="shared" si="28"/>
        <v>0</v>
      </c>
      <c r="AR74" s="107">
        <f t="shared" si="29"/>
        <v>0</v>
      </c>
      <c r="AS74" s="107">
        <f t="shared" si="55"/>
        <v>0</v>
      </c>
      <c r="AT74" s="107">
        <f t="shared" si="30"/>
        <v>0</v>
      </c>
      <c r="AU74" s="109">
        <f t="shared" si="56"/>
        <v>0</v>
      </c>
      <c r="AV74" s="109">
        <f t="shared" si="57"/>
        <v>0</v>
      </c>
      <c r="AW74" s="109">
        <f t="shared" si="58"/>
        <v>0</v>
      </c>
      <c r="AY74" s="82">
        <f t="shared" si="31"/>
        <v>0</v>
      </c>
      <c r="AZ74" s="82" t="e">
        <f t="shared" si="59"/>
        <v>#DIV/0!</v>
      </c>
      <c r="BA74" s="77">
        <f t="shared" si="32"/>
        <v>0</v>
      </c>
      <c r="BB74" s="108">
        <f t="shared" si="33"/>
        <v>0</v>
      </c>
      <c r="BC74" s="107">
        <f t="shared" si="34"/>
        <v>0</v>
      </c>
      <c r="BD74" s="107">
        <f t="shared" si="35"/>
        <v>0</v>
      </c>
      <c r="BE74" s="107">
        <f t="shared" si="36"/>
        <v>0</v>
      </c>
      <c r="BF74" s="109">
        <f t="shared" si="60"/>
        <v>0</v>
      </c>
      <c r="BG74" s="109">
        <f t="shared" si="61"/>
        <v>0</v>
      </c>
      <c r="BH74" s="109">
        <f t="shared" si="62"/>
        <v>0</v>
      </c>
      <c r="BJ74" s="82">
        <f t="shared" si="37"/>
        <v>0</v>
      </c>
      <c r="BK74" s="82" t="e">
        <f t="shared" si="63"/>
        <v>#DIV/0!</v>
      </c>
      <c r="BL74" s="77">
        <f t="shared" si="38"/>
        <v>0</v>
      </c>
      <c r="BM74" s="108">
        <f t="shared" si="39"/>
        <v>0</v>
      </c>
      <c r="BN74" s="107">
        <f t="shared" si="40"/>
        <v>0</v>
      </c>
      <c r="BO74" s="107">
        <f t="shared" si="41"/>
        <v>0</v>
      </c>
      <c r="BP74" s="107">
        <f t="shared" si="42"/>
        <v>0</v>
      </c>
      <c r="BQ74" s="109">
        <f t="shared" si="64"/>
        <v>0</v>
      </c>
      <c r="BR74" s="109">
        <f t="shared" si="65"/>
        <v>0</v>
      </c>
      <c r="BS74" s="109">
        <f t="shared" si="66"/>
        <v>0</v>
      </c>
      <c r="BU74" s="82">
        <f t="shared" si="43"/>
        <v>0</v>
      </c>
      <c r="BV74" s="82" t="e">
        <f t="shared" si="67"/>
        <v>#DIV/0!</v>
      </c>
      <c r="BW74" s="77">
        <f t="shared" si="44"/>
        <v>0</v>
      </c>
      <c r="BX74" s="108">
        <f t="shared" si="45"/>
        <v>0</v>
      </c>
      <c r="BY74" s="107">
        <f t="shared" si="46"/>
        <v>0</v>
      </c>
      <c r="BZ74" s="107">
        <f t="shared" si="47"/>
        <v>0</v>
      </c>
      <c r="CA74" s="107">
        <f t="shared" si="48"/>
        <v>0</v>
      </c>
      <c r="CB74" s="109">
        <f t="shared" si="68"/>
        <v>0</v>
      </c>
      <c r="CC74" s="109">
        <f t="shared" si="69"/>
        <v>0</v>
      </c>
      <c r="CD74" s="109">
        <f t="shared" si="70"/>
        <v>0</v>
      </c>
    </row>
    <row r="75" spans="1:82" x14ac:dyDescent="0.25">
      <c r="A75" s="101">
        <f t="shared" si="49"/>
        <v>38139</v>
      </c>
      <c r="B75" s="102">
        <f t="shared" si="50"/>
        <v>3.0010000000000003</v>
      </c>
      <c r="C75" s="80">
        <f t="shared" si="51"/>
        <v>0.2525</v>
      </c>
      <c r="D75" s="102">
        <f t="shared" si="0"/>
        <v>-0.17499999999999999</v>
      </c>
      <c r="E75" s="106">
        <f t="shared" si="1"/>
        <v>1</v>
      </c>
      <c r="F75" s="105">
        <f t="shared" ca="1" si="2"/>
        <v>1364</v>
      </c>
      <c r="G75" s="80" t="e">
        <f t="shared" si="3"/>
        <v>#DIV/0!</v>
      </c>
      <c r="H75" s="80" t="e">
        <f t="shared" si="4"/>
        <v>#DIV/0!</v>
      </c>
      <c r="I75" s="104">
        <f t="shared" si="5"/>
        <v>5</v>
      </c>
      <c r="K75" s="102">
        <f t="shared" si="6"/>
        <v>-0.17499999999999999</v>
      </c>
      <c r="L75" s="106">
        <f t="shared" si="7"/>
        <v>1</v>
      </c>
      <c r="M75" s="105">
        <f t="shared" ca="1" si="8"/>
        <v>1364</v>
      </c>
      <c r="N75" s="217" t="e">
        <f t="shared" si="9"/>
        <v>#DIV/0!</v>
      </c>
      <c r="O75" s="80" t="e">
        <f t="shared" si="10"/>
        <v>#DIV/0!</v>
      </c>
      <c r="P75" s="104">
        <f t="shared" si="11"/>
        <v>5</v>
      </c>
      <c r="R75" s="102">
        <f t="shared" si="12"/>
        <v>0.1525</v>
      </c>
      <c r="S75" s="106">
        <f t="shared" si="13"/>
        <v>1</v>
      </c>
      <c r="T75" s="105">
        <f t="shared" ca="1" si="14"/>
        <v>1364</v>
      </c>
      <c r="U75" s="217" t="e">
        <f t="shared" si="15"/>
        <v>#DIV/0!</v>
      </c>
      <c r="V75" s="80" t="e">
        <f t="shared" si="16"/>
        <v>#DIV/0!</v>
      </c>
      <c r="W75" s="104">
        <f t="shared" si="17"/>
        <v>4.95</v>
      </c>
      <c r="X75" s="105"/>
      <c r="Y75" s="102">
        <f t="shared" si="18"/>
        <v>0.02</v>
      </c>
      <c r="Z75" s="106">
        <f t="shared" si="19"/>
        <v>1</v>
      </c>
      <c r="AA75" s="105">
        <f t="shared" ca="1" si="20"/>
        <v>1364</v>
      </c>
      <c r="AB75" s="80" t="e">
        <f t="shared" si="21"/>
        <v>#DIV/0!</v>
      </c>
      <c r="AC75" s="80" t="e">
        <f t="shared" si="22"/>
        <v>#DIV/0!</v>
      </c>
      <c r="AD75" s="104">
        <f t="shared" si="23"/>
        <v>3.98</v>
      </c>
      <c r="AF75" s="105">
        <f t="shared" ca="1" si="52"/>
        <v>1364</v>
      </c>
      <c r="AG75" s="105">
        <f t="shared" ca="1" si="53"/>
        <v>1363</v>
      </c>
      <c r="AH75" s="80">
        <f t="shared" si="24"/>
        <v>6.9063912404441014E-2</v>
      </c>
      <c r="AI75" s="182">
        <f t="shared" si="25"/>
        <v>30</v>
      </c>
      <c r="AL75" s="105"/>
      <c r="AM75" s="82"/>
      <c r="AN75" s="82">
        <f t="shared" si="26"/>
        <v>0</v>
      </c>
      <c r="AO75" s="82" t="e">
        <f t="shared" si="54"/>
        <v>#DIV/0!</v>
      </c>
      <c r="AP75" s="77">
        <f t="shared" si="27"/>
        <v>0</v>
      </c>
      <c r="AQ75" s="108">
        <f t="shared" si="28"/>
        <v>0</v>
      </c>
      <c r="AR75" s="107">
        <f t="shared" si="29"/>
        <v>0</v>
      </c>
      <c r="AS75" s="107">
        <f t="shared" si="55"/>
        <v>0</v>
      </c>
      <c r="AT75" s="107">
        <f t="shared" si="30"/>
        <v>0</v>
      </c>
      <c r="AU75" s="109">
        <f t="shared" si="56"/>
        <v>0</v>
      </c>
      <c r="AV75" s="109">
        <f t="shared" si="57"/>
        <v>0</v>
      </c>
      <c r="AW75" s="109">
        <f t="shared" si="58"/>
        <v>0</v>
      </c>
      <c r="AY75" s="82">
        <f t="shared" si="31"/>
        <v>0</v>
      </c>
      <c r="AZ75" s="82" t="e">
        <f t="shared" si="59"/>
        <v>#DIV/0!</v>
      </c>
      <c r="BA75" s="77">
        <f t="shared" si="32"/>
        <v>0</v>
      </c>
      <c r="BB75" s="108">
        <f t="shared" si="33"/>
        <v>0</v>
      </c>
      <c r="BC75" s="107">
        <f t="shared" si="34"/>
        <v>0</v>
      </c>
      <c r="BD75" s="107">
        <f t="shared" si="35"/>
        <v>0</v>
      </c>
      <c r="BE75" s="107">
        <f t="shared" si="36"/>
        <v>0</v>
      </c>
      <c r="BF75" s="109">
        <f t="shared" si="60"/>
        <v>0</v>
      </c>
      <c r="BG75" s="109">
        <f t="shared" si="61"/>
        <v>0</v>
      </c>
      <c r="BH75" s="109">
        <f t="shared" si="62"/>
        <v>0</v>
      </c>
      <c r="BJ75" s="82">
        <f t="shared" si="37"/>
        <v>0</v>
      </c>
      <c r="BK75" s="82" t="e">
        <f t="shared" si="63"/>
        <v>#DIV/0!</v>
      </c>
      <c r="BL75" s="77">
        <f t="shared" si="38"/>
        <v>0</v>
      </c>
      <c r="BM75" s="108">
        <f t="shared" si="39"/>
        <v>0</v>
      </c>
      <c r="BN75" s="107">
        <f t="shared" si="40"/>
        <v>0</v>
      </c>
      <c r="BO75" s="107">
        <f t="shared" si="41"/>
        <v>0</v>
      </c>
      <c r="BP75" s="107">
        <f t="shared" si="42"/>
        <v>0</v>
      </c>
      <c r="BQ75" s="109">
        <f t="shared" si="64"/>
        <v>0</v>
      </c>
      <c r="BR75" s="109">
        <f t="shared" si="65"/>
        <v>0</v>
      </c>
      <c r="BS75" s="109">
        <f t="shared" si="66"/>
        <v>0</v>
      </c>
      <c r="BU75" s="82">
        <f t="shared" si="43"/>
        <v>0</v>
      </c>
      <c r="BV75" s="82" t="e">
        <f t="shared" si="67"/>
        <v>#DIV/0!</v>
      </c>
      <c r="BW75" s="77">
        <f t="shared" si="44"/>
        <v>0</v>
      </c>
      <c r="BX75" s="108">
        <f t="shared" si="45"/>
        <v>0</v>
      </c>
      <c r="BY75" s="107">
        <f t="shared" si="46"/>
        <v>0</v>
      </c>
      <c r="BZ75" s="107">
        <f t="shared" si="47"/>
        <v>0</v>
      </c>
      <c r="CA75" s="107">
        <f t="shared" si="48"/>
        <v>0</v>
      </c>
      <c r="CB75" s="109">
        <f t="shared" si="68"/>
        <v>0</v>
      </c>
      <c r="CC75" s="109">
        <f t="shared" si="69"/>
        <v>0</v>
      </c>
      <c r="CD75" s="109">
        <f t="shared" si="70"/>
        <v>0</v>
      </c>
    </row>
    <row r="76" spans="1:82" x14ac:dyDescent="0.25">
      <c r="A76" s="101">
        <f t="shared" si="49"/>
        <v>38169</v>
      </c>
      <c r="B76" s="102">
        <f t="shared" si="50"/>
        <v>3.0230000000000001</v>
      </c>
      <c r="C76" s="80">
        <f t="shared" si="51"/>
        <v>0.25</v>
      </c>
      <c r="D76" s="102">
        <f t="shared" si="0"/>
        <v>-0.17499999999999999</v>
      </c>
      <c r="E76" s="106">
        <f t="shared" si="1"/>
        <v>1</v>
      </c>
      <c r="F76" s="105">
        <f t="shared" ca="1" si="2"/>
        <v>1397</v>
      </c>
      <c r="G76" s="80" t="e">
        <f t="shared" si="3"/>
        <v>#DIV/0!</v>
      </c>
      <c r="H76" s="80" t="e">
        <f t="shared" si="4"/>
        <v>#DIV/0!</v>
      </c>
      <c r="I76" s="104">
        <f t="shared" si="5"/>
        <v>5</v>
      </c>
      <c r="K76" s="102">
        <f t="shared" si="6"/>
        <v>-0.17499999999999999</v>
      </c>
      <c r="L76" s="106">
        <f t="shared" si="7"/>
        <v>1</v>
      </c>
      <c r="M76" s="105">
        <f t="shared" ca="1" si="8"/>
        <v>1397</v>
      </c>
      <c r="N76" s="217" t="e">
        <f t="shared" si="9"/>
        <v>#DIV/0!</v>
      </c>
      <c r="O76" s="80" t="e">
        <f t="shared" si="10"/>
        <v>#DIV/0!</v>
      </c>
      <c r="P76" s="104">
        <f t="shared" si="11"/>
        <v>5</v>
      </c>
      <c r="R76" s="102">
        <f t="shared" si="12"/>
        <v>0.14249999999999999</v>
      </c>
      <c r="S76" s="106">
        <f t="shared" si="13"/>
        <v>1</v>
      </c>
      <c r="T76" s="105">
        <f t="shared" ca="1" si="14"/>
        <v>1397</v>
      </c>
      <c r="U76" s="217" t="e">
        <f t="shared" si="15"/>
        <v>#DIV/0!</v>
      </c>
      <c r="V76" s="80" t="e">
        <f t="shared" si="16"/>
        <v>#DIV/0!</v>
      </c>
      <c r="W76" s="104">
        <f t="shared" si="17"/>
        <v>4.95</v>
      </c>
      <c r="X76" s="105"/>
      <c r="Y76" s="102">
        <f t="shared" si="18"/>
        <v>2.2499999999999999E-2</v>
      </c>
      <c r="Z76" s="106">
        <f t="shared" si="19"/>
        <v>1</v>
      </c>
      <c r="AA76" s="105">
        <f t="shared" ca="1" si="20"/>
        <v>1397</v>
      </c>
      <c r="AB76" s="80" t="e">
        <f t="shared" si="21"/>
        <v>#DIV/0!</v>
      </c>
      <c r="AC76" s="80" t="e">
        <f t="shared" si="22"/>
        <v>#DIV/0!</v>
      </c>
      <c r="AD76" s="104">
        <f t="shared" si="23"/>
        <v>3.98</v>
      </c>
      <c r="AF76" s="105">
        <f t="shared" ca="1" si="52"/>
        <v>1397</v>
      </c>
      <c r="AG76" s="105">
        <f t="shared" ca="1" si="53"/>
        <v>1394</v>
      </c>
      <c r="AH76" s="80">
        <f t="shared" si="24"/>
        <v>6.9069004174273016E-2</v>
      </c>
      <c r="AI76" s="182">
        <f t="shared" si="25"/>
        <v>31</v>
      </c>
      <c r="AL76" s="105"/>
      <c r="AM76" s="82"/>
      <c r="AN76" s="82">
        <f t="shared" si="26"/>
        <v>0</v>
      </c>
      <c r="AO76" s="82" t="e">
        <f t="shared" si="54"/>
        <v>#DIV/0!</v>
      </c>
      <c r="AP76" s="77">
        <f t="shared" si="27"/>
        <v>0</v>
      </c>
      <c r="AQ76" s="108">
        <f t="shared" si="28"/>
        <v>0</v>
      </c>
      <c r="AR76" s="107">
        <f t="shared" si="29"/>
        <v>0</v>
      </c>
      <c r="AS76" s="107">
        <f t="shared" si="55"/>
        <v>0</v>
      </c>
      <c r="AT76" s="107">
        <f t="shared" si="30"/>
        <v>0</v>
      </c>
      <c r="AU76" s="109">
        <f t="shared" si="56"/>
        <v>0</v>
      </c>
      <c r="AV76" s="109">
        <f t="shared" si="57"/>
        <v>0</v>
      </c>
      <c r="AW76" s="109">
        <f t="shared" si="58"/>
        <v>0</v>
      </c>
      <c r="AY76" s="82">
        <f t="shared" si="31"/>
        <v>0</v>
      </c>
      <c r="AZ76" s="82" t="e">
        <f t="shared" si="59"/>
        <v>#DIV/0!</v>
      </c>
      <c r="BA76" s="77">
        <f t="shared" si="32"/>
        <v>0</v>
      </c>
      <c r="BB76" s="108">
        <f t="shared" si="33"/>
        <v>0</v>
      </c>
      <c r="BC76" s="107">
        <f t="shared" si="34"/>
        <v>0</v>
      </c>
      <c r="BD76" s="107">
        <f t="shared" si="35"/>
        <v>0</v>
      </c>
      <c r="BE76" s="107">
        <f t="shared" si="36"/>
        <v>0</v>
      </c>
      <c r="BF76" s="109">
        <f t="shared" si="60"/>
        <v>0</v>
      </c>
      <c r="BG76" s="109">
        <f t="shared" si="61"/>
        <v>0</v>
      </c>
      <c r="BH76" s="109">
        <f t="shared" si="62"/>
        <v>0</v>
      </c>
      <c r="BJ76" s="82">
        <f t="shared" si="37"/>
        <v>0</v>
      </c>
      <c r="BK76" s="82" t="e">
        <f t="shared" si="63"/>
        <v>#DIV/0!</v>
      </c>
      <c r="BL76" s="77">
        <f t="shared" si="38"/>
        <v>0</v>
      </c>
      <c r="BM76" s="108">
        <f t="shared" si="39"/>
        <v>0</v>
      </c>
      <c r="BN76" s="107">
        <f t="shared" si="40"/>
        <v>0</v>
      </c>
      <c r="BO76" s="107">
        <f t="shared" si="41"/>
        <v>0</v>
      </c>
      <c r="BP76" s="107">
        <f t="shared" si="42"/>
        <v>0</v>
      </c>
      <c r="BQ76" s="109">
        <f t="shared" si="64"/>
        <v>0</v>
      </c>
      <c r="BR76" s="109">
        <f t="shared" si="65"/>
        <v>0</v>
      </c>
      <c r="BS76" s="109">
        <f t="shared" si="66"/>
        <v>0</v>
      </c>
      <c r="BU76" s="82">
        <f t="shared" si="43"/>
        <v>0</v>
      </c>
      <c r="BV76" s="82" t="e">
        <f t="shared" si="67"/>
        <v>#DIV/0!</v>
      </c>
      <c r="BW76" s="77">
        <f t="shared" si="44"/>
        <v>0</v>
      </c>
      <c r="BX76" s="108">
        <f t="shared" si="45"/>
        <v>0</v>
      </c>
      <c r="BY76" s="107">
        <f t="shared" si="46"/>
        <v>0</v>
      </c>
      <c r="BZ76" s="107">
        <f t="shared" si="47"/>
        <v>0</v>
      </c>
      <c r="CA76" s="107">
        <f t="shared" si="48"/>
        <v>0</v>
      </c>
      <c r="CB76" s="109">
        <f t="shared" si="68"/>
        <v>0</v>
      </c>
      <c r="CC76" s="109">
        <f t="shared" si="69"/>
        <v>0</v>
      </c>
      <c r="CD76" s="109">
        <f t="shared" si="70"/>
        <v>0</v>
      </c>
    </row>
    <row r="77" spans="1:82" x14ac:dyDescent="0.25">
      <c r="A77" s="101">
        <f t="shared" si="49"/>
        <v>38200</v>
      </c>
      <c r="B77" s="102">
        <f t="shared" si="50"/>
        <v>3.0440000000000005</v>
      </c>
      <c r="C77" s="80">
        <f t="shared" si="51"/>
        <v>0.25</v>
      </c>
      <c r="D77" s="102">
        <f t="shared" si="0"/>
        <v>-0.17499999999999999</v>
      </c>
      <c r="E77" s="106">
        <f t="shared" si="1"/>
        <v>1</v>
      </c>
      <c r="F77" s="105">
        <f t="shared" ca="1" si="2"/>
        <v>1427</v>
      </c>
      <c r="G77" s="80" t="e">
        <f t="shared" si="3"/>
        <v>#DIV/0!</v>
      </c>
      <c r="H77" s="80" t="e">
        <f t="shared" si="4"/>
        <v>#DIV/0!</v>
      </c>
      <c r="I77" s="104">
        <f t="shared" si="5"/>
        <v>5</v>
      </c>
      <c r="K77" s="102">
        <f t="shared" si="6"/>
        <v>-0.17499999999999999</v>
      </c>
      <c r="L77" s="106">
        <f t="shared" si="7"/>
        <v>1</v>
      </c>
      <c r="M77" s="105">
        <f t="shared" ca="1" si="8"/>
        <v>1427</v>
      </c>
      <c r="N77" s="217" t="e">
        <f t="shared" si="9"/>
        <v>#DIV/0!</v>
      </c>
      <c r="O77" s="80" t="e">
        <f t="shared" si="10"/>
        <v>#DIV/0!</v>
      </c>
      <c r="P77" s="104">
        <f t="shared" si="11"/>
        <v>5</v>
      </c>
      <c r="R77" s="102">
        <f t="shared" si="12"/>
        <v>0.14000000000000001</v>
      </c>
      <c r="S77" s="106">
        <f t="shared" si="13"/>
        <v>1</v>
      </c>
      <c r="T77" s="105">
        <f t="shared" ca="1" si="14"/>
        <v>1427</v>
      </c>
      <c r="U77" s="217" t="e">
        <f t="shared" si="15"/>
        <v>#DIV/0!</v>
      </c>
      <c r="V77" s="80" t="e">
        <f t="shared" si="16"/>
        <v>#DIV/0!</v>
      </c>
      <c r="W77" s="104">
        <f t="shared" si="17"/>
        <v>4.95</v>
      </c>
      <c r="X77" s="105"/>
      <c r="Y77" s="102">
        <f t="shared" si="18"/>
        <v>2.5000000000000001E-2</v>
      </c>
      <c r="Z77" s="106">
        <f t="shared" si="19"/>
        <v>1</v>
      </c>
      <c r="AA77" s="105">
        <f t="shared" ca="1" si="20"/>
        <v>1427</v>
      </c>
      <c r="AB77" s="80" t="e">
        <f t="shared" si="21"/>
        <v>#DIV/0!</v>
      </c>
      <c r="AC77" s="80" t="e">
        <f t="shared" si="22"/>
        <v>#DIV/0!</v>
      </c>
      <c r="AD77" s="104">
        <f t="shared" si="23"/>
        <v>3.98</v>
      </c>
      <c r="AF77" s="105">
        <f t="shared" ca="1" si="52"/>
        <v>1427</v>
      </c>
      <c r="AG77" s="105">
        <f t="shared" ca="1" si="53"/>
        <v>1426</v>
      </c>
      <c r="AH77" s="80">
        <f t="shared" si="24"/>
        <v>6.9087194176122024E-2</v>
      </c>
      <c r="AI77" s="182">
        <f t="shared" si="25"/>
        <v>31</v>
      </c>
      <c r="AL77" s="105"/>
      <c r="AM77" s="82"/>
      <c r="AN77" s="82">
        <f t="shared" si="26"/>
        <v>0</v>
      </c>
      <c r="AO77" s="82" t="e">
        <f t="shared" si="54"/>
        <v>#DIV/0!</v>
      </c>
      <c r="AP77" s="77">
        <f t="shared" si="27"/>
        <v>0</v>
      </c>
      <c r="AQ77" s="108">
        <f t="shared" si="28"/>
        <v>0</v>
      </c>
      <c r="AR77" s="107">
        <f t="shared" si="29"/>
        <v>0</v>
      </c>
      <c r="AS77" s="107">
        <f t="shared" si="55"/>
        <v>0</v>
      </c>
      <c r="AT77" s="107">
        <f t="shared" si="30"/>
        <v>0</v>
      </c>
      <c r="AU77" s="109">
        <f t="shared" si="56"/>
        <v>0</v>
      </c>
      <c r="AV77" s="109">
        <f t="shared" si="57"/>
        <v>0</v>
      </c>
      <c r="AW77" s="109">
        <f t="shared" si="58"/>
        <v>0</v>
      </c>
      <c r="AY77" s="82">
        <f t="shared" si="31"/>
        <v>0</v>
      </c>
      <c r="AZ77" s="82" t="e">
        <f t="shared" si="59"/>
        <v>#DIV/0!</v>
      </c>
      <c r="BA77" s="77">
        <f t="shared" si="32"/>
        <v>0</v>
      </c>
      <c r="BB77" s="108">
        <f t="shared" si="33"/>
        <v>0</v>
      </c>
      <c r="BC77" s="107">
        <f t="shared" si="34"/>
        <v>0</v>
      </c>
      <c r="BD77" s="107">
        <f t="shared" si="35"/>
        <v>0</v>
      </c>
      <c r="BE77" s="107">
        <f t="shared" si="36"/>
        <v>0</v>
      </c>
      <c r="BF77" s="109">
        <f t="shared" si="60"/>
        <v>0</v>
      </c>
      <c r="BG77" s="109">
        <f t="shared" si="61"/>
        <v>0</v>
      </c>
      <c r="BH77" s="109">
        <f t="shared" si="62"/>
        <v>0</v>
      </c>
      <c r="BJ77" s="82">
        <f t="shared" si="37"/>
        <v>0</v>
      </c>
      <c r="BK77" s="82" t="e">
        <f t="shared" si="63"/>
        <v>#DIV/0!</v>
      </c>
      <c r="BL77" s="77">
        <f t="shared" si="38"/>
        <v>0</v>
      </c>
      <c r="BM77" s="108">
        <f t="shared" si="39"/>
        <v>0</v>
      </c>
      <c r="BN77" s="107">
        <f t="shared" si="40"/>
        <v>0</v>
      </c>
      <c r="BO77" s="107">
        <f t="shared" si="41"/>
        <v>0</v>
      </c>
      <c r="BP77" s="107">
        <f t="shared" si="42"/>
        <v>0</v>
      </c>
      <c r="BQ77" s="109">
        <f t="shared" si="64"/>
        <v>0</v>
      </c>
      <c r="BR77" s="109">
        <f t="shared" si="65"/>
        <v>0</v>
      </c>
      <c r="BS77" s="109">
        <f t="shared" si="66"/>
        <v>0</v>
      </c>
      <c r="BU77" s="82">
        <f t="shared" si="43"/>
        <v>0</v>
      </c>
      <c r="BV77" s="82" t="e">
        <f t="shared" si="67"/>
        <v>#DIV/0!</v>
      </c>
      <c r="BW77" s="77">
        <f t="shared" si="44"/>
        <v>0</v>
      </c>
      <c r="BX77" s="108">
        <f t="shared" si="45"/>
        <v>0</v>
      </c>
      <c r="BY77" s="107">
        <f t="shared" si="46"/>
        <v>0</v>
      </c>
      <c r="BZ77" s="107">
        <f t="shared" si="47"/>
        <v>0</v>
      </c>
      <c r="CA77" s="107">
        <f t="shared" si="48"/>
        <v>0</v>
      </c>
      <c r="CB77" s="109">
        <f t="shared" si="68"/>
        <v>0</v>
      </c>
      <c r="CC77" s="109">
        <f t="shared" si="69"/>
        <v>0</v>
      </c>
      <c r="CD77" s="109">
        <f t="shared" si="70"/>
        <v>0</v>
      </c>
    </row>
    <row r="78" spans="1:82" x14ac:dyDescent="0.25">
      <c r="A78" s="101">
        <f t="shared" si="49"/>
        <v>38231</v>
      </c>
      <c r="B78" s="102">
        <f t="shared" si="50"/>
        <v>3.0330000000000004</v>
      </c>
      <c r="C78" s="80">
        <f t="shared" si="51"/>
        <v>0.25</v>
      </c>
      <c r="D78" s="102">
        <f t="shared" si="0"/>
        <v>-0.17499999999999999</v>
      </c>
      <c r="E78" s="106">
        <f t="shared" si="1"/>
        <v>1</v>
      </c>
      <c r="F78" s="105">
        <f t="shared" ca="1" si="2"/>
        <v>1457</v>
      </c>
      <c r="G78" s="80" t="e">
        <f t="shared" si="3"/>
        <v>#DIV/0!</v>
      </c>
      <c r="H78" s="80" t="e">
        <f t="shared" si="4"/>
        <v>#DIV/0!</v>
      </c>
      <c r="I78" s="104">
        <f t="shared" si="5"/>
        <v>5</v>
      </c>
      <c r="K78" s="102">
        <f t="shared" si="6"/>
        <v>-0.17499999999999999</v>
      </c>
      <c r="L78" s="106">
        <f t="shared" si="7"/>
        <v>1</v>
      </c>
      <c r="M78" s="105">
        <f t="shared" ca="1" si="8"/>
        <v>1457</v>
      </c>
      <c r="N78" s="217" t="e">
        <f t="shared" si="9"/>
        <v>#DIV/0!</v>
      </c>
      <c r="O78" s="80" t="e">
        <f t="shared" si="10"/>
        <v>#DIV/0!</v>
      </c>
      <c r="P78" s="104">
        <f t="shared" si="11"/>
        <v>5</v>
      </c>
      <c r="R78" s="102">
        <f t="shared" si="12"/>
        <v>0.13750000000000001</v>
      </c>
      <c r="S78" s="106">
        <f t="shared" si="13"/>
        <v>1</v>
      </c>
      <c r="T78" s="105">
        <f t="shared" ca="1" si="14"/>
        <v>1457</v>
      </c>
      <c r="U78" s="217" t="e">
        <f t="shared" si="15"/>
        <v>#DIV/0!</v>
      </c>
      <c r="V78" s="80" t="e">
        <f t="shared" si="16"/>
        <v>#DIV/0!</v>
      </c>
      <c r="W78" s="104">
        <f t="shared" si="17"/>
        <v>4.95</v>
      </c>
      <c r="X78" s="105"/>
      <c r="Y78" s="102">
        <f t="shared" si="18"/>
        <v>1.7500000000000002E-2</v>
      </c>
      <c r="Z78" s="106">
        <f t="shared" si="19"/>
        <v>1</v>
      </c>
      <c r="AA78" s="105">
        <f t="shared" ca="1" si="20"/>
        <v>1457</v>
      </c>
      <c r="AB78" s="80" t="e">
        <f t="shared" si="21"/>
        <v>#DIV/0!</v>
      </c>
      <c r="AC78" s="80" t="e">
        <f t="shared" si="22"/>
        <v>#DIV/0!</v>
      </c>
      <c r="AD78" s="104">
        <f t="shared" si="23"/>
        <v>3.98</v>
      </c>
      <c r="AF78" s="105">
        <f t="shared" ca="1" si="52"/>
        <v>1457</v>
      </c>
      <c r="AG78" s="105">
        <f t="shared" ca="1" si="53"/>
        <v>1456</v>
      </c>
      <c r="AH78" s="80">
        <f t="shared" si="24"/>
        <v>6.9105384178080001E-2</v>
      </c>
      <c r="AI78" s="182">
        <f t="shared" si="25"/>
        <v>30</v>
      </c>
      <c r="AL78" s="105"/>
      <c r="AM78" s="82"/>
      <c r="AN78" s="82">
        <f t="shared" si="26"/>
        <v>0</v>
      </c>
      <c r="AO78" s="82" t="e">
        <f t="shared" si="54"/>
        <v>#DIV/0!</v>
      </c>
      <c r="AP78" s="77">
        <f t="shared" si="27"/>
        <v>0</v>
      </c>
      <c r="AQ78" s="108">
        <f t="shared" si="28"/>
        <v>0</v>
      </c>
      <c r="AR78" s="107">
        <f t="shared" si="29"/>
        <v>0</v>
      </c>
      <c r="AS78" s="107">
        <f t="shared" si="55"/>
        <v>0</v>
      </c>
      <c r="AT78" s="107">
        <f t="shared" si="30"/>
        <v>0</v>
      </c>
      <c r="AU78" s="109">
        <f t="shared" si="56"/>
        <v>0</v>
      </c>
      <c r="AV78" s="109">
        <f t="shared" si="57"/>
        <v>0</v>
      </c>
      <c r="AW78" s="109">
        <f t="shared" si="58"/>
        <v>0</v>
      </c>
      <c r="AY78" s="82">
        <f t="shared" si="31"/>
        <v>0</v>
      </c>
      <c r="AZ78" s="82" t="e">
        <f t="shared" si="59"/>
        <v>#DIV/0!</v>
      </c>
      <c r="BA78" s="77">
        <f t="shared" si="32"/>
        <v>0</v>
      </c>
      <c r="BB78" s="108">
        <f t="shared" si="33"/>
        <v>0</v>
      </c>
      <c r="BC78" s="107">
        <f t="shared" si="34"/>
        <v>0</v>
      </c>
      <c r="BD78" s="107">
        <f t="shared" si="35"/>
        <v>0</v>
      </c>
      <c r="BE78" s="107">
        <f t="shared" si="36"/>
        <v>0</v>
      </c>
      <c r="BF78" s="109">
        <f t="shared" si="60"/>
        <v>0</v>
      </c>
      <c r="BG78" s="109">
        <f t="shared" si="61"/>
        <v>0</v>
      </c>
      <c r="BH78" s="109">
        <f t="shared" si="62"/>
        <v>0</v>
      </c>
      <c r="BJ78" s="82">
        <f t="shared" si="37"/>
        <v>0</v>
      </c>
      <c r="BK78" s="82" t="e">
        <f t="shared" si="63"/>
        <v>#DIV/0!</v>
      </c>
      <c r="BL78" s="77">
        <f t="shared" si="38"/>
        <v>0</v>
      </c>
      <c r="BM78" s="108">
        <f t="shared" si="39"/>
        <v>0</v>
      </c>
      <c r="BN78" s="107">
        <f t="shared" si="40"/>
        <v>0</v>
      </c>
      <c r="BO78" s="107">
        <f t="shared" si="41"/>
        <v>0</v>
      </c>
      <c r="BP78" s="107">
        <f t="shared" si="42"/>
        <v>0</v>
      </c>
      <c r="BQ78" s="109">
        <f t="shared" si="64"/>
        <v>0</v>
      </c>
      <c r="BR78" s="109">
        <f t="shared" si="65"/>
        <v>0</v>
      </c>
      <c r="BS78" s="109">
        <f t="shared" si="66"/>
        <v>0</v>
      </c>
      <c r="BU78" s="82">
        <f t="shared" si="43"/>
        <v>0</v>
      </c>
      <c r="BV78" s="82" t="e">
        <f t="shared" si="67"/>
        <v>#DIV/0!</v>
      </c>
      <c r="BW78" s="77">
        <f t="shared" si="44"/>
        <v>0</v>
      </c>
      <c r="BX78" s="108">
        <f t="shared" si="45"/>
        <v>0</v>
      </c>
      <c r="BY78" s="107">
        <f t="shared" si="46"/>
        <v>0</v>
      </c>
      <c r="BZ78" s="107">
        <f t="shared" si="47"/>
        <v>0</v>
      </c>
      <c r="CA78" s="107">
        <f t="shared" si="48"/>
        <v>0</v>
      </c>
      <c r="CB78" s="109">
        <f t="shared" si="68"/>
        <v>0</v>
      </c>
      <c r="CC78" s="109">
        <f t="shared" si="69"/>
        <v>0</v>
      </c>
      <c r="CD78" s="109">
        <f t="shared" si="70"/>
        <v>0</v>
      </c>
    </row>
    <row r="79" spans="1:82" x14ac:dyDescent="0.25">
      <c r="A79" s="101">
        <f t="shared" si="49"/>
        <v>38261</v>
      </c>
      <c r="B79" s="102">
        <f t="shared" si="50"/>
        <v>3.0369999999999999</v>
      </c>
      <c r="C79" s="80">
        <f t="shared" si="51"/>
        <v>0.25</v>
      </c>
      <c r="D79" s="102">
        <f t="shared" si="0"/>
        <v>-0.17499999999999999</v>
      </c>
      <c r="E79" s="106">
        <f t="shared" si="1"/>
        <v>1</v>
      </c>
      <c r="F79" s="105">
        <f t="shared" ca="1" si="2"/>
        <v>1489</v>
      </c>
      <c r="G79" s="80" t="e">
        <f t="shared" si="3"/>
        <v>#DIV/0!</v>
      </c>
      <c r="H79" s="80" t="e">
        <f t="shared" si="4"/>
        <v>#DIV/0!</v>
      </c>
      <c r="I79" s="104">
        <f t="shared" si="5"/>
        <v>5</v>
      </c>
      <c r="K79" s="102">
        <f t="shared" si="6"/>
        <v>-0.17499999999999999</v>
      </c>
      <c r="L79" s="106">
        <f t="shared" si="7"/>
        <v>1</v>
      </c>
      <c r="M79" s="105">
        <f t="shared" ca="1" si="8"/>
        <v>1489</v>
      </c>
      <c r="N79" s="217" t="e">
        <f t="shared" si="9"/>
        <v>#DIV/0!</v>
      </c>
      <c r="O79" s="80" t="e">
        <f t="shared" si="10"/>
        <v>#DIV/0!</v>
      </c>
      <c r="P79" s="104">
        <f t="shared" si="11"/>
        <v>5</v>
      </c>
      <c r="R79" s="102">
        <f t="shared" si="12"/>
        <v>0.1525</v>
      </c>
      <c r="S79" s="106">
        <f t="shared" si="13"/>
        <v>1</v>
      </c>
      <c r="T79" s="105">
        <f t="shared" ca="1" si="14"/>
        <v>1489</v>
      </c>
      <c r="U79" s="217" t="e">
        <f t="shared" si="15"/>
        <v>#DIV/0!</v>
      </c>
      <c r="V79" s="80" t="e">
        <f t="shared" si="16"/>
        <v>#DIV/0!</v>
      </c>
      <c r="W79" s="104">
        <f t="shared" si="17"/>
        <v>4.95</v>
      </c>
      <c r="X79" s="105"/>
      <c r="Y79" s="102">
        <f t="shared" si="18"/>
        <v>7.4999999999999997E-3</v>
      </c>
      <c r="Z79" s="106">
        <f t="shared" si="19"/>
        <v>1</v>
      </c>
      <c r="AA79" s="105">
        <f t="shared" ca="1" si="20"/>
        <v>1489</v>
      </c>
      <c r="AB79" s="80" t="e">
        <f t="shared" si="21"/>
        <v>#DIV/0!</v>
      </c>
      <c r="AC79" s="80" t="e">
        <f t="shared" si="22"/>
        <v>#DIV/0!</v>
      </c>
      <c r="AD79" s="104">
        <f t="shared" si="23"/>
        <v>3.98</v>
      </c>
      <c r="AF79" s="105">
        <f t="shared" ca="1" si="52"/>
        <v>1489</v>
      </c>
      <c r="AG79" s="105">
        <f t="shared" ca="1" si="53"/>
        <v>1488</v>
      </c>
      <c r="AH79" s="80">
        <f t="shared" si="24"/>
        <v>6.9122987405887029E-2</v>
      </c>
      <c r="AI79" s="182">
        <f t="shared" si="25"/>
        <v>31</v>
      </c>
      <c r="AL79" s="105"/>
      <c r="AM79" s="82"/>
      <c r="AN79" s="82">
        <f t="shared" si="26"/>
        <v>0</v>
      </c>
      <c r="AO79" s="82" t="e">
        <f t="shared" si="54"/>
        <v>#DIV/0!</v>
      </c>
      <c r="AP79" s="77">
        <f t="shared" si="27"/>
        <v>0</v>
      </c>
      <c r="AQ79" s="108">
        <f t="shared" si="28"/>
        <v>0</v>
      </c>
      <c r="AR79" s="107">
        <f t="shared" si="29"/>
        <v>0</v>
      </c>
      <c r="AS79" s="107">
        <f t="shared" si="55"/>
        <v>0</v>
      </c>
      <c r="AT79" s="107">
        <f t="shared" si="30"/>
        <v>0</v>
      </c>
      <c r="AU79" s="109">
        <f t="shared" si="56"/>
        <v>0</v>
      </c>
      <c r="AV79" s="109">
        <f t="shared" si="57"/>
        <v>0</v>
      </c>
      <c r="AW79" s="109">
        <f t="shared" si="58"/>
        <v>0</v>
      </c>
      <c r="AY79" s="82">
        <f t="shared" si="31"/>
        <v>0</v>
      </c>
      <c r="AZ79" s="82" t="e">
        <f t="shared" si="59"/>
        <v>#DIV/0!</v>
      </c>
      <c r="BA79" s="77">
        <f t="shared" si="32"/>
        <v>0</v>
      </c>
      <c r="BB79" s="108">
        <f t="shared" si="33"/>
        <v>0</v>
      </c>
      <c r="BC79" s="107">
        <f t="shared" si="34"/>
        <v>0</v>
      </c>
      <c r="BD79" s="107">
        <f t="shared" si="35"/>
        <v>0</v>
      </c>
      <c r="BE79" s="107">
        <f t="shared" si="36"/>
        <v>0</v>
      </c>
      <c r="BF79" s="109">
        <f t="shared" si="60"/>
        <v>0</v>
      </c>
      <c r="BG79" s="109">
        <f t="shared" si="61"/>
        <v>0</v>
      </c>
      <c r="BH79" s="109">
        <f t="shared" si="62"/>
        <v>0</v>
      </c>
      <c r="BJ79" s="82">
        <f t="shared" si="37"/>
        <v>0</v>
      </c>
      <c r="BK79" s="82" t="e">
        <f t="shared" si="63"/>
        <v>#DIV/0!</v>
      </c>
      <c r="BL79" s="77">
        <f t="shared" si="38"/>
        <v>0</v>
      </c>
      <c r="BM79" s="108">
        <f t="shared" si="39"/>
        <v>0</v>
      </c>
      <c r="BN79" s="107">
        <f t="shared" si="40"/>
        <v>0</v>
      </c>
      <c r="BO79" s="107">
        <f t="shared" si="41"/>
        <v>0</v>
      </c>
      <c r="BP79" s="107">
        <f t="shared" si="42"/>
        <v>0</v>
      </c>
      <c r="BQ79" s="109">
        <f t="shared" si="64"/>
        <v>0</v>
      </c>
      <c r="BR79" s="109">
        <f t="shared" si="65"/>
        <v>0</v>
      </c>
      <c r="BS79" s="109">
        <f t="shared" si="66"/>
        <v>0</v>
      </c>
      <c r="BU79" s="82">
        <f t="shared" si="43"/>
        <v>0</v>
      </c>
      <c r="BV79" s="82" t="e">
        <f t="shared" si="67"/>
        <v>#DIV/0!</v>
      </c>
      <c r="BW79" s="77">
        <f t="shared" si="44"/>
        <v>0</v>
      </c>
      <c r="BX79" s="108">
        <f t="shared" si="45"/>
        <v>0</v>
      </c>
      <c r="BY79" s="107">
        <f t="shared" si="46"/>
        <v>0</v>
      </c>
      <c r="BZ79" s="107">
        <f t="shared" si="47"/>
        <v>0</v>
      </c>
      <c r="CA79" s="107">
        <f t="shared" si="48"/>
        <v>0</v>
      </c>
      <c r="CB79" s="109">
        <f t="shared" si="68"/>
        <v>0</v>
      </c>
      <c r="CC79" s="109">
        <f t="shared" si="69"/>
        <v>0</v>
      </c>
      <c r="CD79" s="109">
        <f t="shared" si="70"/>
        <v>0</v>
      </c>
    </row>
    <row r="80" spans="1:82" x14ac:dyDescent="0.25">
      <c r="A80" s="101">
        <f t="shared" si="49"/>
        <v>38292</v>
      </c>
      <c r="B80" s="102">
        <f t="shared" si="50"/>
        <v>3.1240000000000006</v>
      </c>
      <c r="C80" s="80">
        <f t="shared" si="51"/>
        <v>0.2525</v>
      </c>
      <c r="D80" s="102">
        <f t="shared" si="0"/>
        <v>-0.17</v>
      </c>
      <c r="E80" s="106">
        <f t="shared" si="1"/>
        <v>1</v>
      </c>
      <c r="F80" s="105">
        <f t="shared" ca="1" si="2"/>
        <v>1518</v>
      </c>
      <c r="G80" s="80" t="e">
        <f t="shared" si="3"/>
        <v>#DIV/0!</v>
      </c>
      <c r="H80" s="80" t="e">
        <f t="shared" si="4"/>
        <v>#DIV/0!</v>
      </c>
      <c r="I80" s="104">
        <f t="shared" si="5"/>
        <v>5</v>
      </c>
      <c r="K80" s="102">
        <f t="shared" si="6"/>
        <v>-0.17</v>
      </c>
      <c r="L80" s="106">
        <f t="shared" si="7"/>
        <v>1</v>
      </c>
      <c r="M80" s="105">
        <f t="shared" ca="1" si="8"/>
        <v>1518</v>
      </c>
      <c r="N80" s="217" t="e">
        <f t="shared" si="9"/>
        <v>#DIV/0!</v>
      </c>
      <c r="O80" s="80" t="e">
        <f t="shared" si="10"/>
        <v>#DIV/0!</v>
      </c>
      <c r="P80" s="104">
        <f t="shared" si="11"/>
        <v>5</v>
      </c>
      <c r="R80" s="102">
        <f t="shared" si="12"/>
        <v>0.20250000000000001</v>
      </c>
      <c r="S80" s="106">
        <f t="shared" si="13"/>
        <v>1</v>
      </c>
      <c r="T80" s="105">
        <f t="shared" ca="1" si="14"/>
        <v>1518</v>
      </c>
      <c r="U80" s="217" t="e">
        <f t="shared" si="15"/>
        <v>#DIV/0!</v>
      </c>
      <c r="V80" s="80" t="e">
        <f t="shared" si="16"/>
        <v>#DIV/0!</v>
      </c>
      <c r="W80" s="104">
        <f t="shared" si="17"/>
        <v>4.95</v>
      </c>
      <c r="X80" s="105"/>
      <c r="Y80" s="102">
        <f t="shared" si="18"/>
        <v>-3.2500000000000001E-2</v>
      </c>
      <c r="Z80" s="106">
        <f t="shared" si="19"/>
        <v>1</v>
      </c>
      <c r="AA80" s="105">
        <f t="shared" ca="1" si="20"/>
        <v>1518</v>
      </c>
      <c r="AB80" s="80" t="e">
        <f t="shared" si="21"/>
        <v>#DIV/0!</v>
      </c>
      <c r="AC80" s="80" t="e">
        <f t="shared" si="22"/>
        <v>#DIV/0!</v>
      </c>
      <c r="AD80" s="104">
        <f t="shared" si="23"/>
        <v>3.98</v>
      </c>
      <c r="AF80" s="105">
        <f t="shared" ca="1" si="52"/>
        <v>1518</v>
      </c>
      <c r="AG80" s="105">
        <f t="shared" ca="1" si="53"/>
        <v>1517</v>
      </c>
      <c r="AH80" s="80">
        <f t="shared" si="24"/>
        <v>6.9141177408060014E-2</v>
      </c>
      <c r="AI80" s="182">
        <f t="shared" si="25"/>
        <v>30</v>
      </c>
      <c r="AL80" s="105"/>
      <c r="AM80" s="82"/>
      <c r="AN80" s="82">
        <f t="shared" si="26"/>
        <v>0</v>
      </c>
      <c r="AO80" s="82" t="e">
        <f t="shared" si="54"/>
        <v>#DIV/0!</v>
      </c>
      <c r="AP80" s="77">
        <f t="shared" si="27"/>
        <v>0</v>
      </c>
      <c r="AQ80" s="108">
        <f t="shared" si="28"/>
        <v>0</v>
      </c>
      <c r="AR80" s="107">
        <f t="shared" si="29"/>
        <v>0</v>
      </c>
      <c r="AS80" s="107">
        <f t="shared" si="55"/>
        <v>0</v>
      </c>
      <c r="AT80" s="107">
        <f t="shared" si="30"/>
        <v>0</v>
      </c>
      <c r="AU80" s="109">
        <f t="shared" si="56"/>
        <v>0</v>
      </c>
      <c r="AV80" s="109">
        <f t="shared" si="57"/>
        <v>0</v>
      </c>
      <c r="AW80" s="109">
        <f t="shared" si="58"/>
        <v>0</v>
      </c>
      <c r="AY80" s="82">
        <f t="shared" si="31"/>
        <v>0</v>
      </c>
      <c r="AZ80" s="82" t="e">
        <f t="shared" si="59"/>
        <v>#DIV/0!</v>
      </c>
      <c r="BA80" s="77">
        <f t="shared" si="32"/>
        <v>0</v>
      </c>
      <c r="BB80" s="108">
        <f t="shared" si="33"/>
        <v>0</v>
      </c>
      <c r="BC80" s="107">
        <f t="shared" si="34"/>
        <v>0</v>
      </c>
      <c r="BD80" s="107">
        <f t="shared" si="35"/>
        <v>0</v>
      </c>
      <c r="BE80" s="107">
        <f t="shared" si="36"/>
        <v>0</v>
      </c>
      <c r="BF80" s="109">
        <f t="shared" si="60"/>
        <v>0</v>
      </c>
      <c r="BG80" s="109">
        <f t="shared" si="61"/>
        <v>0</v>
      </c>
      <c r="BH80" s="109">
        <f t="shared" si="62"/>
        <v>0</v>
      </c>
      <c r="BJ80" s="82">
        <f t="shared" si="37"/>
        <v>0</v>
      </c>
      <c r="BK80" s="82" t="e">
        <f t="shared" si="63"/>
        <v>#DIV/0!</v>
      </c>
      <c r="BL80" s="77">
        <f t="shared" si="38"/>
        <v>0</v>
      </c>
      <c r="BM80" s="108">
        <f t="shared" si="39"/>
        <v>0</v>
      </c>
      <c r="BN80" s="107">
        <f t="shared" si="40"/>
        <v>0</v>
      </c>
      <c r="BO80" s="107">
        <f t="shared" si="41"/>
        <v>0</v>
      </c>
      <c r="BP80" s="107">
        <f t="shared" si="42"/>
        <v>0</v>
      </c>
      <c r="BQ80" s="109">
        <f t="shared" si="64"/>
        <v>0</v>
      </c>
      <c r="BR80" s="109">
        <f t="shared" si="65"/>
        <v>0</v>
      </c>
      <c r="BS80" s="109">
        <f t="shared" si="66"/>
        <v>0</v>
      </c>
      <c r="BU80" s="82">
        <f t="shared" si="43"/>
        <v>0</v>
      </c>
      <c r="BV80" s="82" t="e">
        <f t="shared" si="67"/>
        <v>#DIV/0!</v>
      </c>
      <c r="BW80" s="77">
        <f t="shared" si="44"/>
        <v>0</v>
      </c>
      <c r="BX80" s="108">
        <f t="shared" si="45"/>
        <v>0</v>
      </c>
      <c r="BY80" s="107">
        <f t="shared" si="46"/>
        <v>0</v>
      </c>
      <c r="BZ80" s="107">
        <f t="shared" si="47"/>
        <v>0</v>
      </c>
      <c r="CA80" s="107">
        <f t="shared" si="48"/>
        <v>0</v>
      </c>
      <c r="CB80" s="109">
        <f t="shared" si="68"/>
        <v>0</v>
      </c>
      <c r="CC80" s="109">
        <f t="shared" si="69"/>
        <v>0</v>
      </c>
      <c r="CD80" s="109">
        <f t="shared" si="70"/>
        <v>0</v>
      </c>
    </row>
    <row r="81" spans="1:82" x14ac:dyDescent="0.25">
      <c r="A81" s="101">
        <f t="shared" si="49"/>
        <v>38322</v>
      </c>
      <c r="B81" s="102">
        <f t="shared" si="50"/>
        <v>3.2030000000000003</v>
      </c>
      <c r="C81" s="80">
        <f t="shared" si="51"/>
        <v>0.255</v>
      </c>
      <c r="D81" s="102">
        <f t="shared" si="0"/>
        <v>-0.17</v>
      </c>
      <c r="E81" s="106">
        <f t="shared" si="1"/>
        <v>1</v>
      </c>
      <c r="F81" s="105">
        <f t="shared" ca="1" si="2"/>
        <v>1548</v>
      </c>
      <c r="G81" s="80" t="e">
        <f t="shared" si="3"/>
        <v>#DIV/0!</v>
      </c>
      <c r="H81" s="80" t="e">
        <f t="shared" si="4"/>
        <v>#DIV/0!</v>
      </c>
      <c r="I81" s="104">
        <f t="shared" si="5"/>
        <v>5</v>
      </c>
      <c r="K81" s="102">
        <f t="shared" si="6"/>
        <v>-0.17</v>
      </c>
      <c r="L81" s="106">
        <f t="shared" si="7"/>
        <v>1</v>
      </c>
      <c r="M81" s="105">
        <f t="shared" ca="1" si="8"/>
        <v>1548</v>
      </c>
      <c r="N81" s="217" t="e">
        <f t="shared" si="9"/>
        <v>#DIV/0!</v>
      </c>
      <c r="O81" s="80" t="e">
        <f t="shared" si="10"/>
        <v>#DIV/0!</v>
      </c>
      <c r="P81" s="104">
        <f t="shared" si="11"/>
        <v>5</v>
      </c>
      <c r="R81" s="102">
        <f t="shared" si="12"/>
        <v>0.24249999999999999</v>
      </c>
      <c r="S81" s="106">
        <f t="shared" si="13"/>
        <v>1</v>
      </c>
      <c r="T81" s="105">
        <f t="shared" ca="1" si="14"/>
        <v>1548</v>
      </c>
      <c r="U81" s="217" t="e">
        <f t="shared" si="15"/>
        <v>#DIV/0!</v>
      </c>
      <c r="V81" s="80" t="e">
        <f t="shared" si="16"/>
        <v>#DIV/0!</v>
      </c>
      <c r="W81" s="104">
        <f t="shared" si="17"/>
        <v>4.95</v>
      </c>
      <c r="X81" s="105"/>
      <c r="Y81" s="102">
        <f t="shared" si="18"/>
        <v>-5.5E-2</v>
      </c>
      <c r="Z81" s="106">
        <f t="shared" si="19"/>
        <v>1</v>
      </c>
      <c r="AA81" s="105">
        <f t="shared" ca="1" si="20"/>
        <v>1548</v>
      </c>
      <c r="AB81" s="80" t="e">
        <f t="shared" si="21"/>
        <v>#DIV/0!</v>
      </c>
      <c r="AC81" s="80" t="e">
        <f t="shared" si="22"/>
        <v>#DIV/0!</v>
      </c>
      <c r="AD81" s="104">
        <f t="shared" si="23"/>
        <v>3.98</v>
      </c>
      <c r="AF81" s="105">
        <f t="shared" ca="1" si="52"/>
        <v>1548</v>
      </c>
      <c r="AG81" s="105">
        <f t="shared" ca="1" si="53"/>
        <v>1546</v>
      </c>
      <c r="AH81" s="80">
        <f t="shared" si="24"/>
        <v>6.9158780636075001E-2</v>
      </c>
      <c r="AI81" s="182">
        <f t="shared" si="25"/>
        <v>31</v>
      </c>
      <c r="AL81" s="105"/>
      <c r="AM81" s="82"/>
      <c r="AN81" s="82">
        <f t="shared" si="26"/>
        <v>0</v>
      </c>
      <c r="AO81" s="82" t="e">
        <f t="shared" si="54"/>
        <v>#DIV/0!</v>
      </c>
      <c r="AP81" s="77">
        <f t="shared" si="27"/>
        <v>0</v>
      </c>
      <c r="AQ81" s="108">
        <f t="shared" si="28"/>
        <v>0</v>
      </c>
      <c r="AR81" s="107">
        <f t="shared" si="29"/>
        <v>0</v>
      </c>
      <c r="AS81" s="107">
        <f t="shared" si="55"/>
        <v>0</v>
      </c>
      <c r="AT81" s="107">
        <f t="shared" si="30"/>
        <v>0</v>
      </c>
      <c r="AU81" s="109">
        <f t="shared" si="56"/>
        <v>0</v>
      </c>
      <c r="AV81" s="109">
        <f t="shared" si="57"/>
        <v>0</v>
      </c>
      <c r="AW81" s="109">
        <f t="shared" si="58"/>
        <v>0</v>
      </c>
      <c r="AY81" s="82">
        <f t="shared" si="31"/>
        <v>0</v>
      </c>
      <c r="AZ81" s="82" t="e">
        <f t="shared" si="59"/>
        <v>#DIV/0!</v>
      </c>
      <c r="BA81" s="77">
        <f t="shared" si="32"/>
        <v>0</v>
      </c>
      <c r="BB81" s="108">
        <f t="shared" si="33"/>
        <v>0</v>
      </c>
      <c r="BC81" s="107">
        <f t="shared" si="34"/>
        <v>0</v>
      </c>
      <c r="BD81" s="107">
        <f t="shared" si="35"/>
        <v>0</v>
      </c>
      <c r="BE81" s="107">
        <f t="shared" si="36"/>
        <v>0</v>
      </c>
      <c r="BF81" s="109">
        <f t="shared" si="60"/>
        <v>0</v>
      </c>
      <c r="BG81" s="109">
        <f t="shared" si="61"/>
        <v>0</v>
      </c>
      <c r="BH81" s="109">
        <f t="shared" si="62"/>
        <v>0</v>
      </c>
      <c r="BJ81" s="82">
        <f t="shared" si="37"/>
        <v>0</v>
      </c>
      <c r="BK81" s="82" t="e">
        <f t="shared" si="63"/>
        <v>#DIV/0!</v>
      </c>
      <c r="BL81" s="77">
        <f t="shared" si="38"/>
        <v>0</v>
      </c>
      <c r="BM81" s="108">
        <f t="shared" si="39"/>
        <v>0</v>
      </c>
      <c r="BN81" s="107">
        <f t="shared" si="40"/>
        <v>0</v>
      </c>
      <c r="BO81" s="107">
        <f t="shared" si="41"/>
        <v>0</v>
      </c>
      <c r="BP81" s="107">
        <f t="shared" si="42"/>
        <v>0</v>
      </c>
      <c r="BQ81" s="109">
        <f t="shared" si="64"/>
        <v>0</v>
      </c>
      <c r="BR81" s="109">
        <f t="shared" si="65"/>
        <v>0</v>
      </c>
      <c r="BS81" s="109">
        <f t="shared" si="66"/>
        <v>0</v>
      </c>
      <c r="BU81" s="82">
        <f t="shared" si="43"/>
        <v>0</v>
      </c>
      <c r="BV81" s="82" t="e">
        <f t="shared" si="67"/>
        <v>#DIV/0!</v>
      </c>
      <c r="BW81" s="77">
        <f t="shared" si="44"/>
        <v>0</v>
      </c>
      <c r="BX81" s="108">
        <f t="shared" si="45"/>
        <v>0</v>
      </c>
      <c r="BY81" s="107">
        <f t="shared" si="46"/>
        <v>0</v>
      </c>
      <c r="BZ81" s="107">
        <f t="shared" si="47"/>
        <v>0</v>
      </c>
      <c r="CA81" s="107">
        <f t="shared" si="48"/>
        <v>0</v>
      </c>
      <c r="CB81" s="109">
        <f t="shared" si="68"/>
        <v>0</v>
      </c>
      <c r="CC81" s="109">
        <f t="shared" si="69"/>
        <v>0</v>
      </c>
      <c r="CD81" s="109">
        <f t="shared" si="70"/>
        <v>0</v>
      </c>
    </row>
    <row r="82" spans="1:82" x14ac:dyDescent="0.25">
      <c r="A82" s="101">
        <f t="shared" si="49"/>
        <v>38353</v>
      </c>
      <c r="B82" s="102">
        <f t="shared" si="50"/>
        <v>3.4160000000000004</v>
      </c>
      <c r="C82" s="80">
        <f t="shared" si="51"/>
        <v>0.26</v>
      </c>
      <c r="D82" s="102">
        <f t="shared" si="0"/>
        <v>-0.17</v>
      </c>
      <c r="E82" s="106">
        <f t="shared" si="1"/>
        <v>1</v>
      </c>
      <c r="F82" s="105">
        <f t="shared" ca="1" si="2"/>
        <v>1580</v>
      </c>
      <c r="G82" s="80" t="e">
        <f t="shared" si="3"/>
        <v>#DIV/0!</v>
      </c>
      <c r="H82" s="80" t="e">
        <f t="shared" si="4"/>
        <v>#DIV/0!</v>
      </c>
      <c r="I82" s="104">
        <f t="shared" si="5"/>
        <v>5</v>
      </c>
      <c r="K82" s="102">
        <f t="shared" si="6"/>
        <v>-0.17</v>
      </c>
      <c r="L82" s="106">
        <f t="shared" si="7"/>
        <v>1</v>
      </c>
      <c r="M82" s="105">
        <f t="shared" ca="1" si="8"/>
        <v>1580</v>
      </c>
      <c r="N82" s="217" t="e">
        <f t="shared" si="9"/>
        <v>#DIV/0!</v>
      </c>
      <c r="O82" s="80" t="e">
        <f t="shared" si="10"/>
        <v>#DIV/0!</v>
      </c>
      <c r="P82" s="104">
        <f t="shared" si="11"/>
        <v>5</v>
      </c>
      <c r="R82" s="102">
        <f t="shared" si="12"/>
        <v>0.27750000000000002</v>
      </c>
      <c r="S82" s="106">
        <f t="shared" si="13"/>
        <v>1</v>
      </c>
      <c r="T82" s="105">
        <f t="shared" ca="1" si="14"/>
        <v>1580</v>
      </c>
      <c r="U82" s="217" t="e">
        <f t="shared" si="15"/>
        <v>#DIV/0!</v>
      </c>
      <c r="V82" s="80" t="e">
        <f t="shared" si="16"/>
        <v>#DIV/0!</v>
      </c>
      <c r="W82" s="104">
        <f t="shared" si="17"/>
        <v>4.95</v>
      </c>
      <c r="X82" s="105"/>
      <c r="Y82" s="102">
        <f t="shared" si="18"/>
        <v>-5.7500000000000002E-2</v>
      </c>
      <c r="Z82" s="106">
        <f t="shared" si="19"/>
        <v>1</v>
      </c>
      <c r="AA82" s="105">
        <f t="shared" ca="1" si="20"/>
        <v>1580</v>
      </c>
      <c r="AB82" s="80" t="e">
        <f t="shared" si="21"/>
        <v>#DIV/0!</v>
      </c>
      <c r="AC82" s="80" t="e">
        <f t="shared" si="22"/>
        <v>#DIV/0!</v>
      </c>
      <c r="AD82" s="104">
        <f t="shared" si="23"/>
        <v>3.98</v>
      </c>
      <c r="AF82" s="105">
        <f t="shared" ca="1" si="52"/>
        <v>1580</v>
      </c>
      <c r="AG82" s="105">
        <f t="shared" ca="1" si="53"/>
        <v>1579</v>
      </c>
      <c r="AH82" s="80">
        <f t="shared" si="24"/>
        <v>6.9176970638464022E-2</v>
      </c>
      <c r="AI82" s="182">
        <f t="shared" si="25"/>
        <v>31</v>
      </c>
      <c r="AL82" s="105"/>
      <c r="AM82" s="82"/>
      <c r="AN82" s="82">
        <f t="shared" si="26"/>
        <v>0</v>
      </c>
      <c r="AO82" s="82" t="e">
        <f t="shared" si="54"/>
        <v>#DIV/0!</v>
      </c>
      <c r="AP82" s="77">
        <f t="shared" si="27"/>
        <v>0</v>
      </c>
      <c r="AQ82" s="108">
        <f t="shared" si="28"/>
        <v>0</v>
      </c>
      <c r="AR82" s="107">
        <f t="shared" si="29"/>
        <v>0</v>
      </c>
      <c r="AS82" s="107">
        <f t="shared" si="55"/>
        <v>0</v>
      </c>
      <c r="AT82" s="107">
        <f t="shared" si="30"/>
        <v>0</v>
      </c>
      <c r="AU82" s="109">
        <f t="shared" si="56"/>
        <v>0</v>
      </c>
      <c r="AV82" s="109">
        <f t="shared" si="57"/>
        <v>0</v>
      </c>
      <c r="AW82" s="109">
        <f t="shared" si="58"/>
        <v>0</v>
      </c>
      <c r="AY82" s="82">
        <f t="shared" si="31"/>
        <v>0</v>
      </c>
      <c r="AZ82" s="82" t="e">
        <f t="shared" si="59"/>
        <v>#DIV/0!</v>
      </c>
      <c r="BA82" s="77">
        <f t="shared" si="32"/>
        <v>0</v>
      </c>
      <c r="BB82" s="108">
        <f t="shared" si="33"/>
        <v>0</v>
      </c>
      <c r="BC82" s="107">
        <f t="shared" si="34"/>
        <v>0</v>
      </c>
      <c r="BD82" s="107">
        <f t="shared" si="35"/>
        <v>0</v>
      </c>
      <c r="BE82" s="107">
        <f t="shared" si="36"/>
        <v>0</v>
      </c>
      <c r="BF82" s="109">
        <f t="shared" si="60"/>
        <v>0</v>
      </c>
      <c r="BG82" s="109">
        <f t="shared" si="61"/>
        <v>0</v>
      </c>
      <c r="BH82" s="109">
        <f t="shared" si="62"/>
        <v>0</v>
      </c>
      <c r="BJ82" s="82">
        <f t="shared" si="37"/>
        <v>0</v>
      </c>
      <c r="BK82" s="82" t="e">
        <f t="shared" si="63"/>
        <v>#DIV/0!</v>
      </c>
      <c r="BL82" s="77">
        <f t="shared" si="38"/>
        <v>0</v>
      </c>
      <c r="BM82" s="108">
        <f t="shared" si="39"/>
        <v>0</v>
      </c>
      <c r="BN82" s="107">
        <f t="shared" si="40"/>
        <v>0</v>
      </c>
      <c r="BO82" s="107">
        <f t="shared" si="41"/>
        <v>0</v>
      </c>
      <c r="BP82" s="107">
        <f t="shared" si="42"/>
        <v>0</v>
      </c>
      <c r="BQ82" s="109">
        <f t="shared" si="64"/>
        <v>0</v>
      </c>
      <c r="BR82" s="109">
        <f t="shared" si="65"/>
        <v>0</v>
      </c>
      <c r="BS82" s="109">
        <f t="shared" si="66"/>
        <v>0</v>
      </c>
      <c r="BU82" s="82">
        <f t="shared" si="43"/>
        <v>0</v>
      </c>
      <c r="BV82" s="82" t="e">
        <f t="shared" si="67"/>
        <v>#DIV/0!</v>
      </c>
      <c r="BW82" s="77">
        <f t="shared" si="44"/>
        <v>0</v>
      </c>
      <c r="BX82" s="108">
        <f t="shared" si="45"/>
        <v>0</v>
      </c>
      <c r="BY82" s="107">
        <f t="shared" si="46"/>
        <v>0</v>
      </c>
      <c r="BZ82" s="107">
        <f t="shared" si="47"/>
        <v>0</v>
      </c>
      <c r="CA82" s="107">
        <f t="shared" si="48"/>
        <v>0</v>
      </c>
      <c r="CB82" s="109">
        <f t="shared" si="68"/>
        <v>0</v>
      </c>
      <c r="CC82" s="109">
        <f t="shared" si="69"/>
        <v>0</v>
      </c>
      <c r="CD82" s="109">
        <f t="shared" si="70"/>
        <v>0</v>
      </c>
    </row>
    <row r="83" spans="1:82" x14ac:dyDescent="0.25">
      <c r="A83" s="101">
        <f t="shared" si="49"/>
        <v>38384</v>
      </c>
      <c r="B83" s="102">
        <f t="shared" si="50"/>
        <v>3.282</v>
      </c>
      <c r="C83" s="80">
        <f t="shared" si="51"/>
        <v>0.2475</v>
      </c>
      <c r="D83" s="102">
        <f t="shared" si="0"/>
        <v>-0.17</v>
      </c>
      <c r="E83" s="106">
        <f t="shared" si="1"/>
        <v>1</v>
      </c>
      <c r="F83" s="105">
        <f t="shared" ca="1" si="2"/>
        <v>1610</v>
      </c>
      <c r="G83" s="80" t="e">
        <f t="shared" si="3"/>
        <v>#DIV/0!</v>
      </c>
      <c r="H83" s="80" t="e">
        <f t="shared" si="4"/>
        <v>#DIV/0!</v>
      </c>
      <c r="I83" s="104">
        <f t="shared" si="5"/>
        <v>5</v>
      </c>
      <c r="K83" s="102">
        <f t="shared" si="6"/>
        <v>-0.17</v>
      </c>
      <c r="L83" s="106">
        <f t="shared" si="7"/>
        <v>1</v>
      </c>
      <c r="M83" s="105">
        <f t="shared" ca="1" si="8"/>
        <v>1610</v>
      </c>
      <c r="N83" s="217" t="e">
        <f t="shared" si="9"/>
        <v>#DIV/0!</v>
      </c>
      <c r="O83" s="80" t="e">
        <f t="shared" si="10"/>
        <v>#DIV/0!</v>
      </c>
      <c r="P83" s="104">
        <f t="shared" si="11"/>
        <v>5</v>
      </c>
      <c r="R83" s="102">
        <f t="shared" si="12"/>
        <v>0.25750000000000001</v>
      </c>
      <c r="S83" s="106">
        <f t="shared" si="13"/>
        <v>1</v>
      </c>
      <c r="T83" s="105">
        <f t="shared" ca="1" si="14"/>
        <v>1610</v>
      </c>
      <c r="U83" s="217" t="e">
        <f t="shared" si="15"/>
        <v>#DIV/0!</v>
      </c>
      <c r="V83" s="80" t="e">
        <f t="shared" si="16"/>
        <v>#DIV/0!</v>
      </c>
      <c r="W83" s="104">
        <f t="shared" si="17"/>
        <v>4.95</v>
      </c>
      <c r="X83" s="105"/>
      <c r="Y83" s="102">
        <f t="shared" si="18"/>
        <v>-0.04</v>
      </c>
      <c r="Z83" s="106">
        <f t="shared" si="19"/>
        <v>1</v>
      </c>
      <c r="AA83" s="105">
        <f t="shared" ca="1" si="20"/>
        <v>1610</v>
      </c>
      <c r="AB83" s="80" t="e">
        <f t="shared" si="21"/>
        <v>#DIV/0!</v>
      </c>
      <c r="AC83" s="80" t="e">
        <f t="shared" si="22"/>
        <v>#DIV/0!</v>
      </c>
      <c r="AD83" s="104">
        <f t="shared" si="23"/>
        <v>3.98</v>
      </c>
      <c r="AF83" s="105">
        <f t="shared" ca="1" si="52"/>
        <v>1610</v>
      </c>
      <c r="AG83" s="105">
        <f t="shared" ca="1" si="53"/>
        <v>1609</v>
      </c>
      <c r="AH83" s="80">
        <f t="shared" si="24"/>
        <v>6.9195160640961997E-2</v>
      </c>
      <c r="AI83" s="182">
        <f t="shared" si="25"/>
        <v>28</v>
      </c>
      <c r="AL83" s="105"/>
      <c r="AM83" s="82"/>
      <c r="AN83" s="82">
        <f t="shared" si="26"/>
        <v>0</v>
      </c>
      <c r="AO83" s="82" t="e">
        <f t="shared" si="54"/>
        <v>#DIV/0!</v>
      </c>
      <c r="AP83" s="77">
        <f t="shared" si="27"/>
        <v>0</v>
      </c>
      <c r="AQ83" s="108">
        <f t="shared" si="28"/>
        <v>0</v>
      </c>
      <c r="AR83" s="107">
        <f t="shared" si="29"/>
        <v>0</v>
      </c>
      <c r="AS83" s="107">
        <f t="shared" si="55"/>
        <v>0</v>
      </c>
      <c r="AT83" s="107">
        <f t="shared" si="30"/>
        <v>0</v>
      </c>
      <c r="AU83" s="109">
        <f t="shared" si="56"/>
        <v>0</v>
      </c>
      <c r="AV83" s="109">
        <f t="shared" si="57"/>
        <v>0</v>
      </c>
      <c r="AW83" s="109">
        <f t="shared" si="58"/>
        <v>0</v>
      </c>
      <c r="AY83" s="82">
        <f t="shared" si="31"/>
        <v>0</v>
      </c>
      <c r="AZ83" s="82" t="e">
        <f t="shared" si="59"/>
        <v>#DIV/0!</v>
      </c>
      <c r="BA83" s="77">
        <f t="shared" si="32"/>
        <v>0</v>
      </c>
      <c r="BB83" s="108">
        <f t="shared" si="33"/>
        <v>0</v>
      </c>
      <c r="BC83" s="107">
        <f t="shared" si="34"/>
        <v>0</v>
      </c>
      <c r="BD83" s="107">
        <f t="shared" si="35"/>
        <v>0</v>
      </c>
      <c r="BE83" s="107">
        <f t="shared" si="36"/>
        <v>0</v>
      </c>
      <c r="BF83" s="109">
        <f t="shared" si="60"/>
        <v>0</v>
      </c>
      <c r="BG83" s="109">
        <f t="shared" si="61"/>
        <v>0</v>
      </c>
      <c r="BH83" s="109">
        <f t="shared" si="62"/>
        <v>0</v>
      </c>
      <c r="BJ83" s="82">
        <f t="shared" si="37"/>
        <v>0</v>
      </c>
      <c r="BK83" s="82" t="e">
        <f t="shared" si="63"/>
        <v>#DIV/0!</v>
      </c>
      <c r="BL83" s="77">
        <f t="shared" si="38"/>
        <v>0</v>
      </c>
      <c r="BM83" s="108">
        <f t="shared" si="39"/>
        <v>0</v>
      </c>
      <c r="BN83" s="107">
        <f t="shared" si="40"/>
        <v>0</v>
      </c>
      <c r="BO83" s="107">
        <f t="shared" si="41"/>
        <v>0</v>
      </c>
      <c r="BP83" s="107">
        <f t="shared" si="42"/>
        <v>0</v>
      </c>
      <c r="BQ83" s="109">
        <f t="shared" si="64"/>
        <v>0</v>
      </c>
      <c r="BR83" s="109">
        <f t="shared" si="65"/>
        <v>0</v>
      </c>
      <c r="BS83" s="109">
        <f t="shared" si="66"/>
        <v>0</v>
      </c>
      <c r="BU83" s="82">
        <f t="shared" si="43"/>
        <v>0</v>
      </c>
      <c r="BV83" s="82" t="e">
        <f t="shared" si="67"/>
        <v>#DIV/0!</v>
      </c>
      <c r="BW83" s="77">
        <f t="shared" si="44"/>
        <v>0</v>
      </c>
      <c r="BX83" s="108">
        <f t="shared" si="45"/>
        <v>0</v>
      </c>
      <c r="BY83" s="107">
        <f t="shared" si="46"/>
        <v>0</v>
      </c>
      <c r="BZ83" s="107">
        <f t="shared" si="47"/>
        <v>0</v>
      </c>
      <c r="CA83" s="107">
        <f t="shared" si="48"/>
        <v>0</v>
      </c>
      <c r="CB83" s="109">
        <f t="shared" si="68"/>
        <v>0</v>
      </c>
      <c r="CC83" s="109">
        <f t="shared" si="69"/>
        <v>0</v>
      </c>
      <c r="CD83" s="109">
        <f t="shared" si="70"/>
        <v>0</v>
      </c>
    </row>
    <row r="84" spans="1:82" x14ac:dyDescent="0.25">
      <c r="A84" s="101">
        <f t="shared" si="49"/>
        <v>38412</v>
      </c>
      <c r="B84" s="102">
        <f t="shared" si="50"/>
        <v>3.1180000000000003</v>
      </c>
      <c r="C84" s="80">
        <f t="shared" si="51"/>
        <v>0.24249999999999999</v>
      </c>
      <c r="D84" s="102">
        <f t="shared" si="0"/>
        <v>-0.17</v>
      </c>
      <c r="E84" s="106">
        <f t="shared" si="1"/>
        <v>1</v>
      </c>
      <c r="F84" s="105">
        <f t="shared" ca="1" si="2"/>
        <v>1638</v>
      </c>
      <c r="G84" s="80" t="e">
        <f t="shared" si="3"/>
        <v>#DIV/0!</v>
      </c>
      <c r="H84" s="80" t="e">
        <f t="shared" si="4"/>
        <v>#DIV/0!</v>
      </c>
      <c r="I84" s="104">
        <f t="shared" si="5"/>
        <v>5</v>
      </c>
      <c r="K84" s="102">
        <f t="shared" si="6"/>
        <v>-0.17</v>
      </c>
      <c r="L84" s="106">
        <f t="shared" si="7"/>
        <v>1</v>
      </c>
      <c r="M84" s="105">
        <f t="shared" ca="1" si="8"/>
        <v>1638</v>
      </c>
      <c r="N84" s="217" t="e">
        <f t="shared" si="9"/>
        <v>#DIV/0!</v>
      </c>
      <c r="O84" s="80" t="e">
        <f t="shared" si="10"/>
        <v>#DIV/0!</v>
      </c>
      <c r="P84" s="104">
        <f t="shared" si="11"/>
        <v>5</v>
      </c>
      <c r="R84" s="102">
        <f t="shared" si="12"/>
        <v>0.25750000000000001</v>
      </c>
      <c r="S84" s="106">
        <f t="shared" si="13"/>
        <v>1</v>
      </c>
      <c r="T84" s="105">
        <f t="shared" ca="1" si="14"/>
        <v>1638</v>
      </c>
      <c r="U84" s="217" t="e">
        <f t="shared" si="15"/>
        <v>#DIV/0!</v>
      </c>
      <c r="V84" s="80" t="e">
        <f t="shared" si="16"/>
        <v>#DIV/0!</v>
      </c>
      <c r="W84" s="104">
        <f t="shared" si="17"/>
        <v>4.95</v>
      </c>
      <c r="X84" s="105"/>
      <c r="Y84" s="102">
        <f t="shared" si="18"/>
        <v>-2.75E-2</v>
      </c>
      <c r="Z84" s="106">
        <f t="shared" si="19"/>
        <v>1</v>
      </c>
      <c r="AA84" s="105">
        <f t="shared" ca="1" si="20"/>
        <v>1638</v>
      </c>
      <c r="AB84" s="80" t="e">
        <f t="shared" si="21"/>
        <v>#DIV/0!</v>
      </c>
      <c r="AC84" s="80" t="e">
        <f t="shared" si="22"/>
        <v>#DIV/0!</v>
      </c>
      <c r="AD84" s="104">
        <f t="shared" si="23"/>
        <v>3.98</v>
      </c>
      <c r="AF84" s="105">
        <f t="shared" ca="1" si="52"/>
        <v>1638</v>
      </c>
      <c r="AG84" s="105">
        <f t="shared" ca="1" si="53"/>
        <v>1637</v>
      </c>
      <c r="AH84" s="80">
        <f t="shared" si="24"/>
        <v>6.9211590320732999E-2</v>
      </c>
      <c r="AI84" s="182">
        <f t="shared" si="25"/>
        <v>31</v>
      </c>
      <c r="AL84" s="105"/>
      <c r="AM84" s="82"/>
      <c r="AN84" s="82">
        <f t="shared" si="26"/>
        <v>0</v>
      </c>
      <c r="AO84" s="82" t="e">
        <f t="shared" si="54"/>
        <v>#DIV/0!</v>
      </c>
      <c r="AP84" s="77">
        <f t="shared" si="27"/>
        <v>0</v>
      </c>
      <c r="AQ84" s="108">
        <f t="shared" si="28"/>
        <v>0</v>
      </c>
      <c r="AR84" s="107">
        <f t="shared" si="29"/>
        <v>0</v>
      </c>
      <c r="AS84" s="107">
        <f t="shared" si="55"/>
        <v>0</v>
      </c>
      <c r="AT84" s="107">
        <f t="shared" si="30"/>
        <v>0</v>
      </c>
      <c r="AU84" s="109">
        <f t="shared" si="56"/>
        <v>0</v>
      </c>
      <c r="AV84" s="109">
        <f t="shared" si="57"/>
        <v>0</v>
      </c>
      <c r="AW84" s="109">
        <f t="shared" si="58"/>
        <v>0</v>
      </c>
      <c r="AY84" s="82">
        <f t="shared" si="31"/>
        <v>0</v>
      </c>
      <c r="AZ84" s="82" t="e">
        <f t="shared" si="59"/>
        <v>#DIV/0!</v>
      </c>
      <c r="BA84" s="77">
        <f t="shared" si="32"/>
        <v>0</v>
      </c>
      <c r="BB84" s="108">
        <f t="shared" si="33"/>
        <v>0</v>
      </c>
      <c r="BC84" s="107">
        <f t="shared" si="34"/>
        <v>0</v>
      </c>
      <c r="BD84" s="107">
        <f t="shared" si="35"/>
        <v>0</v>
      </c>
      <c r="BE84" s="107">
        <f t="shared" si="36"/>
        <v>0</v>
      </c>
      <c r="BF84" s="109">
        <f t="shared" si="60"/>
        <v>0</v>
      </c>
      <c r="BG84" s="109">
        <f t="shared" si="61"/>
        <v>0</v>
      </c>
      <c r="BH84" s="109">
        <f t="shared" si="62"/>
        <v>0</v>
      </c>
      <c r="BJ84" s="82">
        <f t="shared" si="37"/>
        <v>0</v>
      </c>
      <c r="BK84" s="82" t="e">
        <f t="shared" si="63"/>
        <v>#DIV/0!</v>
      </c>
      <c r="BL84" s="77">
        <f t="shared" si="38"/>
        <v>0</v>
      </c>
      <c r="BM84" s="108">
        <f t="shared" si="39"/>
        <v>0</v>
      </c>
      <c r="BN84" s="107">
        <f t="shared" si="40"/>
        <v>0</v>
      </c>
      <c r="BO84" s="107">
        <f t="shared" si="41"/>
        <v>0</v>
      </c>
      <c r="BP84" s="107">
        <f t="shared" si="42"/>
        <v>0</v>
      </c>
      <c r="BQ84" s="109">
        <f t="shared" si="64"/>
        <v>0</v>
      </c>
      <c r="BR84" s="109">
        <f t="shared" si="65"/>
        <v>0</v>
      </c>
      <c r="BS84" s="109">
        <f t="shared" si="66"/>
        <v>0</v>
      </c>
      <c r="BU84" s="82">
        <f t="shared" si="43"/>
        <v>0</v>
      </c>
      <c r="BV84" s="82" t="e">
        <f t="shared" si="67"/>
        <v>#DIV/0!</v>
      </c>
      <c r="BW84" s="77">
        <f t="shared" si="44"/>
        <v>0</v>
      </c>
      <c r="BX84" s="108">
        <f t="shared" si="45"/>
        <v>0</v>
      </c>
      <c r="BY84" s="107">
        <f t="shared" si="46"/>
        <v>0</v>
      </c>
      <c r="BZ84" s="107">
        <f t="shared" si="47"/>
        <v>0</v>
      </c>
      <c r="CA84" s="107">
        <f t="shared" si="48"/>
        <v>0</v>
      </c>
      <c r="CB84" s="109">
        <f t="shared" si="68"/>
        <v>0</v>
      </c>
      <c r="CC84" s="109">
        <f t="shared" si="69"/>
        <v>0</v>
      </c>
      <c r="CD84" s="109">
        <f t="shared" si="70"/>
        <v>0</v>
      </c>
    </row>
    <row r="85" spans="1:82" x14ac:dyDescent="0.25">
      <c r="A85" s="101">
        <f t="shared" si="49"/>
        <v>38443</v>
      </c>
      <c r="B85" s="102">
        <f t="shared" si="50"/>
        <v>2.9460000000000002</v>
      </c>
      <c r="C85" s="80">
        <f t="shared" si="51"/>
        <v>0.23</v>
      </c>
      <c r="D85" s="102">
        <f t="shared" si="0"/>
        <v>-0.17</v>
      </c>
      <c r="E85" s="106">
        <f t="shared" si="1"/>
        <v>1</v>
      </c>
      <c r="F85" s="105">
        <f t="shared" ca="1" si="2"/>
        <v>1671</v>
      </c>
      <c r="G85" s="80" t="e">
        <f t="shared" si="3"/>
        <v>#DIV/0!</v>
      </c>
      <c r="H85" s="80" t="e">
        <f t="shared" si="4"/>
        <v>#DIV/0!</v>
      </c>
      <c r="I85" s="104">
        <f t="shared" si="5"/>
        <v>5</v>
      </c>
      <c r="K85" s="102">
        <f t="shared" si="6"/>
        <v>-0.17</v>
      </c>
      <c r="L85" s="106">
        <f t="shared" si="7"/>
        <v>1</v>
      </c>
      <c r="M85" s="105">
        <f t="shared" ca="1" si="8"/>
        <v>1671</v>
      </c>
      <c r="N85" s="217" t="e">
        <f t="shared" si="9"/>
        <v>#DIV/0!</v>
      </c>
      <c r="O85" s="80" t="e">
        <f t="shared" si="10"/>
        <v>#DIV/0!</v>
      </c>
      <c r="P85" s="104">
        <f t="shared" si="11"/>
        <v>5</v>
      </c>
      <c r="R85" s="102">
        <f t="shared" si="12"/>
        <v>0.16250000000000001</v>
      </c>
      <c r="S85" s="106">
        <f t="shared" si="13"/>
        <v>1</v>
      </c>
      <c r="T85" s="105">
        <f t="shared" ca="1" si="14"/>
        <v>1671</v>
      </c>
      <c r="U85" s="217" t="e">
        <f t="shared" si="15"/>
        <v>#DIV/0!</v>
      </c>
      <c r="V85" s="80" t="e">
        <f t="shared" si="16"/>
        <v>#DIV/0!</v>
      </c>
      <c r="W85" s="104">
        <f t="shared" si="17"/>
        <v>4.95</v>
      </c>
      <c r="X85" s="105"/>
      <c r="Y85" s="102">
        <f t="shared" si="18"/>
        <v>1.4999999999999999E-2</v>
      </c>
      <c r="Z85" s="106">
        <f t="shared" si="19"/>
        <v>1</v>
      </c>
      <c r="AA85" s="105">
        <f t="shared" ca="1" si="20"/>
        <v>1671</v>
      </c>
      <c r="AB85" s="80" t="e">
        <f t="shared" si="21"/>
        <v>#DIV/0!</v>
      </c>
      <c r="AC85" s="80" t="e">
        <f t="shared" si="22"/>
        <v>#DIV/0!</v>
      </c>
      <c r="AD85" s="104">
        <f t="shared" si="23"/>
        <v>3.98</v>
      </c>
      <c r="AF85" s="105">
        <f t="shared" ca="1" si="52"/>
        <v>1671</v>
      </c>
      <c r="AG85" s="105">
        <f t="shared" ca="1" si="53"/>
        <v>1670</v>
      </c>
      <c r="AH85" s="80">
        <f t="shared" si="24"/>
        <v>6.9229780323440002E-2</v>
      </c>
      <c r="AI85" s="182">
        <f t="shared" si="25"/>
        <v>30</v>
      </c>
      <c r="AL85" s="105"/>
      <c r="AM85" s="82"/>
      <c r="AN85" s="82">
        <f t="shared" si="26"/>
        <v>0</v>
      </c>
      <c r="AO85" s="82" t="e">
        <f t="shared" si="54"/>
        <v>#DIV/0!</v>
      </c>
      <c r="AP85" s="77">
        <f t="shared" si="27"/>
        <v>0</v>
      </c>
      <c r="AQ85" s="108">
        <f t="shared" si="28"/>
        <v>0</v>
      </c>
      <c r="AR85" s="107">
        <f t="shared" si="29"/>
        <v>0</v>
      </c>
      <c r="AS85" s="107">
        <f t="shared" si="55"/>
        <v>0</v>
      </c>
      <c r="AT85" s="107">
        <f t="shared" si="30"/>
        <v>0</v>
      </c>
      <c r="AU85" s="109">
        <f t="shared" si="56"/>
        <v>0</v>
      </c>
      <c r="AV85" s="109">
        <f t="shared" si="57"/>
        <v>0</v>
      </c>
      <c r="AW85" s="109">
        <f t="shared" si="58"/>
        <v>0</v>
      </c>
      <c r="AY85" s="82">
        <f t="shared" si="31"/>
        <v>0</v>
      </c>
      <c r="AZ85" s="82" t="e">
        <f t="shared" si="59"/>
        <v>#DIV/0!</v>
      </c>
      <c r="BA85" s="77">
        <f t="shared" si="32"/>
        <v>0</v>
      </c>
      <c r="BB85" s="108">
        <f t="shared" si="33"/>
        <v>0</v>
      </c>
      <c r="BC85" s="107">
        <f t="shared" si="34"/>
        <v>0</v>
      </c>
      <c r="BD85" s="107">
        <f t="shared" si="35"/>
        <v>0</v>
      </c>
      <c r="BE85" s="107">
        <f t="shared" si="36"/>
        <v>0</v>
      </c>
      <c r="BF85" s="109">
        <f t="shared" si="60"/>
        <v>0</v>
      </c>
      <c r="BG85" s="109">
        <f t="shared" si="61"/>
        <v>0</v>
      </c>
      <c r="BH85" s="109">
        <f t="shared" si="62"/>
        <v>0</v>
      </c>
      <c r="BJ85" s="82">
        <f t="shared" si="37"/>
        <v>0</v>
      </c>
      <c r="BK85" s="82" t="e">
        <f t="shared" si="63"/>
        <v>#DIV/0!</v>
      </c>
      <c r="BL85" s="77">
        <f t="shared" si="38"/>
        <v>0</v>
      </c>
      <c r="BM85" s="108">
        <f t="shared" si="39"/>
        <v>0</v>
      </c>
      <c r="BN85" s="107">
        <f t="shared" si="40"/>
        <v>0</v>
      </c>
      <c r="BO85" s="107">
        <f t="shared" si="41"/>
        <v>0</v>
      </c>
      <c r="BP85" s="107">
        <f t="shared" si="42"/>
        <v>0</v>
      </c>
      <c r="BQ85" s="109">
        <f t="shared" si="64"/>
        <v>0</v>
      </c>
      <c r="BR85" s="109">
        <f t="shared" si="65"/>
        <v>0</v>
      </c>
      <c r="BS85" s="109">
        <f t="shared" si="66"/>
        <v>0</v>
      </c>
      <c r="BU85" s="82">
        <f t="shared" si="43"/>
        <v>0</v>
      </c>
      <c r="BV85" s="82" t="e">
        <f t="shared" si="67"/>
        <v>#DIV/0!</v>
      </c>
      <c r="BW85" s="77">
        <f t="shared" si="44"/>
        <v>0</v>
      </c>
      <c r="BX85" s="108">
        <f t="shared" si="45"/>
        <v>0</v>
      </c>
      <c r="BY85" s="107">
        <f t="shared" si="46"/>
        <v>0</v>
      </c>
      <c r="BZ85" s="107">
        <f t="shared" si="47"/>
        <v>0</v>
      </c>
      <c r="CA85" s="107">
        <f t="shared" si="48"/>
        <v>0</v>
      </c>
      <c r="CB85" s="109">
        <f t="shared" si="68"/>
        <v>0</v>
      </c>
      <c r="CC85" s="109">
        <f t="shared" si="69"/>
        <v>0</v>
      </c>
      <c r="CD85" s="109">
        <f t="shared" si="70"/>
        <v>0</v>
      </c>
    </row>
    <row r="86" spans="1:82" x14ac:dyDescent="0.25">
      <c r="A86" s="101">
        <f t="shared" si="49"/>
        <v>38473</v>
      </c>
      <c r="B86" s="102">
        <f t="shared" si="50"/>
        <v>2.9330000000000003</v>
      </c>
      <c r="C86" s="80">
        <f t="shared" si="51"/>
        <v>0.23</v>
      </c>
      <c r="D86" s="102">
        <f t="shared" si="0"/>
        <v>-0.17</v>
      </c>
      <c r="E86" s="106">
        <f t="shared" si="1"/>
        <v>1</v>
      </c>
      <c r="F86" s="105">
        <f t="shared" ca="1" si="2"/>
        <v>1700</v>
      </c>
      <c r="G86" s="80" t="e">
        <f t="shared" si="3"/>
        <v>#DIV/0!</v>
      </c>
      <c r="H86" s="80" t="e">
        <f t="shared" si="4"/>
        <v>#DIV/0!</v>
      </c>
      <c r="I86" s="104">
        <f t="shared" si="5"/>
        <v>5</v>
      </c>
      <c r="K86" s="102">
        <f t="shared" si="6"/>
        <v>-0.17</v>
      </c>
      <c r="L86" s="106">
        <f t="shared" si="7"/>
        <v>1</v>
      </c>
      <c r="M86" s="105">
        <f t="shared" ca="1" si="8"/>
        <v>1700</v>
      </c>
      <c r="N86" s="217" t="e">
        <f t="shared" si="9"/>
        <v>#DIV/0!</v>
      </c>
      <c r="O86" s="80" t="e">
        <f t="shared" si="10"/>
        <v>#DIV/0!</v>
      </c>
      <c r="P86" s="104">
        <f t="shared" si="11"/>
        <v>5</v>
      </c>
      <c r="R86" s="102">
        <f t="shared" si="12"/>
        <v>0.17249999999999999</v>
      </c>
      <c r="S86" s="106">
        <f t="shared" si="13"/>
        <v>1</v>
      </c>
      <c r="T86" s="105">
        <f t="shared" ca="1" si="14"/>
        <v>1700</v>
      </c>
      <c r="U86" s="217" t="e">
        <f t="shared" si="15"/>
        <v>#DIV/0!</v>
      </c>
      <c r="V86" s="80" t="e">
        <f t="shared" si="16"/>
        <v>#DIV/0!</v>
      </c>
      <c r="W86" s="104">
        <f t="shared" si="17"/>
        <v>4.95</v>
      </c>
      <c r="X86" s="105"/>
      <c r="Y86" s="102">
        <f t="shared" si="18"/>
        <v>1.4999999999999999E-2</v>
      </c>
      <c r="Z86" s="106">
        <f t="shared" si="19"/>
        <v>1</v>
      </c>
      <c r="AA86" s="105">
        <f t="shared" ca="1" si="20"/>
        <v>1700</v>
      </c>
      <c r="AB86" s="80" t="e">
        <f t="shared" si="21"/>
        <v>#DIV/0!</v>
      </c>
      <c r="AC86" s="80" t="e">
        <f t="shared" si="22"/>
        <v>#DIV/0!</v>
      </c>
      <c r="AD86" s="104">
        <f t="shared" si="23"/>
        <v>3.98</v>
      </c>
      <c r="AF86" s="105">
        <f t="shared" ca="1" si="52"/>
        <v>1700</v>
      </c>
      <c r="AG86" s="105">
        <f t="shared" ca="1" si="53"/>
        <v>1699</v>
      </c>
      <c r="AH86" s="80">
        <f t="shared" si="24"/>
        <v>6.9247383551970007E-2</v>
      </c>
      <c r="AI86" s="182">
        <f t="shared" si="25"/>
        <v>31</v>
      </c>
      <c r="AL86" s="105"/>
      <c r="AM86" s="82"/>
      <c r="AN86" s="82">
        <f t="shared" si="26"/>
        <v>0</v>
      </c>
      <c r="AO86" s="82" t="e">
        <f t="shared" si="54"/>
        <v>#DIV/0!</v>
      </c>
      <c r="AP86" s="77">
        <f t="shared" si="27"/>
        <v>0</v>
      </c>
      <c r="AQ86" s="108">
        <f t="shared" si="28"/>
        <v>0</v>
      </c>
      <c r="AR86" s="107">
        <f t="shared" si="29"/>
        <v>0</v>
      </c>
      <c r="AS86" s="107">
        <f t="shared" si="55"/>
        <v>0</v>
      </c>
      <c r="AT86" s="107">
        <f t="shared" si="30"/>
        <v>0</v>
      </c>
      <c r="AU86" s="109">
        <f t="shared" si="56"/>
        <v>0</v>
      </c>
      <c r="AV86" s="109">
        <f t="shared" si="57"/>
        <v>0</v>
      </c>
      <c r="AW86" s="109">
        <f t="shared" si="58"/>
        <v>0</v>
      </c>
      <c r="AY86" s="82">
        <f t="shared" si="31"/>
        <v>0</v>
      </c>
      <c r="AZ86" s="82" t="e">
        <f t="shared" si="59"/>
        <v>#DIV/0!</v>
      </c>
      <c r="BA86" s="77">
        <f t="shared" si="32"/>
        <v>0</v>
      </c>
      <c r="BB86" s="108">
        <f t="shared" si="33"/>
        <v>0</v>
      </c>
      <c r="BC86" s="107">
        <f t="shared" si="34"/>
        <v>0</v>
      </c>
      <c r="BD86" s="107">
        <f t="shared" si="35"/>
        <v>0</v>
      </c>
      <c r="BE86" s="107">
        <f t="shared" si="36"/>
        <v>0</v>
      </c>
      <c r="BF86" s="109">
        <f t="shared" si="60"/>
        <v>0</v>
      </c>
      <c r="BG86" s="109">
        <f t="shared" si="61"/>
        <v>0</v>
      </c>
      <c r="BH86" s="109">
        <f t="shared" si="62"/>
        <v>0</v>
      </c>
      <c r="BJ86" s="82">
        <f t="shared" si="37"/>
        <v>0</v>
      </c>
      <c r="BK86" s="82" t="e">
        <f t="shared" si="63"/>
        <v>#DIV/0!</v>
      </c>
      <c r="BL86" s="77">
        <f t="shared" si="38"/>
        <v>0</v>
      </c>
      <c r="BM86" s="108">
        <f t="shared" si="39"/>
        <v>0</v>
      </c>
      <c r="BN86" s="107">
        <f t="shared" si="40"/>
        <v>0</v>
      </c>
      <c r="BO86" s="107">
        <f t="shared" si="41"/>
        <v>0</v>
      </c>
      <c r="BP86" s="107">
        <f t="shared" si="42"/>
        <v>0</v>
      </c>
      <c r="BQ86" s="109">
        <f t="shared" si="64"/>
        <v>0</v>
      </c>
      <c r="BR86" s="109">
        <f t="shared" si="65"/>
        <v>0</v>
      </c>
      <c r="BS86" s="109">
        <f t="shared" si="66"/>
        <v>0</v>
      </c>
      <c r="BU86" s="82">
        <f t="shared" si="43"/>
        <v>0</v>
      </c>
      <c r="BV86" s="82" t="e">
        <f t="shared" si="67"/>
        <v>#DIV/0!</v>
      </c>
      <c r="BW86" s="77">
        <f t="shared" si="44"/>
        <v>0</v>
      </c>
      <c r="BX86" s="108">
        <f t="shared" si="45"/>
        <v>0</v>
      </c>
      <c r="BY86" s="107">
        <f t="shared" si="46"/>
        <v>0</v>
      </c>
      <c r="BZ86" s="107">
        <f t="shared" si="47"/>
        <v>0</v>
      </c>
      <c r="CA86" s="107">
        <f t="shared" si="48"/>
        <v>0</v>
      </c>
      <c r="CB86" s="109">
        <f t="shared" si="68"/>
        <v>0</v>
      </c>
      <c r="CC86" s="109">
        <f t="shared" si="69"/>
        <v>0</v>
      </c>
      <c r="CD86" s="109">
        <f t="shared" si="70"/>
        <v>0</v>
      </c>
    </row>
    <row r="87" spans="1:82" x14ac:dyDescent="0.25">
      <c r="A87" s="101">
        <f t="shared" si="49"/>
        <v>38504</v>
      </c>
      <c r="B87" s="102">
        <f t="shared" si="50"/>
        <v>2.9550000000000001</v>
      </c>
      <c r="C87" s="80">
        <f t="shared" si="51"/>
        <v>0.23</v>
      </c>
      <c r="D87" s="102">
        <f t="shared" si="0"/>
        <v>-0.17</v>
      </c>
      <c r="E87" s="106">
        <f t="shared" si="1"/>
        <v>1</v>
      </c>
      <c r="F87" s="105">
        <f t="shared" ca="1" si="2"/>
        <v>1729</v>
      </c>
      <c r="G87" s="80" t="e">
        <f t="shared" si="3"/>
        <v>#DIV/0!</v>
      </c>
      <c r="H87" s="80" t="e">
        <f t="shared" si="4"/>
        <v>#DIV/0!</v>
      </c>
      <c r="I87" s="104">
        <f t="shared" si="5"/>
        <v>5</v>
      </c>
      <c r="K87" s="102">
        <f t="shared" si="6"/>
        <v>-0.17</v>
      </c>
      <c r="L87" s="106">
        <f t="shared" si="7"/>
        <v>1</v>
      </c>
      <c r="M87" s="105">
        <f t="shared" ca="1" si="8"/>
        <v>1729</v>
      </c>
      <c r="N87" s="217" t="e">
        <f t="shared" si="9"/>
        <v>#DIV/0!</v>
      </c>
      <c r="O87" s="80" t="e">
        <f t="shared" si="10"/>
        <v>#DIV/0!</v>
      </c>
      <c r="P87" s="104">
        <f t="shared" si="11"/>
        <v>5</v>
      </c>
      <c r="R87" s="102">
        <f t="shared" si="12"/>
        <v>0.16750000000000001</v>
      </c>
      <c r="S87" s="106">
        <f t="shared" si="13"/>
        <v>1</v>
      </c>
      <c r="T87" s="105">
        <f t="shared" ca="1" si="14"/>
        <v>1729</v>
      </c>
      <c r="U87" s="217" t="e">
        <f t="shared" si="15"/>
        <v>#DIV/0!</v>
      </c>
      <c r="V87" s="80" t="e">
        <f t="shared" si="16"/>
        <v>#DIV/0!</v>
      </c>
      <c r="W87" s="104">
        <f t="shared" si="17"/>
        <v>4.95</v>
      </c>
      <c r="X87" s="105"/>
      <c r="Y87" s="102">
        <f t="shared" si="18"/>
        <v>0.02</v>
      </c>
      <c r="Z87" s="106">
        <f t="shared" si="19"/>
        <v>1</v>
      </c>
      <c r="AA87" s="105">
        <f t="shared" ca="1" si="20"/>
        <v>1729</v>
      </c>
      <c r="AB87" s="80" t="e">
        <f t="shared" si="21"/>
        <v>#DIV/0!</v>
      </c>
      <c r="AC87" s="80" t="e">
        <f t="shared" si="22"/>
        <v>#DIV/0!</v>
      </c>
      <c r="AD87" s="104">
        <f t="shared" si="23"/>
        <v>3.98</v>
      </c>
      <c r="AF87" s="105">
        <f t="shared" ca="1" si="52"/>
        <v>1729</v>
      </c>
      <c r="AG87" s="105">
        <f t="shared" ca="1" si="53"/>
        <v>1728</v>
      </c>
      <c r="AH87" s="80">
        <f t="shared" si="24"/>
        <v>6.9265573554892018E-2</v>
      </c>
      <c r="AI87" s="182">
        <f t="shared" si="25"/>
        <v>30</v>
      </c>
      <c r="AL87" s="105"/>
      <c r="AM87" s="82"/>
      <c r="AN87" s="82">
        <f t="shared" si="26"/>
        <v>0</v>
      </c>
      <c r="AO87" s="82" t="e">
        <f t="shared" si="54"/>
        <v>#DIV/0!</v>
      </c>
      <c r="AP87" s="77">
        <f t="shared" si="27"/>
        <v>0</v>
      </c>
      <c r="AQ87" s="108">
        <f t="shared" si="28"/>
        <v>0</v>
      </c>
      <c r="AR87" s="107">
        <f t="shared" si="29"/>
        <v>0</v>
      </c>
      <c r="AS87" s="107">
        <f t="shared" si="55"/>
        <v>0</v>
      </c>
      <c r="AT87" s="107">
        <f t="shared" si="30"/>
        <v>0</v>
      </c>
      <c r="AU87" s="109">
        <f t="shared" si="56"/>
        <v>0</v>
      </c>
      <c r="AV87" s="109">
        <f t="shared" si="57"/>
        <v>0</v>
      </c>
      <c r="AW87" s="109">
        <f t="shared" si="58"/>
        <v>0</v>
      </c>
      <c r="AY87" s="82">
        <f t="shared" si="31"/>
        <v>0</v>
      </c>
      <c r="AZ87" s="82" t="e">
        <f t="shared" si="59"/>
        <v>#DIV/0!</v>
      </c>
      <c r="BA87" s="77">
        <f t="shared" si="32"/>
        <v>0</v>
      </c>
      <c r="BB87" s="108">
        <f t="shared" si="33"/>
        <v>0</v>
      </c>
      <c r="BC87" s="107">
        <f t="shared" si="34"/>
        <v>0</v>
      </c>
      <c r="BD87" s="107">
        <f t="shared" si="35"/>
        <v>0</v>
      </c>
      <c r="BE87" s="107">
        <f t="shared" si="36"/>
        <v>0</v>
      </c>
      <c r="BF87" s="109">
        <f t="shared" si="60"/>
        <v>0</v>
      </c>
      <c r="BG87" s="109">
        <f t="shared" si="61"/>
        <v>0</v>
      </c>
      <c r="BH87" s="109">
        <f t="shared" si="62"/>
        <v>0</v>
      </c>
      <c r="BJ87" s="82">
        <f t="shared" si="37"/>
        <v>0</v>
      </c>
      <c r="BK87" s="82" t="e">
        <f t="shared" si="63"/>
        <v>#DIV/0!</v>
      </c>
      <c r="BL87" s="77">
        <f t="shared" si="38"/>
        <v>0</v>
      </c>
      <c r="BM87" s="108">
        <f t="shared" si="39"/>
        <v>0</v>
      </c>
      <c r="BN87" s="107">
        <f t="shared" si="40"/>
        <v>0</v>
      </c>
      <c r="BO87" s="107">
        <f t="shared" si="41"/>
        <v>0</v>
      </c>
      <c r="BP87" s="107">
        <f t="shared" si="42"/>
        <v>0</v>
      </c>
      <c r="BQ87" s="109">
        <f t="shared" si="64"/>
        <v>0</v>
      </c>
      <c r="BR87" s="109">
        <f t="shared" si="65"/>
        <v>0</v>
      </c>
      <c r="BS87" s="109">
        <f t="shared" si="66"/>
        <v>0</v>
      </c>
      <c r="BU87" s="82">
        <f t="shared" si="43"/>
        <v>0</v>
      </c>
      <c r="BV87" s="82" t="e">
        <f t="shared" si="67"/>
        <v>#DIV/0!</v>
      </c>
      <c r="BW87" s="77">
        <f t="shared" si="44"/>
        <v>0</v>
      </c>
      <c r="BX87" s="108">
        <f t="shared" si="45"/>
        <v>0</v>
      </c>
      <c r="BY87" s="107">
        <f t="shared" si="46"/>
        <v>0</v>
      </c>
      <c r="BZ87" s="107">
        <f t="shared" si="47"/>
        <v>0</v>
      </c>
      <c r="CA87" s="107">
        <f t="shared" si="48"/>
        <v>0</v>
      </c>
      <c r="CB87" s="109">
        <f t="shared" si="68"/>
        <v>0</v>
      </c>
      <c r="CC87" s="109">
        <f t="shared" si="69"/>
        <v>0</v>
      </c>
      <c r="CD87" s="109">
        <f t="shared" si="70"/>
        <v>0</v>
      </c>
    </row>
    <row r="88" spans="1:82" x14ac:dyDescent="0.25">
      <c r="A88" s="101">
        <f t="shared" si="49"/>
        <v>38534</v>
      </c>
      <c r="B88" s="102">
        <f t="shared" si="50"/>
        <v>2.9769999999999999</v>
      </c>
      <c r="C88" s="80">
        <f t="shared" si="51"/>
        <v>0.23</v>
      </c>
      <c r="D88" s="102">
        <f t="shared" si="0"/>
        <v>-0.17</v>
      </c>
      <c r="E88" s="106">
        <f t="shared" si="1"/>
        <v>1</v>
      </c>
      <c r="F88" s="105">
        <f t="shared" ca="1" si="2"/>
        <v>1762</v>
      </c>
      <c r="G88" s="80" t="e">
        <f t="shared" si="3"/>
        <v>#DIV/0!</v>
      </c>
      <c r="H88" s="80" t="e">
        <f t="shared" si="4"/>
        <v>#DIV/0!</v>
      </c>
      <c r="I88" s="104">
        <f t="shared" si="5"/>
        <v>5</v>
      </c>
      <c r="K88" s="102">
        <f t="shared" si="6"/>
        <v>-0.17</v>
      </c>
      <c r="L88" s="106">
        <f t="shared" si="7"/>
        <v>1</v>
      </c>
      <c r="M88" s="105">
        <f t="shared" ca="1" si="8"/>
        <v>1762</v>
      </c>
      <c r="N88" s="217" t="e">
        <f t="shared" si="9"/>
        <v>#DIV/0!</v>
      </c>
      <c r="O88" s="80" t="e">
        <f t="shared" si="10"/>
        <v>#DIV/0!</v>
      </c>
      <c r="P88" s="104">
        <f t="shared" si="11"/>
        <v>5</v>
      </c>
      <c r="R88" s="102">
        <f t="shared" si="12"/>
        <v>0.1575</v>
      </c>
      <c r="S88" s="106">
        <f t="shared" si="13"/>
        <v>1</v>
      </c>
      <c r="T88" s="105">
        <f t="shared" ca="1" si="14"/>
        <v>1762</v>
      </c>
      <c r="U88" s="217" t="e">
        <f t="shared" si="15"/>
        <v>#DIV/0!</v>
      </c>
      <c r="V88" s="80" t="e">
        <f t="shared" si="16"/>
        <v>#DIV/0!</v>
      </c>
      <c r="W88" s="104">
        <f t="shared" si="17"/>
        <v>4.95</v>
      </c>
      <c r="X88" s="105"/>
      <c r="Y88" s="102">
        <f t="shared" si="18"/>
        <v>2.2499999999999999E-2</v>
      </c>
      <c r="Z88" s="106">
        <f t="shared" si="19"/>
        <v>1</v>
      </c>
      <c r="AA88" s="105">
        <f t="shared" ca="1" si="20"/>
        <v>1762</v>
      </c>
      <c r="AB88" s="80" t="e">
        <f t="shared" si="21"/>
        <v>#DIV/0!</v>
      </c>
      <c r="AC88" s="80" t="e">
        <f t="shared" si="22"/>
        <v>#DIV/0!</v>
      </c>
      <c r="AD88" s="104">
        <f t="shared" si="23"/>
        <v>3.98</v>
      </c>
      <c r="AF88" s="105">
        <f t="shared" ca="1" si="52"/>
        <v>1762</v>
      </c>
      <c r="AG88" s="105">
        <f t="shared" ca="1" si="53"/>
        <v>1761</v>
      </c>
      <c r="AH88" s="80">
        <f t="shared" si="24"/>
        <v>6.9283176783631023E-2</v>
      </c>
      <c r="AI88" s="182">
        <f t="shared" si="25"/>
        <v>31</v>
      </c>
      <c r="AL88" s="105"/>
      <c r="AM88" s="82"/>
      <c r="AN88" s="82">
        <f t="shared" si="26"/>
        <v>0</v>
      </c>
      <c r="AO88" s="82" t="e">
        <f t="shared" si="54"/>
        <v>#DIV/0!</v>
      </c>
      <c r="AP88" s="77">
        <f t="shared" si="27"/>
        <v>0</v>
      </c>
      <c r="AQ88" s="108">
        <f t="shared" si="28"/>
        <v>0</v>
      </c>
      <c r="AR88" s="107">
        <f t="shared" si="29"/>
        <v>0</v>
      </c>
      <c r="AS88" s="107">
        <f t="shared" si="55"/>
        <v>0</v>
      </c>
      <c r="AT88" s="107">
        <f t="shared" si="30"/>
        <v>0</v>
      </c>
      <c r="AU88" s="109">
        <f t="shared" si="56"/>
        <v>0</v>
      </c>
      <c r="AV88" s="109">
        <f t="shared" si="57"/>
        <v>0</v>
      </c>
      <c r="AW88" s="109">
        <f t="shared" si="58"/>
        <v>0</v>
      </c>
      <c r="AY88" s="82">
        <f t="shared" si="31"/>
        <v>0</v>
      </c>
      <c r="AZ88" s="82" t="e">
        <f t="shared" si="59"/>
        <v>#DIV/0!</v>
      </c>
      <c r="BA88" s="77">
        <f t="shared" si="32"/>
        <v>0</v>
      </c>
      <c r="BB88" s="108">
        <f t="shared" si="33"/>
        <v>0</v>
      </c>
      <c r="BC88" s="107">
        <f t="shared" si="34"/>
        <v>0</v>
      </c>
      <c r="BD88" s="107">
        <f t="shared" si="35"/>
        <v>0</v>
      </c>
      <c r="BE88" s="107">
        <f t="shared" si="36"/>
        <v>0</v>
      </c>
      <c r="BF88" s="109">
        <f t="shared" si="60"/>
        <v>0</v>
      </c>
      <c r="BG88" s="109">
        <f t="shared" si="61"/>
        <v>0</v>
      </c>
      <c r="BH88" s="109">
        <f t="shared" si="62"/>
        <v>0</v>
      </c>
      <c r="BJ88" s="82">
        <f t="shared" si="37"/>
        <v>0</v>
      </c>
      <c r="BK88" s="82" t="e">
        <f t="shared" si="63"/>
        <v>#DIV/0!</v>
      </c>
      <c r="BL88" s="77">
        <f t="shared" si="38"/>
        <v>0</v>
      </c>
      <c r="BM88" s="108">
        <f t="shared" si="39"/>
        <v>0</v>
      </c>
      <c r="BN88" s="107">
        <f t="shared" si="40"/>
        <v>0</v>
      </c>
      <c r="BO88" s="107">
        <f t="shared" si="41"/>
        <v>0</v>
      </c>
      <c r="BP88" s="107">
        <f t="shared" si="42"/>
        <v>0</v>
      </c>
      <c r="BQ88" s="109">
        <f t="shared" si="64"/>
        <v>0</v>
      </c>
      <c r="BR88" s="109">
        <f t="shared" si="65"/>
        <v>0</v>
      </c>
      <c r="BS88" s="109">
        <f t="shared" si="66"/>
        <v>0</v>
      </c>
      <c r="BU88" s="82">
        <f t="shared" si="43"/>
        <v>0</v>
      </c>
      <c r="BV88" s="82" t="e">
        <f t="shared" si="67"/>
        <v>#DIV/0!</v>
      </c>
      <c r="BW88" s="77">
        <f t="shared" si="44"/>
        <v>0</v>
      </c>
      <c r="BX88" s="108">
        <f t="shared" si="45"/>
        <v>0</v>
      </c>
      <c r="BY88" s="107">
        <f t="shared" si="46"/>
        <v>0</v>
      </c>
      <c r="BZ88" s="107">
        <f t="shared" si="47"/>
        <v>0</v>
      </c>
      <c r="CA88" s="107">
        <f t="shared" si="48"/>
        <v>0</v>
      </c>
      <c r="CB88" s="109">
        <f t="shared" si="68"/>
        <v>0</v>
      </c>
      <c r="CC88" s="109">
        <f t="shared" si="69"/>
        <v>0</v>
      </c>
      <c r="CD88" s="109">
        <f t="shared" si="70"/>
        <v>0</v>
      </c>
    </row>
    <row r="89" spans="1:82" x14ac:dyDescent="0.25">
      <c r="A89" s="101">
        <f t="shared" si="49"/>
        <v>38565</v>
      </c>
      <c r="B89" s="102">
        <f t="shared" si="50"/>
        <v>2.9980000000000002</v>
      </c>
      <c r="C89" s="80">
        <f t="shared" si="51"/>
        <v>0.23</v>
      </c>
      <c r="D89" s="102">
        <f t="shared" si="0"/>
        <v>-0.17</v>
      </c>
      <c r="E89" s="106">
        <f t="shared" si="1"/>
        <v>1</v>
      </c>
      <c r="F89" s="105">
        <f t="shared" ca="1" si="2"/>
        <v>1791</v>
      </c>
      <c r="G89" s="80" t="e">
        <f t="shared" si="3"/>
        <v>#DIV/0!</v>
      </c>
      <c r="H89" s="80" t="e">
        <f t="shared" si="4"/>
        <v>#DIV/0!</v>
      </c>
      <c r="I89" s="104">
        <f t="shared" si="5"/>
        <v>5</v>
      </c>
      <c r="K89" s="102">
        <f t="shared" si="6"/>
        <v>-0.17</v>
      </c>
      <c r="L89" s="106">
        <f t="shared" si="7"/>
        <v>1</v>
      </c>
      <c r="M89" s="105">
        <f t="shared" ca="1" si="8"/>
        <v>1791</v>
      </c>
      <c r="N89" s="217" t="e">
        <f t="shared" si="9"/>
        <v>#DIV/0!</v>
      </c>
      <c r="O89" s="80" t="e">
        <f t="shared" si="10"/>
        <v>#DIV/0!</v>
      </c>
      <c r="P89" s="104">
        <f t="shared" si="11"/>
        <v>5</v>
      </c>
      <c r="R89" s="102">
        <f t="shared" si="12"/>
        <v>0.155</v>
      </c>
      <c r="S89" s="106">
        <f t="shared" si="13"/>
        <v>1</v>
      </c>
      <c r="T89" s="105">
        <f t="shared" ca="1" si="14"/>
        <v>1791</v>
      </c>
      <c r="U89" s="217" t="e">
        <f t="shared" si="15"/>
        <v>#DIV/0!</v>
      </c>
      <c r="V89" s="80" t="e">
        <f t="shared" si="16"/>
        <v>#DIV/0!</v>
      </c>
      <c r="W89" s="104">
        <f t="shared" si="17"/>
        <v>4.95</v>
      </c>
      <c r="X89" s="105"/>
      <c r="Y89" s="102">
        <f t="shared" si="18"/>
        <v>2.5000000000000001E-2</v>
      </c>
      <c r="Z89" s="106">
        <f t="shared" si="19"/>
        <v>1</v>
      </c>
      <c r="AA89" s="105">
        <f t="shared" ca="1" si="20"/>
        <v>1791</v>
      </c>
      <c r="AB89" s="80" t="e">
        <f t="shared" si="21"/>
        <v>#DIV/0!</v>
      </c>
      <c r="AC89" s="80" t="e">
        <f t="shared" si="22"/>
        <v>#DIV/0!</v>
      </c>
      <c r="AD89" s="104">
        <f t="shared" si="23"/>
        <v>3.98</v>
      </c>
      <c r="AF89" s="105">
        <f t="shared" ca="1" si="52"/>
        <v>1791</v>
      </c>
      <c r="AG89" s="105">
        <f t="shared" ca="1" si="53"/>
        <v>1790</v>
      </c>
      <c r="AH89" s="80">
        <f t="shared" si="24"/>
        <v>6.9301366786768015E-2</v>
      </c>
      <c r="AI89" s="182">
        <f t="shared" si="25"/>
        <v>31</v>
      </c>
      <c r="AL89" s="105"/>
      <c r="AM89" s="82"/>
      <c r="AN89" s="82">
        <f t="shared" si="26"/>
        <v>0</v>
      </c>
      <c r="AO89" s="82" t="e">
        <f t="shared" si="54"/>
        <v>#DIV/0!</v>
      </c>
      <c r="AP89" s="77">
        <f t="shared" si="27"/>
        <v>0</v>
      </c>
      <c r="AQ89" s="108">
        <f t="shared" si="28"/>
        <v>0</v>
      </c>
      <c r="AR89" s="107">
        <f t="shared" si="29"/>
        <v>0</v>
      </c>
      <c r="AS89" s="107">
        <f t="shared" si="55"/>
        <v>0</v>
      </c>
      <c r="AT89" s="107">
        <f t="shared" si="30"/>
        <v>0</v>
      </c>
      <c r="AU89" s="109">
        <f t="shared" si="56"/>
        <v>0</v>
      </c>
      <c r="AV89" s="109">
        <f t="shared" si="57"/>
        <v>0</v>
      </c>
      <c r="AW89" s="109">
        <f t="shared" si="58"/>
        <v>0</v>
      </c>
      <c r="AY89" s="82">
        <f t="shared" si="31"/>
        <v>0</v>
      </c>
      <c r="AZ89" s="82" t="e">
        <f t="shared" si="59"/>
        <v>#DIV/0!</v>
      </c>
      <c r="BA89" s="77">
        <f t="shared" si="32"/>
        <v>0</v>
      </c>
      <c r="BB89" s="108">
        <f t="shared" si="33"/>
        <v>0</v>
      </c>
      <c r="BC89" s="107">
        <f t="shared" si="34"/>
        <v>0</v>
      </c>
      <c r="BD89" s="107">
        <f t="shared" si="35"/>
        <v>0</v>
      </c>
      <c r="BE89" s="107">
        <f t="shared" si="36"/>
        <v>0</v>
      </c>
      <c r="BF89" s="109">
        <f t="shared" si="60"/>
        <v>0</v>
      </c>
      <c r="BG89" s="109">
        <f t="shared" si="61"/>
        <v>0</v>
      </c>
      <c r="BH89" s="109">
        <f t="shared" si="62"/>
        <v>0</v>
      </c>
      <c r="BJ89" s="82">
        <f t="shared" si="37"/>
        <v>0</v>
      </c>
      <c r="BK89" s="82" t="e">
        <f t="shared" si="63"/>
        <v>#DIV/0!</v>
      </c>
      <c r="BL89" s="77">
        <f t="shared" si="38"/>
        <v>0</v>
      </c>
      <c r="BM89" s="108">
        <f t="shared" si="39"/>
        <v>0</v>
      </c>
      <c r="BN89" s="107">
        <f t="shared" si="40"/>
        <v>0</v>
      </c>
      <c r="BO89" s="107">
        <f t="shared" si="41"/>
        <v>0</v>
      </c>
      <c r="BP89" s="107">
        <f t="shared" si="42"/>
        <v>0</v>
      </c>
      <c r="BQ89" s="109">
        <f t="shared" si="64"/>
        <v>0</v>
      </c>
      <c r="BR89" s="109">
        <f t="shared" si="65"/>
        <v>0</v>
      </c>
      <c r="BS89" s="109">
        <f t="shared" si="66"/>
        <v>0</v>
      </c>
      <c r="BU89" s="82">
        <f t="shared" si="43"/>
        <v>0</v>
      </c>
      <c r="BV89" s="82" t="e">
        <f t="shared" si="67"/>
        <v>#DIV/0!</v>
      </c>
      <c r="BW89" s="77">
        <f t="shared" si="44"/>
        <v>0</v>
      </c>
      <c r="BX89" s="108">
        <f t="shared" si="45"/>
        <v>0</v>
      </c>
      <c r="BY89" s="107">
        <f t="shared" si="46"/>
        <v>0</v>
      </c>
      <c r="BZ89" s="107">
        <f t="shared" si="47"/>
        <v>0</v>
      </c>
      <c r="CA89" s="107">
        <f t="shared" si="48"/>
        <v>0</v>
      </c>
      <c r="CB89" s="109">
        <f t="shared" si="68"/>
        <v>0</v>
      </c>
      <c r="CC89" s="109">
        <f t="shared" si="69"/>
        <v>0</v>
      </c>
      <c r="CD89" s="109">
        <f t="shared" si="70"/>
        <v>0</v>
      </c>
    </row>
    <row r="90" spans="1:82" x14ac:dyDescent="0.25">
      <c r="A90" s="101">
        <f t="shared" si="49"/>
        <v>38596</v>
      </c>
      <c r="B90" s="102">
        <f t="shared" si="50"/>
        <v>2.9860000000000002</v>
      </c>
      <c r="C90" s="80">
        <f t="shared" si="51"/>
        <v>0.23</v>
      </c>
      <c r="D90" s="102">
        <f t="shared" si="0"/>
        <v>-0.17</v>
      </c>
      <c r="E90" s="106">
        <f t="shared" si="1"/>
        <v>1</v>
      </c>
      <c r="F90" s="105">
        <f t="shared" ca="1" si="2"/>
        <v>1824</v>
      </c>
      <c r="G90" s="80" t="e">
        <f t="shared" si="3"/>
        <v>#DIV/0!</v>
      </c>
      <c r="H90" s="80" t="e">
        <f t="shared" si="4"/>
        <v>#DIV/0!</v>
      </c>
      <c r="I90" s="104">
        <f t="shared" si="5"/>
        <v>5</v>
      </c>
      <c r="K90" s="102">
        <f t="shared" si="6"/>
        <v>-0.17</v>
      </c>
      <c r="L90" s="106">
        <f t="shared" si="7"/>
        <v>1</v>
      </c>
      <c r="M90" s="105">
        <f t="shared" ca="1" si="8"/>
        <v>1824</v>
      </c>
      <c r="N90" s="217" t="e">
        <f t="shared" si="9"/>
        <v>#DIV/0!</v>
      </c>
      <c r="O90" s="80" t="e">
        <f t="shared" si="10"/>
        <v>#DIV/0!</v>
      </c>
      <c r="P90" s="104">
        <f t="shared" si="11"/>
        <v>5</v>
      </c>
      <c r="R90" s="102">
        <f t="shared" si="12"/>
        <v>0.1525</v>
      </c>
      <c r="S90" s="106">
        <f t="shared" si="13"/>
        <v>1</v>
      </c>
      <c r="T90" s="105">
        <f t="shared" ca="1" si="14"/>
        <v>1824</v>
      </c>
      <c r="U90" s="217" t="e">
        <f t="shared" si="15"/>
        <v>#DIV/0!</v>
      </c>
      <c r="V90" s="80" t="e">
        <f t="shared" si="16"/>
        <v>#DIV/0!</v>
      </c>
      <c r="W90" s="104">
        <f t="shared" si="17"/>
        <v>4.95</v>
      </c>
      <c r="X90" s="105"/>
      <c r="Y90" s="102">
        <f t="shared" si="18"/>
        <v>1.7500000000000002E-2</v>
      </c>
      <c r="Z90" s="106">
        <f t="shared" si="19"/>
        <v>1</v>
      </c>
      <c r="AA90" s="105">
        <f t="shared" ca="1" si="20"/>
        <v>1824</v>
      </c>
      <c r="AB90" s="80" t="e">
        <f t="shared" si="21"/>
        <v>#DIV/0!</v>
      </c>
      <c r="AC90" s="80" t="e">
        <f t="shared" si="22"/>
        <v>#DIV/0!</v>
      </c>
      <c r="AD90" s="104">
        <f t="shared" si="23"/>
        <v>3.98</v>
      </c>
      <c r="AF90" s="105">
        <f t="shared" ca="1" si="52"/>
        <v>1824</v>
      </c>
      <c r="AG90" s="105">
        <f t="shared" ca="1" si="53"/>
        <v>1821</v>
      </c>
      <c r="AH90" s="80">
        <f t="shared" si="24"/>
        <v>6.9319556790016015E-2</v>
      </c>
      <c r="AI90" s="182">
        <f t="shared" si="25"/>
        <v>30</v>
      </c>
      <c r="AL90" s="105"/>
      <c r="AM90" s="82"/>
      <c r="AN90" s="82">
        <f t="shared" si="26"/>
        <v>0</v>
      </c>
      <c r="AO90" s="82" t="e">
        <f t="shared" si="54"/>
        <v>#DIV/0!</v>
      </c>
      <c r="AP90" s="77">
        <f t="shared" si="27"/>
        <v>0</v>
      </c>
      <c r="AQ90" s="108">
        <f t="shared" si="28"/>
        <v>0</v>
      </c>
      <c r="AR90" s="107">
        <f t="shared" si="29"/>
        <v>0</v>
      </c>
      <c r="AS90" s="107">
        <f t="shared" si="55"/>
        <v>0</v>
      </c>
      <c r="AT90" s="107">
        <f t="shared" si="30"/>
        <v>0</v>
      </c>
      <c r="AU90" s="109">
        <f t="shared" si="56"/>
        <v>0</v>
      </c>
      <c r="AV90" s="109">
        <f t="shared" si="57"/>
        <v>0</v>
      </c>
      <c r="AW90" s="109">
        <f t="shared" si="58"/>
        <v>0</v>
      </c>
      <c r="AY90" s="82">
        <f t="shared" si="31"/>
        <v>0</v>
      </c>
      <c r="AZ90" s="82" t="e">
        <f t="shared" si="59"/>
        <v>#DIV/0!</v>
      </c>
      <c r="BA90" s="77">
        <f t="shared" si="32"/>
        <v>0</v>
      </c>
      <c r="BB90" s="108">
        <f t="shared" si="33"/>
        <v>0</v>
      </c>
      <c r="BC90" s="107">
        <f t="shared" si="34"/>
        <v>0</v>
      </c>
      <c r="BD90" s="107">
        <f t="shared" si="35"/>
        <v>0</v>
      </c>
      <c r="BE90" s="107">
        <f t="shared" si="36"/>
        <v>0</v>
      </c>
      <c r="BF90" s="109">
        <f t="shared" si="60"/>
        <v>0</v>
      </c>
      <c r="BG90" s="109">
        <f t="shared" si="61"/>
        <v>0</v>
      </c>
      <c r="BH90" s="109">
        <f t="shared" si="62"/>
        <v>0</v>
      </c>
      <c r="BJ90" s="82">
        <f t="shared" si="37"/>
        <v>0</v>
      </c>
      <c r="BK90" s="82" t="e">
        <f t="shared" si="63"/>
        <v>#DIV/0!</v>
      </c>
      <c r="BL90" s="77">
        <f t="shared" si="38"/>
        <v>0</v>
      </c>
      <c r="BM90" s="108">
        <f t="shared" si="39"/>
        <v>0</v>
      </c>
      <c r="BN90" s="107">
        <f t="shared" si="40"/>
        <v>0</v>
      </c>
      <c r="BO90" s="107">
        <f t="shared" si="41"/>
        <v>0</v>
      </c>
      <c r="BP90" s="107">
        <f t="shared" si="42"/>
        <v>0</v>
      </c>
      <c r="BQ90" s="109">
        <f t="shared" si="64"/>
        <v>0</v>
      </c>
      <c r="BR90" s="109">
        <f t="shared" si="65"/>
        <v>0</v>
      </c>
      <c r="BS90" s="109">
        <f t="shared" si="66"/>
        <v>0</v>
      </c>
      <c r="BU90" s="82">
        <f t="shared" si="43"/>
        <v>0</v>
      </c>
      <c r="BV90" s="82" t="e">
        <f t="shared" si="67"/>
        <v>#DIV/0!</v>
      </c>
      <c r="BW90" s="77">
        <f t="shared" si="44"/>
        <v>0</v>
      </c>
      <c r="BX90" s="108">
        <f t="shared" si="45"/>
        <v>0</v>
      </c>
      <c r="BY90" s="107">
        <f t="shared" si="46"/>
        <v>0</v>
      </c>
      <c r="BZ90" s="107">
        <f t="shared" si="47"/>
        <v>0</v>
      </c>
      <c r="CA90" s="107">
        <f t="shared" si="48"/>
        <v>0</v>
      </c>
      <c r="CB90" s="109">
        <f t="shared" si="68"/>
        <v>0</v>
      </c>
      <c r="CC90" s="109">
        <f t="shared" si="69"/>
        <v>0</v>
      </c>
      <c r="CD90" s="109">
        <f t="shared" si="70"/>
        <v>0</v>
      </c>
    </row>
    <row r="91" spans="1:82" x14ac:dyDescent="0.25">
      <c r="A91" s="101">
        <f t="shared" si="49"/>
        <v>38626</v>
      </c>
      <c r="B91" s="102">
        <f t="shared" si="50"/>
        <v>2.9890000000000003</v>
      </c>
      <c r="C91" s="80">
        <f t="shared" si="51"/>
        <v>0.23</v>
      </c>
      <c r="D91" s="102">
        <f t="shared" si="0"/>
        <v>-0.17</v>
      </c>
      <c r="E91" s="106">
        <f t="shared" si="1"/>
        <v>1</v>
      </c>
      <c r="F91" s="105">
        <f t="shared" ca="1" si="2"/>
        <v>1854</v>
      </c>
      <c r="G91" s="80" t="e">
        <f t="shared" si="3"/>
        <v>#DIV/0!</v>
      </c>
      <c r="H91" s="80" t="e">
        <f t="shared" si="4"/>
        <v>#DIV/0!</v>
      </c>
      <c r="I91" s="104">
        <f t="shared" si="5"/>
        <v>5</v>
      </c>
      <c r="K91" s="102">
        <f t="shared" si="6"/>
        <v>-0.17</v>
      </c>
      <c r="L91" s="106">
        <f t="shared" si="7"/>
        <v>1</v>
      </c>
      <c r="M91" s="105">
        <f t="shared" ca="1" si="8"/>
        <v>1854</v>
      </c>
      <c r="N91" s="217" t="e">
        <f t="shared" si="9"/>
        <v>#DIV/0!</v>
      </c>
      <c r="O91" s="80" t="e">
        <f t="shared" si="10"/>
        <v>#DIV/0!</v>
      </c>
      <c r="P91" s="104">
        <f t="shared" si="11"/>
        <v>5</v>
      </c>
      <c r="R91" s="102">
        <f t="shared" si="12"/>
        <v>0.16750000000000001</v>
      </c>
      <c r="S91" s="106">
        <f t="shared" si="13"/>
        <v>1</v>
      </c>
      <c r="T91" s="105">
        <f t="shared" ca="1" si="14"/>
        <v>1854</v>
      </c>
      <c r="U91" s="217" t="e">
        <f t="shared" si="15"/>
        <v>#DIV/0!</v>
      </c>
      <c r="V91" s="80" t="e">
        <f t="shared" si="16"/>
        <v>#DIV/0!</v>
      </c>
      <c r="W91" s="104">
        <f t="shared" si="17"/>
        <v>4.95</v>
      </c>
      <c r="X91" s="105"/>
      <c r="Y91" s="102">
        <f t="shared" si="18"/>
        <v>7.4999999999999997E-3</v>
      </c>
      <c r="Z91" s="106">
        <f t="shared" si="19"/>
        <v>1</v>
      </c>
      <c r="AA91" s="105">
        <f t="shared" ca="1" si="20"/>
        <v>1854</v>
      </c>
      <c r="AB91" s="80" t="e">
        <f t="shared" si="21"/>
        <v>#DIV/0!</v>
      </c>
      <c r="AC91" s="80" t="e">
        <f t="shared" si="22"/>
        <v>#DIV/0!</v>
      </c>
      <c r="AD91" s="104">
        <f t="shared" si="23"/>
        <v>3.98</v>
      </c>
      <c r="AF91" s="105">
        <f t="shared" ca="1" si="52"/>
        <v>1854</v>
      </c>
      <c r="AG91" s="105">
        <f t="shared" ca="1" si="53"/>
        <v>1853</v>
      </c>
      <c r="AH91" s="80">
        <f t="shared" si="24"/>
        <v>6.9335600640494002E-2</v>
      </c>
      <c r="AI91" s="182">
        <f t="shared" si="25"/>
        <v>31</v>
      </c>
      <c r="AL91" s="105"/>
      <c r="AM91" s="82"/>
      <c r="AN91" s="82">
        <f t="shared" si="26"/>
        <v>0</v>
      </c>
      <c r="AO91" s="82" t="e">
        <f t="shared" si="54"/>
        <v>#DIV/0!</v>
      </c>
      <c r="AP91" s="77">
        <f t="shared" si="27"/>
        <v>0</v>
      </c>
      <c r="AQ91" s="108">
        <f t="shared" si="28"/>
        <v>0</v>
      </c>
      <c r="AR91" s="107">
        <f t="shared" si="29"/>
        <v>0</v>
      </c>
      <c r="AS91" s="107">
        <f t="shared" si="55"/>
        <v>0</v>
      </c>
      <c r="AT91" s="107">
        <f t="shared" si="30"/>
        <v>0</v>
      </c>
      <c r="AU91" s="109">
        <f t="shared" si="56"/>
        <v>0</v>
      </c>
      <c r="AV91" s="109">
        <f t="shared" si="57"/>
        <v>0</v>
      </c>
      <c r="AW91" s="109">
        <f t="shared" si="58"/>
        <v>0</v>
      </c>
      <c r="AY91" s="82">
        <f t="shared" si="31"/>
        <v>0</v>
      </c>
      <c r="AZ91" s="82" t="e">
        <f t="shared" si="59"/>
        <v>#DIV/0!</v>
      </c>
      <c r="BA91" s="77">
        <f t="shared" si="32"/>
        <v>0</v>
      </c>
      <c r="BB91" s="108">
        <f t="shared" si="33"/>
        <v>0</v>
      </c>
      <c r="BC91" s="107">
        <f t="shared" si="34"/>
        <v>0</v>
      </c>
      <c r="BD91" s="107">
        <f t="shared" si="35"/>
        <v>0</v>
      </c>
      <c r="BE91" s="107">
        <f t="shared" si="36"/>
        <v>0</v>
      </c>
      <c r="BF91" s="109">
        <f t="shared" si="60"/>
        <v>0</v>
      </c>
      <c r="BG91" s="109">
        <f t="shared" si="61"/>
        <v>0</v>
      </c>
      <c r="BH91" s="109">
        <f t="shared" si="62"/>
        <v>0</v>
      </c>
      <c r="BJ91" s="82">
        <f t="shared" si="37"/>
        <v>0</v>
      </c>
      <c r="BK91" s="82" t="e">
        <f t="shared" si="63"/>
        <v>#DIV/0!</v>
      </c>
      <c r="BL91" s="77">
        <f t="shared" si="38"/>
        <v>0</v>
      </c>
      <c r="BM91" s="108">
        <f t="shared" si="39"/>
        <v>0</v>
      </c>
      <c r="BN91" s="107">
        <f t="shared" si="40"/>
        <v>0</v>
      </c>
      <c r="BO91" s="107">
        <f t="shared" si="41"/>
        <v>0</v>
      </c>
      <c r="BP91" s="107">
        <f t="shared" si="42"/>
        <v>0</v>
      </c>
      <c r="BQ91" s="109">
        <f t="shared" si="64"/>
        <v>0</v>
      </c>
      <c r="BR91" s="109">
        <f t="shared" si="65"/>
        <v>0</v>
      </c>
      <c r="BS91" s="109">
        <f t="shared" si="66"/>
        <v>0</v>
      </c>
      <c r="BU91" s="82">
        <f t="shared" si="43"/>
        <v>0</v>
      </c>
      <c r="BV91" s="82" t="e">
        <f t="shared" si="67"/>
        <v>#DIV/0!</v>
      </c>
      <c r="BW91" s="77">
        <f t="shared" si="44"/>
        <v>0</v>
      </c>
      <c r="BX91" s="108">
        <f t="shared" si="45"/>
        <v>0</v>
      </c>
      <c r="BY91" s="107">
        <f t="shared" si="46"/>
        <v>0</v>
      </c>
      <c r="BZ91" s="107">
        <f t="shared" si="47"/>
        <v>0</v>
      </c>
      <c r="CA91" s="107">
        <f t="shared" si="48"/>
        <v>0</v>
      </c>
      <c r="CB91" s="109">
        <f t="shared" si="68"/>
        <v>0</v>
      </c>
      <c r="CC91" s="109">
        <f t="shared" si="69"/>
        <v>0</v>
      </c>
      <c r="CD91" s="109">
        <f t="shared" si="70"/>
        <v>0</v>
      </c>
    </row>
    <row r="92" spans="1:82" x14ac:dyDescent="0.25">
      <c r="A92" s="101">
        <f t="shared" si="49"/>
        <v>38657</v>
      </c>
      <c r="B92" s="102">
        <f t="shared" si="50"/>
        <v>3.0710000000000002</v>
      </c>
      <c r="C92" s="80">
        <f t="shared" si="51"/>
        <v>0.23</v>
      </c>
      <c r="D92" s="102">
        <f t="shared" si="0"/>
        <v>-0.17</v>
      </c>
      <c r="E92" s="106">
        <f t="shared" si="1"/>
        <v>1</v>
      </c>
      <c r="F92" s="105">
        <f t="shared" ca="1" si="2"/>
        <v>1883</v>
      </c>
      <c r="G92" s="80" t="e">
        <f t="shared" si="3"/>
        <v>#DIV/0!</v>
      </c>
      <c r="H92" s="80" t="e">
        <f t="shared" si="4"/>
        <v>#DIV/0!</v>
      </c>
      <c r="I92" s="104">
        <f t="shared" si="5"/>
        <v>5</v>
      </c>
      <c r="K92" s="102">
        <f t="shared" si="6"/>
        <v>-0.17</v>
      </c>
      <c r="L92" s="106">
        <f t="shared" si="7"/>
        <v>1</v>
      </c>
      <c r="M92" s="105">
        <f t="shared" ca="1" si="8"/>
        <v>1883</v>
      </c>
      <c r="N92" s="217" t="e">
        <f t="shared" si="9"/>
        <v>#DIV/0!</v>
      </c>
      <c r="O92" s="80" t="e">
        <f t="shared" si="10"/>
        <v>#DIV/0!</v>
      </c>
      <c r="P92" s="104">
        <f t="shared" si="11"/>
        <v>5</v>
      </c>
      <c r="R92" s="102">
        <f t="shared" si="12"/>
        <v>0.22500000000000001</v>
      </c>
      <c r="S92" s="106">
        <f t="shared" si="13"/>
        <v>1</v>
      </c>
      <c r="T92" s="105">
        <f t="shared" ca="1" si="14"/>
        <v>1883</v>
      </c>
      <c r="U92" s="217" t="e">
        <f t="shared" si="15"/>
        <v>#DIV/0!</v>
      </c>
      <c r="V92" s="80" t="e">
        <f t="shared" si="16"/>
        <v>#DIV/0!</v>
      </c>
      <c r="W92" s="104">
        <f t="shared" si="17"/>
        <v>4.95</v>
      </c>
      <c r="X92" s="105"/>
      <c r="Y92" s="102">
        <f t="shared" si="18"/>
        <v>-3.2500000000000001E-2</v>
      </c>
      <c r="Z92" s="106">
        <f t="shared" si="19"/>
        <v>1</v>
      </c>
      <c r="AA92" s="105">
        <f t="shared" ca="1" si="20"/>
        <v>1883</v>
      </c>
      <c r="AB92" s="80" t="e">
        <f t="shared" si="21"/>
        <v>#DIV/0!</v>
      </c>
      <c r="AC92" s="80" t="e">
        <f t="shared" si="22"/>
        <v>#DIV/0!</v>
      </c>
      <c r="AD92" s="104">
        <f t="shared" si="23"/>
        <v>3.98</v>
      </c>
      <c r="AF92" s="105">
        <f t="shared" ca="1" si="52"/>
        <v>1883</v>
      </c>
      <c r="AG92" s="105">
        <f t="shared" ca="1" si="53"/>
        <v>1882</v>
      </c>
      <c r="AH92" s="80">
        <f t="shared" si="24"/>
        <v>6.9351857014504012E-2</v>
      </c>
      <c r="AI92" s="182">
        <f t="shared" si="25"/>
        <v>30</v>
      </c>
      <c r="AL92" s="105"/>
      <c r="AM92" s="82"/>
      <c r="AN92" s="82">
        <f t="shared" si="26"/>
        <v>0</v>
      </c>
      <c r="AO92" s="82" t="e">
        <f t="shared" si="54"/>
        <v>#DIV/0!</v>
      </c>
      <c r="AP92" s="77">
        <f t="shared" si="27"/>
        <v>0</v>
      </c>
      <c r="AQ92" s="108">
        <f t="shared" si="28"/>
        <v>0</v>
      </c>
      <c r="AR92" s="107">
        <f t="shared" si="29"/>
        <v>0</v>
      </c>
      <c r="AS92" s="107">
        <f t="shared" si="55"/>
        <v>0</v>
      </c>
      <c r="AT92" s="107">
        <f t="shared" si="30"/>
        <v>0</v>
      </c>
      <c r="AU92" s="109">
        <f t="shared" si="56"/>
        <v>0</v>
      </c>
      <c r="AV92" s="109">
        <f t="shared" si="57"/>
        <v>0</v>
      </c>
      <c r="AW92" s="109">
        <f t="shared" si="58"/>
        <v>0</v>
      </c>
      <c r="AY92" s="82">
        <f t="shared" si="31"/>
        <v>0</v>
      </c>
      <c r="AZ92" s="82" t="e">
        <f t="shared" si="59"/>
        <v>#DIV/0!</v>
      </c>
      <c r="BA92" s="77">
        <f t="shared" si="32"/>
        <v>0</v>
      </c>
      <c r="BB92" s="108">
        <f t="shared" si="33"/>
        <v>0</v>
      </c>
      <c r="BC92" s="107">
        <f t="shared" si="34"/>
        <v>0</v>
      </c>
      <c r="BD92" s="107">
        <f t="shared" si="35"/>
        <v>0</v>
      </c>
      <c r="BE92" s="107">
        <f t="shared" si="36"/>
        <v>0</v>
      </c>
      <c r="BF92" s="109">
        <f t="shared" si="60"/>
        <v>0</v>
      </c>
      <c r="BG92" s="109">
        <f t="shared" si="61"/>
        <v>0</v>
      </c>
      <c r="BH92" s="109">
        <f t="shared" si="62"/>
        <v>0</v>
      </c>
      <c r="BJ92" s="82">
        <f t="shared" si="37"/>
        <v>0</v>
      </c>
      <c r="BK92" s="82" t="e">
        <f t="shared" si="63"/>
        <v>#DIV/0!</v>
      </c>
      <c r="BL92" s="77">
        <f t="shared" si="38"/>
        <v>0</v>
      </c>
      <c r="BM92" s="108">
        <f t="shared" si="39"/>
        <v>0</v>
      </c>
      <c r="BN92" s="107">
        <f t="shared" si="40"/>
        <v>0</v>
      </c>
      <c r="BO92" s="107">
        <f t="shared" si="41"/>
        <v>0</v>
      </c>
      <c r="BP92" s="107">
        <f t="shared" si="42"/>
        <v>0</v>
      </c>
      <c r="BQ92" s="109">
        <f t="shared" si="64"/>
        <v>0</v>
      </c>
      <c r="BR92" s="109">
        <f t="shared" si="65"/>
        <v>0</v>
      </c>
      <c r="BS92" s="109">
        <f t="shared" si="66"/>
        <v>0</v>
      </c>
      <c r="BU92" s="82">
        <f t="shared" si="43"/>
        <v>0</v>
      </c>
      <c r="BV92" s="82" t="e">
        <f t="shared" si="67"/>
        <v>#DIV/0!</v>
      </c>
      <c r="BW92" s="77">
        <f t="shared" si="44"/>
        <v>0</v>
      </c>
      <c r="BX92" s="108">
        <f t="shared" si="45"/>
        <v>0</v>
      </c>
      <c r="BY92" s="107">
        <f t="shared" si="46"/>
        <v>0</v>
      </c>
      <c r="BZ92" s="107">
        <f t="shared" si="47"/>
        <v>0</v>
      </c>
      <c r="CA92" s="107">
        <f t="shared" si="48"/>
        <v>0</v>
      </c>
      <c r="CB92" s="109">
        <f t="shared" si="68"/>
        <v>0</v>
      </c>
      <c r="CC92" s="109">
        <f t="shared" si="69"/>
        <v>0</v>
      </c>
      <c r="CD92" s="109">
        <f t="shared" si="70"/>
        <v>0</v>
      </c>
    </row>
    <row r="93" spans="1:82" x14ac:dyDescent="0.25">
      <c r="A93" s="101">
        <f t="shared" si="49"/>
        <v>38687</v>
      </c>
      <c r="B93" s="102">
        <f t="shared" si="50"/>
        <v>3.1469999999999998</v>
      </c>
      <c r="C93" s="80">
        <f t="shared" si="51"/>
        <v>0.23250000000000001</v>
      </c>
      <c r="D93" s="102">
        <f t="shared" si="0"/>
        <v>-0.17</v>
      </c>
      <c r="E93" s="106">
        <f t="shared" si="1"/>
        <v>1</v>
      </c>
      <c r="F93" s="105">
        <f t="shared" ca="1" si="2"/>
        <v>1915</v>
      </c>
      <c r="G93" s="80" t="e">
        <f t="shared" si="3"/>
        <v>#DIV/0!</v>
      </c>
      <c r="H93" s="80" t="e">
        <f t="shared" si="4"/>
        <v>#DIV/0!</v>
      </c>
      <c r="I93" s="104">
        <f t="shared" si="5"/>
        <v>5</v>
      </c>
      <c r="K93" s="102">
        <f t="shared" si="6"/>
        <v>-0.17</v>
      </c>
      <c r="L93" s="106">
        <f t="shared" si="7"/>
        <v>1</v>
      </c>
      <c r="M93" s="105">
        <f t="shared" ca="1" si="8"/>
        <v>1915</v>
      </c>
      <c r="N93" s="217" t="e">
        <f t="shared" si="9"/>
        <v>#DIV/0!</v>
      </c>
      <c r="O93" s="80" t="e">
        <f t="shared" si="10"/>
        <v>#DIV/0!</v>
      </c>
      <c r="P93" s="104">
        <f t="shared" si="11"/>
        <v>5</v>
      </c>
      <c r="R93" s="102">
        <f t="shared" si="12"/>
        <v>0.26500000000000001</v>
      </c>
      <c r="S93" s="106">
        <f t="shared" si="13"/>
        <v>1</v>
      </c>
      <c r="T93" s="105">
        <f t="shared" ca="1" si="14"/>
        <v>1915</v>
      </c>
      <c r="U93" s="217" t="e">
        <f t="shared" si="15"/>
        <v>#DIV/0!</v>
      </c>
      <c r="V93" s="80" t="e">
        <f t="shared" si="16"/>
        <v>#DIV/0!</v>
      </c>
      <c r="W93" s="104">
        <f t="shared" si="17"/>
        <v>4.95</v>
      </c>
      <c r="X93" s="105"/>
      <c r="Y93" s="102">
        <f t="shared" si="18"/>
        <v>-5.5E-2</v>
      </c>
      <c r="Z93" s="106">
        <f t="shared" si="19"/>
        <v>1</v>
      </c>
      <c r="AA93" s="105">
        <f t="shared" ca="1" si="20"/>
        <v>1915</v>
      </c>
      <c r="AB93" s="80" t="e">
        <f t="shared" si="21"/>
        <v>#DIV/0!</v>
      </c>
      <c r="AC93" s="80" t="e">
        <f t="shared" si="22"/>
        <v>#DIV/0!</v>
      </c>
      <c r="AD93" s="104">
        <f t="shared" si="23"/>
        <v>3.98</v>
      </c>
      <c r="AF93" s="105">
        <f t="shared" ca="1" si="52"/>
        <v>1915</v>
      </c>
      <c r="AG93" s="105">
        <f t="shared" ca="1" si="53"/>
        <v>1912</v>
      </c>
      <c r="AH93" s="80">
        <f t="shared" si="24"/>
        <v>6.9367588989436013E-2</v>
      </c>
      <c r="AI93" s="182">
        <f t="shared" si="25"/>
        <v>31</v>
      </c>
      <c r="AL93" s="105"/>
      <c r="AM93" s="82"/>
      <c r="AN93" s="82">
        <f t="shared" si="26"/>
        <v>0</v>
      </c>
      <c r="AO93" s="82" t="e">
        <f t="shared" si="54"/>
        <v>#DIV/0!</v>
      </c>
      <c r="AP93" s="77">
        <f t="shared" si="27"/>
        <v>0</v>
      </c>
      <c r="AQ93" s="108">
        <f t="shared" si="28"/>
        <v>0</v>
      </c>
      <c r="AR93" s="107">
        <f t="shared" si="29"/>
        <v>0</v>
      </c>
      <c r="AS93" s="107">
        <f t="shared" si="55"/>
        <v>0</v>
      </c>
      <c r="AT93" s="107">
        <f t="shared" si="30"/>
        <v>0</v>
      </c>
      <c r="AU93" s="109">
        <f t="shared" si="56"/>
        <v>0</v>
      </c>
      <c r="AV93" s="109">
        <f t="shared" si="57"/>
        <v>0</v>
      </c>
      <c r="AW93" s="109">
        <f t="shared" si="58"/>
        <v>0</v>
      </c>
      <c r="AY93" s="82">
        <f t="shared" si="31"/>
        <v>0</v>
      </c>
      <c r="AZ93" s="82" t="e">
        <f t="shared" si="59"/>
        <v>#DIV/0!</v>
      </c>
      <c r="BA93" s="77">
        <f t="shared" si="32"/>
        <v>0</v>
      </c>
      <c r="BB93" s="108">
        <f t="shared" si="33"/>
        <v>0</v>
      </c>
      <c r="BC93" s="107">
        <f t="shared" si="34"/>
        <v>0</v>
      </c>
      <c r="BD93" s="107">
        <f t="shared" si="35"/>
        <v>0</v>
      </c>
      <c r="BE93" s="107">
        <f t="shared" si="36"/>
        <v>0</v>
      </c>
      <c r="BF93" s="109">
        <f t="shared" si="60"/>
        <v>0</v>
      </c>
      <c r="BG93" s="109">
        <f t="shared" si="61"/>
        <v>0</v>
      </c>
      <c r="BH93" s="109">
        <f t="shared" si="62"/>
        <v>0</v>
      </c>
      <c r="BJ93" s="82">
        <f t="shared" si="37"/>
        <v>0</v>
      </c>
      <c r="BK93" s="82" t="e">
        <f t="shared" si="63"/>
        <v>#DIV/0!</v>
      </c>
      <c r="BL93" s="77">
        <f t="shared" si="38"/>
        <v>0</v>
      </c>
      <c r="BM93" s="108">
        <f t="shared" si="39"/>
        <v>0</v>
      </c>
      <c r="BN93" s="107">
        <f t="shared" si="40"/>
        <v>0</v>
      </c>
      <c r="BO93" s="107">
        <f t="shared" si="41"/>
        <v>0</v>
      </c>
      <c r="BP93" s="107">
        <f t="shared" si="42"/>
        <v>0</v>
      </c>
      <c r="BQ93" s="109">
        <f t="shared" si="64"/>
        <v>0</v>
      </c>
      <c r="BR93" s="109">
        <f t="shared" si="65"/>
        <v>0</v>
      </c>
      <c r="BS93" s="109">
        <f t="shared" si="66"/>
        <v>0</v>
      </c>
      <c r="BU93" s="82">
        <f t="shared" si="43"/>
        <v>0</v>
      </c>
      <c r="BV93" s="82" t="e">
        <f t="shared" si="67"/>
        <v>#DIV/0!</v>
      </c>
      <c r="BW93" s="77">
        <f t="shared" si="44"/>
        <v>0</v>
      </c>
      <c r="BX93" s="108">
        <f t="shared" si="45"/>
        <v>0</v>
      </c>
      <c r="BY93" s="107">
        <f t="shared" si="46"/>
        <v>0</v>
      </c>
      <c r="BZ93" s="107">
        <f t="shared" si="47"/>
        <v>0</v>
      </c>
      <c r="CA93" s="107">
        <f t="shared" si="48"/>
        <v>0</v>
      </c>
      <c r="CB93" s="109">
        <f t="shared" si="68"/>
        <v>0</v>
      </c>
      <c r="CC93" s="109">
        <f t="shared" si="69"/>
        <v>0</v>
      </c>
      <c r="CD93" s="109">
        <f t="shared" si="70"/>
        <v>0</v>
      </c>
    </row>
    <row r="94" spans="1:82" x14ac:dyDescent="0.25">
      <c r="A94" s="101">
        <f t="shared" si="49"/>
        <v>38718</v>
      </c>
      <c r="B94" s="102">
        <f t="shared" si="50"/>
        <v>3.403</v>
      </c>
      <c r="C94" s="80">
        <f t="shared" si="51"/>
        <v>0.23250000000000001</v>
      </c>
      <c r="D94" s="102">
        <f t="shared" si="0"/>
        <v>-0.17</v>
      </c>
      <c r="E94" s="106">
        <f t="shared" si="1"/>
        <v>1</v>
      </c>
      <c r="F94" s="105">
        <f t="shared" ca="1" si="2"/>
        <v>1945</v>
      </c>
      <c r="G94" s="80" t="e">
        <f t="shared" si="3"/>
        <v>#DIV/0!</v>
      </c>
      <c r="H94" s="80" t="e">
        <f t="shared" si="4"/>
        <v>#DIV/0!</v>
      </c>
      <c r="I94" s="104">
        <f t="shared" si="5"/>
        <v>5</v>
      </c>
      <c r="K94" s="102">
        <f t="shared" si="6"/>
        <v>-0.17</v>
      </c>
      <c r="L94" s="106">
        <f t="shared" si="7"/>
        <v>1</v>
      </c>
      <c r="M94" s="105">
        <f t="shared" ca="1" si="8"/>
        <v>1945</v>
      </c>
      <c r="N94" s="217" t="e">
        <f t="shared" si="9"/>
        <v>#DIV/0!</v>
      </c>
      <c r="O94" s="80" t="e">
        <f t="shared" si="10"/>
        <v>#DIV/0!</v>
      </c>
      <c r="P94" s="104">
        <f t="shared" si="11"/>
        <v>5</v>
      </c>
      <c r="R94" s="102">
        <f t="shared" si="12"/>
        <v>0.31</v>
      </c>
      <c r="S94" s="106">
        <f t="shared" si="13"/>
        <v>1</v>
      </c>
      <c r="T94" s="105">
        <f t="shared" ca="1" si="14"/>
        <v>1945</v>
      </c>
      <c r="U94" s="217" t="e">
        <f t="shared" si="15"/>
        <v>#DIV/0!</v>
      </c>
      <c r="V94" s="80" t="e">
        <f t="shared" si="16"/>
        <v>#DIV/0!</v>
      </c>
      <c r="W94" s="104">
        <f t="shared" si="17"/>
        <v>4.95</v>
      </c>
      <c r="X94" s="105"/>
      <c r="Y94" s="102">
        <f t="shared" si="18"/>
        <v>-5.7500000000000002E-2</v>
      </c>
      <c r="Z94" s="106">
        <f t="shared" si="19"/>
        <v>1</v>
      </c>
      <c r="AA94" s="105">
        <f t="shared" ca="1" si="20"/>
        <v>1945</v>
      </c>
      <c r="AB94" s="80" t="e">
        <f t="shared" si="21"/>
        <v>#DIV/0!</v>
      </c>
      <c r="AC94" s="80" t="e">
        <f t="shared" si="22"/>
        <v>#DIV/0!</v>
      </c>
      <c r="AD94" s="104">
        <f t="shared" si="23"/>
        <v>3.98</v>
      </c>
      <c r="AF94" s="105">
        <f t="shared" ca="1" si="52"/>
        <v>1945</v>
      </c>
      <c r="AG94" s="105">
        <f t="shared" ca="1" si="53"/>
        <v>1944</v>
      </c>
      <c r="AH94" s="80">
        <f t="shared" si="24"/>
        <v>6.9383845363617996E-2</v>
      </c>
      <c r="AI94" s="182">
        <f t="shared" si="25"/>
        <v>31</v>
      </c>
      <c r="AL94" s="105"/>
      <c r="AM94" s="82"/>
      <c r="AN94" s="82">
        <f t="shared" si="26"/>
        <v>0</v>
      </c>
      <c r="AO94" s="82" t="e">
        <f t="shared" si="54"/>
        <v>#DIV/0!</v>
      </c>
      <c r="AP94" s="77">
        <f t="shared" si="27"/>
        <v>0</v>
      </c>
      <c r="AQ94" s="108">
        <f t="shared" si="28"/>
        <v>0</v>
      </c>
      <c r="AR94" s="107">
        <f t="shared" si="29"/>
        <v>0</v>
      </c>
      <c r="AS94" s="107">
        <f t="shared" si="55"/>
        <v>0</v>
      </c>
      <c r="AT94" s="107">
        <f t="shared" si="30"/>
        <v>0</v>
      </c>
      <c r="AU94" s="109">
        <f t="shared" si="56"/>
        <v>0</v>
      </c>
      <c r="AV94" s="109">
        <f t="shared" si="57"/>
        <v>0</v>
      </c>
      <c r="AW94" s="109">
        <f t="shared" si="58"/>
        <v>0</v>
      </c>
      <c r="AY94" s="82">
        <f t="shared" si="31"/>
        <v>0</v>
      </c>
      <c r="AZ94" s="82" t="e">
        <f t="shared" si="59"/>
        <v>#DIV/0!</v>
      </c>
      <c r="BA94" s="77">
        <f t="shared" si="32"/>
        <v>0</v>
      </c>
      <c r="BB94" s="108">
        <f t="shared" si="33"/>
        <v>0</v>
      </c>
      <c r="BC94" s="107">
        <f t="shared" si="34"/>
        <v>0</v>
      </c>
      <c r="BD94" s="107">
        <f t="shared" si="35"/>
        <v>0</v>
      </c>
      <c r="BE94" s="107">
        <f t="shared" si="36"/>
        <v>0</v>
      </c>
      <c r="BF94" s="109">
        <f t="shared" si="60"/>
        <v>0</v>
      </c>
      <c r="BG94" s="109">
        <f t="shared" si="61"/>
        <v>0</v>
      </c>
      <c r="BH94" s="109">
        <f t="shared" si="62"/>
        <v>0</v>
      </c>
      <c r="BJ94" s="82">
        <f t="shared" si="37"/>
        <v>0</v>
      </c>
      <c r="BK94" s="82" t="e">
        <f t="shared" si="63"/>
        <v>#DIV/0!</v>
      </c>
      <c r="BL94" s="77">
        <f t="shared" si="38"/>
        <v>0</v>
      </c>
      <c r="BM94" s="108">
        <f t="shared" si="39"/>
        <v>0</v>
      </c>
      <c r="BN94" s="107">
        <f t="shared" si="40"/>
        <v>0</v>
      </c>
      <c r="BO94" s="107">
        <f t="shared" si="41"/>
        <v>0</v>
      </c>
      <c r="BP94" s="107">
        <f t="shared" si="42"/>
        <v>0</v>
      </c>
      <c r="BQ94" s="109">
        <f t="shared" si="64"/>
        <v>0</v>
      </c>
      <c r="BR94" s="109">
        <f t="shared" si="65"/>
        <v>0</v>
      </c>
      <c r="BS94" s="109">
        <f t="shared" si="66"/>
        <v>0</v>
      </c>
      <c r="BU94" s="82">
        <f t="shared" si="43"/>
        <v>0</v>
      </c>
      <c r="BV94" s="82" t="e">
        <f t="shared" si="67"/>
        <v>#DIV/0!</v>
      </c>
      <c r="BW94" s="77">
        <f t="shared" si="44"/>
        <v>0</v>
      </c>
      <c r="BX94" s="108">
        <f t="shared" si="45"/>
        <v>0</v>
      </c>
      <c r="BY94" s="107">
        <f t="shared" si="46"/>
        <v>0</v>
      </c>
      <c r="BZ94" s="107">
        <f t="shared" si="47"/>
        <v>0</v>
      </c>
      <c r="CA94" s="107">
        <f t="shared" si="48"/>
        <v>0</v>
      </c>
      <c r="CB94" s="109">
        <f t="shared" si="68"/>
        <v>0</v>
      </c>
      <c r="CC94" s="109">
        <f t="shared" si="69"/>
        <v>0</v>
      </c>
      <c r="CD94" s="109">
        <f t="shared" si="70"/>
        <v>0</v>
      </c>
    </row>
    <row r="95" spans="1:82" x14ac:dyDescent="0.25">
      <c r="A95" s="101">
        <f t="shared" si="49"/>
        <v>38749</v>
      </c>
      <c r="B95" s="102">
        <f t="shared" si="50"/>
        <v>3.2730000000000001</v>
      </c>
      <c r="C95" s="80">
        <f t="shared" si="51"/>
        <v>0.23</v>
      </c>
      <c r="D95" s="102">
        <f t="shared" ref="D95:D150" si="71">IF(D$28="nymex",0,VLOOKUP($A95,curvesettle,HLOOKUP(D$28,curvesettle,2,FALSE)))</f>
        <v>-0.17</v>
      </c>
      <c r="E95" s="106">
        <f t="shared" ref="E95:E150" si="72">IF(ISNUMBER(VLOOKUP($A95,VOLCURVES,HLOOKUP(D$28,VOLCURVES,2,FALSE),FALSE)),VLOOKUP($A95,VOLCURVES,HLOOKUP(D$28,VOLCURVES,2,FALSE),FALSE),1)</f>
        <v>1</v>
      </c>
      <c r="F95" s="105">
        <f t="shared" ref="F95:F107" ca="1" si="73">IF(D$28="NYMEX",$AG95,$AF95)</f>
        <v>1975</v>
      </c>
      <c r="G95" s="80" t="e">
        <f t="shared" ref="G95:G107" si="74">(($C95+H95)*$E95)+B$15</f>
        <v>#DIV/0!</v>
      </c>
      <c r="H95" s="80" t="e">
        <f t="shared" ref="H95:H107" si="75">IF($B$16=1,VLOOKUP($A95,SkewTable,HLOOKUP(ROUND(I95-AO95,1),SkewTable,2,FALSE),FALSE)/100,0)</f>
        <v>#DIV/0!</v>
      </c>
      <c r="I95" s="104">
        <f t="shared" ref="I95:I150" si="76">IF($B$19=4,$AO95,$B$18)</f>
        <v>5</v>
      </c>
      <c r="K95" s="102">
        <f t="shared" ref="K95:K150" si="77">IF(K$28="nymex",0,VLOOKUP($A95,curvesettle,HLOOKUP(K$28,curvesettle,2,FALSE)))</f>
        <v>-0.17</v>
      </c>
      <c r="L95" s="106">
        <f t="shared" ref="L95:L150" si="78">IF(ISNUMBER(VLOOKUP($A95,VOLCURVES,HLOOKUP(K$28,VOLCURVES,2,FALSE),FALSE)),VLOOKUP($A95,VOLCURVES,HLOOKUP(K$28,VOLCURVES,2,FALSE),FALSE),1)</f>
        <v>1</v>
      </c>
      <c r="M95" s="105">
        <f t="shared" ref="M95:M107" ca="1" si="79">IF(K$28="NYMEX",$AG95,$AF95)</f>
        <v>1975</v>
      </c>
      <c r="N95" s="217" t="e">
        <f t="shared" ref="N95:N107" si="80">(($C95+O95)*$L95)+D$15</f>
        <v>#DIV/0!</v>
      </c>
      <c r="O95" s="80" t="e">
        <f t="shared" ref="O95:O107" si="81">IF($D$16=1,VLOOKUP($A95,SkewTable,HLOOKUP(ROUND(P95-AZ95,1),SkewTable,2,FALSE),FALSE)/100,0)</f>
        <v>#DIV/0!</v>
      </c>
      <c r="P95" s="104">
        <f t="shared" ref="P95:P150" si="82">IF($D$19=4,$AZ95,$D$18)</f>
        <v>5</v>
      </c>
      <c r="R95" s="102">
        <f t="shared" ref="R95:R150" si="83">IF(R$28="nymex",0,VLOOKUP($A95,curvesettle,HLOOKUP(R$28,curvesettle,2,FALSE)))</f>
        <v>0.28499999999999998</v>
      </c>
      <c r="S95" s="106">
        <f t="shared" ref="S95:S150" si="84">IF(ISNUMBER(VLOOKUP($A95,VOLCURVES,HLOOKUP(R$28,VOLCURVES,2,FALSE),FALSE)),VLOOKUP($A95,VOLCURVES,HLOOKUP(R$28,VOLCURVES,2,FALSE),FALSE),1)</f>
        <v>1</v>
      </c>
      <c r="T95" s="105">
        <f t="shared" ref="T95:T107" ca="1" si="85">IF(R$28="NYMEX",$AG95,$AF95)</f>
        <v>1975</v>
      </c>
      <c r="U95" s="217" t="e">
        <f t="shared" ref="U95:U107" si="86">(($C95+V95)*$S95)+F$15</f>
        <v>#DIV/0!</v>
      </c>
      <c r="V95" s="80" t="e">
        <f t="shared" ref="V95:V107" si="87">IF($F$16=1,VLOOKUP($A95,SkewTable,HLOOKUP(ROUND(W95-BK95,1),SkewTable,2,FALSE),FALSE)/100,0)</f>
        <v>#DIV/0!</v>
      </c>
      <c r="W95" s="104">
        <f t="shared" ref="W95:W150" si="88">IF($F$19=4,$BK95,$F$18)</f>
        <v>4.95</v>
      </c>
      <c r="X95" s="105"/>
      <c r="Y95" s="102">
        <f t="shared" ref="Y95:Y150" si="89">IF(Y$28="nymex",0,VLOOKUP($A95,curvesettle,HLOOKUP(Y$28,curvesettle,2,FALSE)))</f>
        <v>-0.04</v>
      </c>
      <c r="Z95" s="106">
        <f t="shared" ref="Z95:Z150" si="90">IF(ISNUMBER(VLOOKUP($A95,VOLCURVES,HLOOKUP(Y$28,VOLCURVES,2,FALSE),FALSE)),VLOOKUP($A95,VOLCURVES,HLOOKUP(Y$28,VOLCURVES,2,FALSE),FALSE),1)</f>
        <v>1</v>
      </c>
      <c r="AA95" s="105">
        <f t="shared" ref="AA95:AA107" ca="1" si="91">IF(Y$28="NYMEX",$AG95,$AF95)</f>
        <v>1975</v>
      </c>
      <c r="AB95" s="80" t="e">
        <f t="shared" ref="AB95:AB107" si="92">(($C95+AC95)*$Z95)+H$15</f>
        <v>#DIV/0!</v>
      </c>
      <c r="AC95" s="80" t="e">
        <f t="shared" ref="AC95:AC107" si="93">IF($H$16=1,VLOOKUP($A95,SkewTable,HLOOKUP(ROUND(AD95-BV95,1),SkewTable,2,FALSE),FALSE)/100,0)</f>
        <v>#DIV/0!</v>
      </c>
      <c r="AD95" s="104">
        <f t="shared" ref="AD95:AD150" si="94">IF($H$19=4,$BV95,$H$18)</f>
        <v>3.98</v>
      </c>
      <c r="AF95" s="105">
        <f t="shared" ca="1" si="52"/>
        <v>1975</v>
      </c>
      <c r="AG95" s="105">
        <f t="shared" ca="1" si="53"/>
        <v>1974</v>
      </c>
      <c r="AH95" s="80">
        <f t="shared" ref="AH95:AH150" si="95">VLOOKUP($A95,STRADDLE,12,FALSE)</f>
        <v>6.9400101737888006E-2</v>
      </c>
      <c r="AI95" s="182">
        <f t="shared" ref="AI95:AI150" si="96">A96-A95</f>
        <v>28</v>
      </c>
      <c r="AL95" s="105"/>
      <c r="AM95" s="82"/>
      <c r="AN95" s="82">
        <f t="shared" ref="AN95:AN107" si="97">IF($A95&gt;=AO$25,IF($A95&lt;=AO$26,$AI95,0),0)</f>
        <v>0</v>
      </c>
      <c r="AO95" s="82" t="e">
        <f t="shared" si="54"/>
        <v>#DIV/0!</v>
      </c>
      <c r="AP95" s="77">
        <f t="shared" ref="AP95:AP107" si="98">AN95*($B95+B$13)</f>
        <v>0</v>
      </c>
      <c r="AQ95" s="108">
        <f t="shared" ref="AQ95:AQ107" si="99">IF(ISNUMBER(((AP95/AN95)+B$14+$D95)*AN95),((AP95/AN95)+B$14+$D95)*AN95,0)</f>
        <v>0</v>
      </c>
      <c r="AR95" s="107">
        <f t="shared" ref="AR95:AR107" si="100">IF(AN95=0,0,bsd(1,AS$27,AO95,$I95,$F95,$G95,$AH95,0.1))</f>
        <v>0</v>
      </c>
      <c r="AS95" s="107">
        <f t="shared" si="55"/>
        <v>0</v>
      </c>
      <c r="AT95" s="107">
        <f t="shared" ref="AT95:AT107" si="101">IF(AN95=0,0,bsd(AS$28,AS$27,AO95,$I95,$F95,$G95,$AH95,0.1))</f>
        <v>0</v>
      </c>
      <c r="AU95" s="109">
        <f t="shared" si="56"/>
        <v>0</v>
      </c>
      <c r="AV95" s="109">
        <f t="shared" si="57"/>
        <v>0</v>
      </c>
      <c r="AW95" s="109">
        <f t="shared" si="58"/>
        <v>0</v>
      </c>
      <c r="AY95" s="82">
        <f t="shared" ref="AY95:AY107" si="102">IF($A95&gt;=AZ$25,IF($A95&lt;=AZ$26,$AI95,0),0)</f>
        <v>0</v>
      </c>
      <c r="AZ95" s="82" t="e">
        <f t="shared" si="59"/>
        <v>#DIV/0!</v>
      </c>
      <c r="BA95" s="77">
        <f t="shared" ref="BA95:BA107" si="103">AY95*($B95+D$13)</f>
        <v>0</v>
      </c>
      <c r="BB95" s="108">
        <f t="shared" ref="BB95:BB107" si="104">IF(ISNUMBER(((BA95/AY95)+D$14+$K95)*AY95),((BA95/AY95)+D$14+$K95)*AY95,0)</f>
        <v>0</v>
      </c>
      <c r="BC95" s="107">
        <f t="shared" ref="BC95:BC107" si="105">IF(AY95=0,0,bsd(1,BD$27,AZ95,$P95,$M95,$N95,$AH95,0.1))</f>
        <v>0</v>
      </c>
      <c r="BD95" s="107">
        <f t="shared" ref="BD95:BD107" si="106">IF(AY95=0,0,bsd(2,BD$27,AZ95,$P95,$M95,$N95,$AH95,0.1))</f>
        <v>0</v>
      </c>
      <c r="BE95" s="107">
        <f t="shared" ref="BE95:BE107" si="107">IF(AY95=0,0,bsd(BD$28,BD$27,AZ95,$P95,$M95,$N95,$AH95,0.1))</f>
        <v>0</v>
      </c>
      <c r="BF95" s="109">
        <f t="shared" si="60"/>
        <v>0</v>
      </c>
      <c r="BG95" s="109">
        <f t="shared" si="61"/>
        <v>0</v>
      </c>
      <c r="BH95" s="109">
        <f t="shared" si="62"/>
        <v>0</v>
      </c>
      <c r="BJ95" s="82">
        <f t="shared" ref="BJ95:BJ107" si="108">IF($A95&gt;=BK$25,IF($A95&lt;=BK$26,$AI95,0),0)</f>
        <v>0</v>
      </c>
      <c r="BK95" s="82" t="e">
        <f t="shared" si="63"/>
        <v>#DIV/0!</v>
      </c>
      <c r="BL95" s="77">
        <f t="shared" ref="BL95:BL107" si="109">BJ95*($B95+F$13)</f>
        <v>0</v>
      </c>
      <c r="BM95" s="108">
        <f t="shared" ref="BM95:BM107" si="110">IF(ISNUMBER(((BL95/BJ95)+F$14+$R95)*BJ95),((BL95/BJ95)+F$14+$R95)*BJ95,0)</f>
        <v>0</v>
      </c>
      <c r="BN95" s="107">
        <f t="shared" ref="BN95:BN107" si="111">IF(BJ95=0,0,bsd(1,BO$27,BK95,$W95,$T95,$U95,$AH95,0.1))</f>
        <v>0</v>
      </c>
      <c r="BO95" s="107">
        <f t="shared" ref="BO95:BO107" si="112">IF(BJ95=0,0,bsd(2,BO$27,BK95,$W95,$T95,$U95,$AH95,0.1))</f>
        <v>0</v>
      </c>
      <c r="BP95" s="107">
        <f t="shared" ref="BP95:BP107" si="113">IF(BJ95=0,0,bsd(BO$28,BO$27,BK95,$W95,$T95,$U95,$AH95,0.1))</f>
        <v>0</v>
      </c>
      <c r="BQ95" s="109">
        <f t="shared" si="64"/>
        <v>0</v>
      </c>
      <c r="BR95" s="109">
        <f t="shared" si="65"/>
        <v>0</v>
      </c>
      <c r="BS95" s="109">
        <f t="shared" si="66"/>
        <v>0</v>
      </c>
      <c r="BU95" s="82">
        <f t="shared" ref="BU95:BU107" si="114">IF($A95&gt;=BV$25,IF($A95&lt;=BV$26,$AI95,0),0)</f>
        <v>0</v>
      </c>
      <c r="BV95" s="82" t="e">
        <f t="shared" si="67"/>
        <v>#DIV/0!</v>
      </c>
      <c r="BW95" s="77">
        <f t="shared" ref="BW95:BW107" si="115">BU95*($B95+H$13)</f>
        <v>0</v>
      </c>
      <c r="BX95" s="108">
        <f t="shared" ref="BX95:BX107" si="116">IF(ISNUMBER(((BW95/BU95)+H$14+$Y95)*BU95),((BW95/BU95)+H$14+$Y95)*BU95,0)</f>
        <v>0</v>
      </c>
      <c r="BY95" s="107">
        <f t="shared" ref="BY95:BY107" si="117">IF(BU95=0,0,bsd(1,BZ$27,BV95,$AD95,$AA95,$AB95,$AH95,0.1))</f>
        <v>0</v>
      </c>
      <c r="BZ95" s="107">
        <f t="shared" ref="BZ95:BZ107" si="118">IF(BU95=0,0,bsd(2,BZ$27,BV95,$AD95,$AA95,$AB95,$AH95,0.1))</f>
        <v>0</v>
      </c>
      <c r="CA95" s="107">
        <f t="shared" ref="CA95:CA107" si="119">IF(BU95=0,0,bsd(BZ$28,BZ$27,BV95,$AD95,$AA95,$AB95,$AH95,0.1))</f>
        <v>0</v>
      </c>
      <c r="CB95" s="109">
        <f t="shared" si="68"/>
        <v>0</v>
      </c>
      <c r="CC95" s="109">
        <f t="shared" si="69"/>
        <v>0</v>
      </c>
      <c r="CD95" s="109">
        <f t="shared" si="70"/>
        <v>0</v>
      </c>
    </row>
    <row r="96" spans="1:82" x14ac:dyDescent="0.25">
      <c r="A96" s="101">
        <f t="shared" ref="A96:A107" si="120">DATE(YEAR(A95),MONTH(A95)+1,1)</f>
        <v>38777</v>
      </c>
      <c r="B96" s="102">
        <f t="shared" ref="B96:B150" si="121">VLOOKUP(A96,STRADDLE,5,FALSE)</f>
        <v>3.1120000000000001</v>
      </c>
      <c r="C96" s="80">
        <f t="shared" ref="C96:C107" si="122">VLOOKUP(A96,STRADDLE,8,FALSE)</f>
        <v>0.22750000000000001</v>
      </c>
      <c r="D96" s="102">
        <f t="shared" si="71"/>
        <v>-0.17</v>
      </c>
      <c r="E96" s="106">
        <f t="shared" si="72"/>
        <v>1</v>
      </c>
      <c r="F96" s="105">
        <f t="shared" ca="1" si="73"/>
        <v>2003</v>
      </c>
      <c r="G96" s="80" t="e">
        <f t="shared" si="74"/>
        <v>#DIV/0!</v>
      </c>
      <c r="H96" s="80" t="e">
        <f t="shared" si="75"/>
        <v>#DIV/0!</v>
      </c>
      <c r="I96" s="104">
        <f t="shared" si="76"/>
        <v>5</v>
      </c>
      <c r="K96" s="102">
        <f t="shared" si="77"/>
        <v>-0.17</v>
      </c>
      <c r="L96" s="106">
        <f t="shared" si="78"/>
        <v>1</v>
      </c>
      <c r="M96" s="105">
        <f t="shared" ca="1" si="79"/>
        <v>2003</v>
      </c>
      <c r="N96" s="217" t="e">
        <f t="shared" si="80"/>
        <v>#DIV/0!</v>
      </c>
      <c r="O96" s="80" t="e">
        <f t="shared" si="81"/>
        <v>#DIV/0!</v>
      </c>
      <c r="P96" s="104">
        <f t="shared" si="82"/>
        <v>5</v>
      </c>
      <c r="R96" s="102">
        <f t="shared" si="83"/>
        <v>0.28249999999999997</v>
      </c>
      <c r="S96" s="106">
        <f t="shared" si="84"/>
        <v>1</v>
      </c>
      <c r="T96" s="105">
        <f t="shared" ca="1" si="85"/>
        <v>2003</v>
      </c>
      <c r="U96" s="217" t="e">
        <f t="shared" si="86"/>
        <v>#DIV/0!</v>
      </c>
      <c r="V96" s="80" t="e">
        <f t="shared" si="87"/>
        <v>#DIV/0!</v>
      </c>
      <c r="W96" s="104">
        <f t="shared" si="88"/>
        <v>4.95</v>
      </c>
      <c r="X96" s="105"/>
      <c r="Y96" s="102">
        <f t="shared" si="89"/>
        <v>-2.75E-2</v>
      </c>
      <c r="Z96" s="106">
        <f t="shared" si="90"/>
        <v>1</v>
      </c>
      <c r="AA96" s="105">
        <f t="shared" ca="1" si="91"/>
        <v>2003</v>
      </c>
      <c r="AB96" s="80" t="e">
        <f t="shared" si="92"/>
        <v>#DIV/0!</v>
      </c>
      <c r="AC96" s="80" t="e">
        <f t="shared" si="93"/>
        <v>#DIV/0!</v>
      </c>
      <c r="AD96" s="104">
        <f t="shared" si="94"/>
        <v>3.98</v>
      </c>
      <c r="AF96" s="105">
        <f t="shared" ref="AF96:AF150" ca="1" si="123">VLOOKUP($A96,expiration,2,FALSE)-$B$2</f>
        <v>2003</v>
      </c>
      <c r="AG96" s="105">
        <f t="shared" ref="AG96:AG150" ca="1" si="124">VLOOKUP($A96,expiration,3,FALSE)-$B$2</f>
        <v>2002</v>
      </c>
      <c r="AH96" s="80">
        <f t="shared" si="95"/>
        <v>6.9414784914722985E-2</v>
      </c>
      <c r="AI96" s="182">
        <f t="shared" si="96"/>
        <v>31</v>
      </c>
      <c r="AL96" s="105"/>
      <c r="AM96" s="82"/>
      <c r="AN96" s="82">
        <f t="shared" si="97"/>
        <v>0</v>
      </c>
      <c r="AO96" s="82" t="e">
        <f t="shared" ref="AO96:AO107" si="125">AQ96/AN96</f>
        <v>#DIV/0!</v>
      </c>
      <c r="AP96" s="77">
        <f t="shared" si="98"/>
        <v>0</v>
      </c>
      <c r="AQ96" s="108">
        <f t="shared" si="99"/>
        <v>0</v>
      </c>
      <c r="AR96" s="107">
        <f t="shared" si="100"/>
        <v>0</v>
      </c>
      <c r="AS96" s="107">
        <f t="shared" ref="AS96:AS107" si="126">IF(AN96=0,0,bsd(2,AS$27,AO96,$I96,$F96,$G96,$AH96,0.1))</f>
        <v>0</v>
      </c>
      <c r="AT96" s="107">
        <f t="shared" si="101"/>
        <v>0</v>
      </c>
      <c r="AU96" s="109">
        <f t="shared" ref="AU96:AU107" si="127">AN96*AR96</f>
        <v>0</v>
      </c>
      <c r="AV96" s="109">
        <f t="shared" ref="AV96:AV107" si="128">AN96*AS96</f>
        <v>0</v>
      </c>
      <c r="AW96" s="109">
        <f t="shared" ref="AW96:AW107" si="129">AN96*AT96</f>
        <v>0</v>
      </c>
      <c r="AY96" s="82">
        <f t="shared" si="102"/>
        <v>0</v>
      </c>
      <c r="AZ96" s="82" t="e">
        <f t="shared" ref="AZ96:AZ107" si="130">BB96/AY96</f>
        <v>#DIV/0!</v>
      </c>
      <c r="BA96" s="77">
        <f t="shared" si="103"/>
        <v>0</v>
      </c>
      <c r="BB96" s="108">
        <f t="shared" si="104"/>
        <v>0</v>
      </c>
      <c r="BC96" s="107">
        <f t="shared" si="105"/>
        <v>0</v>
      </c>
      <c r="BD96" s="107">
        <f t="shared" si="106"/>
        <v>0</v>
      </c>
      <c r="BE96" s="107">
        <f t="shared" si="107"/>
        <v>0</v>
      </c>
      <c r="BF96" s="109">
        <f t="shared" ref="BF96:BF107" si="131">AY96*BC96</f>
        <v>0</v>
      </c>
      <c r="BG96" s="109">
        <f t="shared" ref="BG96:BG107" si="132">AY96*BD96</f>
        <v>0</v>
      </c>
      <c r="BH96" s="109">
        <f t="shared" ref="BH96:BH107" si="133">AY96*BE96</f>
        <v>0</v>
      </c>
      <c r="BJ96" s="82">
        <f t="shared" si="108"/>
        <v>0</v>
      </c>
      <c r="BK96" s="82" t="e">
        <f t="shared" ref="BK96:BK107" si="134">BM96/BJ96</f>
        <v>#DIV/0!</v>
      </c>
      <c r="BL96" s="77">
        <f t="shared" si="109"/>
        <v>0</v>
      </c>
      <c r="BM96" s="108">
        <f t="shared" si="110"/>
        <v>0</v>
      </c>
      <c r="BN96" s="107">
        <f t="shared" si="111"/>
        <v>0</v>
      </c>
      <c r="BO96" s="107">
        <f t="shared" si="112"/>
        <v>0</v>
      </c>
      <c r="BP96" s="107">
        <f t="shared" si="113"/>
        <v>0</v>
      </c>
      <c r="BQ96" s="109">
        <f t="shared" ref="BQ96:BQ107" si="135">BJ96*BN96</f>
        <v>0</v>
      </c>
      <c r="BR96" s="109">
        <f t="shared" ref="BR96:BR107" si="136">BJ96*BO96</f>
        <v>0</v>
      </c>
      <c r="BS96" s="109">
        <f t="shared" ref="BS96:BS107" si="137">BJ96*BP96</f>
        <v>0</v>
      </c>
      <c r="BU96" s="82">
        <f t="shared" si="114"/>
        <v>0</v>
      </c>
      <c r="BV96" s="82" t="e">
        <f t="shared" ref="BV96:BV107" si="138">BX96/BU96</f>
        <v>#DIV/0!</v>
      </c>
      <c r="BW96" s="77">
        <f t="shared" si="115"/>
        <v>0</v>
      </c>
      <c r="BX96" s="108">
        <f t="shared" si="116"/>
        <v>0</v>
      </c>
      <c r="BY96" s="107">
        <f t="shared" si="117"/>
        <v>0</v>
      </c>
      <c r="BZ96" s="107">
        <f t="shared" si="118"/>
        <v>0</v>
      </c>
      <c r="CA96" s="107">
        <f t="shared" si="119"/>
        <v>0</v>
      </c>
      <c r="CB96" s="109">
        <f t="shared" ref="CB96:CB107" si="139">BU96*BY96</f>
        <v>0</v>
      </c>
      <c r="CC96" s="109">
        <f t="shared" ref="CC96:CC107" si="140">BU96*BZ96</f>
        <v>0</v>
      </c>
      <c r="CD96" s="109">
        <f t="shared" ref="CD96:CD107" si="141">BU96*CA96</f>
        <v>0</v>
      </c>
    </row>
    <row r="97" spans="1:82" x14ac:dyDescent="0.25">
      <c r="A97" s="101">
        <f t="shared" si="120"/>
        <v>38808</v>
      </c>
      <c r="B97" s="102">
        <f t="shared" si="121"/>
        <v>2.9430000000000001</v>
      </c>
      <c r="C97" s="80">
        <f t="shared" si="122"/>
        <v>0.22750000000000001</v>
      </c>
      <c r="D97" s="102">
        <f t="shared" si="71"/>
        <v>-0.17</v>
      </c>
      <c r="E97" s="106">
        <f t="shared" si="72"/>
        <v>1</v>
      </c>
      <c r="F97" s="105">
        <f t="shared" ca="1" si="73"/>
        <v>2036</v>
      </c>
      <c r="G97" s="80" t="e">
        <f t="shared" si="74"/>
        <v>#DIV/0!</v>
      </c>
      <c r="H97" s="80" t="e">
        <f t="shared" si="75"/>
        <v>#DIV/0!</v>
      </c>
      <c r="I97" s="104">
        <f t="shared" si="76"/>
        <v>5</v>
      </c>
      <c r="K97" s="102">
        <f t="shared" si="77"/>
        <v>-0.17</v>
      </c>
      <c r="L97" s="106">
        <f t="shared" si="78"/>
        <v>1</v>
      </c>
      <c r="M97" s="105">
        <f t="shared" ca="1" si="79"/>
        <v>2036</v>
      </c>
      <c r="N97" s="217" t="e">
        <f t="shared" si="80"/>
        <v>#DIV/0!</v>
      </c>
      <c r="O97" s="80" t="e">
        <f t="shared" si="81"/>
        <v>#DIV/0!</v>
      </c>
      <c r="P97" s="104">
        <f t="shared" si="82"/>
        <v>5</v>
      </c>
      <c r="R97" s="102">
        <f t="shared" si="83"/>
        <v>0.1825</v>
      </c>
      <c r="S97" s="106">
        <f t="shared" si="84"/>
        <v>1</v>
      </c>
      <c r="T97" s="105">
        <f t="shared" ca="1" si="85"/>
        <v>2036</v>
      </c>
      <c r="U97" s="217" t="e">
        <f t="shared" si="86"/>
        <v>#DIV/0!</v>
      </c>
      <c r="V97" s="80" t="e">
        <f t="shared" si="87"/>
        <v>#DIV/0!</v>
      </c>
      <c r="W97" s="104">
        <f t="shared" si="88"/>
        <v>4.95</v>
      </c>
      <c r="X97" s="105"/>
      <c r="Y97" s="102">
        <f t="shared" si="89"/>
        <v>1.4999999999999999E-2</v>
      </c>
      <c r="Z97" s="106">
        <f t="shared" si="90"/>
        <v>1</v>
      </c>
      <c r="AA97" s="105">
        <f t="shared" ca="1" si="91"/>
        <v>2036</v>
      </c>
      <c r="AB97" s="80" t="e">
        <f t="shared" si="92"/>
        <v>#DIV/0!</v>
      </c>
      <c r="AC97" s="80" t="e">
        <f t="shared" si="93"/>
        <v>#DIV/0!</v>
      </c>
      <c r="AD97" s="104">
        <f t="shared" si="94"/>
        <v>3.98</v>
      </c>
      <c r="AF97" s="105">
        <f t="shared" ca="1" si="123"/>
        <v>2036</v>
      </c>
      <c r="AG97" s="105">
        <f t="shared" ca="1" si="124"/>
        <v>2035</v>
      </c>
      <c r="AH97" s="80">
        <f t="shared" si="95"/>
        <v>6.9431041289159015E-2</v>
      </c>
      <c r="AI97" s="182">
        <f t="shared" si="96"/>
        <v>30</v>
      </c>
      <c r="AL97" s="105"/>
      <c r="AM97" s="82"/>
      <c r="AN97" s="82">
        <f t="shared" si="97"/>
        <v>0</v>
      </c>
      <c r="AO97" s="82" t="e">
        <f t="shared" si="125"/>
        <v>#DIV/0!</v>
      </c>
      <c r="AP97" s="77">
        <f t="shared" si="98"/>
        <v>0</v>
      </c>
      <c r="AQ97" s="108">
        <f t="shared" si="99"/>
        <v>0</v>
      </c>
      <c r="AR97" s="107">
        <f t="shared" si="100"/>
        <v>0</v>
      </c>
      <c r="AS97" s="107">
        <f t="shared" si="126"/>
        <v>0</v>
      </c>
      <c r="AT97" s="107">
        <f t="shared" si="101"/>
        <v>0</v>
      </c>
      <c r="AU97" s="109">
        <f t="shared" si="127"/>
        <v>0</v>
      </c>
      <c r="AV97" s="109">
        <f t="shared" si="128"/>
        <v>0</v>
      </c>
      <c r="AW97" s="109">
        <f t="shared" si="129"/>
        <v>0</v>
      </c>
      <c r="AY97" s="82">
        <f t="shared" si="102"/>
        <v>0</v>
      </c>
      <c r="AZ97" s="82" t="e">
        <f t="shared" si="130"/>
        <v>#DIV/0!</v>
      </c>
      <c r="BA97" s="77">
        <f t="shared" si="103"/>
        <v>0</v>
      </c>
      <c r="BB97" s="108">
        <f t="shared" si="104"/>
        <v>0</v>
      </c>
      <c r="BC97" s="107">
        <f t="shared" si="105"/>
        <v>0</v>
      </c>
      <c r="BD97" s="107">
        <f t="shared" si="106"/>
        <v>0</v>
      </c>
      <c r="BE97" s="107">
        <f t="shared" si="107"/>
        <v>0</v>
      </c>
      <c r="BF97" s="109">
        <f t="shared" si="131"/>
        <v>0</v>
      </c>
      <c r="BG97" s="109">
        <f t="shared" si="132"/>
        <v>0</v>
      </c>
      <c r="BH97" s="109">
        <f t="shared" si="133"/>
        <v>0</v>
      </c>
      <c r="BJ97" s="82">
        <f t="shared" si="108"/>
        <v>0</v>
      </c>
      <c r="BK97" s="82" t="e">
        <f t="shared" si="134"/>
        <v>#DIV/0!</v>
      </c>
      <c r="BL97" s="77">
        <f t="shared" si="109"/>
        <v>0</v>
      </c>
      <c r="BM97" s="108">
        <f t="shared" si="110"/>
        <v>0</v>
      </c>
      <c r="BN97" s="107">
        <f t="shared" si="111"/>
        <v>0</v>
      </c>
      <c r="BO97" s="107">
        <f t="shared" si="112"/>
        <v>0</v>
      </c>
      <c r="BP97" s="107">
        <f t="shared" si="113"/>
        <v>0</v>
      </c>
      <c r="BQ97" s="109">
        <f t="shared" si="135"/>
        <v>0</v>
      </c>
      <c r="BR97" s="109">
        <f t="shared" si="136"/>
        <v>0</v>
      </c>
      <c r="BS97" s="109">
        <f t="shared" si="137"/>
        <v>0</v>
      </c>
      <c r="BU97" s="82">
        <f t="shared" si="114"/>
        <v>0</v>
      </c>
      <c r="BV97" s="82" t="e">
        <f t="shared" si="138"/>
        <v>#DIV/0!</v>
      </c>
      <c r="BW97" s="77">
        <f t="shared" si="115"/>
        <v>0</v>
      </c>
      <c r="BX97" s="108">
        <f t="shared" si="116"/>
        <v>0</v>
      </c>
      <c r="BY97" s="107">
        <f t="shared" si="117"/>
        <v>0</v>
      </c>
      <c r="BZ97" s="107">
        <f t="shared" si="118"/>
        <v>0</v>
      </c>
      <c r="CA97" s="107">
        <f t="shared" si="119"/>
        <v>0</v>
      </c>
      <c r="CB97" s="109">
        <f t="shared" si="139"/>
        <v>0</v>
      </c>
      <c r="CC97" s="109">
        <f t="shared" si="140"/>
        <v>0</v>
      </c>
      <c r="CD97" s="109">
        <f t="shared" si="141"/>
        <v>0</v>
      </c>
    </row>
    <row r="98" spans="1:82" x14ac:dyDescent="0.25">
      <c r="A98" s="101">
        <f t="shared" si="120"/>
        <v>38838</v>
      </c>
      <c r="B98" s="102">
        <f t="shared" si="121"/>
        <v>2.9310000000000005</v>
      </c>
      <c r="C98" s="80">
        <f t="shared" si="122"/>
        <v>0.22750000000000001</v>
      </c>
      <c r="D98" s="102">
        <f t="shared" si="71"/>
        <v>-0.17</v>
      </c>
      <c r="E98" s="106">
        <f t="shared" si="72"/>
        <v>1</v>
      </c>
      <c r="F98" s="105">
        <f t="shared" ca="1" si="73"/>
        <v>2064</v>
      </c>
      <c r="G98" s="80" t="e">
        <f t="shared" si="74"/>
        <v>#DIV/0!</v>
      </c>
      <c r="H98" s="80" t="e">
        <f t="shared" si="75"/>
        <v>#DIV/0!</v>
      </c>
      <c r="I98" s="104">
        <f t="shared" si="76"/>
        <v>5</v>
      </c>
      <c r="K98" s="102">
        <f t="shared" si="77"/>
        <v>-0.17</v>
      </c>
      <c r="L98" s="106">
        <f t="shared" si="78"/>
        <v>1</v>
      </c>
      <c r="M98" s="105">
        <f t="shared" ca="1" si="79"/>
        <v>2064</v>
      </c>
      <c r="N98" s="217" t="e">
        <f t="shared" si="80"/>
        <v>#DIV/0!</v>
      </c>
      <c r="O98" s="80" t="e">
        <f t="shared" si="81"/>
        <v>#DIV/0!</v>
      </c>
      <c r="P98" s="104">
        <f t="shared" si="82"/>
        <v>5</v>
      </c>
      <c r="R98" s="102">
        <f t="shared" si="83"/>
        <v>0.1925</v>
      </c>
      <c r="S98" s="106">
        <f t="shared" si="84"/>
        <v>1</v>
      </c>
      <c r="T98" s="105">
        <f t="shared" ca="1" si="85"/>
        <v>2064</v>
      </c>
      <c r="U98" s="217" t="e">
        <f t="shared" si="86"/>
        <v>#DIV/0!</v>
      </c>
      <c r="V98" s="80" t="e">
        <f t="shared" si="87"/>
        <v>#DIV/0!</v>
      </c>
      <c r="W98" s="104">
        <f t="shared" si="88"/>
        <v>4.95</v>
      </c>
      <c r="X98" s="105"/>
      <c r="Y98" s="102">
        <f t="shared" si="89"/>
        <v>1.4999999999999999E-2</v>
      </c>
      <c r="Z98" s="106">
        <f t="shared" si="90"/>
        <v>1</v>
      </c>
      <c r="AA98" s="105">
        <f t="shared" ca="1" si="91"/>
        <v>2064</v>
      </c>
      <c r="AB98" s="80" t="e">
        <f t="shared" si="92"/>
        <v>#DIV/0!</v>
      </c>
      <c r="AC98" s="80" t="e">
        <f t="shared" si="93"/>
        <v>#DIV/0!</v>
      </c>
      <c r="AD98" s="104">
        <f t="shared" si="94"/>
        <v>3.98</v>
      </c>
      <c r="AF98" s="105">
        <f t="shared" ca="1" si="123"/>
        <v>2064</v>
      </c>
      <c r="AG98" s="105">
        <f t="shared" ca="1" si="124"/>
        <v>2063</v>
      </c>
      <c r="AH98" s="80">
        <f t="shared" si="95"/>
        <v>6.9446773264503006E-2</v>
      </c>
      <c r="AI98" s="182">
        <f t="shared" si="96"/>
        <v>31</v>
      </c>
      <c r="AL98" s="105"/>
      <c r="AM98" s="82"/>
      <c r="AN98" s="82">
        <f t="shared" si="97"/>
        <v>0</v>
      </c>
      <c r="AO98" s="82" t="e">
        <f t="shared" si="125"/>
        <v>#DIV/0!</v>
      </c>
      <c r="AP98" s="77">
        <f t="shared" si="98"/>
        <v>0</v>
      </c>
      <c r="AQ98" s="108">
        <f t="shared" si="99"/>
        <v>0</v>
      </c>
      <c r="AR98" s="107">
        <f t="shared" si="100"/>
        <v>0</v>
      </c>
      <c r="AS98" s="107">
        <f t="shared" si="126"/>
        <v>0</v>
      </c>
      <c r="AT98" s="107">
        <f t="shared" si="101"/>
        <v>0</v>
      </c>
      <c r="AU98" s="109">
        <f t="shared" si="127"/>
        <v>0</v>
      </c>
      <c r="AV98" s="109">
        <f t="shared" si="128"/>
        <v>0</v>
      </c>
      <c r="AW98" s="109">
        <f t="shared" si="129"/>
        <v>0</v>
      </c>
      <c r="AY98" s="82">
        <f t="shared" si="102"/>
        <v>0</v>
      </c>
      <c r="AZ98" s="82" t="e">
        <f t="shared" si="130"/>
        <v>#DIV/0!</v>
      </c>
      <c r="BA98" s="77">
        <f t="shared" si="103"/>
        <v>0</v>
      </c>
      <c r="BB98" s="108">
        <f t="shared" si="104"/>
        <v>0</v>
      </c>
      <c r="BC98" s="107">
        <f t="shared" si="105"/>
        <v>0</v>
      </c>
      <c r="BD98" s="107">
        <f t="shared" si="106"/>
        <v>0</v>
      </c>
      <c r="BE98" s="107">
        <f t="shared" si="107"/>
        <v>0</v>
      </c>
      <c r="BF98" s="109">
        <f t="shared" si="131"/>
        <v>0</v>
      </c>
      <c r="BG98" s="109">
        <f t="shared" si="132"/>
        <v>0</v>
      </c>
      <c r="BH98" s="109">
        <f t="shared" si="133"/>
        <v>0</v>
      </c>
      <c r="BJ98" s="82">
        <f t="shared" si="108"/>
        <v>0</v>
      </c>
      <c r="BK98" s="82" t="e">
        <f t="shared" si="134"/>
        <v>#DIV/0!</v>
      </c>
      <c r="BL98" s="77">
        <f t="shared" si="109"/>
        <v>0</v>
      </c>
      <c r="BM98" s="108">
        <f t="shared" si="110"/>
        <v>0</v>
      </c>
      <c r="BN98" s="107">
        <f t="shared" si="111"/>
        <v>0</v>
      </c>
      <c r="BO98" s="107">
        <f t="shared" si="112"/>
        <v>0</v>
      </c>
      <c r="BP98" s="107">
        <f t="shared" si="113"/>
        <v>0</v>
      </c>
      <c r="BQ98" s="109">
        <f t="shared" si="135"/>
        <v>0</v>
      </c>
      <c r="BR98" s="109">
        <f t="shared" si="136"/>
        <v>0</v>
      </c>
      <c r="BS98" s="109">
        <f t="shared" si="137"/>
        <v>0</v>
      </c>
      <c r="BU98" s="82">
        <f t="shared" si="114"/>
        <v>0</v>
      </c>
      <c r="BV98" s="82" t="e">
        <f t="shared" si="138"/>
        <v>#DIV/0!</v>
      </c>
      <c r="BW98" s="77">
        <f t="shared" si="115"/>
        <v>0</v>
      </c>
      <c r="BX98" s="108">
        <f t="shared" si="116"/>
        <v>0</v>
      </c>
      <c r="BY98" s="107">
        <f t="shared" si="117"/>
        <v>0</v>
      </c>
      <c r="BZ98" s="107">
        <f t="shared" si="118"/>
        <v>0</v>
      </c>
      <c r="CA98" s="107">
        <f t="shared" si="119"/>
        <v>0</v>
      </c>
      <c r="CB98" s="109">
        <f t="shared" si="139"/>
        <v>0</v>
      </c>
      <c r="CC98" s="109">
        <f t="shared" si="140"/>
        <v>0</v>
      </c>
      <c r="CD98" s="109">
        <f t="shared" si="141"/>
        <v>0</v>
      </c>
    </row>
    <row r="99" spans="1:82" x14ac:dyDescent="0.25">
      <c r="A99" s="101">
        <f t="shared" si="120"/>
        <v>38869</v>
      </c>
      <c r="B99" s="102">
        <f t="shared" si="121"/>
        <v>2.9540000000000002</v>
      </c>
      <c r="C99" s="80">
        <f t="shared" si="122"/>
        <v>0.22750000000000001</v>
      </c>
      <c r="D99" s="102">
        <f t="shared" si="71"/>
        <v>-0.17</v>
      </c>
      <c r="E99" s="106">
        <f t="shared" si="72"/>
        <v>1</v>
      </c>
      <c r="F99" s="105">
        <f t="shared" ca="1" si="73"/>
        <v>2094</v>
      </c>
      <c r="G99" s="80" t="e">
        <f t="shared" si="74"/>
        <v>#DIV/0!</v>
      </c>
      <c r="H99" s="80" t="e">
        <f t="shared" si="75"/>
        <v>#DIV/0!</v>
      </c>
      <c r="I99" s="104">
        <f t="shared" si="76"/>
        <v>5</v>
      </c>
      <c r="K99" s="102">
        <f t="shared" si="77"/>
        <v>-0.17</v>
      </c>
      <c r="L99" s="106">
        <f t="shared" si="78"/>
        <v>1</v>
      </c>
      <c r="M99" s="105">
        <f t="shared" ca="1" si="79"/>
        <v>2094</v>
      </c>
      <c r="N99" s="217" t="e">
        <f t="shared" si="80"/>
        <v>#DIV/0!</v>
      </c>
      <c r="O99" s="80" t="e">
        <f t="shared" si="81"/>
        <v>#DIV/0!</v>
      </c>
      <c r="P99" s="104">
        <f t="shared" si="82"/>
        <v>5</v>
      </c>
      <c r="R99" s="102">
        <f t="shared" si="83"/>
        <v>0.1875</v>
      </c>
      <c r="S99" s="106">
        <f t="shared" si="84"/>
        <v>1</v>
      </c>
      <c r="T99" s="105">
        <f t="shared" ca="1" si="85"/>
        <v>2094</v>
      </c>
      <c r="U99" s="217" t="e">
        <f t="shared" si="86"/>
        <v>#DIV/0!</v>
      </c>
      <c r="V99" s="80" t="e">
        <f t="shared" si="87"/>
        <v>#DIV/0!</v>
      </c>
      <c r="W99" s="104">
        <f t="shared" si="88"/>
        <v>4.95</v>
      </c>
      <c r="X99" s="105"/>
      <c r="Y99" s="102">
        <f t="shared" si="89"/>
        <v>0.02</v>
      </c>
      <c r="Z99" s="106">
        <f t="shared" si="90"/>
        <v>1</v>
      </c>
      <c r="AA99" s="105">
        <f t="shared" ca="1" si="91"/>
        <v>2094</v>
      </c>
      <c r="AB99" s="80" t="e">
        <f t="shared" si="92"/>
        <v>#DIV/0!</v>
      </c>
      <c r="AC99" s="80" t="e">
        <f t="shared" si="93"/>
        <v>#DIV/0!</v>
      </c>
      <c r="AD99" s="104">
        <f t="shared" si="94"/>
        <v>3.98</v>
      </c>
      <c r="AF99" s="105">
        <f t="shared" ca="1" si="123"/>
        <v>2094</v>
      </c>
      <c r="AG99" s="105">
        <f t="shared" ca="1" si="124"/>
        <v>2093</v>
      </c>
      <c r="AH99" s="80">
        <f t="shared" si="95"/>
        <v>6.9463029639110024E-2</v>
      </c>
      <c r="AI99" s="182">
        <f t="shared" si="96"/>
        <v>30</v>
      </c>
      <c r="AL99" s="105"/>
      <c r="AM99" s="82"/>
      <c r="AN99" s="82">
        <f t="shared" si="97"/>
        <v>0</v>
      </c>
      <c r="AO99" s="82" t="e">
        <f t="shared" si="125"/>
        <v>#DIV/0!</v>
      </c>
      <c r="AP99" s="77">
        <f t="shared" si="98"/>
        <v>0</v>
      </c>
      <c r="AQ99" s="108">
        <f t="shared" si="99"/>
        <v>0</v>
      </c>
      <c r="AR99" s="107">
        <f t="shared" si="100"/>
        <v>0</v>
      </c>
      <c r="AS99" s="107">
        <f t="shared" si="126"/>
        <v>0</v>
      </c>
      <c r="AT99" s="107">
        <f t="shared" si="101"/>
        <v>0</v>
      </c>
      <c r="AU99" s="109">
        <f t="shared" si="127"/>
        <v>0</v>
      </c>
      <c r="AV99" s="109">
        <f t="shared" si="128"/>
        <v>0</v>
      </c>
      <c r="AW99" s="109">
        <f t="shared" si="129"/>
        <v>0</v>
      </c>
      <c r="AY99" s="82">
        <f t="shared" si="102"/>
        <v>0</v>
      </c>
      <c r="AZ99" s="82" t="e">
        <f t="shared" si="130"/>
        <v>#DIV/0!</v>
      </c>
      <c r="BA99" s="77">
        <f t="shared" si="103"/>
        <v>0</v>
      </c>
      <c r="BB99" s="108">
        <f t="shared" si="104"/>
        <v>0</v>
      </c>
      <c r="BC99" s="107">
        <f t="shared" si="105"/>
        <v>0</v>
      </c>
      <c r="BD99" s="107">
        <f t="shared" si="106"/>
        <v>0</v>
      </c>
      <c r="BE99" s="107">
        <f t="shared" si="107"/>
        <v>0</v>
      </c>
      <c r="BF99" s="109">
        <f t="shared" si="131"/>
        <v>0</v>
      </c>
      <c r="BG99" s="109">
        <f t="shared" si="132"/>
        <v>0</v>
      </c>
      <c r="BH99" s="109">
        <f t="shared" si="133"/>
        <v>0</v>
      </c>
      <c r="BJ99" s="82">
        <f t="shared" si="108"/>
        <v>0</v>
      </c>
      <c r="BK99" s="82" t="e">
        <f t="shared" si="134"/>
        <v>#DIV/0!</v>
      </c>
      <c r="BL99" s="77">
        <f t="shared" si="109"/>
        <v>0</v>
      </c>
      <c r="BM99" s="108">
        <f t="shared" si="110"/>
        <v>0</v>
      </c>
      <c r="BN99" s="107">
        <f t="shared" si="111"/>
        <v>0</v>
      </c>
      <c r="BO99" s="107">
        <f t="shared" si="112"/>
        <v>0</v>
      </c>
      <c r="BP99" s="107">
        <f t="shared" si="113"/>
        <v>0</v>
      </c>
      <c r="BQ99" s="109">
        <f t="shared" si="135"/>
        <v>0</v>
      </c>
      <c r="BR99" s="109">
        <f t="shared" si="136"/>
        <v>0</v>
      </c>
      <c r="BS99" s="109">
        <f t="shared" si="137"/>
        <v>0</v>
      </c>
      <c r="BU99" s="82">
        <f t="shared" si="114"/>
        <v>0</v>
      </c>
      <c r="BV99" s="82" t="e">
        <f t="shared" si="138"/>
        <v>#DIV/0!</v>
      </c>
      <c r="BW99" s="77">
        <f t="shared" si="115"/>
        <v>0</v>
      </c>
      <c r="BX99" s="108">
        <f t="shared" si="116"/>
        <v>0</v>
      </c>
      <c r="BY99" s="107">
        <f t="shared" si="117"/>
        <v>0</v>
      </c>
      <c r="BZ99" s="107">
        <f t="shared" si="118"/>
        <v>0</v>
      </c>
      <c r="CA99" s="107">
        <f t="shared" si="119"/>
        <v>0</v>
      </c>
      <c r="CB99" s="109">
        <f t="shared" si="139"/>
        <v>0</v>
      </c>
      <c r="CC99" s="109">
        <f t="shared" si="140"/>
        <v>0</v>
      </c>
      <c r="CD99" s="109">
        <f t="shared" si="141"/>
        <v>0</v>
      </c>
    </row>
    <row r="100" spans="1:82" x14ac:dyDescent="0.25">
      <c r="A100" s="101">
        <f t="shared" si="120"/>
        <v>38899</v>
      </c>
      <c r="B100" s="102">
        <f t="shared" si="121"/>
        <v>2.9760000000000004</v>
      </c>
      <c r="C100" s="80">
        <f t="shared" si="122"/>
        <v>0.22750000000000001</v>
      </c>
      <c r="D100" s="102">
        <f t="shared" si="71"/>
        <v>-0.17</v>
      </c>
      <c r="E100" s="106">
        <f t="shared" si="72"/>
        <v>1</v>
      </c>
      <c r="F100" s="105">
        <f t="shared" ca="1" si="73"/>
        <v>2127</v>
      </c>
      <c r="G100" s="80" t="e">
        <f t="shared" si="74"/>
        <v>#DIV/0!</v>
      </c>
      <c r="H100" s="80" t="e">
        <f t="shared" si="75"/>
        <v>#DIV/0!</v>
      </c>
      <c r="I100" s="104">
        <f t="shared" si="76"/>
        <v>5</v>
      </c>
      <c r="K100" s="102">
        <f t="shared" si="77"/>
        <v>-0.17</v>
      </c>
      <c r="L100" s="106">
        <f t="shared" si="78"/>
        <v>1</v>
      </c>
      <c r="M100" s="105">
        <f t="shared" ca="1" si="79"/>
        <v>2127</v>
      </c>
      <c r="N100" s="217" t="e">
        <f t="shared" si="80"/>
        <v>#DIV/0!</v>
      </c>
      <c r="O100" s="80" t="e">
        <f t="shared" si="81"/>
        <v>#DIV/0!</v>
      </c>
      <c r="P100" s="104">
        <f t="shared" si="82"/>
        <v>5</v>
      </c>
      <c r="R100" s="102">
        <f t="shared" si="83"/>
        <v>0.17749999999999999</v>
      </c>
      <c r="S100" s="106">
        <f t="shared" si="84"/>
        <v>1</v>
      </c>
      <c r="T100" s="105">
        <f t="shared" ca="1" si="85"/>
        <v>2127</v>
      </c>
      <c r="U100" s="217" t="e">
        <f t="shared" si="86"/>
        <v>#DIV/0!</v>
      </c>
      <c r="V100" s="80" t="e">
        <f t="shared" si="87"/>
        <v>#DIV/0!</v>
      </c>
      <c r="W100" s="104">
        <f t="shared" si="88"/>
        <v>4.95</v>
      </c>
      <c r="X100" s="105"/>
      <c r="Y100" s="102">
        <f t="shared" si="89"/>
        <v>2.2499999999999999E-2</v>
      </c>
      <c r="Z100" s="106">
        <f t="shared" si="90"/>
        <v>1</v>
      </c>
      <c r="AA100" s="105">
        <f t="shared" ca="1" si="91"/>
        <v>2127</v>
      </c>
      <c r="AB100" s="80" t="e">
        <f t="shared" si="92"/>
        <v>#DIV/0!</v>
      </c>
      <c r="AC100" s="80" t="e">
        <f t="shared" si="93"/>
        <v>#DIV/0!</v>
      </c>
      <c r="AD100" s="104">
        <f t="shared" si="94"/>
        <v>3.98</v>
      </c>
      <c r="AF100" s="105">
        <f t="shared" ca="1" si="123"/>
        <v>2127</v>
      </c>
      <c r="AG100" s="105">
        <f t="shared" ca="1" si="124"/>
        <v>2126</v>
      </c>
      <c r="AH100" s="80">
        <f t="shared" si="95"/>
        <v>6.9478761614621021E-2</v>
      </c>
      <c r="AI100" s="182">
        <f t="shared" si="96"/>
        <v>31</v>
      </c>
      <c r="AL100" s="105"/>
      <c r="AM100" s="82"/>
      <c r="AN100" s="82">
        <f t="shared" si="97"/>
        <v>0</v>
      </c>
      <c r="AO100" s="82" t="e">
        <f t="shared" si="125"/>
        <v>#DIV/0!</v>
      </c>
      <c r="AP100" s="77">
        <f t="shared" si="98"/>
        <v>0</v>
      </c>
      <c r="AQ100" s="108">
        <f t="shared" si="99"/>
        <v>0</v>
      </c>
      <c r="AR100" s="107">
        <f t="shared" si="100"/>
        <v>0</v>
      </c>
      <c r="AS100" s="107">
        <f t="shared" si="126"/>
        <v>0</v>
      </c>
      <c r="AT100" s="107">
        <f t="shared" si="101"/>
        <v>0</v>
      </c>
      <c r="AU100" s="109">
        <f t="shared" si="127"/>
        <v>0</v>
      </c>
      <c r="AV100" s="109">
        <f t="shared" si="128"/>
        <v>0</v>
      </c>
      <c r="AW100" s="109">
        <f t="shared" si="129"/>
        <v>0</v>
      </c>
      <c r="AY100" s="82">
        <f t="shared" si="102"/>
        <v>0</v>
      </c>
      <c r="AZ100" s="82" t="e">
        <f t="shared" si="130"/>
        <v>#DIV/0!</v>
      </c>
      <c r="BA100" s="77">
        <f t="shared" si="103"/>
        <v>0</v>
      </c>
      <c r="BB100" s="108">
        <f t="shared" si="104"/>
        <v>0</v>
      </c>
      <c r="BC100" s="107">
        <f t="shared" si="105"/>
        <v>0</v>
      </c>
      <c r="BD100" s="107">
        <f t="shared" si="106"/>
        <v>0</v>
      </c>
      <c r="BE100" s="107">
        <f t="shared" si="107"/>
        <v>0</v>
      </c>
      <c r="BF100" s="109">
        <f t="shared" si="131"/>
        <v>0</v>
      </c>
      <c r="BG100" s="109">
        <f t="shared" si="132"/>
        <v>0</v>
      </c>
      <c r="BH100" s="109">
        <f t="shared" si="133"/>
        <v>0</v>
      </c>
      <c r="BJ100" s="82">
        <f t="shared" si="108"/>
        <v>0</v>
      </c>
      <c r="BK100" s="82" t="e">
        <f t="shared" si="134"/>
        <v>#DIV/0!</v>
      </c>
      <c r="BL100" s="77">
        <f t="shared" si="109"/>
        <v>0</v>
      </c>
      <c r="BM100" s="108">
        <f t="shared" si="110"/>
        <v>0</v>
      </c>
      <c r="BN100" s="107">
        <f t="shared" si="111"/>
        <v>0</v>
      </c>
      <c r="BO100" s="107">
        <f t="shared" si="112"/>
        <v>0</v>
      </c>
      <c r="BP100" s="107">
        <f t="shared" si="113"/>
        <v>0</v>
      </c>
      <c r="BQ100" s="109">
        <f t="shared" si="135"/>
        <v>0</v>
      </c>
      <c r="BR100" s="109">
        <f t="shared" si="136"/>
        <v>0</v>
      </c>
      <c r="BS100" s="109">
        <f t="shared" si="137"/>
        <v>0</v>
      </c>
      <c r="BU100" s="82">
        <f t="shared" si="114"/>
        <v>0</v>
      </c>
      <c r="BV100" s="82" t="e">
        <f t="shared" si="138"/>
        <v>#DIV/0!</v>
      </c>
      <c r="BW100" s="77">
        <f t="shared" si="115"/>
        <v>0</v>
      </c>
      <c r="BX100" s="108">
        <f t="shared" si="116"/>
        <v>0</v>
      </c>
      <c r="BY100" s="107">
        <f t="shared" si="117"/>
        <v>0</v>
      </c>
      <c r="BZ100" s="107">
        <f t="shared" si="118"/>
        <v>0</v>
      </c>
      <c r="CA100" s="107">
        <f t="shared" si="119"/>
        <v>0</v>
      </c>
      <c r="CB100" s="109">
        <f t="shared" si="139"/>
        <v>0</v>
      </c>
      <c r="CC100" s="109">
        <f t="shared" si="140"/>
        <v>0</v>
      </c>
      <c r="CD100" s="109">
        <f t="shared" si="141"/>
        <v>0</v>
      </c>
    </row>
    <row r="101" spans="1:82" x14ac:dyDescent="0.25">
      <c r="A101" s="101">
        <f t="shared" si="120"/>
        <v>38930</v>
      </c>
      <c r="B101" s="102">
        <f t="shared" si="121"/>
        <v>2.9969999999999999</v>
      </c>
      <c r="C101" s="80">
        <f t="shared" si="122"/>
        <v>0.22750000000000001</v>
      </c>
      <c r="D101" s="102">
        <f t="shared" si="71"/>
        <v>-0.17</v>
      </c>
      <c r="E101" s="106">
        <f t="shared" si="72"/>
        <v>1</v>
      </c>
      <c r="F101" s="105">
        <f t="shared" ca="1" si="73"/>
        <v>2156</v>
      </c>
      <c r="G101" s="80" t="e">
        <f t="shared" si="74"/>
        <v>#DIV/0!</v>
      </c>
      <c r="H101" s="80" t="e">
        <f t="shared" si="75"/>
        <v>#DIV/0!</v>
      </c>
      <c r="I101" s="104">
        <f t="shared" si="76"/>
        <v>5</v>
      </c>
      <c r="K101" s="102">
        <f t="shared" si="77"/>
        <v>-0.17</v>
      </c>
      <c r="L101" s="106">
        <f t="shared" si="78"/>
        <v>1</v>
      </c>
      <c r="M101" s="105">
        <f t="shared" ca="1" si="79"/>
        <v>2156</v>
      </c>
      <c r="N101" s="217" t="e">
        <f t="shared" si="80"/>
        <v>#DIV/0!</v>
      </c>
      <c r="O101" s="80" t="e">
        <f t="shared" si="81"/>
        <v>#DIV/0!</v>
      </c>
      <c r="P101" s="104">
        <f t="shared" si="82"/>
        <v>5</v>
      </c>
      <c r="R101" s="102">
        <f t="shared" si="83"/>
        <v>0.17499999999999999</v>
      </c>
      <c r="S101" s="106">
        <f t="shared" si="84"/>
        <v>1</v>
      </c>
      <c r="T101" s="105">
        <f t="shared" ca="1" si="85"/>
        <v>2156</v>
      </c>
      <c r="U101" s="217" t="e">
        <f t="shared" si="86"/>
        <v>#DIV/0!</v>
      </c>
      <c r="V101" s="80" t="e">
        <f t="shared" si="87"/>
        <v>#DIV/0!</v>
      </c>
      <c r="W101" s="104">
        <f t="shared" si="88"/>
        <v>4.95</v>
      </c>
      <c r="X101" s="105"/>
      <c r="Y101" s="102">
        <f t="shared" si="89"/>
        <v>2.5000000000000001E-2</v>
      </c>
      <c r="Z101" s="106">
        <f t="shared" si="90"/>
        <v>1</v>
      </c>
      <c r="AA101" s="105">
        <f t="shared" ca="1" si="91"/>
        <v>2156</v>
      </c>
      <c r="AB101" s="80" t="e">
        <f t="shared" si="92"/>
        <v>#DIV/0!</v>
      </c>
      <c r="AC101" s="80" t="e">
        <f t="shared" si="93"/>
        <v>#DIV/0!</v>
      </c>
      <c r="AD101" s="104">
        <f t="shared" si="94"/>
        <v>3.98</v>
      </c>
      <c r="AF101" s="105">
        <f t="shared" ca="1" si="123"/>
        <v>2156</v>
      </c>
      <c r="AG101" s="105">
        <f t="shared" ca="1" si="124"/>
        <v>2155</v>
      </c>
      <c r="AH101" s="80">
        <f t="shared" si="95"/>
        <v>6.9495017989401012E-2</v>
      </c>
      <c r="AI101" s="182">
        <f t="shared" si="96"/>
        <v>31</v>
      </c>
      <c r="AL101" s="105"/>
      <c r="AM101" s="82"/>
      <c r="AN101" s="82">
        <f t="shared" si="97"/>
        <v>0</v>
      </c>
      <c r="AO101" s="82" t="e">
        <f t="shared" si="125"/>
        <v>#DIV/0!</v>
      </c>
      <c r="AP101" s="77">
        <f t="shared" si="98"/>
        <v>0</v>
      </c>
      <c r="AQ101" s="108">
        <f t="shared" si="99"/>
        <v>0</v>
      </c>
      <c r="AR101" s="107">
        <f t="shared" si="100"/>
        <v>0</v>
      </c>
      <c r="AS101" s="107">
        <f t="shared" si="126"/>
        <v>0</v>
      </c>
      <c r="AT101" s="107">
        <f t="shared" si="101"/>
        <v>0</v>
      </c>
      <c r="AU101" s="109">
        <f t="shared" si="127"/>
        <v>0</v>
      </c>
      <c r="AV101" s="109">
        <f t="shared" si="128"/>
        <v>0</v>
      </c>
      <c r="AW101" s="109">
        <f t="shared" si="129"/>
        <v>0</v>
      </c>
      <c r="AY101" s="82">
        <f t="shared" si="102"/>
        <v>0</v>
      </c>
      <c r="AZ101" s="82" t="e">
        <f t="shared" si="130"/>
        <v>#DIV/0!</v>
      </c>
      <c r="BA101" s="77">
        <f t="shared" si="103"/>
        <v>0</v>
      </c>
      <c r="BB101" s="108">
        <f t="shared" si="104"/>
        <v>0</v>
      </c>
      <c r="BC101" s="107">
        <f t="shared" si="105"/>
        <v>0</v>
      </c>
      <c r="BD101" s="107">
        <f t="shared" si="106"/>
        <v>0</v>
      </c>
      <c r="BE101" s="107">
        <f t="shared" si="107"/>
        <v>0</v>
      </c>
      <c r="BF101" s="109">
        <f t="shared" si="131"/>
        <v>0</v>
      </c>
      <c r="BG101" s="109">
        <f t="shared" si="132"/>
        <v>0</v>
      </c>
      <c r="BH101" s="109">
        <f t="shared" si="133"/>
        <v>0</v>
      </c>
      <c r="BJ101" s="82">
        <f t="shared" si="108"/>
        <v>0</v>
      </c>
      <c r="BK101" s="82" t="e">
        <f t="shared" si="134"/>
        <v>#DIV/0!</v>
      </c>
      <c r="BL101" s="77">
        <f t="shared" si="109"/>
        <v>0</v>
      </c>
      <c r="BM101" s="108">
        <f t="shared" si="110"/>
        <v>0</v>
      </c>
      <c r="BN101" s="107">
        <f t="shared" si="111"/>
        <v>0</v>
      </c>
      <c r="BO101" s="107">
        <f t="shared" si="112"/>
        <v>0</v>
      </c>
      <c r="BP101" s="107">
        <f t="shared" si="113"/>
        <v>0</v>
      </c>
      <c r="BQ101" s="109">
        <f t="shared" si="135"/>
        <v>0</v>
      </c>
      <c r="BR101" s="109">
        <f t="shared" si="136"/>
        <v>0</v>
      </c>
      <c r="BS101" s="109">
        <f t="shared" si="137"/>
        <v>0</v>
      </c>
      <c r="BU101" s="82">
        <f t="shared" si="114"/>
        <v>0</v>
      </c>
      <c r="BV101" s="82" t="e">
        <f t="shared" si="138"/>
        <v>#DIV/0!</v>
      </c>
      <c r="BW101" s="77">
        <f t="shared" si="115"/>
        <v>0</v>
      </c>
      <c r="BX101" s="108">
        <f t="shared" si="116"/>
        <v>0</v>
      </c>
      <c r="BY101" s="107">
        <f t="shared" si="117"/>
        <v>0</v>
      </c>
      <c r="BZ101" s="107">
        <f t="shared" si="118"/>
        <v>0</v>
      </c>
      <c r="CA101" s="107">
        <f t="shared" si="119"/>
        <v>0</v>
      </c>
      <c r="CB101" s="109">
        <f t="shared" si="139"/>
        <v>0</v>
      </c>
      <c r="CC101" s="109">
        <f t="shared" si="140"/>
        <v>0</v>
      </c>
      <c r="CD101" s="109">
        <f t="shared" si="141"/>
        <v>0</v>
      </c>
    </row>
    <row r="102" spans="1:82" x14ac:dyDescent="0.25">
      <c r="A102" s="101">
        <f t="shared" si="120"/>
        <v>38961</v>
      </c>
      <c r="B102" s="102">
        <f t="shared" si="121"/>
        <v>2.9840000000000004</v>
      </c>
      <c r="C102" s="80">
        <f t="shared" si="122"/>
        <v>0.22750000000000001</v>
      </c>
      <c r="D102" s="102">
        <f t="shared" si="71"/>
        <v>-0.17</v>
      </c>
      <c r="E102" s="106">
        <f t="shared" si="72"/>
        <v>1</v>
      </c>
      <c r="F102" s="105">
        <f t="shared" ca="1" si="73"/>
        <v>2189</v>
      </c>
      <c r="G102" s="80" t="e">
        <f t="shared" si="74"/>
        <v>#DIV/0!</v>
      </c>
      <c r="H102" s="80" t="e">
        <f t="shared" si="75"/>
        <v>#DIV/0!</v>
      </c>
      <c r="I102" s="104">
        <f t="shared" si="76"/>
        <v>5</v>
      </c>
      <c r="K102" s="102">
        <f t="shared" si="77"/>
        <v>-0.17</v>
      </c>
      <c r="L102" s="106">
        <f t="shared" si="78"/>
        <v>1</v>
      </c>
      <c r="M102" s="105">
        <f t="shared" ca="1" si="79"/>
        <v>2189</v>
      </c>
      <c r="N102" s="217" t="e">
        <f t="shared" si="80"/>
        <v>#DIV/0!</v>
      </c>
      <c r="O102" s="80" t="e">
        <f t="shared" si="81"/>
        <v>#DIV/0!</v>
      </c>
      <c r="P102" s="104">
        <f t="shared" si="82"/>
        <v>5</v>
      </c>
      <c r="R102" s="102">
        <f t="shared" si="83"/>
        <v>0.17249999999999999</v>
      </c>
      <c r="S102" s="106">
        <f t="shared" si="84"/>
        <v>1</v>
      </c>
      <c r="T102" s="105">
        <f t="shared" ca="1" si="85"/>
        <v>2189</v>
      </c>
      <c r="U102" s="217" t="e">
        <f t="shared" si="86"/>
        <v>#DIV/0!</v>
      </c>
      <c r="V102" s="80" t="e">
        <f t="shared" si="87"/>
        <v>#DIV/0!</v>
      </c>
      <c r="W102" s="104">
        <f t="shared" si="88"/>
        <v>4.95</v>
      </c>
      <c r="X102" s="105"/>
      <c r="Y102" s="102">
        <f t="shared" si="89"/>
        <v>1.7500000000000002E-2</v>
      </c>
      <c r="Z102" s="106">
        <f t="shared" si="90"/>
        <v>1</v>
      </c>
      <c r="AA102" s="105">
        <f t="shared" ca="1" si="91"/>
        <v>2189</v>
      </c>
      <c r="AB102" s="80" t="e">
        <f t="shared" si="92"/>
        <v>#DIV/0!</v>
      </c>
      <c r="AC102" s="80" t="e">
        <f t="shared" si="93"/>
        <v>#DIV/0!</v>
      </c>
      <c r="AD102" s="104">
        <f t="shared" si="94"/>
        <v>3.98</v>
      </c>
      <c r="AF102" s="105">
        <f t="shared" ca="1" si="123"/>
        <v>2189</v>
      </c>
      <c r="AG102" s="105">
        <f t="shared" ca="1" si="124"/>
        <v>2188</v>
      </c>
      <c r="AH102" s="80">
        <f t="shared" si="95"/>
        <v>6.951127436426903E-2</v>
      </c>
      <c r="AI102" s="182">
        <f t="shared" si="96"/>
        <v>30</v>
      </c>
      <c r="AL102" s="105"/>
      <c r="AM102" s="82"/>
      <c r="AN102" s="82">
        <f t="shared" si="97"/>
        <v>0</v>
      </c>
      <c r="AO102" s="82" t="e">
        <f t="shared" si="125"/>
        <v>#DIV/0!</v>
      </c>
      <c r="AP102" s="77">
        <f t="shared" si="98"/>
        <v>0</v>
      </c>
      <c r="AQ102" s="108">
        <f t="shared" si="99"/>
        <v>0</v>
      </c>
      <c r="AR102" s="107">
        <f t="shared" si="100"/>
        <v>0</v>
      </c>
      <c r="AS102" s="107">
        <f t="shared" si="126"/>
        <v>0</v>
      </c>
      <c r="AT102" s="107">
        <f t="shared" si="101"/>
        <v>0</v>
      </c>
      <c r="AU102" s="109">
        <f t="shared" si="127"/>
        <v>0</v>
      </c>
      <c r="AV102" s="109">
        <f t="shared" si="128"/>
        <v>0</v>
      </c>
      <c r="AW102" s="109">
        <f t="shared" si="129"/>
        <v>0</v>
      </c>
      <c r="AY102" s="82">
        <f t="shared" si="102"/>
        <v>0</v>
      </c>
      <c r="AZ102" s="82" t="e">
        <f t="shared" si="130"/>
        <v>#DIV/0!</v>
      </c>
      <c r="BA102" s="77">
        <f t="shared" si="103"/>
        <v>0</v>
      </c>
      <c r="BB102" s="108">
        <f t="shared" si="104"/>
        <v>0</v>
      </c>
      <c r="BC102" s="107">
        <f t="shared" si="105"/>
        <v>0</v>
      </c>
      <c r="BD102" s="107">
        <f t="shared" si="106"/>
        <v>0</v>
      </c>
      <c r="BE102" s="107">
        <f t="shared" si="107"/>
        <v>0</v>
      </c>
      <c r="BF102" s="109">
        <f t="shared" si="131"/>
        <v>0</v>
      </c>
      <c r="BG102" s="109">
        <f t="shared" si="132"/>
        <v>0</v>
      </c>
      <c r="BH102" s="109">
        <f t="shared" si="133"/>
        <v>0</v>
      </c>
      <c r="BJ102" s="82">
        <f t="shared" si="108"/>
        <v>0</v>
      </c>
      <c r="BK102" s="82" t="e">
        <f t="shared" si="134"/>
        <v>#DIV/0!</v>
      </c>
      <c r="BL102" s="77">
        <f t="shared" si="109"/>
        <v>0</v>
      </c>
      <c r="BM102" s="108">
        <f t="shared" si="110"/>
        <v>0</v>
      </c>
      <c r="BN102" s="107">
        <f t="shared" si="111"/>
        <v>0</v>
      </c>
      <c r="BO102" s="107">
        <f t="shared" si="112"/>
        <v>0</v>
      </c>
      <c r="BP102" s="107">
        <f t="shared" si="113"/>
        <v>0</v>
      </c>
      <c r="BQ102" s="109">
        <f t="shared" si="135"/>
        <v>0</v>
      </c>
      <c r="BR102" s="109">
        <f t="shared" si="136"/>
        <v>0</v>
      </c>
      <c r="BS102" s="109">
        <f t="shared" si="137"/>
        <v>0</v>
      </c>
      <c r="BU102" s="82">
        <f t="shared" si="114"/>
        <v>0</v>
      </c>
      <c r="BV102" s="82" t="e">
        <f t="shared" si="138"/>
        <v>#DIV/0!</v>
      </c>
      <c r="BW102" s="77">
        <f t="shared" si="115"/>
        <v>0</v>
      </c>
      <c r="BX102" s="108">
        <f t="shared" si="116"/>
        <v>0</v>
      </c>
      <c r="BY102" s="107">
        <f t="shared" si="117"/>
        <v>0</v>
      </c>
      <c r="BZ102" s="107">
        <f t="shared" si="118"/>
        <v>0</v>
      </c>
      <c r="CA102" s="107">
        <f t="shared" si="119"/>
        <v>0</v>
      </c>
      <c r="CB102" s="109">
        <f t="shared" si="139"/>
        <v>0</v>
      </c>
      <c r="CC102" s="109">
        <f t="shared" si="140"/>
        <v>0</v>
      </c>
      <c r="CD102" s="109">
        <f t="shared" si="141"/>
        <v>0</v>
      </c>
    </row>
    <row r="103" spans="1:82" x14ac:dyDescent="0.25">
      <c r="A103" s="101">
        <f t="shared" si="120"/>
        <v>38991</v>
      </c>
      <c r="B103" s="102">
        <f t="shared" si="121"/>
        <v>2.9860000000000002</v>
      </c>
      <c r="C103" s="80">
        <f t="shared" si="122"/>
        <v>0.22750000000000001</v>
      </c>
      <c r="D103" s="102">
        <f t="shared" si="71"/>
        <v>-0.17</v>
      </c>
      <c r="E103" s="106">
        <f t="shared" si="72"/>
        <v>1</v>
      </c>
      <c r="F103" s="105">
        <f t="shared" ca="1" si="73"/>
        <v>2218</v>
      </c>
      <c r="G103" s="80" t="e">
        <f t="shared" si="74"/>
        <v>#DIV/0!</v>
      </c>
      <c r="H103" s="80" t="e">
        <f t="shared" si="75"/>
        <v>#DIV/0!</v>
      </c>
      <c r="I103" s="104">
        <f t="shared" si="76"/>
        <v>5</v>
      </c>
      <c r="K103" s="102">
        <f t="shared" si="77"/>
        <v>-0.17</v>
      </c>
      <c r="L103" s="106">
        <f t="shared" si="78"/>
        <v>1</v>
      </c>
      <c r="M103" s="105">
        <f t="shared" ca="1" si="79"/>
        <v>2218</v>
      </c>
      <c r="N103" s="217" t="e">
        <f t="shared" si="80"/>
        <v>#DIV/0!</v>
      </c>
      <c r="O103" s="80" t="e">
        <f t="shared" si="81"/>
        <v>#DIV/0!</v>
      </c>
      <c r="P103" s="104">
        <f t="shared" si="82"/>
        <v>5</v>
      </c>
      <c r="R103" s="102">
        <f t="shared" si="83"/>
        <v>0.1875</v>
      </c>
      <c r="S103" s="106">
        <f t="shared" si="84"/>
        <v>1</v>
      </c>
      <c r="T103" s="105">
        <f t="shared" ca="1" si="85"/>
        <v>2218</v>
      </c>
      <c r="U103" s="217" t="e">
        <f t="shared" si="86"/>
        <v>#DIV/0!</v>
      </c>
      <c r="V103" s="80" t="e">
        <f t="shared" si="87"/>
        <v>#DIV/0!</v>
      </c>
      <c r="W103" s="104">
        <f t="shared" si="88"/>
        <v>4.95</v>
      </c>
      <c r="X103" s="105"/>
      <c r="Y103" s="102">
        <f t="shared" si="89"/>
        <v>7.4999999999999997E-3</v>
      </c>
      <c r="Z103" s="106">
        <f t="shared" si="90"/>
        <v>1</v>
      </c>
      <c r="AA103" s="105">
        <f t="shared" ca="1" si="91"/>
        <v>2218</v>
      </c>
      <c r="AB103" s="80" t="e">
        <f t="shared" si="92"/>
        <v>#DIV/0!</v>
      </c>
      <c r="AC103" s="80" t="e">
        <f t="shared" si="93"/>
        <v>#DIV/0!</v>
      </c>
      <c r="AD103" s="104">
        <f t="shared" si="94"/>
        <v>3.98</v>
      </c>
      <c r="AF103" s="105">
        <f t="shared" ca="1" si="123"/>
        <v>2218</v>
      </c>
      <c r="AG103" s="105">
        <f t="shared" ca="1" si="124"/>
        <v>2217</v>
      </c>
      <c r="AH103" s="80">
        <f t="shared" si="95"/>
        <v>6.9527006340030006E-2</v>
      </c>
      <c r="AI103" s="182">
        <f t="shared" si="96"/>
        <v>31</v>
      </c>
      <c r="AL103" s="105"/>
      <c r="AM103" s="82"/>
      <c r="AN103" s="82">
        <f t="shared" si="97"/>
        <v>0</v>
      </c>
      <c r="AO103" s="82" t="e">
        <f t="shared" si="125"/>
        <v>#DIV/0!</v>
      </c>
      <c r="AP103" s="77">
        <f t="shared" si="98"/>
        <v>0</v>
      </c>
      <c r="AQ103" s="108">
        <f t="shared" si="99"/>
        <v>0</v>
      </c>
      <c r="AR103" s="107">
        <f t="shared" si="100"/>
        <v>0</v>
      </c>
      <c r="AS103" s="107">
        <f t="shared" si="126"/>
        <v>0</v>
      </c>
      <c r="AT103" s="107">
        <f t="shared" si="101"/>
        <v>0</v>
      </c>
      <c r="AU103" s="109">
        <f t="shared" si="127"/>
        <v>0</v>
      </c>
      <c r="AV103" s="109">
        <f t="shared" si="128"/>
        <v>0</v>
      </c>
      <c r="AW103" s="109">
        <f t="shared" si="129"/>
        <v>0</v>
      </c>
      <c r="AY103" s="82">
        <f t="shared" si="102"/>
        <v>0</v>
      </c>
      <c r="AZ103" s="82" t="e">
        <f t="shared" si="130"/>
        <v>#DIV/0!</v>
      </c>
      <c r="BA103" s="77">
        <f t="shared" si="103"/>
        <v>0</v>
      </c>
      <c r="BB103" s="108">
        <f t="shared" si="104"/>
        <v>0</v>
      </c>
      <c r="BC103" s="107">
        <f t="shared" si="105"/>
        <v>0</v>
      </c>
      <c r="BD103" s="107">
        <f t="shared" si="106"/>
        <v>0</v>
      </c>
      <c r="BE103" s="107">
        <f t="shared" si="107"/>
        <v>0</v>
      </c>
      <c r="BF103" s="109">
        <f t="shared" si="131"/>
        <v>0</v>
      </c>
      <c r="BG103" s="109">
        <f t="shared" si="132"/>
        <v>0</v>
      </c>
      <c r="BH103" s="109">
        <f t="shared" si="133"/>
        <v>0</v>
      </c>
      <c r="BJ103" s="82">
        <f t="shared" si="108"/>
        <v>0</v>
      </c>
      <c r="BK103" s="82" t="e">
        <f t="shared" si="134"/>
        <v>#DIV/0!</v>
      </c>
      <c r="BL103" s="77">
        <f t="shared" si="109"/>
        <v>0</v>
      </c>
      <c r="BM103" s="108">
        <f t="shared" si="110"/>
        <v>0</v>
      </c>
      <c r="BN103" s="107">
        <f t="shared" si="111"/>
        <v>0</v>
      </c>
      <c r="BO103" s="107">
        <f t="shared" si="112"/>
        <v>0</v>
      </c>
      <c r="BP103" s="107">
        <f t="shared" si="113"/>
        <v>0</v>
      </c>
      <c r="BQ103" s="109">
        <f t="shared" si="135"/>
        <v>0</v>
      </c>
      <c r="BR103" s="109">
        <f t="shared" si="136"/>
        <v>0</v>
      </c>
      <c r="BS103" s="109">
        <f t="shared" si="137"/>
        <v>0</v>
      </c>
      <c r="BU103" s="82">
        <f t="shared" si="114"/>
        <v>0</v>
      </c>
      <c r="BV103" s="82" t="e">
        <f t="shared" si="138"/>
        <v>#DIV/0!</v>
      </c>
      <c r="BW103" s="77">
        <f t="shared" si="115"/>
        <v>0</v>
      </c>
      <c r="BX103" s="108">
        <f t="shared" si="116"/>
        <v>0</v>
      </c>
      <c r="BY103" s="107">
        <f t="shared" si="117"/>
        <v>0</v>
      </c>
      <c r="BZ103" s="107">
        <f t="shared" si="118"/>
        <v>0</v>
      </c>
      <c r="CA103" s="107">
        <f t="shared" si="119"/>
        <v>0</v>
      </c>
      <c r="CB103" s="109">
        <f t="shared" si="139"/>
        <v>0</v>
      </c>
      <c r="CC103" s="109">
        <f t="shared" si="140"/>
        <v>0</v>
      </c>
      <c r="CD103" s="109">
        <f t="shared" si="141"/>
        <v>0</v>
      </c>
    </row>
    <row r="104" spans="1:82" x14ac:dyDescent="0.25">
      <c r="A104" s="101">
        <f t="shared" si="120"/>
        <v>39022</v>
      </c>
      <c r="B104" s="102">
        <f t="shared" si="121"/>
        <v>3.0630000000000002</v>
      </c>
      <c r="C104" s="80">
        <f t="shared" si="122"/>
        <v>0.23</v>
      </c>
      <c r="D104" s="102">
        <f t="shared" si="71"/>
        <v>-0.17</v>
      </c>
      <c r="E104" s="106">
        <f t="shared" si="72"/>
        <v>1</v>
      </c>
      <c r="F104" s="105">
        <f t="shared" ca="1" si="73"/>
        <v>2248</v>
      </c>
      <c r="G104" s="80" t="e">
        <f t="shared" si="74"/>
        <v>#DIV/0!</v>
      </c>
      <c r="H104" s="80" t="e">
        <f t="shared" si="75"/>
        <v>#DIV/0!</v>
      </c>
      <c r="I104" s="104">
        <f t="shared" si="76"/>
        <v>5</v>
      </c>
      <c r="K104" s="102">
        <f t="shared" si="77"/>
        <v>-0.17</v>
      </c>
      <c r="L104" s="106">
        <f t="shared" si="78"/>
        <v>1</v>
      </c>
      <c r="M104" s="105">
        <f t="shared" ca="1" si="79"/>
        <v>2248</v>
      </c>
      <c r="N104" s="217" t="e">
        <f t="shared" si="80"/>
        <v>#DIV/0!</v>
      </c>
      <c r="O104" s="80" t="e">
        <f t="shared" si="81"/>
        <v>#DIV/0!</v>
      </c>
      <c r="P104" s="104">
        <f t="shared" si="82"/>
        <v>5</v>
      </c>
      <c r="R104" s="102">
        <f t="shared" si="83"/>
        <v>0.23</v>
      </c>
      <c r="S104" s="106">
        <f t="shared" si="84"/>
        <v>1</v>
      </c>
      <c r="T104" s="105">
        <f t="shared" ca="1" si="85"/>
        <v>2248</v>
      </c>
      <c r="U104" s="217" t="e">
        <f t="shared" si="86"/>
        <v>#DIV/0!</v>
      </c>
      <c r="V104" s="80" t="e">
        <f t="shared" si="87"/>
        <v>#DIV/0!</v>
      </c>
      <c r="W104" s="104">
        <f t="shared" si="88"/>
        <v>4.95</v>
      </c>
      <c r="X104" s="105"/>
      <c r="Y104" s="102">
        <f t="shared" si="89"/>
        <v>-3.2500000000000001E-2</v>
      </c>
      <c r="Z104" s="106">
        <f t="shared" si="90"/>
        <v>1</v>
      </c>
      <c r="AA104" s="105">
        <f t="shared" ca="1" si="91"/>
        <v>2248</v>
      </c>
      <c r="AB104" s="80" t="e">
        <f t="shared" si="92"/>
        <v>#DIV/0!</v>
      </c>
      <c r="AC104" s="80" t="e">
        <f t="shared" si="93"/>
        <v>#DIV/0!</v>
      </c>
      <c r="AD104" s="104">
        <f t="shared" si="94"/>
        <v>3.98</v>
      </c>
      <c r="AF104" s="105">
        <f t="shared" ca="1" si="123"/>
        <v>2248</v>
      </c>
      <c r="AG104" s="105">
        <f t="shared" ca="1" si="124"/>
        <v>2247</v>
      </c>
      <c r="AH104" s="80">
        <f t="shared" si="95"/>
        <v>6.9543262715070012E-2</v>
      </c>
      <c r="AI104" s="182">
        <f t="shared" si="96"/>
        <v>30</v>
      </c>
      <c r="AL104" s="105"/>
      <c r="AM104" s="82"/>
      <c r="AN104" s="82">
        <f t="shared" si="97"/>
        <v>0</v>
      </c>
      <c r="AO104" s="82" t="e">
        <f t="shared" si="125"/>
        <v>#DIV/0!</v>
      </c>
      <c r="AP104" s="77">
        <f t="shared" si="98"/>
        <v>0</v>
      </c>
      <c r="AQ104" s="108">
        <f t="shared" si="99"/>
        <v>0</v>
      </c>
      <c r="AR104" s="107">
        <f t="shared" si="100"/>
        <v>0</v>
      </c>
      <c r="AS104" s="107">
        <f t="shared" si="126"/>
        <v>0</v>
      </c>
      <c r="AT104" s="107">
        <f t="shared" si="101"/>
        <v>0</v>
      </c>
      <c r="AU104" s="109">
        <f t="shared" si="127"/>
        <v>0</v>
      </c>
      <c r="AV104" s="109">
        <f t="shared" si="128"/>
        <v>0</v>
      </c>
      <c r="AW104" s="109">
        <f t="shared" si="129"/>
        <v>0</v>
      </c>
      <c r="AY104" s="82">
        <f t="shared" si="102"/>
        <v>0</v>
      </c>
      <c r="AZ104" s="82" t="e">
        <f t="shared" si="130"/>
        <v>#DIV/0!</v>
      </c>
      <c r="BA104" s="77">
        <f t="shared" si="103"/>
        <v>0</v>
      </c>
      <c r="BB104" s="108">
        <f t="shared" si="104"/>
        <v>0</v>
      </c>
      <c r="BC104" s="107">
        <f t="shared" si="105"/>
        <v>0</v>
      </c>
      <c r="BD104" s="107">
        <f t="shared" si="106"/>
        <v>0</v>
      </c>
      <c r="BE104" s="107">
        <f t="shared" si="107"/>
        <v>0</v>
      </c>
      <c r="BF104" s="109">
        <f t="shared" si="131"/>
        <v>0</v>
      </c>
      <c r="BG104" s="109">
        <f t="shared" si="132"/>
        <v>0</v>
      </c>
      <c r="BH104" s="109">
        <f t="shared" si="133"/>
        <v>0</v>
      </c>
      <c r="BJ104" s="82">
        <f t="shared" si="108"/>
        <v>0</v>
      </c>
      <c r="BK104" s="82" t="e">
        <f t="shared" si="134"/>
        <v>#DIV/0!</v>
      </c>
      <c r="BL104" s="77">
        <f t="shared" si="109"/>
        <v>0</v>
      </c>
      <c r="BM104" s="108">
        <f t="shared" si="110"/>
        <v>0</v>
      </c>
      <c r="BN104" s="107">
        <f t="shared" si="111"/>
        <v>0</v>
      </c>
      <c r="BO104" s="107">
        <f t="shared" si="112"/>
        <v>0</v>
      </c>
      <c r="BP104" s="107">
        <f t="shared" si="113"/>
        <v>0</v>
      </c>
      <c r="BQ104" s="109">
        <f t="shared" si="135"/>
        <v>0</v>
      </c>
      <c r="BR104" s="109">
        <f t="shared" si="136"/>
        <v>0</v>
      </c>
      <c r="BS104" s="109">
        <f t="shared" si="137"/>
        <v>0</v>
      </c>
      <c r="BU104" s="82">
        <f t="shared" si="114"/>
        <v>0</v>
      </c>
      <c r="BV104" s="82" t="e">
        <f t="shared" si="138"/>
        <v>#DIV/0!</v>
      </c>
      <c r="BW104" s="77">
        <f t="shared" si="115"/>
        <v>0</v>
      </c>
      <c r="BX104" s="108">
        <f t="shared" si="116"/>
        <v>0</v>
      </c>
      <c r="BY104" s="107">
        <f t="shared" si="117"/>
        <v>0</v>
      </c>
      <c r="BZ104" s="107">
        <f t="shared" si="118"/>
        <v>0</v>
      </c>
      <c r="CA104" s="107">
        <f t="shared" si="119"/>
        <v>0</v>
      </c>
      <c r="CB104" s="109">
        <f t="shared" si="139"/>
        <v>0</v>
      </c>
      <c r="CC104" s="109">
        <f t="shared" si="140"/>
        <v>0</v>
      </c>
      <c r="CD104" s="109">
        <f t="shared" si="141"/>
        <v>0</v>
      </c>
    </row>
    <row r="105" spans="1:82" x14ac:dyDescent="0.25">
      <c r="A105" s="101">
        <f t="shared" si="120"/>
        <v>39052</v>
      </c>
      <c r="B105" s="102">
        <f t="shared" si="121"/>
        <v>3.1360000000000001</v>
      </c>
      <c r="C105" s="80">
        <f t="shared" si="122"/>
        <v>0.24</v>
      </c>
      <c r="D105" s="102">
        <f t="shared" si="71"/>
        <v>-0.17</v>
      </c>
      <c r="E105" s="106">
        <f t="shared" si="72"/>
        <v>1</v>
      </c>
      <c r="F105" s="105">
        <f t="shared" ca="1" si="73"/>
        <v>2280</v>
      </c>
      <c r="G105" s="80" t="e">
        <f t="shared" si="74"/>
        <v>#DIV/0!</v>
      </c>
      <c r="H105" s="80" t="e">
        <f t="shared" si="75"/>
        <v>#DIV/0!</v>
      </c>
      <c r="I105" s="104">
        <f t="shared" si="76"/>
        <v>5</v>
      </c>
      <c r="K105" s="102">
        <f t="shared" si="77"/>
        <v>-0.17</v>
      </c>
      <c r="L105" s="106">
        <f t="shared" si="78"/>
        <v>1</v>
      </c>
      <c r="M105" s="105">
        <f t="shared" ca="1" si="79"/>
        <v>2280</v>
      </c>
      <c r="N105" s="217" t="e">
        <f t="shared" si="80"/>
        <v>#DIV/0!</v>
      </c>
      <c r="O105" s="80" t="e">
        <f t="shared" si="81"/>
        <v>#DIV/0!</v>
      </c>
      <c r="P105" s="104">
        <f t="shared" si="82"/>
        <v>5</v>
      </c>
      <c r="R105" s="102">
        <f t="shared" si="83"/>
        <v>0.27</v>
      </c>
      <c r="S105" s="106">
        <f t="shared" si="84"/>
        <v>1</v>
      </c>
      <c r="T105" s="105">
        <f t="shared" ca="1" si="85"/>
        <v>2280</v>
      </c>
      <c r="U105" s="217" t="e">
        <f t="shared" si="86"/>
        <v>#DIV/0!</v>
      </c>
      <c r="V105" s="80" t="e">
        <f t="shared" si="87"/>
        <v>#DIV/0!</v>
      </c>
      <c r="W105" s="104">
        <f t="shared" si="88"/>
        <v>4.95</v>
      </c>
      <c r="X105" s="105"/>
      <c r="Y105" s="102">
        <f t="shared" si="89"/>
        <v>-5.5E-2</v>
      </c>
      <c r="Z105" s="106">
        <f t="shared" si="90"/>
        <v>1</v>
      </c>
      <c r="AA105" s="105">
        <f t="shared" ca="1" si="91"/>
        <v>2280</v>
      </c>
      <c r="AB105" s="80" t="e">
        <f t="shared" si="92"/>
        <v>#DIV/0!</v>
      </c>
      <c r="AC105" s="80" t="e">
        <f t="shared" si="93"/>
        <v>#DIV/0!</v>
      </c>
      <c r="AD105" s="104">
        <f t="shared" si="94"/>
        <v>3.98</v>
      </c>
      <c r="AF105" s="105">
        <f t="shared" ca="1" si="123"/>
        <v>2280</v>
      </c>
      <c r="AG105" s="105">
        <f t="shared" ca="1" si="124"/>
        <v>2279</v>
      </c>
      <c r="AH105" s="80">
        <f t="shared" si="95"/>
        <v>6.9558994691000006E-2</v>
      </c>
      <c r="AI105" s="182">
        <f t="shared" si="96"/>
        <v>31</v>
      </c>
      <c r="AL105" s="105"/>
      <c r="AM105" s="82"/>
      <c r="AN105" s="82">
        <f t="shared" si="97"/>
        <v>0</v>
      </c>
      <c r="AO105" s="82" t="e">
        <f t="shared" si="125"/>
        <v>#DIV/0!</v>
      </c>
      <c r="AP105" s="77">
        <f t="shared" si="98"/>
        <v>0</v>
      </c>
      <c r="AQ105" s="108">
        <f t="shared" si="99"/>
        <v>0</v>
      </c>
      <c r="AR105" s="107">
        <f t="shared" si="100"/>
        <v>0</v>
      </c>
      <c r="AS105" s="107">
        <f t="shared" si="126"/>
        <v>0</v>
      </c>
      <c r="AT105" s="107">
        <f t="shared" si="101"/>
        <v>0</v>
      </c>
      <c r="AU105" s="109">
        <f t="shared" si="127"/>
        <v>0</v>
      </c>
      <c r="AV105" s="109">
        <f t="shared" si="128"/>
        <v>0</v>
      </c>
      <c r="AW105" s="109">
        <f t="shared" si="129"/>
        <v>0</v>
      </c>
      <c r="AY105" s="82">
        <f t="shared" si="102"/>
        <v>0</v>
      </c>
      <c r="AZ105" s="82" t="e">
        <f t="shared" si="130"/>
        <v>#DIV/0!</v>
      </c>
      <c r="BA105" s="77">
        <f t="shared" si="103"/>
        <v>0</v>
      </c>
      <c r="BB105" s="108">
        <f t="shared" si="104"/>
        <v>0</v>
      </c>
      <c r="BC105" s="107">
        <f t="shared" si="105"/>
        <v>0</v>
      </c>
      <c r="BD105" s="107">
        <f t="shared" si="106"/>
        <v>0</v>
      </c>
      <c r="BE105" s="107">
        <f t="shared" si="107"/>
        <v>0</v>
      </c>
      <c r="BF105" s="109">
        <f t="shared" si="131"/>
        <v>0</v>
      </c>
      <c r="BG105" s="109">
        <f t="shared" si="132"/>
        <v>0</v>
      </c>
      <c r="BH105" s="109">
        <f t="shared" si="133"/>
        <v>0</v>
      </c>
      <c r="BJ105" s="82">
        <f t="shared" si="108"/>
        <v>0</v>
      </c>
      <c r="BK105" s="82" t="e">
        <f t="shared" si="134"/>
        <v>#DIV/0!</v>
      </c>
      <c r="BL105" s="77">
        <f t="shared" si="109"/>
        <v>0</v>
      </c>
      <c r="BM105" s="108">
        <f t="shared" si="110"/>
        <v>0</v>
      </c>
      <c r="BN105" s="107">
        <f t="shared" si="111"/>
        <v>0</v>
      </c>
      <c r="BO105" s="107">
        <f t="shared" si="112"/>
        <v>0</v>
      </c>
      <c r="BP105" s="107">
        <f t="shared" si="113"/>
        <v>0</v>
      </c>
      <c r="BQ105" s="109">
        <f t="shared" si="135"/>
        <v>0</v>
      </c>
      <c r="BR105" s="109">
        <f t="shared" si="136"/>
        <v>0</v>
      </c>
      <c r="BS105" s="109">
        <f t="shared" si="137"/>
        <v>0</v>
      </c>
      <c r="BU105" s="82">
        <f t="shared" si="114"/>
        <v>0</v>
      </c>
      <c r="BV105" s="82" t="e">
        <f t="shared" si="138"/>
        <v>#DIV/0!</v>
      </c>
      <c r="BW105" s="77">
        <f t="shared" si="115"/>
        <v>0</v>
      </c>
      <c r="BX105" s="108">
        <f t="shared" si="116"/>
        <v>0</v>
      </c>
      <c r="BY105" s="107">
        <f t="shared" si="117"/>
        <v>0</v>
      </c>
      <c r="BZ105" s="107">
        <f t="shared" si="118"/>
        <v>0</v>
      </c>
      <c r="CA105" s="107">
        <f t="shared" si="119"/>
        <v>0</v>
      </c>
      <c r="CB105" s="109">
        <f t="shared" si="139"/>
        <v>0</v>
      </c>
      <c r="CC105" s="109">
        <f t="shared" si="140"/>
        <v>0</v>
      </c>
      <c r="CD105" s="109">
        <f t="shared" si="141"/>
        <v>0</v>
      </c>
    </row>
    <row r="106" spans="1:82" x14ac:dyDescent="0.25">
      <c r="A106" s="101">
        <f t="shared" si="120"/>
        <v>39083</v>
      </c>
      <c r="B106" s="102">
        <f t="shared" si="121"/>
        <v>3.41</v>
      </c>
      <c r="C106" s="80">
        <f t="shared" si="122"/>
        <v>0.245</v>
      </c>
      <c r="D106" s="102">
        <f t="shared" si="71"/>
        <v>-0.17</v>
      </c>
      <c r="E106" s="106">
        <f t="shared" si="72"/>
        <v>1</v>
      </c>
      <c r="F106" s="105">
        <f t="shared" ca="1" si="73"/>
        <v>2309</v>
      </c>
      <c r="G106" s="80" t="e">
        <f t="shared" si="74"/>
        <v>#DIV/0!</v>
      </c>
      <c r="H106" s="80" t="e">
        <f t="shared" si="75"/>
        <v>#DIV/0!</v>
      </c>
      <c r="I106" s="104">
        <f t="shared" si="76"/>
        <v>5</v>
      </c>
      <c r="K106" s="102">
        <f t="shared" si="77"/>
        <v>-0.17</v>
      </c>
      <c r="L106" s="106">
        <f t="shared" si="78"/>
        <v>1</v>
      </c>
      <c r="M106" s="105">
        <f t="shared" ca="1" si="79"/>
        <v>2309</v>
      </c>
      <c r="N106" s="217" t="e">
        <f t="shared" si="80"/>
        <v>#DIV/0!</v>
      </c>
      <c r="O106" s="80" t="e">
        <f t="shared" si="81"/>
        <v>#DIV/0!</v>
      </c>
      <c r="P106" s="104">
        <f t="shared" si="82"/>
        <v>5</v>
      </c>
      <c r="R106" s="102">
        <f t="shared" si="83"/>
        <v>0.315</v>
      </c>
      <c r="S106" s="106">
        <f t="shared" si="84"/>
        <v>1</v>
      </c>
      <c r="T106" s="105">
        <f t="shared" ca="1" si="85"/>
        <v>2309</v>
      </c>
      <c r="U106" s="217" t="e">
        <f t="shared" si="86"/>
        <v>#DIV/0!</v>
      </c>
      <c r="V106" s="80" t="e">
        <f t="shared" si="87"/>
        <v>#DIV/0!</v>
      </c>
      <c r="W106" s="104">
        <f t="shared" si="88"/>
        <v>4.95</v>
      </c>
      <c r="X106" s="105"/>
      <c r="Y106" s="102">
        <f t="shared" si="89"/>
        <v>-5.7500000000000002E-2</v>
      </c>
      <c r="Z106" s="106">
        <f t="shared" si="90"/>
        <v>1</v>
      </c>
      <c r="AA106" s="105">
        <f t="shared" ca="1" si="91"/>
        <v>2309</v>
      </c>
      <c r="AB106" s="80" t="e">
        <f t="shared" si="92"/>
        <v>#DIV/0!</v>
      </c>
      <c r="AC106" s="80" t="e">
        <f t="shared" si="93"/>
        <v>#DIV/0!</v>
      </c>
      <c r="AD106" s="104">
        <f t="shared" si="94"/>
        <v>3.98</v>
      </c>
      <c r="AF106" s="105">
        <f t="shared" ca="1" si="123"/>
        <v>2309</v>
      </c>
      <c r="AG106" s="105">
        <f t="shared" ca="1" si="124"/>
        <v>2308</v>
      </c>
      <c r="AH106" s="80">
        <f t="shared" si="95"/>
        <v>6.9575251066209015E-2</v>
      </c>
      <c r="AI106" s="182">
        <f t="shared" si="96"/>
        <v>31</v>
      </c>
      <c r="AL106" s="105"/>
      <c r="AM106" s="82"/>
      <c r="AN106" s="82">
        <f t="shared" si="97"/>
        <v>0</v>
      </c>
      <c r="AO106" s="82" t="e">
        <f t="shared" si="125"/>
        <v>#DIV/0!</v>
      </c>
      <c r="AP106" s="77">
        <f t="shared" si="98"/>
        <v>0</v>
      </c>
      <c r="AQ106" s="108">
        <f t="shared" si="99"/>
        <v>0</v>
      </c>
      <c r="AR106" s="107">
        <f t="shared" si="100"/>
        <v>0</v>
      </c>
      <c r="AS106" s="107">
        <f t="shared" si="126"/>
        <v>0</v>
      </c>
      <c r="AT106" s="107">
        <f t="shared" si="101"/>
        <v>0</v>
      </c>
      <c r="AU106" s="109">
        <f t="shared" si="127"/>
        <v>0</v>
      </c>
      <c r="AV106" s="109">
        <f t="shared" si="128"/>
        <v>0</v>
      </c>
      <c r="AW106" s="109">
        <f t="shared" si="129"/>
        <v>0</v>
      </c>
      <c r="AY106" s="82">
        <f t="shared" si="102"/>
        <v>0</v>
      </c>
      <c r="AZ106" s="82" t="e">
        <f t="shared" si="130"/>
        <v>#DIV/0!</v>
      </c>
      <c r="BA106" s="77">
        <f t="shared" si="103"/>
        <v>0</v>
      </c>
      <c r="BB106" s="108">
        <f t="shared" si="104"/>
        <v>0</v>
      </c>
      <c r="BC106" s="107">
        <f t="shared" si="105"/>
        <v>0</v>
      </c>
      <c r="BD106" s="107">
        <f t="shared" si="106"/>
        <v>0</v>
      </c>
      <c r="BE106" s="107">
        <f t="shared" si="107"/>
        <v>0</v>
      </c>
      <c r="BF106" s="109">
        <f t="shared" si="131"/>
        <v>0</v>
      </c>
      <c r="BG106" s="109">
        <f t="shared" si="132"/>
        <v>0</v>
      </c>
      <c r="BH106" s="109">
        <f t="shared" si="133"/>
        <v>0</v>
      </c>
      <c r="BJ106" s="82">
        <f t="shared" si="108"/>
        <v>0</v>
      </c>
      <c r="BK106" s="82" t="e">
        <f t="shared" si="134"/>
        <v>#DIV/0!</v>
      </c>
      <c r="BL106" s="77">
        <f t="shared" si="109"/>
        <v>0</v>
      </c>
      <c r="BM106" s="108">
        <f t="shared" si="110"/>
        <v>0</v>
      </c>
      <c r="BN106" s="107">
        <f t="shared" si="111"/>
        <v>0</v>
      </c>
      <c r="BO106" s="107">
        <f t="shared" si="112"/>
        <v>0</v>
      </c>
      <c r="BP106" s="107">
        <f t="shared" si="113"/>
        <v>0</v>
      </c>
      <c r="BQ106" s="109">
        <f t="shared" si="135"/>
        <v>0</v>
      </c>
      <c r="BR106" s="109">
        <f t="shared" si="136"/>
        <v>0</v>
      </c>
      <c r="BS106" s="109">
        <f t="shared" si="137"/>
        <v>0</v>
      </c>
      <c r="BU106" s="82">
        <f t="shared" si="114"/>
        <v>0</v>
      </c>
      <c r="BV106" s="82" t="e">
        <f t="shared" si="138"/>
        <v>#DIV/0!</v>
      </c>
      <c r="BW106" s="77">
        <f t="shared" si="115"/>
        <v>0</v>
      </c>
      <c r="BX106" s="108">
        <f t="shared" si="116"/>
        <v>0</v>
      </c>
      <c r="BY106" s="107">
        <f t="shared" si="117"/>
        <v>0</v>
      </c>
      <c r="BZ106" s="107">
        <f t="shared" si="118"/>
        <v>0</v>
      </c>
      <c r="CA106" s="107">
        <f t="shared" si="119"/>
        <v>0</v>
      </c>
      <c r="CB106" s="109">
        <f t="shared" si="139"/>
        <v>0</v>
      </c>
      <c r="CC106" s="109">
        <f t="shared" si="140"/>
        <v>0</v>
      </c>
      <c r="CD106" s="109">
        <f t="shared" si="141"/>
        <v>0</v>
      </c>
    </row>
    <row r="107" spans="1:82" x14ac:dyDescent="0.25">
      <c r="A107" s="101">
        <f t="shared" si="120"/>
        <v>39114</v>
      </c>
      <c r="B107" s="102">
        <f t="shared" si="121"/>
        <v>3.2840000000000003</v>
      </c>
      <c r="C107" s="80">
        <f t="shared" si="122"/>
        <v>0.23</v>
      </c>
      <c r="D107" s="102">
        <f t="shared" si="71"/>
        <v>-0.17</v>
      </c>
      <c r="E107" s="106">
        <f t="shared" si="72"/>
        <v>1</v>
      </c>
      <c r="F107" s="105">
        <f t="shared" ca="1" si="73"/>
        <v>2342</v>
      </c>
      <c r="G107" s="80" t="e">
        <f t="shared" si="74"/>
        <v>#DIV/0!</v>
      </c>
      <c r="H107" s="80" t="e">
        <f t="shared" si="75"/>
        <v>#DIV/0!</v>
      </c>
      <c r="I107" s="104">
        <f t="shared" si="76"/>
        <v>5</v>
      </c>
      <c r="K107" s="102">
        <f t="shared" si="77"/>
        <v>-0.17</v>
      </c>
      <c r="L107" s="106">
        <f t="shared" si="78"/>
        <v>1</v>
      </c>
      <c r="M107" s="105">
        <f t="shared" ca="1" si="79"/>
        <v>2342</v>
      </c>
      <c r="N107" s="217" t="e">
        <f t="shared" si="80"/>
        <v>#DIV/0!</v>
      </c>
      <c r="O107" s="80" t="e">
        <f t="shared" si="81"/>
        <v>#DIV/0!</v>
      </c>
      <c r="P107" s="104">
        <f t="shared" si="82"/>
        <v>5</v>
      </c>
      <c r="R107" s="102">
        <f t="shared" si="83"/>
        <v>0.28999999999999998</v>
      </c>
      <c r="S107" s="106">
        <f t="shared" si="84"/>
        <v>1</v>
      </c>
      <c r="T107" s="105">
        <f t="shared" ca="1" si="85"/>
        <v>2342</v>
      </c>
      <c r="U107" s="217" t="e">
        <f t="shared" si="86"/>
        <v>#DIV/0!</v>
      </c>
      <c r="V107" s="80" t="e">
        <f t="shared" si="87"/>
        <v>#DIV/0!</v>
      </c>
      <c r="W107" s="104">
        <f t="shared" si="88"/>
        <v>4.95</v>
      </c>
      <c r="X107" s="105"/>
      <c r="Y107" s="102">
        <f t="shared" si="89"/>
        <v>-0.04</v>
      </c>
      <c r="Z107" s="106">
        <f t="shared" si="90"/>
        <v>1</v>
      </c>
      <c r="AA107" s="105">
        <f t="shared" ca="1" si="91"/>
        <v>2342</v>
      </c>
      <c r="AB107" s="80" t="e">
        <f t="shared" si="92"/>
        <v>#DIV/0!</v>
      </c>
      <c r="AC107" s="80" t="e">
        <f t="shared" si="93"/>
        <v>#DIV/0!</v>
      </c>
      <c r="AD107" s="104">
        <f t="shared" si="94"/>
        <v>3.98</v>
      </c>
      <c r="AF107" s="105">
        <f t="shared" ca="1" si="123"/>
        <v>2342</v>
      </c>
      <c r="AG107" s="105">
        <f t="shared" ca="1" si="124"/>
        <v>2339</v>
      </c>
      <c r="AH107" s="80">
        <f t="shared" si="95"/>
        <v>6.9591507441507008E-2</v>
      </c>
      <c r="AI107" s="182">
        <f t="shared" si="96"/>
        <v>28</v>
      </c>
      <c r="AL107" s="105"/>
      <c r="AM107" s="82"/>
      <c r="AN107" s="82">
        <f t="shared" si="97"/>
        <v>0</v>
      </c>
      <c r="AO107" s="82" t="e">
        <f t="shared" si="125"/>
        <v>#DIV/0!</v>
      </c>
      <c r="AP107" s="77">
        <f t="shared" si="98"/>
        <v>0</v>
      </c>
      <c r="AQ107" s="108">
        <f t="shared" si="99"/>
        <v>0</v>
      </c>
      <c r="AR107" s="107">
        <f t="shared" si="100"/>
        <v>0</v>
      </c>
      <c r="AS107" s="107">
        <f t="shared" si="126"/>
        <v>0</v>
      </c>
      <c r="AT107" s="107">
        <f t="shared" si="101"/>
        <v>0</v>
      </c>
      <c r="AU107" s="109">
        <f t="shared" si="127"/>
        <v>0</v>
      </c>
      <c r="AV107" s="109">
        <f t="shared" si="128"/>
        <v>0</v>
      </c>
      <c r="AW107" s="109">
        <f t="shared" si="129"/>
        <v>0</v>
      </c>
      <c r="AY107" s="82">
        <f t="shared" si="102"/>
        <v>0</v>
      </c>
      <c r="AZ107" s="82" t="e">
        <f t="shared" si="130"/>
        <v>#DIV/0!</v>
      </c>
      <c r="BA107" s="77">
        <f t="shared" si="103"/>
        <v>0</v>
      </c>
      <c r="BB107" s="108">
        <f t="shared" si="104"/>
        <v>0</v>
      </c>
      <c r="BC107" s="107">
        <f t="shared" si="105"/>
        <v>0</v>
      </c>
      <c r="BD107" s="107">
        <f t="shared" si="106"/>
        <v>0</v>
      </c>
      <c r="BE107" s="107">
        <f t="shared" si="107"/>
        <v>0</v>
      </c>
      <c r="BF107" s="109">
        <f t="shared" si="131"/>
        <v>0</v>
      </c>
      <c r="BG107" s="109">
        <f t="shared" si="132"/>
        <v>0</v>
      </c>
      <c r="BH107" s="109">
        <f t="shared" si="133"/>
        <v>0</v>
      </c>
      <c r="BJ107" s="82">
        <f t="shared" si="108"/>
        <v>0</v>
      </c>
      <c r="BK107" s="82" t="e">
        <f t="shared" si="134"/>
        <v>#DIV/0!</v>
      </c>
      <c r="BL107" s="77">
        <f t="shared" si="109"/>
        <v>0</v>
      </c>
      <c r="BM107" s="108">
        <f t="shared" si="110"/>
        <v>0</v>
      </c>
      <c r="BN107" s="107">
        <f t="shared" si="111"/>
        <v>0</v>
      </c>
      <c r="BO107" s="107">
        <f t="shared" si="112"/>
        <v>0</v>
      </c>
      <c r="BP107" s="107">
        <f t="shared" si="113"/>
        <v>0</v>
      </c>
      <c r="BQ107" s="109">
        <f t="shared" si="135"/>
        <v>0</v>
      </c>
      <c r="BR107" s="109">
        <f t="shared" si="136"/>
        <v>0</v>
      </c>
      <c r="BS107" s="109">
        <f t="shared" si="137"/>
        <v>0</v>
      </c>
      <c r="BU107" s="82">
        <f t="shared" si="114"/>
        <v>0</v>
      </c>
      <c r="BV107" s="82" t="e">
        <f t="shared" si="138"/>
        <v>#DIV/0!</v>
      </c>
      <c r="BW107" s="77">
        <f t="shared" si="115"/>
        <v>0</v>
      </c>
      <c r="BX107" s="108">
        <f t="shared" si="116"/>
        <v>0</v>
      </c>
      <c r="BY107" s="107">
        <f t="shared" si="117"/>
        <v>0</v>
      </c>
      <c r="BZ107" s="107">
        <f t="shared" si="118"/>
        <v>0</v>
      </c>
      <c r="CA107" s="107">
        <f t="shared" si="119"/>
        <v>0</v>
      </c>
      <c r="CB107" s="109">
        <f t="shared" si="139"/>
        <v>0</v>
      </c>
      <c r="CC107" s="109">
        <f t="shared" si="140"/>
        <v>0</v>
      </c>
      <c r="CD107" s="109">
        <f t="shared" si="141"/>
        <v>0</v>
      </c>
    </row>
    <row r="108" spans="1:82" x14ac:dyDescent="0.25">
      <c r="A108" s="101">
        <f t="shared" ref="A108:A151" si="142">DATE(YEAR(A107),MONTH(A107)+1,1)</f>
        <v>39142</v>
      </c>
      <c r="B108" s="102">
        <f t="shared" si="121"/>
        <v>3.1260000000000003</v>
      </c>
      <c r="C108" s="80">
        <f t="shared" ref="C108:C150" si="143">VLOOKUP(A108,STRADDLE,8,FALSE)</f>
        <v>0.22</v>
      </c>
      <c r="D108" s="102">
        <f t="shared" si="71"/>
        <v>-0.17</v>
      </c>
      <c r="E108" s="106">
        <f t="shared" si="72"/>
        <v>1</v>
      </c>
      <c r="F108" s="105">
        <f t="shared" ref="F108:F150" ca="1" si="144">IF(D$28="NYMEX",$AG108,$AF108)</f>
        <v>2370</v>
      </c>
      <c r="G108" s="80" t="e">
        <f t="shared" ref="G108:G150" si="145">(($C108+H108)*$E108)+B$15</f>
        <v>#DIV/0!</v>
      </c>
      <c r="H108" s="80" t="e">
        <f t="shared" ref="H108:H150" si="146">IF($B$16=1,VLOOKUP($A108,SkewTable,HLOOKUP(ROUND(I108-AO108,1),SkewTable,2,FALSE),FALSE)/100,0)</f>
        <v>#DIV/0!</v>
      </c>
      <c r="I108" s="104">
        <f t="shared" si="76"/>
        <v>5</v>
      </c>
      <c r="K108" s="102">
        <f t="shared" si="77"/>
        <v>-0.17</v>
      </c>
      <c r="L108" s="106">
        <f t="shared" si="78"/>
        <v>1</v>
      </c>
      <c r="M108" s="105">
        <f t="shared" ref="M108:M150" ca="1" si="147">IF(K$28="NYMEX",$AG108,$AF108)</f>
        <v>2370</v>
      </c>
      <c r="N108" s="217" t="e">
        <f t="shared" ref="N108:N150" si="148">(($C108+O108)*$L108)+D$15</f>
        <v>#DIV/0!</v>
      </c>
      <c r="O108" s="80" t="e">
        <f t="shared" ref="O108:O150" si="149">IF($D$16=1,VLOOKUP($A108,SkewTable,HLOOKUP(ROUND(P108-AZ108,1),SkewTable,2,FALSE),FALSE)/100,0)</f>
        <v>#DIV/0!</v>
      </c>
      <c r="P108" s="104">
        <f t="shared" si="82"/>
        <v>5</v>
      </c>
      <c r="R108" s="102">
        <f t="shared" si="83"/>
        <v>0.28749999999999998</v>
      </c>
      <c r="S108" s="106">
        <f t="shared" si="84"/>
        <v>1</v>
      </c>
      <c r="T108" s="105">
        <f t="shared" ref="T108:T150" ca="1" si="150">IF(R$28="NYMEX",$AG108,$AF108)</f>
        <v>2370</v>
      </c>
      <c r="U108" s="217" t="e">
        <f t="shared" ref="U108:U150" si="151">(($C108+V108)*$S108)+F$15</f>
        <v>#DIV/0!</v>
      </c>
      <c r="V108" s="80" t="e">
        <f t="shared" ref="V108:V150" si="152">IF($F$16=1,VLOOKUP($A108,SkewTable,HLOOKUP(ROUND(W108-BK108,1),SkewTable,2,FALSE),FALSE)/100,0)</f>
        <v>#DIV/0!</v>
      </c>
      <c r="W108" s="104">
        <f t="shared" si="88"/>
        <v>4.95</v>
      </c>
      <c r="X108" s="105"/>
      <c r="Y108" s="102">
        <f t="shared" si="89"/>
        <v>-2.75E-2</v>
      </c>
      <c r="Z108" s="106">
        <f t="shared" si="90"/>
        <v>1</v>
      </c>
      <c r="AA108" s="105">
        <f t="shared" ref="AA108:AA150" ca="1" si="153">IF(Y$28="NYMEX",$AG108,$AF108)</f>
        <v>2370</v>
      </c>
      <c r="AB108" s="80" t="e">
        <f t="shared" ref="AB108:AB150" si="154">(($C108+AC108)*$Z108)+H$15</f>
        <v>#DIV/0!</v>
      </c>
      <c r="AC108" s="80" t="e">
        <f t="shared" ref="AC108:AC150" si="155">IF($H$16=1,VLOOKUP($A108,SkewTable,HLOOKUP(ROUND(AD108-BV108,1),SkewTable,2,FALSE),FALSE)/100,0)</f>
        <v>#DIV/0!</v>
      </c>
      <c r="AD108" s="104">
        <f t="shared" si="94"/>
        <v>3.98</v>
      </c>
      <c r="AF108" s="105">
        <f t="shared" ca="1" si="123"/>
        <v>2370</v>
      </c>
      <c r="AG108" s="105">
        <f t="shared" ca="1" si="124"/>
        <v>2367</v>
      </c>
      <c r="AH108" s="80">
        <f t="shared" si="95"/>
        <v>6.9606190619271008E-2</v>
      </c>
      <c r="AI108" s="182">
        <f t="shared" si="96"/>
        <v>31</v>
      </c>
      <c r="AL108" s="105"/>
      <c r="AM108" s="82"/>
      <c r="AN108" s="82">
        <f t="shared" ref="AN108:AN150" si="156">IF($A108&gt;=AO$25,IF($A108&lt;=AO$26,$AI108,0),0)</f>
        <v>0</v>
      </c>
      <c r="AO108" s="82" t="e">
        <f t="shared" ref="AO108:AO150" si="157">AQ108/AN108</f>
        <v>#DIV/0!</v>
      </c>
      <c r="AP108" s="77">
        <f t="shared" ref="AP108:AP150" si="158">AN108*($B108+B$13)</f>
        <v>0</v>
      </c>
      <c r="AQ108" s="108">
        <f t="shared" ref="AQ108:AQ150" si="159">IF(ISNUMBER(((AP108/AN108)+B$14+$D108)*AN108),((AP108/AN108)+B$14+$D108)*AN108,0)</f>
        <v>0</v>
      </c>
      <c r="AR108" s="107">
        <f t="shared" ref="AR108:AR150" si="160">IF(AN108=0,0,bsd(1,AS$27,AO108,$I108,$F108,$G108,$AH108,0.1))</f>
        <v>0</v>
      </c>
      <c r="AS108" s="107">
        <f t="shared" ref="AS108:AS150" si="161">IF(AN108=0,0,bsd(2,AS$27,AO108,$I108,$F108,$G108,$AH108,0.1))</f>
        <v>0</v>
      </c>
      <c r="AT108" s="107">
        <f t="shared" ref="AT108:AT150" si="162">IF(AN108=0,0,bsd(AS$28,AS$27,AO108,$I108,$F108,$G108,$AH108,0.1))</f>
        <v>0</v>
      </c>
      <c r="AU108" s="109">
        <f t="shared" ref="AU108:AU150" si="163">AN108*AR108</f>
        <v>0</v>
      </c>
      <c r="AV108" s="109">
        <f t="shared" ref="AV108:AV150" si="164">AN108*AS108</f>
        <v>0</v>
      </c>
      <c r="AW108" s="109">
        <f t="shared" ref="AW108:AW150" si="165">AN108*AT108</f>
        <v>0</v>
      </c>
      <c r="AY108" s="82">
        <f t="shared" ref="AY108:AY150" si="166">IF($A108&gt;=AZ$25,IF($A108&lt;=AZ$26,$AI108,0),0)</f>
        <v>0</v>
      </c>
      <c r="AZ108" s="82" t="e">
        <f t="shared" ref="AZ108:AZ150" si="167">BB108/AY108</f>
        <v>#DIV/0!</v>
      </c>
      <c r="BA108" s="77">
        <f t="shared" ref="BA108:BA150" si="168">AY108*($B108+D$13)</f>
        <v>0</v>
      </c>
      <c r="BB108" s="108">
        <f t="shared" ref="BB108:BB150" si="169">IF(ISNUMBER(((BA108/AY108)+D$14+$K108)*AY108),((BA108/AY108)+D$14+$K108)*AY108,0)</f>
        <v>0</v>
      </c>
      <c r="BC108" s="107">
        <f t="shared" ref="BC108:BC150" si="170">IF(AY108=0,0,bsd(1,BD$27,AZ108,$P108,$M108,$N108,$AH108,0.1))</f>
        <v>0</v>
      </c>
      <c r="BD108" s="107">
        <f t="shared" ref="BD108:BD150" si="171">IF(AY108=0,0,bsd(2,BD$27,AZ108,$P108,$M108,$N108,$AH108,0.1))</f>
        <v>0</v>
      </c>
      <c r="BE108" s="107">
        <f t="shared" ref="BE108:BE150" si="172">IF(AY108=0,0,bsd(BD$28,BD$27,AZ108,$P108,$M108,$N108,$AH108,0.1))</f>
        <v>0</v>
      </c>
      <c r="BF108" s="109">
        <f t="shared" ref="BF108:BF150" si="173">AY108*BC108</f>
        <v>0</v>
      </c>
      <c r="BG108" s="109">
        <f t="shared" ref="BG108:BG150" si="174">AY108*BD108</f>
        <v>0</v>
      </c>
      <c r="BH108" s="109">
        <f t="shared" ref="BH108:BH150" si="175">AY108*BE108</f>
        <v>0</v>
      </c>
      <c r="BJ108" s="82">
        <f t="shared" ref="BJ108:BJ150" si="176">IF($A108&gt;=BK$25,IF($A108&lt;=BK$26,$AI108,0),0)</f>
        <v>0</v>
      </c>
      <c r="BK108" s="82" t="e">
        <f t="shared" ref="BK108:BK150" si="177">BM108/BJ108</f>
        <v>#DIV/0!</v>
      </c>
      <c r="BL108" s="77">
        <f t="shared" ref="BL108:BL150" si="178">BJ108*($B108+F$13)</f>
        <v>0</v>
      </c>
      <c r="BM108" s="108">
        <f t="shared" ref="BM108:BM150" si="179">IF(ISNUMBER(((BL108/BJ108)+F$14+$R108)*BJ108),((BL108/BJ108)+F$14+$R108)*BJ108,0)</f>
        <v>0</v>
      </c>
      <c r="BN108" s="107">
        <f t="shared" ref="BN108:BN150" si="180">IF(BJ108=0,0,bsd(1,BO$27,BK108,$W108,$T108,$U108,$AH108,0.1))</f>
        <v>0</v>
      </c>
      <c r="BO108" s="107">
        <f t="shared" ref="BO108:BO150" si="181">IF(BJ108=0,0,bsd(2,BO$27,BK108,$W108,$T108,$U108,$AH108,0.1))</f>
        <v>0</v>
      </c>
      <c r="BP108" s="107">
        <f t="shared" ref="BP108:BP150" si="182">IF(BJ108=0,0,bsd(BO$28,BO$27,BK108,$W108,$T108,$U108,$AH108,0.1))</f>
        <v>0</v>
      </c>
      <c r="BQ108" s="109">
        <f t="shared" ref="BQ108:BQ150" si="183">BJ108*BN108</f>
        <v>0</v>
      </c>
      <c r="BR108" s="109">
        <f t="shared" ref="BR108:BR150" si="184">BJ108*BO108</f>
        <v>0</v>
      </c>
      <c r="BS108" s="109">
        <f t="shared" ref="BS108:BS150" si="185">BJ108*BP108</f>
        <v>0</v>
      </c>
      <c r="BU108" s="82">
        <f t="shared" ref="BU108:BU150" si="186">IF($A108&gt;=BV$25,IF($A108&lt;=BV$26,$AI108,0),0)</f>
        <v>0</v>
      </c>
      <c r="BV108" s="82" t="e">
        <f t="shared" ref="BV108:BV150" si="187">BX108/BU108</f>
        <v>#DIV/0!</v>
      </c>
      <c r="BW108" s="77">
        <f t="shared" ref="BW108:BW150" si="188">BU108*($B108+H$13)</f>
        <v>0</v>
      </c>
      <c r="BX108" s="108">
        <f t="shared" ref="BX108:BX150" si="189">IF(ISNUMBER(((BW108/BU108)+H$14+$Y108)*BU108),((BW108/BU108)+H$14+$Y108)*BU108,0)</f>
        <v>0</v>
      </c>
      <c r="BY108" s="107">
        <f t="shared" ref="BY108:BY150" si="190">IF(BU108=0,0,bsd(1,BZ$27,BV108,$AD108,$AA108,$AB108,$AH108,0.1))</f>
        <v>0</v>
      </c>
      <c r="BZ108" s="107">
        <f t="shared" ref="BZ108:BZ150" si="191">IF(BU108=0,0,bsd(2,BZ$27,BV108,$AD108,$AA108,$AB108,$AH108,0.1))</f>
        <v>0</v>
      </c>
      <c r="CA108" s="107">
        <f t="shared" ref="CA108:CA150" si="192">IF(BU108=0,0,bsd(BZ$28,BZ$27,BV108,$AD108,$AA108,$AB108,$AH108,0.1))</f>
        <v>0</v>
      </c>
      <c r="CB108" s="109">
        <f t="shared" ref="CB108:CB150" si="193">BU108*BY108</f>
        <v>0</v>
      </c>
      <c r="CC108" s="109">
        <f t="shared" ref="CC108:CC150" si="194">BU108*BZ108</f>
        <v>0</v>
      </c>
      <c r="CD108" s="109">
        <f t="shared" ref="CD108:CD150" si="195">BU108*CA108</f>
        <v>0</v>
      </c>
    </row>
    <row r="109" spans="1:82" x14ac:dyDescent="0.25">
      <c r="A109" s="101">
        <f t="shared" si="142"/>
        <v>39173</v>
      </c>
      <c r="B109" s="102">
        <f t="shared" si="121"/>
        <v>2.96</v>
      </c>
      <c r="C109" s="80">
        <f t="shared" si="143"/>
        <v>0.22</v>
      </c>
      <c r="D109" s="102">
        <f t="shared" si="71"/>
        <v>-0.17</v>
      </c>
      <c r="E109" s="106">
        <f t="shared" si="72"/>
        <v>1</v>
      </c>
      <c r="F109" s="105">
        <f t="shared" ca="1" si="144"/>
        <v>2400</v>
      </c>
      <c r="G109" s="80" t="e">
        <f t="shared" si="145"/>
        <v>#DIV/0!</v>
      </c>
      <c r="H109" s="80" t="e">
        <f t="shared" si="146"/>
        <v>#DIV/0!</v>
      </c>
      <c r="I109" s="104">
        <f t="shared" si="76"/>
        <v>5</v>
      </c>
      <c r="K109" s="102">
        <f t="shared" si="77"/>
        <v>-0.17</v>
      </c>
      <c r="L109" s="106">
        <f t="shared" si="78"/>
        <v>1</v>
      </c>
      <c r="M109" s="105">
        <f t="shared" ca="1" si="147"/>
        <v>2400</v>
      </c>
      <c r="N109" s="217" t="e">
        <f t="shared" si="148"/>
        <v>#DIV/0!</v>
      </c>
      <c r="O109" s="80" t="e">
        <f t="shared" si="149"/>
        <v>#DIV/0!</v>
      </c>
      <c r="P109" s="104">
        <f t="shared" si="82"/>
        <v>5</v>
      </c>
      <c r="R109" s="102">
        <f t="shared" si="83"/>
        <v>0.1925</v>
      </c>
      <c r="S109" s="106">
        <f t="shared" si="84"/>
        <v>1</v>
      </c>
      <c r="T109" s="105">
        <f t="shared" ca="1" si="150"/>
        <v>2400</v>
      </c>
      <c r="U109" s="217" t="e">
        <f t="shared" si="151"/>
        <v>#DIV/0!</v>
      </c>
      <c r="V109" s="80" t="e">
        <f t="shared" si="152"/>
        <v>#DIV/0!</v>
      </c>
      <c r="W109" s="104">
        <f t="shared" si="88"/>
        <v>4.95</v>
      </c>
      <c r="X109" s="105"/>
      <c r="Y109" s="102">
        <f t="shared" si="89"/>
        <v>1.4999999999999999E-2</v>
      </c>
      <c r="Z109" s="106">
        <f t="shared" si="90"/>
        <v>1</v>
      </c>
      <c r="AA109" s="105">
        <f t="shared" ca="1" si="153"/>
        <v>2400</v>
      </c>
      <c r="AB109" s="80" t="e">
        <f t="shared" si="154"/>
        <v>#DIV/0!</v>
      </c>
      <c r="AC109" s="80" t="e">
        <f t="shared" si="155"/>
        <v>#DIV/0!</v>
      </c>
      <c r="AD109" s="104">
        <f t="shared" si="94"/>
        <v>3.98</v>
      </c>
      <c r="AF109" s="105">
        <f t="shared" ca="1" si="123"/>
        <v>2400</v>
      </c>
      <c r="AG109" s="105">
        <f t="shared" ca="1" si="124"/>
        <v>2399</v>
      </c>
      <c r="AH109" s="80">
        <f t="shared" si="95"/>
        <v>6.9622446994737019E-2</v>
      </c>
      <c r="AI109" s="182">
        <f t="shared" si="96"/>
        <v>30</v>
      </c>
      <c r="AL109" s="105"/>
      <c r="AM109" s="82"/>
      <c r="AN109" s="82">
        <f t="shared" si="156"/>
        <v>0</v>
      </c>
      <c r="AO109" s="82" t="e">
        <f t="shared" si="157"/>
        <v>#DIV/0!</v>
      </c>
      <c r="AP109" s="77">
        <f t="shared" si="158"/>
        <v>0</v>
      </c>
      <c r="AQ109" s="108">
        <f t="shared" si="159"/>
        <v>0</v>
      </c>
      <c r="AR109" s="107">
        <f t="shared" si="160"/>
        <v>0</v>
      </c>
      <c r="AS109" s="107">
        <f t="shared" si="161"/>
        <v>0</v>
      </c>
      <c r="AT109" s="107">
        <f t="shared" si="162"/>
        <v>0</v>
      </c>
      <c r="AU109" s="109">
        <f t="shared" si="163"/>
        <v>0</v>
      </c>
      <c r="AV109" s="109">
        <f t="shared" si="164"/>
        <v>0</v>
      </c>
      <c r="AW109" s="109">
        <f t="shared" si="165"/>
        <v>0</v>
      </c>
      <c r="AY109" s="82">
        <f t="shared" si="166"/>
        <v>0</v>
      </c>
      <c r="AZ109" s="82" t="e">
        <f t="shared" si="167"/>
        <v>#DIV/0!</v>
      </c>
      <c r="BA109" s="77">
        <f t="shared" si="168"/>
        <v>0</v>
      </c>
      <c r="BB109" s="108">
        <f t="shared" si="169"/>
        <v>0</v>
      </c>
      <c r="BC109" s="107">
        <f t="shared" si="170"/>
        <v>0</v>
      </c>
      <c r="BD109" s="107">
        <f t="shared" si="171"/>
        <v>0</v>
      </c>
      <c r="BE109" s="107">
        <f t="shared" si="172"/>
        <v>0</v>
      </c>
      <c r="BF109" s="109">
        <f t="shared" si="173"/>
        <v>0</v>
      </c>
      <c r="BG109" s="109">
        <f t="shared" si="174"/>
        <v>0</v>
      </c>
      <c r="BH109" s="109">
        <f t="shared" si="175"/>
        <v>0</v>
      </c>
      <c r="BJ109" s="82">
        <f t="shared" si="176"/>
        <v>0</v>
      </c>
      <c r="BK109" s="82" t="e">
        <f t="shared" si="177"/>
        <v>#DIV/0!</v>
      </c>
      <c r="BL109" s="77">
        <f t="shared" si="178"/>
        <v>0</v>
      </c>
      <c r="BM109" s="108">
        <f t="shared" si="179"/>
        <v>0</v>
      </c>
      <c r="BN109" s="107">
        <f t="shared" si="180"/>
        <v>0</v>
      </c>
      <c r="BO109" s="107">
        <f t="shared" si="181"/>
        <v>0</v>
      </c>
      <c r="BP109" s="107">
        <f t="shared" si="182"/>
        <v>0</v>
      </c>
      <c r="BQ109" s="109">
        <f t="shared" si="183"/>
        <v>0</v>
      </c>
      <c r="BR109" s="109">
        <f t="shared" si="184"/>
        <v>0</v>
      </c>
      <c r="BS109" s="109">
        <f t="shared" si="185"/>
        <v>0</v>
      </c>
      <c r="BU109" s="82">
        <f t="shared" si="186"/>
        <v>0</v>
      </c>
      <c r="BV109" s="82" t="e">
        <f t="shared" si="187"/>
        <v>#DIV/0!</v>
      </c>
      <c r="BW109" s="77">
        <f t="shared" si="188"/>
        <v>0</v>
      </c>
      <c r="BX109" s="108">
        <f t="shared" si="189"/>
        <v>0</v>
      </c>
      <c r="BY109" s="107">
        <f t="shared" si="190"/>
        <v>0</v>
      </c>
      <c r="BZ109" s="107">
        <f t="shared" si="191"/>
        <v>0</v>
      </c>
      <c r="CA109" s="107">
        <f t="shared" si="192"/>
        <v>0</v>
      </c>
      <c r="CB109" s="109">
        <f t="shared" si="193"/>
        <v>0</v>
      </c>
      <c r="CC109" s="109">
        <f t="shared" si="194"/>
        <v>0</v>
      </c>
      <c r="CD109" s="109">
        <f t="shared" si="195"/>
        <v>0</v>
      </c>
    </row>
    <row r="110" spans="1:82" x14ac:dyDescent="0.25">
      <c r="A110" s="101">
        <f t="shared" si="142"/>
        <v>39203</v>
      </c>
      <c r="B110" s="102">
        <f t="shared" si="121"/>
        <v>2.9490000000000003</v>
      </c>
      <c r="C110" s="80">
        <f t="shared" si="143"/>
        <v>0.22</v>
      </c>
      <c r="D110" s="102">
        <f t="shared" si="71"/>
        <v>-0.17</v>
      </c>
      <c r="E110" s="106">
        <f t="shared" si="72"/>
        <v>1</v>
      </c>
      <c r="F110" s="105">
        <f t="shared" ca="1" si="144"/>
        <v>2429</v>
      </c>
      <c r="G110" s="80" t="e">
        <f t="shared" si="145"/>
        <v>#DIV/0!</v>
      </c>
      <c r="H110" s="80" t="e">
        <f t="shared" si="146"/>
        <v>#DIV/0!</v>
      </c>
      <c r="I110" s="104">
        <f t="shared" si="76"/>
        <v>5</v>
      </c>
      <c r="K110" s="102">
        <f t="shared" si="77"/>
        <v>-0.17</v>
      </c>
      <c r="L110" s="106">
        <f t="shared" si="78"/>
        <v>1</v>
      </c>
      <c r="M110" s="105">
        <f t="shared" ca="1" si="147"/>
        <v>2429</v>
      </c>
      <c r="N110" s="217" t="e">
        <f t="shared" si="148"/>
        <v>#DIV/0!</v>
      </c>
      <c r="O110" s="80" t="e">
        <f t="shared" si="149"/>
        <v>#DIV/0!</v>
      </c>
      <c r="P110" s="104">
        <f t="shared" si="82"/>
        <v>5</v>
      </c>
      <c r="R110" s="102">
        <f t="shared" si="83"/>
        <v>0.20250000000000001</v>
      </c>
      <c r="S110" s="106">
        <f t="shared" si="84"/>
        <v>1</v>
      </c>
      <c r="T110" s="105">
        <f t="shared" ca="1" si="150"/>
        <v>2429</v>
      </c>
      <c r="U110" s="217" t="e">
        <f t="shared" si="151"/>
        <v>#DIV/0!</v>
      </c>
      <c r="V110" s="80" t="e">
        <f t="shared" si="152"/>
        <v>#DIV/0!</v>
      </c>
      <c r="W110" s="104">
        <f t="shared" si="88"/>
        <v>4.95</v>
      </c>
      <c r="X110" s="105"/>
      <c r="Y110" s="102">
        <f t="shared" si="89"/>
        <v>1.4999999999999999E-2</v>
      </c>
      <c r="Z110" s="106">
        <f t="shared" si="90"/>
        <v>1</v>
      </c>
      <c r="AA110" s="105">
        <f t="shared" ca="1" si="153"/>
        <v>2429</v>
      </c>
      <c r="AB110" s="80" t="e">
        <f t="shared" si="154"/>
        <v>#DIV/0!</v>
      </c>
      <c r="AC110" s="80" t="e">
        <f t="shared" si="155"/>
        <v>#DIV/0!</v>
      </c>
      <c r="AD110" s="104">
        <f t="shared" si="94"/>
        <v>3.98</v>
      </c>
      <c r="AF110" s="105">
        <f t="shared" ca="1" si="123"/>
        <v>2429</v>
      </c>
      <c r="AG110" s="105">
        <f t="shared" ca="1" si="124"/>
        <v>2428</v>
      </c>
      <c r="AH110" s="80">
        <f t="shared" si="95"/>
        <v>6.9638178971076006E-2</v>
      </c>
      <c r="AI110" s="182">
        <f t="shared" si="96"/>
        <v>31</v>
      </c>
      <c r="AL110" s="105"/>
      <c r="AM110" s="82"/>
      <c r="AN110" s="82">
        <f t="shared" si="156"/>
        <v>0</v>
      </c>
      <c r="AO110" s="82" t="e">
        <f t="shared" si="157"/>
        <v>#DIV/0!</v>
      </c>
      <c r="AP110" s="77">
        <f t="shared" si="158"/>
        <v>0</v>
      </c>
      <c r="AQ110" s="108">
        <f t="shared" si="159"/>
        <v>0</v>
      </c>
      <c r="AR110" s="107">
        <f t="shared" si="160"/>
        <v>0</v>
      </c>
      <c r="AS110" s="107">
        <f t="shared" si="161"/>
        <v>0</v>
      </c>
      <c r="AT110" s="107">
        <f t="shared" si="162"/>
        <v>0</v>
      </c>
      <c r="AU110" s="109">
        <f t="shared" si="163"/>
        <v>0</v>
      </c>
      <c r="AV110" s="109">
        <f t="shared" si="164"/>
        <v>0</v>
      </c>
      <c r="AW110" s="109">
        <f t="shared" si="165"/>
        <v>0</v>
      </c>
      <c r="AY110" s="82">
        <f t="shared" si="166"/>
        <v>0</v>
      </c>
      <c r="AZ110" s="82" t="e">
        <f t="shared" si="167"/>
        <v>#DIV/0!</v>
      </c>
      <c r="BA110" s="77">
        <f t="shared" si="168"/>
        <v>0</v>
      </c>
      <c r="BB110" s="108">
        <f t="shared" si="169"/>
        <v>0</v>
      </c>
      <c r="BC110" s="107">
        <f t="shared" si="170"/>
        <v>0</v>
      </c>
      <c r="BD110" s="107">
        <f t="shared" si="171"/>
        <v>0</v>
      </c>
      <c r="BE110" s="107">
        <f t="shared" si="172"/>
        <v>0</v>
      </c>
      <c r="BF110" s="109">
        <f t="shared" si="173"/>
        <v>0</v>
      </c>
      <c r="BG110" s="109">
        <f t="shared" si="174"/>
        <v>0</v>
      </c>
      <c r="BH110" s="109">
        <f t="shared" si="175"/>
        <v>0</v>
      </c>
      <c r="BJ110" s="82">
        <f t="shared" si="176"/>
        <v>0</v>
      </c>
      <c r="BK110" s="82" t="e">
        <f t="shared" si="177"/>
        <v>#DIV/0!</v>
      </c>
      <c r="BL110" s="77">
        <f t="shared" si="178"/>
        <v>0</v>
      </c>
      <c r="BM110" s="108">
        <f t="shared" si="179"/>
        <v>0</v>
      </c>
      <c r="BN110" s="107">
        <f t="shared" si="180"/>
        <v>0</v>
      </c>
      <c r="BO110" s="107">
        <f t="shared" si="181"/>
        <v>0</v>
      </c>
      <c r="BP110" s="107">
        <f t="shared" si="182"/>
        <v>0</v>
      </c>
      <c r="BQ110" s="109">
        <f t="shared" si="183"/>
        <v>0</v>
      </c>
      <c r="BR110" s="109">
        <f t="shared" si="184"/>
        <v>0</v>
      </c>
      <c r="BS110" s="109">
        <f t="shared" si="185"/>
        <v>0</v>
      </c>
      <c r="BU110" s="82">
        <f t="shared" si="186"/>
        <v>0</v>
      </c>
      <c r="BV110" s="82" t="e">
        <f t="shared" si="187"/>
        <v>#DIV/0!</v>
      </c>
      <c r="BW110" s="77">
        <f t="shared" si="188"/>
        <v>0</v>
      </c>
      <c r="BX110" s="108">
        <f t="shared" si="189"/>
        <v>0</v>
      </c>
      <c r="BY110" s="107">
        <f t="shared" si="190"/>
        <v>0</v>
      </c>
      <c r="BZ110" s="107">
        <f t="shared" si="191"/>
        <v>0</v>
      </c>
      <c r="CA110" s="107">
        <f t="shared" si="192"/>
        <v>0</v>
      </c>
      <c r="CB110" s="109">
        <f t="shared" si="193"/>
        <v>0</v>
      </c>
      <c r="CC110" s="109">
        <f t="shared" si="194"/>
        <v>0</v>
      </c>
      <c r="CD110" s="109">
        <f t="shared" si="195"/>
        <v>0</v>
      </c>
    </row>
    <row r="111" spans="1:82" x14ac:dyDescent="0.25">
      <c r="A111" s="101">
        <f t="shared" si="142"/>
        <v>39234</v>
      </c>
      <c r="B111" s="102">
        <f t="shared" si="121"/>
        <v>2.9730000000000003</v>
      </c>
      <c r="C111" s="80">
        <f t="shared" si="143"/>
        <v>0.21</v>
      </c>
      <c r="D111" s="102">
        <f t="shared" si="71"/>
        <v>-0.17</v>
      </c>
      <c r="E111" s="106">
        <f t="shared" si="72"/>
        <v>1</v>
      </c>
      <c r="F111" s="105">
        <f t="shared" ca="1" si="144"/>
        <v>2462</v>
      </c>
      <c r="G111" s="80" t="e">
        <f t="shared" si="145"/>
        <v>#DIV/0!</v>
      </c>
      <c r="H111" s="80" t="e">
        <f t="shared" si="146"/>
        <v>#DIV/0!</v>
      </c>
      <c r="I111" s="104">
        <f t="shared" si="76"/>
        <v>5</v>
      </c>
      <c r="K111" s="102">
        <f t="shared" si="77"/>
        <v>-0.17</v>
      </c>
      <c r="L111" s="106">
        <f t="shared" si="78"/>
        <v>1</v>
      </c>
      <c r="M111" s="105">
        <f t="shared" ca="1" si="147"/>
        <v>2462</v>
      </c>
      <c r="N111" s="217" t="e">
        <f t="shared" si="148"/>
        <v>#DIV/0!</v>
      </c>
      <c r="O111" s="80" t="e">
        <f t="shared" si="149"/>
        <v>#DIV/0!</v>
      </c>
      <c r="P111" s="104">
        <f t="shared" si="82"/>
        <v>5</v>
      </c>
      <c r="R111" s="102">
        <f t="shared" si="83"/>
        <v>0.19750000000000001</v>
      </c>
      <c r="S111" s="106">
        <f t="shared" si="84"/>
        <v>1</v>
      </c>
      <c r="T111" s="105">
        <f t="shared" ca="1" si="150"/>
        <v>2462</v>
      </c>
      <c r="U111" s="217" t="e">
        <f t="shared" si="151"/>
        <v>#DIV/0!</v>
      </c>
      <c r="V111" s="80" t="e">
        <f t="shared" si="152"/>
        <v>#DIV/0!</v>
      </c>
      <c r="W111" s="104">
        <f t="shared" si="88"/>
        <v>4.95</v>
      </c>
      <c r="X111" s="105"/>
      <c r="Y111" s="102">
        <f t="shared" si="89"/>
        <v>0.02</v>
      </c>
      <c r="Z111" s="106">
        <f t="shared" si="90"/>
        <v>1</v>
      </c>
      <c r="AA111" s="105">
        <f t="shared" ca="1" si="153"/>
        <v>2462</v>
      </c>
      <c r="AB111" s="80" t="e">
        <f t="shared" si="154"/>
        <v>#DIV/0!</v>
      </c>
      <c r="AC111" s="80" t="e">
        <f t="shared" si="155"/>
        <v>#DIV/0!</v>
      </c>
      <c r="AD111" s="104">
        <f t="shared" si="94"/>
        <v>3.98</v>
      </c>
      <c r="AF111" s="105">
        <f t="shared" ca="1" si="123"/>
        <v>2462</v>
      </c>
      <c r="AG111" s="105">
        <f t="shared" ca="1" si="124"/>
        <v>2458</v>
      </c>
      <c r="AH111" s="80">
        <f t="shared" si="95"/>
        <v>6.9654435346714005E-2</v>
      </c>
      <c r="AI111" s="182">
        <f t="shared" si="96"/>
        <v>30</v>
      </c>
      <c r="AL111" s="105"/>
      <c r="AM111" s="82"/>
      <c r="AN111" s="82">
        <f t="shared" si="156"/>
        <v>0</v>
      </c>
      <c r="AO111" s="82" t="e">
        <f t="shared" si="157"/>
        <v>#DIV/0!</v>
      </c>
      <c r="AP111" s="77">
        <f t="shared" si="158"/>
        <v>0</v>
      </c>
      <c r="AQ111" s="108">
        <f t="shared" si="159"/>
        <v>0</v>
      </c>
      <c r="AR111" s="107">
        <f t="shared" si="160"/>
        <v>0</v>
      </c>
      <c r="AS111" s="107">
        <f t="shared" si="161"/>
        <v>0</v>
      </c>
      <c r="AT111" s="107">
        <f t="shared" si="162"/>
        <v>0</v>
      </c>
      <c r="AU111" s="109">
        <f t="shared" si="163"/>
        <v>0</v>
      </c>
      <c r="AV111" s="109">
        <f t="shared" si="164"/>
        <v>0</v>
      </c>
      <c r="AW111" s="109">
        <f t="shared" si="165"/>
        <v>0</v>
      </c>
      <c r="AY111" s="82">
        <f t="shared" si="166"/>
        <v>0</v>
      </c>
      <c r="AZ111" s="82" t="e">
        <f t="shared" si="167"/>
        <v>#DIV/0!</v>
      </c>
      <c r="BA111" s="77">
        <f t="shared" si="168"/>
        <v>0</v>
      </c>
      <c r="BB111" s="108">
        <f t="shared" si="169"/>
        <v>0</v>
      </c>
      <c r="BC111" s="107">
        <f t="shared" si="170"/>
        <v>0</v>
      </c>
      <c r="BD111" s="107">
        <f t="shared" si="171"/>
        <v>0</v>
      </c>
      <c r="BE111" s="107">
        <f t="shared" si="172"/>
        <v>0</v>
      </c>
      <c r="BF111" s="109">
        <f t="shared" si="173"/>
        <v>0</v>
      </c>
      <c r="BG111" s="109">
        <f t="shared" si="174"/>
        <v>0</v>
      </c>
      <c r="BH111" s="109">
        <f t="shared" si="175"/>
        <v>0</v>
      </c>
      <c r="BJ111" s="82">
        <f t="shared" si="176"/>
        <v>0</v>
      </c>
      <c r="BK111" s="82" t="e">
        <f t="shared" si="177"/>
        <v>#DIV/0!</v>
      </c>
      <c r="BL111" s="77">
        <f t="shared" si="178"/>
        <v>0</v>
      </c>
      <c r="BM111" s="108">
        <f t="shared" si="179"/>
        <v>0</v>
      </c>
      <c r="BN111" s="107">
        <f t="shared" si="180"/>
        <v>0</v>
      </c>
      <c r="BO111" s="107">
        <f t="shared" si="181"/>
        <v>0</v>
      </c>
      <c r="BP111" s="107">
        <f t="shared" si="182"/>
        <v>0</v>
      </c>
      <c r="BQ111" s="109">
        <f t="shared" si="183"/>
        <v>0</v>
      </c>
      <c r="BR111" s="109">
        <f t="shared" si="184"/>
        <v>0</v>
      </c>
      <c r="BS111" s="109">
        <f t="shared" si="185"/>
        <v>0</v>
      </c>
      <c r="BU111" s="82">
        <f t="shared" si="186"/>
        <v>0</v>
      </c>
      <c r="BV111" s="82" t="e">
        <f t="shared" si="187"/>
        <v>#DIV/0!</v>
      </c>
      <c r="BW111" s="77">
        <f t="shared" si="188"/>
        <v>0</v>
      </c>
      <c r="BX111" s="108">
        <f t="shared" si="189"/>
        <v>0</v>
      </c>
      <c r="BY111" s="107">
        <f t="shared" si="190"/>
        <v>0</v>
      </c>
      <c r="BZ111" s="107">
        <f t="shared" si="191"/>
        <v>0</v>
      </c>
      <c r="CA111" s="107">
        <f t="shared" si="192"/>
        <v>0</v>
      </c>
      <c r="CB111" s="109">
        <f t="shared" si="193"/>
        <v>0</v>
      </c>
      <c r="CC111" s="109">
        <f t="shared" si="194"/>
        <v>0</v>
      </c>
      <c r="CD111" s="109">
        <f t="shared" si="195"/>
        <v>0</v>
      </c>
    </row>
    <row r="112" spans="1:82" x14ac:dyDescent="0.25">
      <c r="A112" s="101">
        <f t="shared" si="142"/>
        <v>39264</v>
      </c>
      <c r="B112" s="102">
        <f t="shared" si="121"/>
        <v>2.9950000000000001</v>
      </c>
      <c r="C112" s="80">
        <f t="shared" si="143"/>
        <v>0.21</v>
      </c>
      <c r="D112" s="102">
        <f t="shared" si="71"/>
        <v>-0.17</v>
      </c>
      <c r="E112" s="106">
        <f t="shared" si="72"/>
        <v>1</v>
      </c>
      <c r="F112" s="105">
        <f t="shared" ca="1" si="144"/>
        <v>2491</v>
      </c>
      <c r="G112" s="80" t="e">
        <f t="shared" si="145"/>
        <v>#DIV/0!</v>
      </c>
      <c r="H112" s="80" t="e">
        <f t="shared" si="146"/>
        <v>#DIV/0!</v>
      </c>
      <c r="I112" s="104">
        <f t="shared" si="76"/>
        <v>5</v>
      </c>
      <c r="K112" s="102">
        <f t="shared" si="77"/>
        <v>-0.17</v>
      </c>
      <c r="L112" s="106">
        <f t="shared" si="78"/>
        <v>1</v>
      </c>
      <c r="M112" s="105">
        <f t="shared" ca="1" si="147"/>
        <v>2491</v>
      </c>
      <c r="N112" s="217" t="e">
        <f t="shared" si="148"/>
        <v>#DIV/0!</v>
      </c>
      <c r="O112" s="80" t="e">
        <f t="shared" si="149"/>
        <v>#DIV/0!</v>
      </c>
      <c r="P112" s="104">
        <f t="shared" si="82"/>
        <v>5</v>
      </c>
      <c r="R112" s="102">
        <f t="shared" si="83"/>
        <v>0.1875</v>
      </c>
      <c r="S112" s="106">
        <f t="shared" si="84"/>
        <v>1</v>
      </c>
      <c r="T112" s="105">
        <f t="shared" ca="1" si="150"/>
        <v>2491</v>
      </c>
      <c r="U112" s="217" t="e">
        <f t="shared" si="151"/>
        <v>#DIV/0!</v>
      </c>
      <c r="V112" s="80" t="e">
        <f t="shared" si="152"/>
        <v>#DIV/0!</v>
      </c>
      <c r="W112" s="104">
        <f t="shared" si="88"/>
        <v>4.95</v>
      </c>
      <c r="X112" s="105"/>
      <c r="Y112" s="102">
        <f t="shared" si="89"/>
        <v>2.2499999999999999E-2</v>
      </c>
      <c r="Z112" s="106">
        <f t="shared" si="90"/>
        <v>1</v>
      </c>
      <c r="AA112" s="105">
        <f t="shared" ca="1" si="153"/>
        <v>2491</v>
      </c>
      <c r="AB112" s="80" t="e">
        <f t="shared" si="154"/>
        <v>#DIV/0!</v>
      </c>
      <c r="AC112" s="80" t="e">
        <f t="shared" si="155"/>
        <v>#DIV/0!</v>
      </c>
      <c r="AD112" s="104">
        <f t="shared" si="94"/>
        <v>3.98</v>
      </c>
      <c r="AF112" s="105">
        <f t="shared" ca="1" si="123"/>
        <v>2491</v>
      </c>
      <c r="AG112" s="105">
        <f t="shared" ca="1" si="124"/>
        <v>2490</v>
      </c>
      <c r="AH112" s="80">
        <f t="shared" si="95"/>
        <v>6.9670167323219998E-2</v>
      </c>
      <c r="AI112" s="182">
        <f t="shared" si="96"/>
        <v>31</v>
      </c>
      <c r="AL112" s="105"/>
      <c r="AM112" s="82"/>
      <c r="AN112" s="82">
        <f t="shared" si="156"/>
        <v>0</v>
      </c>
      <c r="AO112" s="82" t="e">
        <f t="shared" si="157"/>
        <v>#DIV/0!</v>
      </c>
      <c r="AP112" s="77">
        <f t="shared" si="158"/>
        <v>0</v>
      </c>
      <c r="AQ112" s="108">
        <f t="shared" si="159"/>
        <v>0</v>
      </c>
      <c r="AR112" s="107">
        <f t="shared" si="160"/>
        <v>0</v>
      </c>
      <c r="AS112" s="107">
        <f t="shared" si="161"/>
        <v>0</v>
      </c>
      <c r="AT112" s="107">
        <f t="shared" si="162"/>
        <v>0</v>
      </c>
      <c r="AU112" s="109">
        <f t="shared" si="163"/>
        <v>0</v>
      </c>
      <c r="AV112" s="109">
        <f t="shared" si="164"/>
        <v>0</v>
      </c>
      <c r="AW112" s="109">
        <f t="shared" si="165"/>
        <v>0</v>
      </c>
      <c r="AY112" s="82">
        <f t="shared" si="166"/>
        <v>0</v>
      </c>
      <c r="AZ112" s="82" t="e">
        <f t="shared" si="167"/>
        <v>#DIV/0!</v>
      </c>
      <c r="BA112" s="77">
        <f t="shared" si="168"/>
        <v>0</v>
      </c>
      <c r="BB112" s="108">
        <f t="shared" si="169"/>
        <v>0</v>
      </c>
      <c r="BC112" s="107">
        <f t="shared" si="170"/>
        <v>0</v>
      </c>
      <c r="BD112" s="107">
        <f t="shared" si="171"/>
        <v>0</v>
      </c>
      <c r="BE112" s="107">
        <f t="shared" si="172"/>
        <v>0</v>
      </c>
      <c r="BF112" s="109">
        <f t="shared" si="173"/>
        <v>0</v>
      </c>
      <c r="BG112" s="109">
        <f t="shared" si="174"/>
        <v>0</v>
      </c>
      <c r="BH112" s="109">
        <f t="shared" si="175"/>
        <v>0</v>
      </c>
      <c r="BJ112" s="82">
        <f t="shared" si="176"/>
        <v>0</v>
      </c>
      <c r="BK112" s="82" t="e">
        <f t="shared" si="177"/>
        <v>#DIV/0!</v>
      </c>
      <c r="BL112" s="77">
        <f t="shared" si="178"/>
        <v>0</v>
      </c>
      <c r="BM112" s="108">
        <f t="shared" si="179"/>
        <v>0</v>
      </c>
      <c r="BN112" s="107">
        <f t="shared" si="180"/>
        <v>0</v>
      </c>
      <c r="BO112" s="107">
        <f t="shared" si="181"/>
        <v>0</v>
      </c>
      <c r="BP112" s="107">
        <f t="shared" si="182"/>
        <v>0</v>
      </c>
      <c r="BQ112" s="109">
        <f t="shared" si="183"/>
        <v>0</v>
      </c>
      <c r="BR112" s="109">
        <f t="shared" si="184"/>
        <v>0</v>
      </c>
      <c r="BS112" s="109">
        <f t="shared" si="185"/>
        <v>0</v>
      </c>
      <c r="BU112" s="82">
        <f t="shared" si="186"/>
        <v>0</v>
      </c>
      <c r="BV112" s="82" t="e">
        <f t="shared" si="187"/>
        <v>#DIV/0!</v>
      </c>
      <c r="BW112" s="77">
        <f t="shared" si="188"/>
        <v>0</v>
      </c>
      <c r="BX112" s="108">
        <f t="shared" si="189"/>
        <v>0</v>
      </c>
      <c r="BY112" s="107">
        <f t="shared" si="190"/>
        <v>0</v>
      </c>
      <c r="BZ112" s="107">
        <f t="shared" si="191"/>
        <v>0</v>
      </c>
      <c r="CA112" s="107">
        <f t="shared" si="192"/>
        <v>0</v>
      </c>
      <c r="CB112" s="109">
        <f t="shared" si="193"/>
        <v>0</v>
      </c>
      <c r="CC112" s="109">
        <f t="shared" si="194"/>
        <v>0</v>
      </c>
      <c r="CD112" s="109">
        <f t="shared" si="195"/>
        <v>0</v>
      </c>
    </row>
    <row r="113" spans="1:82" x14ac:dyDescent="0.25">
      <c r="A113" s="101">
        <f t="shared" si="142"/>
        <v>39295</v>
      </c>
      <c r="B113" s="102">
        <f t="shared" si="121"/>
        <v>3.0160000000000005</v>
      </c>
      <c r="C113" s="80">
        <f t="shared" si="143"/>
        <v>0.21</v>
      </c>
      <c r="D113" s="102">
        <f t="shared" si="71"/>
        <v>-0.17</v>
      </c>
      <c r="E113" s="106">
        <f t="shared" si="72"/>
        <v>1</v>
      </c>
      <c r="F113" s="105">
        <f t="shared" ca="1" si="144"/>
        <v>2521</v>
      </c>
      <c r="G113" s="80" t="e">
        <f t="shared" si="145"/>
        <v>#DIV/0!</v>
      </c>
      <c r="H113" s="80" t="e">
        <f t="shared" si="146"/>
        <v>#DIV/0!</v>
      </c>
      <c r="I113" s="104">
        <f t="shared" si="76"/>
        <v>5</v>
      </c>
      <c r="K113" s="102">
        <f t="shared" si="77"/>
        <v>-0.17</v>
      </c>
      <c r="L113" s="106">
        <f t="shared" si="78"/>
        <v>1</v>
      </c>
      <c r="M113" s="105">
        <f t="shared" ca="1" si="147"/>
        <v>2521</v>
      </c>
      <c r="N113" s="217" t="e">
        <f t="shared" si="148"/>
        <v>#DIV/0!</v>
      </c>
      <c r="O113" s="80" t="e">
        <f t="shared" si="149"/>
        <v>#DIV/0!</v>
      </c>
      <c r="P113" s="104">
        <f t="shared" si="82"/>
        <v>5</v>
      </c>
      <c r="R113" s="102">
        <f t="shared" si="83"/>
        <v>0.185</v>
      </c>
      <c r="S113" s="106">
        <f t="shared" si="84"/>
        <v>1</v>
      </c>
      <c r="T113" s="105">
        <f t="shared" ca="1" si="150"/>
        <v>2521</v>
      </c>
      <c r="U113" s="217" t="e">
        <f t="shared" si="151"/>
        <v>#DIV/0!</v>
      </c>
      <c r="V113" s="80" t="e">
        <f t="shared" si="152"/>
        <v>#DIV/0!</v>
      </c>
      <c r="W113" s="104">
        <f t="shared" si="88"/>
        <v>4.95</v>
      </c>
      <c r="X113" s="105"/>
      <c r="Y113" s="102">
        <f t="shared" si="89"/>
        <v>2.5000000000000001E-2</v>
      </c>
      <c r="Z113" s="106">
        <f t="shared" si="90"/>
        <v>1</v>
      </c>
      <c r="AA113" s="105">
        <f t="shared" ca="1" si="153"/>
        <v>2521</v>
      </c>
      <c r="AB113" s="80" t="e">
        <f t="shared" si="154"/>
        <v>#DIV/0!</v>
      </c>
      <c r="AC113" s="80" t="e">
        <f t="shared" si="155"/>
        <v>#DIV/0!</v>
      </c>
      <c r="AD113" s="104">
        <f t="shared" si="94"/>
        <v>3.98</v>
      </c>
      <c r="AF113" s="105">
        <f t="shared" ca="1" si="123"/>
        <v>2521</v>
      </c>
      <c r="AG113" s="105">
        <f t="shared" ca="1" si="124"/>
        <v>2520</v>
      </c>
      <c r="AH113" s="80">
        <f t="shared" si="95"/>
        <v>6.9686423699029013E-2</v>
      </c>
      <c r="AI113" s="182">
        <f t="shared" si="96"/>
        <v>31</v>
      </c>
      <c r="AL113" s="105"/>
      <c r="AM113" s="82"/>
      <c r="AN113" s="82">
        <f t="shared" si="156"/>
        <v>0</v>
      </c>
      <c r="AO113" s="82" t="e">
        <f t="shared" si="157"/>
        <v>#DIV/0!</v>
      </c>
      <c r="AP113" s="77">
        <f t="shared" si="158"/>
        <v>0</v>
      </c>
      <c r="AQ113" s="108">
        <f t="shared" si="159"/>
        <v>0</v>
      </c>
      <c r="AR113" s="107">
        <f t="shared" si="160"/>
        <v>0</v>
      </c>
      <c r="AS113" s="107">
        <f t="shared" si="161"/>
        <v>0</v>
      </c>
      <c r="AT113" s="107">
        <f t="shared" si="162"/>
        <v>0</v>
      </c>
      <c r="AU113" s="109">
        <f t="shared" si="163"/>
        <v>0</v>
      </c>
      <c r="AV113" s="109">
        <f t="shared" si="164"/>
        <v>0</v>
      </c>
      <c r="AW113" s="109">
        <f t="shared" si="165"/>
        <v>0</v>
      </c>
      <c r="AY113" s="82">
        <f t="shared" si="166"/>
        <v>0</v>
      </c>
      <c r="AZ113" s="82" t="e">
        <f t="shared" si="167"/>
        <v>#DIV/0!</v>
      </c>
      <c r="BA113" s="77">
        <f t="shared" si="168"/>
        <v>0</v>
      </c>
      <c r="BB113" s="108">
        <f t="shared" si="169"/>
        <v>0</v>
      </c>
      <c r="BC113" s="107">
        <f t="shared" si="170"/>
        <v>0</v>
      </c>
      <c r="BD113" s="107">
        <f t="shared" si="171"/>
        <v>0</v>
      </c>
      <c r="BE113" s="107">
        <f t="shared" si="172"/>
        <v>0</v>
      </c>
      <c r="BF113" s="109">
        <f t="shared" si="173"/>
        <v>0</v>
      </c>
      <c r="BG113" s="109">
        <f t="shared" si="174"/>
        <v>0</v>
      </c>
      <c r="BH113" s="109">
        <f t="shared" si="175"/>
        <v>0</v>
      </c>
      <c r="BJ113" s="82">
        <f t="shared" si="176"/>
        <v>0</v>
      </c>
      <c r="BK113" s="82" t="e">
        <f t="shared" si="177"/>
        <v>#DIV/0!</v>
      </c>
      <c r="BL113" s="77">
        <f t="shared" si="178"/>
        <v>0</v>
      </c>
      <c r="BM113" s="108">
        <f t="shared" si="179"/>
        <v>0</v>
      </c>
      <c r="BN113" s="107">
        <f t="shared" si="180"/>
        <v>0</v>
      </c>
      <c r="BO113" s="107">
        <f t="shared" si="181"/>
        <v>0</v>
      </c>
      <c r="BP113" s="107">
        <f t="shared" si="182"/>
        <v>0</v>
      </c>
      <c r="BQ113" s="109">
        <f t="shared" si="183"/>
        <v>0</v>
      </c>
      <c r="BR113" s="109">
        <f t="shared" si="184"/>
        <v>0</v>
      </c>
      <c r="BS113" s="109">
        <f t="shared" si="185"/>
        <v>0</v>
      </c>
      <c r="BU113" s="82">
        <f t="shared" si="186"/>
        <v>0</v>
      </c>
      <c r="BV113" s="82" t="e">
        <f t="shared" si="187"/>
        <v>#DIV/0!</v>
      </c>
      <c r="BW113" s="77">
        <f t="shared" si="188"/>
        <v>0</v>
      </c>
      <c r="BX113" s="108">
        <f t="shared" si="189"/>
        <v>0</v>
      </c>
      <c r="BY113" s="107">
        <f t="shared" si="190"/>
        <v>0</v>
      </c>
      <c r="BZ113" s="107">
        <f t="shared" si="191"/>
        <v>0</v>
      </c>
      <c r="CA113" s="107">
        <f t="shared" si="192"/>
        <v>0</v>
      </c>
      <c r="CB113" s="109">
        <f t="shared" si="193"/>
        <v>0</v>
      </c>
      <c r="CC113" s="109">
        <f t="shared" si="194"/>
        <v>0</v>
      </c>
      <c r="CD113" s="109">
        <f t="shared" si="195"/>
        <v>0</v>
      </c>
    </row>
    <row r="114" spans="1:82" x14ac:dyDescent="0.25">
      <c r="A114" s="101">
        <f t="shared" si="142"/>
        <v>39326</v>
      </c>
      <c r="B114" s="102">
        <f t="shared" si="121"/>
        <v>3.0019999999999998</v>
      </c>
      <c r="C114" s="80">
        <f t="shared" si="143"/>
        <v>0.21</v>
      </c>
      <c r="D114" s="102">
        <f t="shared" si="71"/>
        <v>-0.17</v>
      </c>
      <c r="E114" s="106">
        <f t="shared" si="72"/>
        <v>1</v>
      </c>
      <c r="F114" s="105">
        <f t="shared" ca="1" si="144"/>
        <v>2554</v>
      </c>
      <c r="G114" s="80" t="e">
        <f t="shared" si="145"/>
        <v>#DIV/0!</v>
      </c>
      <c r="H114" s="80" t="e">
        <f t="shared" si="146"/>
        <v>#DIV/0!</v>
      </c>
      <c r="I114" s="104">
        <f t="shared" si="76"/>
        <v>5</v>
      </c>
      <c r="K114" s="102">
        <f t="shared" si="77"/>
        <v>-0.17</v>
      </c>
      <c r="L114" s="106">
        <f t="shared" si="78"/>
        <v>1</v>
      </c>
      <c r="M114" s="105">
        <f t="shared" ca="1" si="147"/>
        <v>2554</v>
      </c>
      <c r="N114" s="217" t="e">
        <f t="shared" si="148"/>
        <v>#DIV/0!</v>
      </c>
      <c r="O114" s="80" t="e">
        <f t="shared" si="149"/>
        <v>#DIV/0!</v>
      </c>
      <c r="P114" s="104">
        <f t="shared" si="82"/>
        <v>5</v>
      </c>
      <c r="R114" s="102">
        <f t="shared" si="83"/>
        <v>0.1825</v>
      </c>
      <c r="S114" s="106">
        <f t="shared" si="84"/>
        <v>1</v>
      </c>
      <c r="T114" s="105">
        <f t="shared" ca="1" si="150"/>
        <v>2554</v>
      </c>
      <c r="U114" s="217" t="e">
        <f t="shared" si="151"/>
        <v>#DIV/0!</v>
      </c>
      <c r="V114" s="80" t="e">
        <f t="shared" si="152"/>
        <v>#DIV/0!</v>
      </c>
      <c r="W114" s="104">
        <f t="shared" si="88"/>
        <v>4.95</v>
      </c>
      <c r="X114" s="105"/>
      <c r="Y114" s="102">
        <f t="shared" si="89"/>
        <v>1.7500000000000002E-2</v>
      </c>
      <c r="Z114" s="106">
        <f t="shared" si="90"/>
        <v>1</v>
      </c>
      <c r="AA114" s="105">
        <f t="shared" ca="1" si="153"/>
        <v>2554</v>
      </c>
      <c r="AB114" s="80" t="e">
        <f t="shared" si="154"/>
        <v>#DIV/0!</v>
      </c>
      <c r="AC114" s="80" t="e">
        <f t="shared" si="155"/>
        <v>#DIV/0!</v>
      </c>
      <c r="AD114" s="104">
        <f t="shared" si="94"/>
        <v>3.98</v>
      </c>
      <c r="AF114" s="105">
        <f t="shared" ca="1" si="123"/>
        <v>2554</v>
      </c>
      <c r="AG114" s="105">
        <f t="shared" ca="1" si="124"/>
        <v>2553</v>
      </c>
      <c r="AH114" s="80">
        <f t="shared" si="95"/>
        <v>6.9702680074925014E-2</v>
      </c>
      <c r="AI114" s="182">
        <f t="shared" si="96"/>
        <v>30</v>
      </c>
      <c r="AL114" s="105"/>
      <c r="AM114" s="82"/>
      <c r="AN114" s="82">
        <f t="shared" si="156"/>
        <v>0</v>
      </c>
      <c r="AO114" s="82" t="e">
        <f t="shared" si="157"/>
        <v>#DIV/0!</v>
      </c>
      <c r="AP114" s="77">
        <f t="shared" si="158"/>
        <v>0</v>
      </c>
      <c r="AQ114" s="108">
        <f t="shared" si="159"/>
        <v>0</v>
      </c>
      <c r="AR114" s="107">
        <f t="shared" si="160"/>
        <v>0</v>
      </c>
      <c r="AS114" s="107">
        <f t="shared" si="161"/>
        <v>0</v>
      </c>
      <c r="AT114" s="107">
        <f t="shared" si="162"/>
        <v>0</v>
      </c>
      <c r="AU114" s="109">
        <f t="shared" si="163"/>
        <v>0</v>
      </c>
      <c r="AV114" s="109">
        <f t="shared" si="164"/>
        <v>0</v>
      </c>
      <c r="AW114" s="109">
        <f t="shared" si="165"/>
        <v>0</v>
      </c>
      <c r="AY114" s="82">
        <f t="shared" si="166"/>
        <v>0</v>
      </c>
      <c r="AZ114" s="82" t="e">
        <f t="shared" si="167"/>
        <v>#DIV/0!</v>
      </c>
      <c r="BA114" s="77">
        <f t="shared" si="168"/>
        <v>0</v>
      </c>
      <c r="BB114" s="108">
        <f t="shared" si="169"/>
        <v>0</v>
      </c>
      <c r="BC114" s="107">
        <f t="shared" si="170"/>
        <v>0</v>
      </c>
      <c r="BD114" s="107">
        <f t="shared" si="171"/>
        <v>0</v>
      </c>
      <c r="BE114" s="107">
        <f t="shared" si="172"/>
        <v>0</v>
      </c>
      <c r="BF114" s="109">
        <f t="shared" si="173"/>
        <v>0</v>
      </c>
      <c r="BG114" s="109">
        <f t="shared" si="174"/>
        <v>0</v>
      </c>
      <c r="BH114" s="109">
        <f t="shared" si="175"/>
        <v>0</v>
      </c>
      <c r="BJ114" s="82">
        <f t="shared" si="176"/>
        <v>0</v>
      </c>
      <c r="BK114" s="82" t="e">
        <f t="shared" si="177"/>
        <v>#DIV/0!</v>
      </c>
      <c r="BL114" s="77">
        <f t="shared" si="178"/>
        <v>0</v>
      </c>
      <c r="BM114" s="108">
        <f t="shared" si="179"/>
        <v>0</v>
      </c>
      <c r="BN114" s="107">
        <f t="shared" si="180"/>
        <v>0</v>
      </c>
      <c r="BO114" s="107">
        <f t="shared" si="181"/>
        <v>0</v>
      </c>
      <c r="BP114" s="107">
        <f t="shared" si="182"/>
        <v>0</v>
      </c>
      <c r="BQ114" s="109">
        <f t="shared" si="183"/>
        <v>0</v>
      </c>
      <c r="BR114" s="109">
        <f t="shared" si="184"/>
        <v>0</v>
      </c>
      <c r="BS114" s="109">
        <f t="shared" si="185"/>
        <v>0</v>
      </c>
      <c r="BU114" s="82">
        <f t="shared" si="186"/>
        <v>0</v>
      </c>
      <c r="BV114" s="82" t="e">
        <f t="shared" si="187"/>
        <v>#DIV/0!</v>
      </c>
      <c r="BW114" s="77">
        <f t="shared" si="188"/>
        <v>0</v>
      </c>
      <c r="BX114" s="108">
        <f t="shared" si="189"/>
        <v>0</v>
      </c>
      <c r="BY114" s="107">
        <f t="shared" si="190"/>
        <v>0</v>
      </c>
      <c r="BZ114" s="107">
        <f t="shared" si="191"/>
        <v>0</v>
      </c>
      <c r="CA114" s="107">
        <f t="shared" si="192"/>
        <v>0</v>
      </c>
      <c r="CB114" s="109">
        <f t="shared" si="193"/>
        <v>0</v>
      </c>
      <c r="CC114" s="109">
        <f t="shared" si="194"/>
        <v>0</v>
      </c>
      <c r="CD114" s="109">
        <f t="shared" si="195"/>
        <v>0</v>
      </c>
    </row>
    <row r="115" spans="1:82" x14ac:dyDescent="0.25">
      <c r="A115" s="101">
        <f t="shared" si="142"/>
        <v>39356</v>
      </c>
      <c r="B115" s="102">
        <f t="shared" si="121"/>
        <v>3.0030000000000001</v>
      </c>
      <c r="C115" s="80">
        <f t="shared" si="143"/>
        <v>0.2</v>
      </c>
      <c r="D115" s="102">
        <f t="shared" si="71"/>
        <v>-0.17</v>
      </c>
      <c r="E115" s="106">
        <f t="shared" si="72"/>
        <v>1</v>
      </c>
      <c r="F115" s="105">
        <f t="shared" ca="1" si="144"/>
        <v>2582</v>
      </c>
      <c r="G115" s="80" t="e">
        <f t="shared" si="145"/>
        <v>#DIV/0!</v>
      </c>
      <c r="H115" s="80" t="e">
        <f t="shared" si="146"/>
        <v>#DIV/0!</v>
      </c>
      <c r="I115" s="104">
        <f t="shared" si="76"/>
        <v>5</v>
      </c>
      <c r="K115" s="102">
        <f t="shared" si="77"/>
        <v>-0.17</v>
      </c>
      <c r="L115" s="106">
        <f t="shared" si="78"/>
        <v>1</v>
      </c>
      <c r="M115" s="105">
        <f t="shared" ca="1" si="147"/>
        <v>2582</v>
      </c>
      <c r="N115" s="217" t="e">
        <f t="shared" si="148"/>
        <v>#DIV/0!</v>
      </c>
      <c r="O115" s="80" t="e">
        <f t="shared" si="149"/>
        <v>#DIV/0!</v>
      </c>
      <c r="P115" s="104">
        <f t="shared" si="82"/>
        <v>5</v>
      </c>
      <c r="R115" s="102">
        <f t="shared" si="83"/>
        <v>0.19750000000000001</v>
      </c>
      <c r="S115" s="106">
        <f t="shared" si="84"/>
        <v>1</v>
      </c>
      <c r="T115" s="105">
        <f t="shared" ca="1" si="150"/>
        <v>2582</v>
      </c>
      <c r="U115" s="217" t="e">
        <f t="shared" si="151"/>
        <v>#DIV/0!</v>
      </c>
      <c r="V115" s="80" t="e">
        <f t="shared" si="152"/>
        <v>#DIV/0!</v>
      </c>
      <c r="W115" s="104">
        <f t="shared" si="88"/>
        <v>4.95</v>
      </c>
      <c r="X115" s="105"/>
      <c r="Y115" s="102">
        <f t="shared" si="89"/>
        <v>7.4999999999999997E-3</v>
      </c>
      <c r="Z115" s="106">
        <f t="shared" si="90"/>
        <v>1</v>
      </c>
      <c r="AA115" s="105">
        <f t="shared" ca="1" si="153"/>
        <v>2582</v>
      </c>
      <c r="AB115" s="80" t="e">
        <f t="shared" si="154"/>
        <v>#DIV/0!</v>
      </c>
      <c r="AC115" s="80" t="e">
        <f t="shared" si="155"/>
        <v>#DIV/0!</v>
      </c>
      <c r="AD115" s="104">
        <f t="shared" si="94"/>
        <v>3.98</v>
      </c>
      <c r="AF115" s="105">
        <f t="shared" ca="1" si="123"/>
        <v>2582</v>
      </c>
      <c r="AG115" s="105">
        <f t="shared" ca="1" si="124"/>
        <v>2581</v>
      </c>
      <c r="AH115" s="80">
        <f t="shared" si="95"/>
        <v>6.9715796261551014E-2</v>
      </c>
      <c r="AI115" s="182">
        <f t="shared" si="96"/>
        <v>31</v>
      </c>
      <c r="AL115" s="105"/>
      <c r="AM115" s="82"/>
      <c r="AN115" s="82">
        <f t="shared" si="156"/>
        <v>0</v>
      </c>
      <c r="AO115" s="82" t="e">
        <f t="shared" si="157"/>
        <v>#DIV/0!</v>
      </c>
      <c r="AP115" s="77">
        <f t="shared" si="158"/>
        <v>0</v>
      </c>
      <c r="AQ115" s="108">
        <f t="shared" si="159"/>
        <v>0</v>
      </c>
      <c r="AR115" s="107">
        <f t="shared" si="160"/>
        <v>0</v>
      </c>
      <c r="AS115" s="107">
        <f t="shared" si="161"/>
        <v>0</v>
      </c>
      <c r="AT115" s="107">
        <f t="shared" si="162"/>
        <v>0</v>
      </c>
      <c r="AU115" s="109">
        <f t="shared" si="163"/>
        <v>0</v>
      </c>
      <c r="AV115" s="109">
        <f t="shared" si="164"/>
        <v>0</v>
      </c>
      <c r="AW115" s="109">
        <f t="shared" si="165"/>
        <v>0</v>
      </c>
      <c r="AY115" s="82">
        <f t="shared" si="166"/>
        <v>0</v>
      </c>
      <c r="AZ115" s="82" t="e">
        <f t="shared" si="167"/>
        <v>#DIV/0!</v>
      </c>
      <c r="BA115" s="77">
        <f t="shared" si="168"/>
        <v>0</v>
      </c>
      <c r="BB115" s="108">
        <f t="shared" si="169"/>
        <v>0</v>
      </c>
      <c r="BC115" s="107">
        <f t="shared" si="170"/>
        <v>0</v>
      </c>
      <c r="BD115" s="107">
        <f t="shared" si="171"/>
        <v>0</v>
      </c>
      <c r="BE115" s="107">
        <f t="shared" si="172"/>
        <v>0</v>
      </c>
      <c r="BF115" s="109">
        <f t="shared" si="173"/>
        <v>0</v>
      </c>
      <c r="BG115" s="109">
        <f t="shared" si="174"/>
        <v>0</v>
      </c>
      <c r="BH115" s="109">
        <f t="shared" si="175"/>
        <v>0</v>
      </c>
      <c r="BJ115" s="82">
        <f t="shared" si="176"/>
        <v>0</v>
      </c>
      <c r="BK115" s="82" t="e">
        <f t="shared" si="177"/>
        <v>#DIV/0!</v>
      </c>
      <c r="BL115" s="77">
        <f t="shared" si="178"/>
        <v>0</v>
      </c>
      <c r="BM115" s="108">
        <f t="shared" si="179"/>
        <v>0</v>
      </c>
      <c r="BN115" s="107">
        <f t="shared" si="180"/>
        <v>0</v>
      </c>
      <c r="BO115" s="107">
        <f t="shared" si="181"/>
        <v>0</v>
      </c>
      <c r="BP115" s="107">
        <f t="shared" si="182"/>
        <v>0</v>
      </c>
      <c r="BQ115" s="109">
        <f t="shared" si="183"/>
        <v>0</v>
      </c>
      <c r="BR115" s="109">
        <f t="shared" si="184"/>
        <v>0</v>
      </c>
      <c r="BS115" s="109">
        <f t="shared" si="185"/>
        <v>0</v>
      </c>
      <c r="BU115" s="82">
        <f t="shared" si="186"/>
        <v>0</v>
      </c>
      <c r="BV115" s="82" t="e">
        <f t="shared" si="187"/>
        <v>#DIV/0!</v>
      </c>
      <c r="BW115" s="77">
        <f t="shared" si="188"/>
        <v>0</v>
      </c>
      <c r="BX115" s="108">
        <f t="shared" si="189"/>
        <v>0</v>
      </c>
      <c r="BY115" s="107">
        <f t="shared" si="190"/>
        <v>0</v>
      </c>
      <c r="BZ115" s="107">
        <f t="shared" si="191"/>
        <v>0</v>
      </c>
      <c r="CA115" s="107">
        <f t="shared" si="192"/>
        <v>0</v>
      </c>
      <c r="CB115" s="109">
        <f t="shared" si="193"/>
        <v>0</v>
      </c>
      <c r="CC115" s="109">
        <f t="shared" si="194"/>
        <v>0</v>
      </c>
      <c r="CD115" s="109">
        <f t="shared" si="195"/>
        <v>0</v>
      </c>
    </row>
    <row r="116" spans="1:82" x14ac:dyDescent="0.25">
      <c r="A116" s="101">
        <f t="shared" si="142"/>
        <v>39387</v>
      </c>
      <c r="B116" s="102">
        <f t="shared" si="121"/>
        <v>3.0750000000000002</v>
      </c>
      <c r="C116" s="80">
        <f t="shared" si="143"/>
        <v>0.2</v>
      </c>
      <c r="D116" s="102">
        <f t="shared" si="71"/>
        <v>-0.17</v>
      </c>
      <c r="E116" s="106">
        <f t="shared" si="72"/>
        <v>1</v>
      </c>
      <c r="F116" s="105">
        <f t="shared" ca="1" si="144"/>
        <v>2615</v>
      </c>
      <c r="G116" s="80" t="e">
        <f t="shared" si="145"/>
        <v>#DIV/0!</v>
      </c>
      <c r="H116" s="80" t="e">
        <f t="shared" si="146"/>
        <v>#DIV/0!</v>
      </c>
      <c r="I116" s="104">
        <f t="shared" si="76"/>
        <v>5</v>
      </c>
      <c r="K116" s="102">
        <f t="shared" si="77"/>
        <v>-0.17</v>
      </c>
      <c r="L116" s="106">
        <f t="shared" si="78"/>
        <v>1</v>
      </c>
      <c r="M116" s="105">
        <f t="shared" ca="1" si="147"/>
        <v>2615</v>
      </c>
      <c r="N116" s="217" t="e">
        <f t="shared" si="148"/>
        <v>#DIV/0!</v>
      </c>
      <c r="O116" s="80" t="e">
        <f t="shared" si="149"/>
        <v>#DIV/0!</v>
      </c>
      <c r="P116" s="104">
        <f t="shared" si="82"/>
        <v>5</v>
      </c>
      <c r="R116" s="102">
        <f t="shared" si="83"/>
        <v>0.26</v>
      </c>
      <c r="S116" s="106">
        <f t="shared" si="84"/>
        <v>1</v>
      </c>
      <c r="T116" s="105">
        <f t="shared" ca="1" si="150"/>
        <v>2615</v>
      </c>
      <c r="U116" s="217" t="e">
        <f t="shared" si="151"/>
        <v>#DIV/0!</v>
      </c>
      <c r="V116" s="80" t="e">
        <f t="shared" si="152"/>
        <v>#DIV/0!</v>
      </c>
      <c r="W116" s="104">
        <f t="shared" si="88"/>
        <v>4.95</v>
      </c>
      <c r="X116" s="105"/>
      <c r="Y116" s="102">
        <f t="shared" si="89"/>
        <v>-3.2500000000000001E-2</v>
      </c>
      <c r="Z116" s="106">
        <f t="shared" si="90"/>
        <v>1</v>
      </c>
      <c r="AA116" s="105">
        <f t="shared" ca="1" si="153"/>
        <v>2615</v>
      </c>
      <c r="AB116" s="80" t="e">
        <f t="shared" si="154"/>
        <v>#DIV/0!</v>
      </c>
      <c r="AC116" s="80" t="e">
        <f t="shared" si="155"/>
        <v>#DIV/0!</v>
      </c>
      <c r="AD116" s="104">
        <f t="shared" si="94"/>
        <v>3.98</v>
      </c>
      <c r="AF116" s="105">
        <f t="shared" ca="1" si="123"/>
        <v>2615</v>
      </c>
      <c r="AG116" s="105">
        <f t="shared" ca="1" si="124"/>
        <v>2612</v>
      </c>
      <c r="AH116" s="80">
        <f t="shared" si="95"/>
        <v>6.9728933810896024E-2</v>
      </c>
      <c r="AI116" s="182">
        <f t="shared" si="96"/>
        <v>30</v>
      </c>
      <c r="AL116" s="105"/>
      <c r="AM116" s="82"/>
      <c r="AN116" s="82">
        <f t="shared" si="156"/>
        <v>0</v>
      </c>
      <c r="AO116" s="82" t="e">
        <f t="shared" si="157"/>
        <v>#DIV/0!</v>
      </c>
      <c r="AP116" s="77">
        <f t="shared" si="158"/>
        <v>0</v>
      </c>
      <c r="AQ116" s="108">
        <f t="shared" si="159"/>
        <v>0</v>
      </c>
      <c r="AR116" s="107">
        <f t="shared" si="160"/>
        <v>0</v>
      </c>
      <c r="AS116" s="107">
        <f t="shared" si="161"/>
        <v>0</v>
      </c>
      <c r="AT116" s="107">
        <f t="shared" si="162"/>
        <v>0</v>
      </c>
      <c r="AU116" s="109">
        <f t="shared" si="163"/>
        <v>0</v>
      </c>
      <c r="AV116" s="109">
        <f t="shared" si="164"/>
        <v>0</v>
      </c>
      <c r="AW116" s="109">
        <f t="shared" si="165"/>
        <v>0</v>
      </c>
      <c r="AY116" s="82">
        <f t="shared" si="166"/>
        <v>0</v>
      </c>
      <c r="AZ116" s="82" t="e">
        <f t="shared" si="167"/>
        <v>#DIV/0!</v>
      </c>
      <c r="BA116" s="77">
        <f t="shared" si="168"/>
        <v>0</v>
      </c>
      <c r="BB116" s="108">
        <f t="shared" si="169"/>
        <v>0</v>
      </c>
      <c r="BC116" s="107">
        <f t="shared" si="170"/>
        <v>0</v>
      </c>
      <c r="BD116" s="107">
        <f t="shared" si="171"/>
        <v>0</v>
      </c>
      <c r="BE116" s="107">
        <f t="shared" si="172"/>
        <v>0</v>
      </c>
      <c r="BF116" s="109">
        <f t="shared" si="173"/>
        <v>0</v>
      </c>
      <c r="BG116" s="109">
        <f t="shared" si="174"/>
        <v>0</v>
      </c>
      <c r="BH116" s="109">
        <f t="shared" si="175"/>
        <v>0</v>
      </c>
      <c r="BJ116" s="82">
        <f t="shared" si="176"/>
        <v>0</v>
      </c>
      <c r="BK116" s="82" t="e">
        <f t="shared" si="177"/>
        <v>#DIV/0!</v>
      </c>
      <c r="BL116" s="77">
        <f t="shared" si="178"/>
        <v>0</v>
      </c>
      <c r="BM116" s="108">
        <f t="shared" si="179"/>
        <v>0</v>
      </c>
      <c r="BN116" s="107">
        <f t="shared" si="180"/>
        <v>0</v>
      </c>
      <c r="BO116" s="107">
        <f t="shared" si="181"/>
        <v>0</v>
      </c>
      <c r="BP116" s="107">
        <f t="shared" si="182"/>
        <v>0</v>
      </c>
      <c r="BQ116" s="109">
        <f t="shared" si="183"/>
        <v>0</v>
      </c>
      <c r="BR116" s="109">
        <f t="shared" si="184"/>
        <v>0</v>
      </c>
      <c r="BS116" s="109">
        <f t="shared" si="185"/>
        <v>0</v>
      </c>
      <c r="BU116" s="82">
        <f t="shared" si="186"/>
        <v>0</v>
      </c>
      <c r="BV116" s="82" t="e">
        <f t="shared" si="187"/>
        <v>#DIV/0!</v>
      </c>
      <c r="BW116" s="77">
        <f t="shared" si="188"/>
        <v>0</v>
      </c>
      <c r="BX116" s="108">
        <f t="shared" si="189"/>
        <v>0</v>
      </c>
      <c r="BY116" s="107">
        <f t="shared" si="190"/>
        <v>0</v>
      </c>
      <c r="BZ116" s="107">
        <f t="shared" si="191"/>
        <v>0</v>
      </c>
      <c r="CA116" s="107">
        <f t="shared" si="192"/>
        <v>0</v>
      </c>
      <c r="CB116" s="109">
        <f t="shared" si="193"/>
        <v>0</v>
      </c>
      <c r="CC116" s="109">
        <f t="shared" si="194"/>
        <v>0</v>
      </c>
      <c r="CD116" s="109">
        <f t="shared" si="195"/>
        <v>0</v>
      </c>
    </row>
    <row r="117" spans="1:82" x14ac:dyDescent="0.25">
      <c r="A117" s="101">
        <f t="shared" si="142"/>
        <v>39417</v>
      </c>
      <c r="B117" s="102">
        <f t="shared" si="121"/>
        <v>3.145</v>
      </c>
      <c r="C117" s="80">
        <f t="shared" si="143"/>
        <v>0.2</v>
      </c>
      <c r="D117" s="102">
        <f t="shared" si="71"/>
        <v>-0.17</v>
      </c>
      <c r="E117" s="106">
        <f t="shared" si="72"/>
        <v>1</v>
      </c>
      <c r="F117" s="105">
        <f t="shared" ca="1" si="144"/>
        <v>2645</v>
      </c>
      <c r="G117" s="80" t="e">
        <f t="shared" si="145"/>
        <v>#DIV/0!</v>
      </c>
      <c r="H117" s="80" t="e">
        <f t="shared" si="146"/>
        <v>#DIV/0!</v>
      </c>
      <c r="I117" s="104">
        <f t="shared" si="76"/>
        <v>5</v>
      </c>
      <c r="K117" s="102">
        <f t="shared" si="77"/>
        <v>-0.17</v>
      </c>
      <c r="L117" s="106">
        <f t="shared" si="78"/>
        <v>1</v>
      </c>
      <c r="M117" s="105">
        <f t="shared" ca="1" si="147"/>
        <v>2645</v>
      </c>
      <c r="N117" s="217" t="e">
        <f t="shared" si="148"/>
        <v>#DIV/0!</v>
      </c>
      <c r="O117" s="80" t="e">
        <f t="shared" si="149"/>
        <v>#DIV/0!</v>
      </c>
      <c r="P117" s="104">
        <f t="shared" si="82"/>
        <v>5</v>
      </c>
      <c r="R117" s="102">
        <f t="shared" si="83"/>
        <v>0.3</v>
      </c>
      <c r="S117" s="106">
        <f t="shared" si="84"/>
        <v>1</v>
      </c>
      <c r="T117" s="105">
        <f t="shared" ca="1" si="150"/>
        <v>2645</v>
      </c>
      <c r="U117" s="217" t="e">
        <f t="shared" si="151"/>
        <v>#DIV/0!</v>
      </c>
      <c r="V117" s="80" t="e">
        <f t="shared" si="152"/>
        <v>#DIV/0!</v>
      </c>
      <c r="W117" s="104">
        <f t="shared" si="88"/>
        <v>4.95</v>
      </c>
      <c r="X117" s="105"/>
      <c r="Y117" s="102">
        <f t="shared" si="89"/>
        <v>-5.5E-2</v>
      </c>
      <c r="Z117" s="106">
        <f t="shared" si="90"/>
        <v>1</v>
      </c>
      <c r="AA117" s="105">
        <f t="shared" ca="1" si="153"/>
        <v>2645</v>
      </c>
      <c r="AB117" s="80" t="e">
        <f t="shared" si="154"/>
        <v>#DIV/0!</v>
      </c>
      <c r="AC117" s="80" t="e">
        <f t="shared" si="155"/>
        <v>#DIV/0!</v>
      </c>
      <c r="AD117" s="104">
        <f t="shared" si="94"/>
        <v>3.98</v>
      </c>
      <c r="AF117" s="105">
        <f t="shared" ca="1" si="123"/>
        <v>2645</v>
      </c>
      <c r="AG117" s="105">
        <f t="shared" ca="1" si="124"/>
        <v>2644</v>
      </c>
      <c r="AH117" s="80">
        <f t="shared" si="95"/>
        <v>6.9741647568382012E-2</v>
      </c>
      <c r="AI117" s="182">
        <f t="shared" si="96"/>
        <v>31</v>
      </c>
      <c r="AL117" s="105"/>
      <c r="AM117" s="82"/>
      <c r="AN117" s="82">
        <f t="shared" si="156"/>
        <v>0</v>
      </c>
      <c r="AO117" s="82" t="e">
        <f t="shared" si="157"/>
        <v>#DIV/0!</v>
      </c>
      <c r="AP117" s="77">
        <f t="shared" si="158"/>
        <v>0</v>
      </c>
      <c r="AQ117" s="108">
        <f t="shared" si="159"/>
        <v>0</v>
      </c>
      <c r="AR117" s="107">
        <f t="shared" si="160"/>
        <v>0</v>
      </c>
      <c r="AS117" s="107">
        <f t="shared" si="161"/>
        <v>0</v>
      </c>
      <c r="AT117" s="107">
        <f t="shared" si="162"/>
        <v>0</v>
      </c>
      <c r="AU117" s="109">
        <f t="shared" si="163"/>
        <v>0</v>
      </c>
      <c r="AV117" s="109">
        <f t="shared" si="164"/>
        <v>0</v>
      </c>
      <c r="AW117" s="109">
        <f t="shared" si="165"/>
        <v>0</v>
      </c>
      <c r="AY117" s="82">
        <f t="shared" si="166"/>
        <v>0</v>
      </c>
      <c r="AZ117" s="82" t="e">
        <f t="shared" si="167"/>
        <v>#DIV/0!</v>
      </c>
      <c r="BA117" s="77">
        <f t="shared" si="168"/>
        <v>0</v>
      </c>
      <c r="BB117" s="108">
        <f t="shared" si="169"/>
        <v>0</v>
      </c>
      <c r="BC117" s="107">
        <f t="shared" si="170"/>
        <v>0</v>
      </c>
      <c r="BD117" s="107">
        <f t="shared" si="171"/>
        <v>0</v>
      </c>
      <c r="BE117" s="107">
        <f t="shared" si="172"/>
        <v>0</v>
      </c>
      <c r="BF117" s="109">
        <f t="shared" si="173"/>
        <v>0</v>
      </c>
      <c r="BG117" s="109">
        <f t="shared" si="174"/>
        <v>0</v>
      </c>
      <c r="BH117" s="109">
        <f t="shared" si="175"/>
        <v>0</v>
      </c>
      <c r="BJ117" s="82">
        <f t="shared" si="176"/>
        <v>0</v>
      </c>
      <c r="BK117" s="82" t="e">
        <f t="shared" si="177"/>
        <v>#DIV/0!</v>
      </c>
      <c r="BL117" s="77">
        <f t="shared" si="178"/>
        <v>0</v>
      </c>
      <c r="BM117" s="108">
        <f t="shared" si="179"/>
        <v>0</v>
      </c>
      <c r="BN117" s="107">
        <f t="shared" si="180"/>
        <v>0</v>
      </c>
      <c r="BO117" s="107">
        <f t="shared" si="181"/>
        <v>0</v>
      </c>
      <c r="BP117" s="107">
        <f t="shared" si="182"/>
        <v>0</v>
      </c>
      <c r="BQ117" s="109">
        <f t="shared" si="183"/>
        <v>0</v>
      </c>
      <c r="BR117" s="109">
        <f t="shared" si="184"/>
        <v>0</v>
      </c>
      <c r="BS117" s="109">
        <f t="shared" si="185"/>
        <v>0</v>
      </c>
      <c r="BU117" s="82">
        <f t="shared" si="186"/>
        <v>0</v>
      </c>
      <c r="BV117" s="82" t="e">
        <f t="shared" si="187"/>
        <v>#DIV/0!</v>
      </c>
      <c r="BW117" s="77">
        <f t="shared" si="188"/>
        <v>0</v>
      </c>
      <c r="BX117" s="108">
        <f t="shared" si="189"/>
        <v>0</v>
      </c>
      <c r="BY117" s="107">
        <f t="shared" si="190"/>
        <v>0</v>
      </c>
      <c r="BZ117" s="107">
        <f t="shared" si="191"/>
        <v>0</v>
      </c>
      <c r="CA117" s="107">
        <f t="shared" si="192"/>
        <v>0</v>
      </c>
      <c r="CB117" s="109">
        <f t="shared" si="193"/>
        <v>0</v>
      </c>
      <c r="CC117" s="109">
        <f t="shared" si="194"/>
        <v>0</v>
      </c>
      <c r="CD117" s="109">
        <f t="shared" si="195"/>
        <v>0</v>
      </c>
    </row>
    <row r="118" spans="1:82" x14ac:dyDescent="0.25">
      <c r="A118" s="101">
        <f t="shared" si="142"/>
        <v>39448</v>
      </c>
      <c r="B118" s="102">
        <f t="shared" si="121"/>
        <v>3.4319999999999999</v>
      </c>
      <c r="C118" s="80">
        <f t="shared" si="143"/>
        <v>0.2</v>
      </c>
      <c r="D118" s="102">
        <f t="shared" si="71"/>
        <v>-0.17</v>
      </c>
      <c r="E118" s="106">
        <f t="shared" si="72"/>
        <v>1</v>
      </c>
      <c r="F118" s="105">
        <f t="shared" ca="1" si="144"/>
        <v>2674</v>
      </c>
      <c r="G118" s="80" t="e">
        <f t="shared" si="145"/>
        <v>#DIV/0!</v>
      </c>
      <c r="H118" s="80" t="e">
        <f t="shared" si="146"/>
        <v>#DIV/0!</v>
      </c>
      <c r="I118" s="104">
        <f t="shared" si="76"/>
        <v>5</v>
      </c>
      <c r="K118" s="102">
        <f t="shared" si="77"/>
        <v>-0.17</v>
      </c>
      <c r="L118" s="106">
        <f t="shared" si="78"/>
        <v>1</v>
      </c>
      <c r="M118" s="105">
        <f t="shared" ca="1" si="147"/>
        <v>2674</v>
      </c>
      <c r="N118" s="217" t="e">
        <f t="shared" si="148"/>
        <v>#DIV/0!</v>
      </c>
      <c r="O118" s="80" t="e">
        <f t="shared" si="149"/>
        <v>#DIV/0!</v>
      </c>
      <c r="P118" s="104">
        <f t="shared" si="82"/>
        <v>5</v>
      </c>
      <c r="R118" s="102">
        <f t="shared" si="83"/>
        <v>0.35499999999999998</v>
      </c>
      <c r="S118" s="106">
        <f t="shared" si="84"/>
        <v>1</v>
      </c>
      <c r="T118" s="105">
        <f t="shared" ca="1" si="150"/>
        <v>2674</v>
      </c>
      <c r="U118" s="217" t="e">
        <f t="shared" si="151"/>
        <v>#DIV/0!</v>
      </c>
      <c r="V118" s="80" t="e">
        <f t="shared" si="152"/>
        <v>#DIV/0!</v>
      </c>
      <c r="W118" s="104">
        <f t="shared" si="88"/>
        <v>4.95</v>
      </c>
      <c r="X118" s="105"/>
      <c r="Y118" s="102">
        <f t="shared" si="89"/>
        <v>-5.7500000000000002E-2</v>
      </c>
      <c r="Z118" s="106">
        <f t="shared" si="90"/>
        <v>1</v>
      </c>
      <c r="AA118" s="105">
        <f t="shared" ca="1" si="153"/>
        <v>2674</v>
      </c>
      <c r="AB118" s="80" t="e">
        <f t="shared" si="154"/>
        <v>#DIV/0!</v>
      </c>
      <c r="AC118" s="80" t="e">
        <f t="shared" si="155"/>
        <v>#DIV/0!</v>
      </c>
      <c r="AD118" s="104">
        <f t="shared" si="94"/>
        <v>3.98</v>
      </c>
      <c r="AF118" s="105">
        <f t="shared" ca="1" si="123"/>
        <v>2674</v>
      </c>
      <c r="AG118" s="105">
        <f t="shared" ca="1" si="124"/>
        <v>2673</v>
      </c>
      <c r="AH118" s="80">
        <f t="shared" si="95"/>
        <v>6.9754785117839016E-2</v>
      </c>
      <c r="AI118" s="182">
        <f t="shared" si="96"/>
        <v>31</v>
      </c>
      <c r="AL118" s="105"/>
      <c r="AM118" s="82"/>
      <c r="AN118" s="82">
        <f t="shared" si="156"/>
        <v>0</v>
      </c>
      <c r="AO118" s="82" t="e">
        <f t="shared" si="157"/>
        <v>#DIV/0!</v>
      </c>
      <c r="AP118" s="77">
        <f t="shared" si="158"/>
        <v>0</v>
      </c>
      <c r="AQ118" s="108">
        <f t="shared" si="159"/>
        <v>0</v>
      </c>
      <c r="AR118" s="107">
        <f t="shared" si="160"/>
        <v>0</v>
      </c>
      <c r="AS118" s="107">
        <f t="shared" si="161"/>
        <v>0</v>
      </c>
      <c r="AT118" s="107">
        <f t="shared" si="162"/>
        <v>0</v>
      </c>
      <c r="AU118" s="109">
        <f t="shared" si="163"/>
        <v>0</v>
      </c>
      <c r="AV118" s="109">
        <f t="shared" si="164"/>
        <v>0</v>
      </c>
      <c r="AW118" s="109">
        <f t="shared" si="165"/>
        <v>0</v>
      </c>
      <c r="AY118" s="82">
        <f t="shared" si="166"/>
        <v>0</v>
      </c>
      <c r="AZ118" s="82" t="e">
        <f t="shared" si="167"/>
        <v>#DIV/0!</v>
      </c>
      <c r="BA118" s="77">
        <f t="shared" si="168"/>
        <v>0</v>
      </c>
      <c r="BB118" s="108">
        <f t="shared" si="169"/>
        <v>0</v>
      </c>
      <c r="BC118" s="107">
        <f t="shared" si="170"/>
        <v>0</v>
      </c>
      <c r="BD118" s="107">
        <f t="shared" si="171"/>
        <v>0</v>
      </c>
      <c r="BE118" s="107">
        <f t="shared" si="172"/>
        <v>0</v>
      </c>
      <c r="BF118" s="109">
        <f t="shared" si="173"/>
        <v>0</v>
      </c>
      <c r="BG118" s="109">
        <f t="shared" si="174"/>
        <v>0</v>
      </c>
      <c r="BH118" s="109">
        <f t="shared" si="175"/>
        <v>0</v>
      </c>
      <c r="BJ118" s="82">
        <f t="shared" si="176"/>
        <v>0</v>
      </c>
      <c r="BK118" s="82" t="e">
        <f t="shared" si="177"/>
        <v>#DIV/0!</v>
      </c>
      <c r="BL118" s="77">
        <f t="shared" si="178"/>
        <v>0</v>
      </c>
      <c r="BM118" s="108">
        <f t="shared" si="179"/>
        <v>0</v>
      </c>
      <c r="BN118" s="107">
        <f t="shared" si="180"/>
        <v>0</v>
      </c>
      <c r="BO118" s="107">
        <f t="shared" si="181"/>
        <v>0</v>
      </c>
      <c r="BP118" s="107">
        <f t="shared" si="182"/>
        <v>0</v>
      </c>
      <c r="BQ118" s="109">
        <f t="shared" si="183"/>
        <v>0</v>
      </c>
      <c r="BR118" s="109">
        <f t="shared" si="184"/>
        <v>0</v>
      </c>
      <c r="BS118" s="109">
        <f t="shared" si="185"/>
        <v>0</v>
      </c>
      <c r="BU118" s="82">
        <f t="shared" si="186"/>
        <v>0</v>
      </c>
      <c r="BV118" s="82" t="e">
        <f t="shared" si="187"/>
        <v>#DIV/0!</v>
      </c>
      <c r="BW118" s="77">
        <f t="shared" si="188"/>
        <v>0</v>
      </c>
      <c r="BX118" s="108">
        <f t="shared" si="189"/>
        <v>0</v>
      </c>
      <c r="BY118" s="107">
        <f t="shared" si="190"/>
        <v>0</v>
      </c>
      <c r="BZ118" s="107">
        <f t="shared" si="191"/>
        <v>0</v>
      </c>
      <c r="CA118" s="107">
        <f t="shared" si="192"/>
        <v>0</v>
      </c>
      <c r="CB118" s="109">
        <f t="shared" si="193"/>
        <v>0</v>
      </c>
      <c r="CC118" s="109">
        <f t="shared" si="194"/>
        <v>0</v>
      </c>
      <c r="CD118" s="109">
        <f t="shared" si="195"/>
        <v>0</v>
      </c>
    </row>
    <row r="119" spans="1:82" x14ac:dyDescent="0.25">
      <c r="A119" s="101">
        <f t="shared" si="142"/>
        <v>39479</v>
      </c>
      <c r="B119" s="102">
        <f t="shared" si="121"/>
        <v>3.31</v>
      </c>
      <c r="C119" s="80">
        <f t="shared" si="143"/>
        <v>0.2</v>
      </c>
      <c r="D119" s="102">
        <f t="shared" si="71"/>
        <v>-0.17</v>
      </c>
      <c r="E119" s="106">
        <f t="shared" si="72"/>
        <v>1</v>
      </c>
      <c r="F119" s="105">
        <f t="shared" ca="1" si="144"/>
        <v>2707</v>
      </c>
      <c r="G119" s="80" t="e">
        <f t="shared" si="145"/>
        <v>#DIV/0!</v>
      </c>
      <c r="H119" s="80" t="e">
        <f t="shared" si="146"/>
        <v>#DIV/0!</v>
      </c>
      <c r="I119" s="104">
        <f t="shared" si="76"/>
        <v>5</v>
      </c>
      <c r="K119" s="102">
        <f t="shared" si="77"/>
        <v>-0.17</v>
      </c>
      <c r="L119" s="106">
        <f t="shared" si="78"/>
        <v>1</v>
      </c>
      <c r="M119" s="105">
        <f t="shared" ca="1" si="147"/>
        <v>2707</v>
      </c>
      <c r="N119" s="217" t="e">
        <f t="shared" si="148"/>
        <v>#DIV/0!</v>
      </c>
      <c r="O119" s="80" t="e">
        <f t="shared" si="149"/>
        <v>#DIV/0!</v>
      </c>
      <c r="P119" s="104">
        <f t="shared" si="82"/>
        <v>5</v>
      </c>
      <c r="R119" s="102">
        <f t="shared" si="83"/>
        <v>0.33</v>
      </c>
      <c r="S119" s="106">
        <f t="shared" si="84"/>
        <v>1</v>
      </c>
      <c r="T119" s="105">
        <f t="shared" ca="1" si="150"/>
        <v>2707</v>
      </c>
      <c r="U119" s="217" t="e">
        <f t="shared" si="151"/>
        <v>#DIV/0!</v>
      </c>
      <c r="V119" s="80" t="e">
        <f t="shared" si="152"/>
        <v>#DIV/0!</v>
      </c>
      <c r="W119" s="104">
        <f t="shared" si="88"/>
        <v>4.95</v>
      </c>
      <c r="X119" s="105"/>
      <c r="Y119" s="102">
        <f t="shared" si="89"/>
        <v>-0.04</v>
      </c>
      <c r="Z119" s="106">
        <f t="shared" si="90"/>
        <v>1</v>
      </c>
      <c r="AA119" s="105">
        <f t="shared" ca="1" si="153"/>
        <v>2707</v>
      </c>
      <c r="AB119" s="80" t="e">
        <f t="shared" si="154"/>
        <v>#DIV/0!</v>
      </c>
      <c r="AC119" s="80" t="e">
        <f t="shared" si="155"/>
        <v>#DIV/0!</v>
      </c>
      <c r="AD119" s="104">
        <f t="shared" si="94"/>
        <v>3.98</v>
      </c>
      <c r="AF119" s="105">
        <f t="shared" ca="1" si="123"/>
        <v>2707</v>
      </c>
      <c r="AG119" s="105">
        <f t="shared" ca="1" si="124"/>
        <v>2706</v>
      </c>
      <c r="AH119" s="80">
        <f t="shared" si="95"/>
        <v>6.9767922667354001E-2</v>
      </c>
      <c r="AI119" s="182">
        <f t="shared" si="96"/>
        <v>29</v>
      </c>
      <c r="AL119" s="105"/>
      <c r="AM119" s="82"/>
      <c r="AN119" s="82">
        <f t="shared" si="156"/>
        <v>0</v>
      </c>
      <c r="AO119" s="82" t="e">
        <f t="shared" si="157"/>
        <v>#DIV/0!</v>
      </c>
      <c r="AP119" s="77">
        <f t="shared" si="158"/>
        <v>0</v>
      </c>
      <c r="AQ119" s="108">
        <f t="shared" si="159"/>
        <v>0</v>
      </c>
      <c r="AR119" s="107">
        <f t="shared" si="160"/>
        <v>0</v>
      </c>
      <c r="AS119" s="107">
        <f t="shared" si="161"/>
        <v>0</v>
      </c>
      <c r="AT119" s="107">
        <f t="shared" si="162"/>
        <v>0</v>
      </c>
      <c r="AU119" s="109">
        <f t="shared" si="163"/>
        <v>0</v>
      </c>
      <c r="AV119" s="109">
        <f t="shared" si="164"/>
        <v>0</v>
      </c>
      <c r="AW119" s="109">
        <f t="shared" si="165"/>
        <v>0</v>
      </c>
      <c r="AY119" s="82">
        <f t="shared" si="166"/>
        <v>0</v>
      </c>
      <c r="AZ119" s="82" t="e">
        <f t="shared" si="167"/>
        <v>#DIV/0!</v>
      </c>
      <c r="BA119" s="77">
        <f t="shared" si="168"/>
        <v>0</v>
      </c>
      <c r="BB119" s="108">
        <f t="shared" si="169"/>
        <v>0</v>
      </c>
      <c r="BC119" s="107">
        <f t="shared" si="170"/>
        <v>0</v>
      </c>
      <c r="BD119" s="107">
        <f t="shared" si="171"/>
        <v>0</v>
      </c>
      <c r="BE119" s="107">
        <f t="shared" si="172"/>
        <v>0</v>
      </c>
      <c r="BF119" s="109">
        <f t="shared" si="173"/>
        <v>0</v>
      </c>
      <c r="BG119" s="109">
        <f t="shared" si="174"/>
        <v>0</v>
      </c>
      <c r="BH119" s="109">
        <f t="shared" si="175"/>
        <v>0</v>
      </c>
      <c r="BJ119" s="82">
        <f t="shared" si="176"/>
        <v>0</v>
      </c>
      <c r="BK119" s="82" t="e">
        <f t="shared" si="177"/>
        <v>#DIV/0!</v>
      </c>
      <c r="BL119" s="77">
        <f t="shared" si="178"/>
        <v>0</v>
      </c>
      <c r="BM119" s="108">
        <f t="shared" si="179"/>
        <v>0</v>
      </c>
      <c r="BN119" s="107">
        <f t="shared" si="180"/>
        <v>0</v>
      </c>
      <c r="BO119" s="107">
        <f t="shared" si="181"/>
        <v>0</v>
      </c>
      <c r="BP119" s="107">
        <f t="shared" si="182"/>
        <v>0</v>
      </c>
      <c r="BQ119" s="109">
        <f t="shared" si="183"/>
        <v>0</v>
      </c>
      <c r="BR119" s="109">
        <f t="shared" si="184"/>
        <v>0</v>
      </c>
      <c r="BS119" s="109">
        <f t="shared" si="185"/>
        <v>0</v>
      </c>
      <c r="BU119" s="82">
        <f t="shared" si="186"/>
        <v>0</v>
      </c>
      <c r="BV119" s="82" t="e">
        <f t="shared" si="187"/>
        <v>#DIV/0!</v>
      </c>
      <c r="BW119" s="77">
        <f t="shared" si="188"/>
        <v>0</v>
      </c>
      <c r="BX119" s="108">
        <f t="shared" si="189"/>
        <v>0</v>
      </c>
      <c r="BY119" s="107">
        <f t="shared" si="190"/>
        <v>0</v>
      </c>
      <c r="BZ119" s="107">
        <f t="shared" si="191"/>
        <v>0</v>
      </c>
      <c r="CA119" s="107">
        <f t="shared" si="192"/>
        <v>0</v>
      </c>
      <c r="CB119" s="109">
        <f t="shared" si="193"/>
        <v>0</v>
      </c>
      <c r="CC119" s="109">
        <f t="shared" si="194"/>
        <v>0</v>
      </c>
      <c r="CD119" s="109">
        <f t="shared" si="195"/>
        <v>0</v>
      </c>
    </row>
    <row r="120" spans="1:82" x14ac:dyDescent="0.25">
      <c r="A120" s="101">
        <f t="shared" si="142"/>
        <v>39508</v>
      </c>
      <c r="B120" s="102">
        <f t="shared" si="121"/>
        <v>3.1549999999999998</v>
      </c>
      <c r="C120" s="80">
        <f t="shared" si="143"/>
        <v>0.2</v>
      </c>
      <c r="D120" s="102">
        <f t="shared" si="71"/>
        <v>-0.17</v>
      </c>
      <c r="E120" s="106">
        <f t="shared" si="72"/>
        <v>1</v>
      </c>
      <c r="F120" s="105">
        <f t="shared" ca="1" si="144"/>
        <v>2736</v>
      </c>
      <c r="G120" s="80" t="e">
        <f t="shared" si="145"/>
        <v>#DIV/0!</v>
      </c>
      <c r="H120" s="80" t="e">
        <f t="shared" si="146"/>
        <v>#DIV/0!</v>
      </c>
      <c r="I120" s="104">
        <f t="shared" si="76"/>
        <v>5</v>
      </c>
      <c r="K120" s="102">
        <f t="shared" si="77"/>
        <v>-0.17</v>
      </c>
      <c r="L120" s="106">
        <f t="shared" si="78"/>
        <v>1</v>
      </c>
      <c r="M120" s="105">
        <f t="shared" ca="1" si="147"/>
        <v>2736</v>
      </c>
      <c r="N120" s="217" t="e">
        <f t="shared" si="148"/>
        <v>#DIV/0!</v>
      </c>
      <c r="O120" s="80" t="e">
        <f t="shared" si="149"/>
        <v>#DIV/0!</v>
      </c>
      <c r="P120" s="104">
        <f t="shared" si="82"/>
        <v>5</v>
      </c>
      <c r="R120" s="102">
        <f t="shared" si="83"/>
        <v>0.32750000000000001</v>
      </c>
      <c r="S120" s="106">
        <f t="shared" si="84"/>
        <v>1</v>
      </c>
      <c r="T120" s="105">
        <f t="shared" ca="1" si="150"/>
        <v>2736</v>
      </c>
      <c r="U120" s="217" t="e">
        <f t="shared" si="151"/>
        <v>#DIV/0!</v>
      </c>
      <c r="V120" s="80" t="e">
        <f t="shared" si="152"/>
        <v>#DIV/0!</v>
      </c>
      <c r="W120" s="104">
        <f t="shared" si="88"/>
        <v>4.95</v>
      </c>
      <c r="X120" s="105"/>
      <c r="Y120" s="102">
        <f t="shared" si="89"/>
        <v>-2.75E-2</v>
      </c>
      <c r="Z120" s="106">
        <f t="shared" si="90"/>
        <v>1</v>
      </c>
      <c r="AA120" s="105">
        <f t="shared" ca="1" si="153"/>
        <v>2736</v>
      </c>
      <c r="AB120" s="80" t="e">
        <f t="shared" si="154"/>
        <v>#DIV/0!</v>
      </c>
      <c r="AC120" s="80" t="e">
        <f t="shared" si="155"/>
        <v>#DIV/0!</v>
      </c>
      <c r="AD120" s="104">
        <f t="shared" si="94"/>
        <v>3.98</v>
      </c>
      <c r="AF120" s="105">
        <f t="shared" ca="1" si="123"/>
        <v>2736</v>
      </c>
      <c r="AG120" s="105">
        <f t="shared" ca="1" si="124"/>
        <v>2735</v>
      </c>
      <c r="AH120" s="80">
        <f t="shared" si="95"/>
        <v>6.9780212633080999E-2</v>
      </c>
      <c r="AI120" s="182">
        <f t="shared" si="96"/>
        <v>31</v>
      </c>
      <c r="AL120" s="105"/>
      <c r="AM120" s="82"/>
      <c r="AN120" s="82">
        <f t="shared" si="156"/>
        <v>0</v>
      </c>
      <c r="AO120" s="82" t="e">
        <f t="shared" si="157"/>
        <v>#DIV/0!</v>
      </c>
      <c r="AP120" s="77">
        <f t="shared" si="158"/>
        <v>0</v>
      </c>
      <c r="AQ120" s="108">
        <f t="shared" si="159"/>
        <v>0</v>
      </c>
      <c r="AR120" s="107">
        <f t="shared" si="160"/>
        <v>0</v>
      </c>
      <c r="AS120" s="107">
        <f t="shared" si="161"/>
        <v>0</v>
      </c>
      <c r="AT120" s="107">
        <f t="shared" si="162"/>
        <v>0</v>
      </c>
      <c r="AU120" s="109">
        <f t="shared" si="163"/>
        <v>0</v>
      </c>
      <c r="AV120" s="109">
        <f t="shared" si="164"/>
        <v>0</v>
      </c>
      <c r="AW120" s="109">
        <f t="shared" si="165"/>
        <v>0</v>
      </c>
      <c r="AY120" s="82">
        <f t="shared" si="166"/>
        <v>0</v>
      </c>
      <c r="AZ120" s="82" t="e">
        <f t="shared" si="167"/>
        <v>#DIV/0!</v>
      </c>
      <c r="BA120" s="77">
        <f t="shared" si="168"/>
        <v>0</v>
      </c>
      <c r="BB120" s="108">
        <f t="shared" si="169"/>
        <v>0</v>
      </c>
      <c r="BC120" s="107">
        <f t="shared" si="170"/>
        <v>0</v>
      </c>
      <c r="BD120" s="107">
        <f t="shared" si="171"/>
        <v>0</v>
      </c>
      <c r="BE120" s="107">
        <f t="shared" si="172"/>
        <v>0</v>
      </c>
      <c r="BF120" s="109">
        <f t="shared" si="173"/>
        <v>0</v>
      </c>
      <c r="BG120" s="109">
        <f t="shared" si="174"/>
        <v>0</v>
      </c>
      <c r="BH120" s="109">
        <f t="shared" si="175"/>
        <v>0</v>
      </c>
      <c r="BJ120" s="82">
        <f t="shared" si="176"/>
        <v>0</v>
      </c>
      <c r="BK120" s="82" t="e">
        <f t="shared" si="177"/>
        <v>#DIV/0!</v>
      </c>
      <c r="BL120" s="77">
        <f t="shared" si="178"/>
        <v>0</v>
      </c>
      <c r="BM120" s="108">
        <f t="shared" si="179"/>
        <v>0</v>
      </c>
      <c r="BN120" s="107">
        <f t="shared" si="180"/>
        <v>0</v>
      </c>
      <c r="BO120" s="107">
        <f t="shared" si="181"/>
        <v>0</v>
      </c>
      <c r="BP120" s="107">
        <f t="shared" si="182"/>
        <v>0</v>
      </c>
      <c r="BQ120" s="109">
        <f t="shared" si="183"/>
        <v>0</v>
      </c>
      <c r="BR120" s="109">
        <f t="shared" si="184"/>
        <v>0</v>
      </c>
      <c r="BS120" s="109">
        <f t="shared" si="185"/>
        <v>0</v>
      </c>
      <c r="BU120" s="82">
        <f t="shared" si="186"/>
        <v>0</v>
      </c>
      <c r="BV120" s="82" t="e">
        <f t="shared" si="187"/>
        <v>#DIV/0!</v>
      </c>
      <c r="BW120" s="77">
        <f t="shared" si="188"/>
        <v>0</v>
      </c>
      <c r="BX120" s="108">
        <f t="shared" si="189"/>
        <v>0</v>
      </c>
      <c r="BY120" s="107">
        <f t="shared" si="190"/>
        <v>0</v>
      </c>
      <c r="BZ120" s="107">
        <f t="shared" si="191"/>
        <v>0</v>
      </c>
      <c r="CA120" s="107">
        <f t="shared" si="192"/>
        <v>0</v>
      </c>
      <c r="CB120" s="109">
        <f t="shared" si="193"/>
        <v>0</v>
      </c>
      <c r="CC120" s="109">
        <f t="shared" si="194"/>
        <v>0</v>
      </c>
      <c r="CD120" s="109">
        <f t="shared" si="195"/>
        <v>0</v>
      </c>
    </row>
    <row r="121" spans="1:82" x14ac:dyDescent="0.25">
      <c r="A121" s="101">
        <f t="shared" si="142"/>
        <v>39539</v>
      </c>
      <c r="B121" s="102">
        <f t="shared" si="121"/>
        <v>2.992</v>
      </c>
      <c r="C121" s="80">
        <f t="shared" si="143"/>
        <v>0.2</v>
      </c>
      <c r="D121" s="102">
        <f t="shared" si="71"/>
        <v>-0.17</v>
      </c>
      <c r="E121" s="106">
        <f t="shared" si="72"/>
        <v>1</v>
      </c>
      <c r="F121" s="105">
        <f t="shared" ca="1" si="144"/>
        <v>2765</v>
      </c>
      <c r="G121" s="80" t="e">
        <f t="shared" si="145"/>
        <v>#DIV/0!</v>
      </c>
      <c r="H121" s="80" t="e">
        <f t="shared" si="146"/>
        <v>#DIV/0!</v>
      </c>
      <c r="I121" s="104">
        <f t="shared" si="76"/>
        <v>5</v>
      </c>
      <c r="K121" s="102">
        <f t="shared" si="77"/>
        <v>-0.17</v>
      </c>
      <c r="L121" s="106">
        <f t="shared" si="78"/>
        <v>1</v>
      </c>
      <c r="M121" s="105">
        <f t="shared" ca="1" si="147"/>
        <v>2765</v>
      </c>
      <c r="N121" s="217" t="e">
        <f t="shared" si="148"/>
        <v>#DIV/0!</v>
      </c>
      <c r="O121" s="80" t="e">
        <f t="shared" si="149"/>
        <v>#DIV/0!</v>
      </c>
      <c r="P121" s="104">
        <f t="shared" si="82"/>
        <v>5</v>
      </c>
      <c r="R121" s="102">
        <f t="shared" si="83"/>
        <v>0.23250000000000001</v>
      </c>
      <c r="S121" s="106">
        <f t="shared" si="84"/>
        <v>1</v>
      </c>
      <c r="T121" s="105">
        <f t="shared" ca="1" si="150"/>
        <v>2765</v>
      </c>
      <c r="U121" s="217" t="e">
        <f t="shared" si="151"/>
        <v>#DIV/0!</v>
      </c>
      <c r="V121" s="80" t="e">
        <f t="shared" si="152"/>
        <v>#DIV/0!</v>
      </c>
      <c r="W121" s="104">
        <f t="shared" si="88"/>
        <v>4.95</v>
      </c>
      <c r="X121" s="105"/>
      <c r="Y121" s="102">
        <f t="shared" si="89"/>
        <v>1.4999999999999999E-2</v>
      </c>
      <c r="Z121" s="106">
        <f t="shared" si="90"/>
        <v>1</v>
      </c>
      <c r="AA121" s="105">
        <f t="shared" ca="1" si="153"/>
        <v>2765</v>
      </c>
      <c r="AB121" s="80" t="e">
        <f t="shared" si="154"/>
        <v>#DIV/0!</v>
      </c>
      <c r="AC121" s="80" t="e">
        <f t="shared" si="155"/>
        <v>#DIV/0!</v>
      </c>
      <c r="AD121" s="104">
        <f t="shared" si="94"/>
        <v>3.98</v>
      </c>
      <c r="AF121" s="105">
        <f t="shared" ca="1" si="123"/>
        <v>2765</v>
      </c>
      <c r="AG121" s="105">
        <f t="shared" ca="1" si="124"/>
        <v>2764</v>
      </c>
      <c r="AH121" s="80">
        <f t="shared" si="95"/>
        <v>6.9793350182706021E-2</v>
      </c>
      <c r="AI121" s="182">
        <f t="shared" si="96"/>
        <v>30</v>
      </c>
      <c r="AL121" s="105"/>
      <c r="AM121" s="82"/>
      <c r="AN121" s="82">
        <f t="shared" si="156"/>
        <v>0</v>
      </c>
      <c r="AO121" s="82" t="e">
        <f t="shared" si="157"/>
        <v>#DIV/0!</v>
      </c>
      <c r="AP121" s="77">
        <f t="shared" si="158"/>
        <v>0</v>
      </c>
      <c r="AQ121" s="108">
        <f t="shared" si="159"/>
        <v>0</v>
      </c>
      <c r="AR121" s="107">
        <f t="shared" si="160"/>
        <v>0</v>
      </c>
      <c r="AS121" s="107">
        <f t="shared" si="161"/>
        <v>0</v>
      </c>
      <c r="AT121" s="107">
        <f t="shared" si="162"/>
        <v>0</v>
      </c>
      <c r="AU121" s="109">
        <f t="shared" si="163"/>
        <v>0</v>
      </c>
      <c r="AV121" s="109">
        <f t="shared" si="164"/>
        <v>0</v>
      </c>
      <c r="AW121" s="109">
        <f t="shared" si="165"/>
        <v>0</v>
      </c>
      <c r="AY121" s="82">
        <f t="shared" si="166"/>
        <v>0</v>
      </c>
      <c r="AZ121" s="82" t="e">
        <f t="shared" si="167"/>
        <v>#DIV/0!</v>
      </c>
      <c r="BA121" s="77">
        <f t="shared" si="168"/>
        <v>0</v>
      </c>
      <c r="BB121" s="108">
        <f t="shared" si="169"/>
        <v>0</v>
      </c>
      <c r="BC121" s="107">
        <f t="shared" si="170"/>
        <v>0</v>
      </c>
      <c r="BD121" s="107">
        <f t="shared" si="171"/>
        <v>0</v>
      </c>
      <c r="BE121" s="107">
        <f t="shared" si="172"/>
        <v>0</v>
      </c>
      <c r="BF121" s="109">
        <f t="shared" si="173"/>
        <v>0</v>
      </c>
      <c r="BG121" s="109">
        <f t="shared" si="174"/>
        <v>0</v>
      </c>
      <c r="BH121" s="109">
        <f t="shared" si="175"/>
        <v>0</v>
      </c>
      <c r="BJ121" s="82">
        <f t="shared" si="176"/>
        <v>0</v>
      </c>
      <c r="BK121" s="82" t="e">
        <f t="shared" si="177"/>
        <v>#DIV/0!</v>
      </c>
      <c r="BL121" s="77">
        <f t="shared" si="178"/>
        <v>0</v>
      </c>
      <c r="BM121" s="108">
        <f t="shared" si="179"/>
        <v>0</v>
      </c>
      <c r="BN121" s="107">
        <f t="shared" si="180"/>
        <v>0</v>
      </c>
      <c r="BO121" s="107">
        <f t="shared" si="181"/>
        <v>0</v>
      </c>
      <c r="BP121" s="107">
        <f t="shared" si="182"/>
        <v>0</v>
      </c>
      <c r="BQ121" s="109">
        <f t="shared" si="183"/>
        <v>0</v>
      </c>
      <c r="BR121" s="109">
        <f t="shared" si="184"/>
        <v>0</v>
      </c>
      <c r="BS121" s="109">
        <f t="shared" si="185"/>
        <v>0</v>
      </c>
      <c r="BU121" s="82">
        <f t="shared" si="186"/>
        <v>0</v>
      </c>
      <c r="BV121" s="82" t="e">
        <f t="shared" si="187"/>
        <v>#DIV/0!</v>
      </c>
      <c r="BW121" s="77">
        <f t="shared" si="188"/>
        <v>0</v>
      </c>
      <c r="BX121" s="108">
        <f t="shared" si="189"/>
        <v>0</v>
      </c>
      <c r="BY121" s="107">
        <f t="shared" si="190"/>
        <v>0</v>
      </c>
      <c r="BZ121" s="107">
        <f t="shared" si="191"/>
        <v>0</v>
      </c>
      <c r="CA121" s="107">
        <f t="shared" si="192"/>
        <v>0</v>
      </c>
      <c r="CB121" s="109">
        <f t="shared" si="193"/>
        <v>0</v>
      </c>
      <c r="CC121" s="109">
        <f t="shared" si="194"/>
        <v>0</v>
      </c>
      <c r="CD121" s="109">
        <f t="shared" si="195"/>
        <v>0</v>
      </c>
    </row>
    <row r="122" spans="1:82" x14ac:dyDescent="0.25">
      <c r="A122" s="101">
        <f t="shared" si="142"/>
        <v>39569</v>
      </c>
      <c r="B122" s="102">
        <f t="shared" si="121"/>
        <v>2.9819999999999998</v>
      </c>
      <c r="C122" s="80">
        <f t="shared" si="143"/>
        <v>0.2</v>
      </c>
      <c r="D122" s="102">
        <f t="shared" si="71"/>
        <v>-0.17</v>
      </c>
      <c r="E122" s="106">
        <f t="shared" si="72"/>
        <v>1</v>
      </c>
      <c r="F122" s="105">
        <f t="shared" ca="1" si="144"/>
        <v>2797</v>
      </c>
      <c r="G122" s="80" t="e">
        <f t="shared" si="145"/>
        <v>#DIV/0!</v>
      </c>
      <c r="H122" s="80" t="e">
        <f t="shared" si="146"/>
        <v>#DIV/0!</v>
      </c>
      <c r="I122" s="104">
        <f t="shared" si="76"/>
        <v>5</v>
      </c>
      <c r="K122" s="102">
        <f t="shared" si="77"/>
        <v>-0.17</v>
      </c>
      <c r="L122" s="106">
        <f t="shared" si="78"/>
        <v>1</v>
      </c>
      <c r="M122" s="105">
        <f t="shared" ca="1" si="147"/>
        <v>2797</v>
      </c>
      <c r="N122" s="217" t="e">
        <f t="shared" si="148"/>
        <v>#DIV/0!</v>
      </c>
      <c r="O122" s="80" t="e">
        <f t="shared" si="149"/>
        <v>#DIV/0!</v>
      </c>
      <c r="P122" s="104">
        <f t="shared" si="82"/>
        <v>5</v>
      </c>
      <c r="R122" s="102">
        <f t="shared" si="83"/>
        <v>0.24249999999999999</v>
      </c>
      <c r="S122" s="106">
        <f t="shared" si="84"/>
        <v>1</v>
      </c>
      <c r="T122" s="105">
        <f t="shared" ca="1" si="150"/>
        <v>2797</v>
      </c>
      <c r="U122" s="217" t="e">
        <f t="shared" si="151"/>
        <v>#DIV/0!</v>
      </c>
      <c r="V122" s="80" t="e">
        <f t="shared" si="152"/>
        <v>#DIV/0!</v>
      </c>
      <c r="W122" s="104">
        <f t="shared" si="88"/>
        <v>4.95</v>
      </c>
      <c r="X122" s="105"/>
      <c r="Y122" s="102">
        <f t="shared" si="89"/>
        <v>1.4999999999999999E-2</v>
      </c>
      <c r="Z122" s="106">
        <f t="shared" si="90"/>
        <v>1</v>
      </c>
      <c r="AA122" s="105">
        <f t="shared" ca="1" si="153"/>
        <v>2797</v>
      </c>
      <c r="AB122" s="80" t="e">
        <f t="shared" si="154"/>
        <v>#DIV/0!</v>
      </c>
      <c r="AC122" s="80" t="e">
        <f t="shared" si="155"/>
        <v>#DIV/0!</v>
      </c>
      <c r="AD122" s="104">
        <f t="shared" si="94"/>
        <v>3.98</v>
      </c>
      <c r="AF122" s="105">
        <f t="shared" ca="1" si="123"/>
        <v>2797</v>
      </c>
      <c r="AG122" s="105">
        <f t="shared" ca="1" si="124"/>
        <v>2794</v>
      </c>
      <c r="AH122" s="80">
        <f t="shared" si="95"/>
        <v>6.9806063940461016E-2</v>
      </c>
      <c r="AI122" s="182">
        <f t="shared" si="96"/>
        <v>31</v>
      </c>
      <c r="AL122" s="105"/>
      <c r="AM122" s="82"/>
      <c r="AN122" s="82">
        <f t="shared" si="156"/>
        <v>0</v>
      </c>
      <c r="AO122" s="82" t="e">
        <f t="shared" si="157"/>
        <v>#DIV/0!</v>
      </c>
      <c r="AP122" s="77">
        <f t="shared" si="158"/>
        <v>0</v>
      </c>
      <c r="AQ122" s="108">
        <f t="shared" si="159"/>
        <v>0</v>
      </c>
      <c r="AR122" s="107">
        <f t="shared" si="160"/>
        <v>0</v>
      </c>
      <c r="AS122" s="107">
        <f t="shared" si="161"/>
        <v>0</v>
      </c>
      <c r="AT122" s="107">
        <f t="shared" si="162"/>
        <v>0</v>
      </c>
      <c r="AU122" s="109">
        <f t="shared" si="163"/>
        <v>0</v>
      </c>
      <c r="AV122" s="109">
        <f t="shared" si="164"/>
        <v>0</v>
      </c>
      <c r="AW122" s="109">
        <f t="shared" si="165"/>
        <v>0</v>
      </c>
      <c r="AY122" s="82">
        <f t="shared" si="166"/>
        <v>0</v>
      </c>
      <c r="AZ122" s="82" t="e">
        <f t="shared" si="167"/>
        <v>#DIV/0!</v>
      </c>
      <c r="BA122" s="77">
        <f t="shared" si="168"/>
        <v>0</v>
      </c>
      <c r="BB122" s="108">
        <f t="shared" si="169"/>
        <v>0</v>
      </c>
      <c r="BC122" s="107">
        <f t="shared" si="170"/>
        <v>0</v>
      </c>
      <c r="BD122" s="107">
        <f t="shared" si="171"/>
        <v>0</v>
      </c>
      <c r="BE122" s="107">
        <f t="shared" si="172"/>
        <v>0</v>
      </c>
      <c r="BF122" s="109">
        <f t="shared" si="173"/>
        <v>0</v>
      </c>
      <c r="BG122" s="109">
        <f t="shared" si="174"/>
        <v>0</v>
      </c>
      <c r="BH122" s="109">
        <f t="shared" si="175"/>
        <v>0</v>
      </c>
      <c r="BJ122" s="82">
        <f t="shared" si="176"/>
        <v>0</v>
      </c>
      <c r="BK122" s="82" t="e">
        <f t="shared" si="177"/>
        <v>#DIV/0!</v>
      </c>
      <c r="BL122" s="77">
        <f t="shared" si="178"/>
        <v>0</v>
      </c>
      <c r="BM122" s="108">
        <f t="shared" si="179"/>
        <v>0</v>
      </c>
      <c r="BN122" s="107">
        <f t="shared" si="180"/>
        <v>0</v>
      </c>
      <c r="BO122" s="107">
        <f t="shared" si="181"/>
        <v>0</v>
      </c>
      <c r="BP122" s="107">
        <f t="shared" si="182"/>
        <v>0</v>
      </c>
      <c r="BQ122" s="109">
        <f t="shared" si="183"/>
        <v>0</v>
      </c>
      <c r="BR122" s="109">
        <f t="shared" si="184"/>
        <v>0</v>
      </c>
      <c r="BS122" s="109">
        <f t="shared" si="185"/>
        <v>0</v>
      </c>
      <c r="BU122" s="82">
        <f t="shared" si="186"/>
        <v>0</v>
      </c>
      <c r="BV122" s="82" t="e">
        <f t="shared" si="187"/>
        <v>#DIV/0!</v>
      </c>
      <c r="BW122" s="77">
        <f t="shared" si="188"/>
        <v>0</v>
      </c>
      <c r="BX122" s="108">
        <f t="shared" si="189"/>
        <v>0</v>
      </c>
      <c r="BY122" s="107">
        <f t="shared" si="190"/>
        <v>0</v>
      </c>
      <c r="BZ122" s="107">
        <f t="shared" si="191"/>
        <v>0</v>
      </c>
      <c r="CA122" s="107">
        <f t="shared" si="192"/>
        <v>0</v>
      </c>
      <c r="CB122" s="109">
        <f t="shared" si="193"/>
        <v>0</v>
      </c>
      <c r="CC122" s="109">
        <f t="shared" si="194"/>
        <v>0</v>
      </c>
      <c r="CD122" s="109">
        <f t="shared" si="195"/>
        <v>0</v>
      </c>
    </row>
    <row r="123" spans="1:82" x14ac:dyDescent="0.25">
      <c r="A123" s="101">
        <f t="shared" si="142"/>
        <v>39600</v>
      </c>
      <c r="B123" s="102">
        <f t="shared" si="121"/>
        <v>3.0070000000000001</v>
      </c>
      <c r="C123" s="80">
        <f t="shared" si="143"/>
        <v>0.2</v>
      </c>
      <c r="D123" s="102">
        <f t="shared" si="71"/>
        <v>-0.17</v>
      </c>
      <c r="E123" s="106">
        <f t="shared" si="72"/>
        <v>1</v>
      </c>
      <c r="F123" s="105">
        <f t="shared" ca="1" si="144"/>
        <v>2827</v>
      </c>
      <c r="G123" s="80" t="e">
        <f t="shared" si="145"/>
        <v>#DIV/0!</v>
      </c>
      <c r="H123" s="80" t="e">
        <f t="shared" si="146"/>
        <v>#DIV/0!</v>
      </c>
      <c r="I123" s="104">
        <f t="shared" si="76"/>
        <v>5</v>
      </c>
      <c r="K123" s="102">
        <f t="shared" si="77"/>
        <v>-0.17</v>
      </c>
      <c r="L123" s="106">
        <f t="shared" si="78"/>
        <v>1</v>
      </c>
      <c r="M123" s="105">
        <f t="shared" ca="1" si="147"/>
        <v>2827</v>
      </c>
      <c r="N123" s="217" t="e">
        <f t="shared" si="148"/>
        <v>#DIV/0!</v>
      </c>
      <c r="O123" s="80" t="e">
        <f t="shared" si="149"/>
        <v>#DIV/0!</v>
      </c>
      <c r="P123" s="104">
        <f t="shared" si="82"/>
        <v>5</v>
      </c>
      <c r="R123" s="102">
        <f t="shared" si="83"/>
        <v>0.23749999999999999</v>
      </c>
      <c r="S123" s="106">
        <f t="shared" si="84"/>
        <v>1</v>
      </c>
      <c r="T123" s="105">
        <f t="shared" ca="1" si="150"/>
        <v>2827</v>
      </c>
      <c r="U123" s="217" t="e">
        <f t="shared" si="151"/>
        <v>#DIV/0!</v>
      </c>
      <c r="V123" s="80" t="e">
        <f t="shared" si="152"/>
        <v>#DIV/0!</v>
      </c>
      <c r="W123" s="104">
        <f t="shared" si="88"/>
        <v>4.95</v>
      </c>
      <c r="X123" s="105"/>
      <c r="Y123" s="102">
        <f t="shared" si="89"/>
        <v>0.02</v>
      </c>
      <c r="Z123" s="106">
        <f t="shared" si="90"/>
        <v>1</v>
      </c>
      <c r="AA123" s="105">
        <f t="shared" ca="1" si="153"/>
        <v>2827</v>
      </c>
      <c r="AB123" s="80" t="e">
        <f t="shared" si="154"/>
        <v>#DIV/0!</v>
      </c>
      <c r="AC123" s="80" t="e">
        <f t="shared" si="155"/>
        <v>#DIV/0!</v>
      </c>
      <c r="AD123" s="104">
        <f t="shared" si="94"/>
        <v>3.98</v>
      </c>
      <c r="AF123" s="105">
        <f t="shared" ca="1" si="123"/>
        <v>2827</v>
      </c>
      <c r="AG123" s="105">
        <f t="shared" ca="1" si="124"/>
        <v>2826</v>
      </c>
      <c r="AH123" s="80">
        <f t="shared" si="95"/>
        <v>6.9819201490199018E-2</v>
      </c>
      <c r="AI123" s="182">
        <f t="shared" si="96"/>
        <v>30</v>
      </c>
      <c r="AL123" s="105"/>
      <c r="AM123" s="82"/>
      <c r="AN123" s="82">
        <f t="shared" si="156"/>
        <v>0</v>
      </c>
      <c r="AO123" s="82" t="e">
        <f t="shared" si="157"/>
        <v>#DIV/0!</v>
      </c>
      <c r="AP123" s="77">
        <f t="shared" si="158"/>
        <v>0</v>
      </c>
      <c r="AQ123" s="108">
        <f t="shared" si="159"/>
        <v>0</v>
      </c>
      <c r="AR123" s="107">
        <f t="shared" si="160"/>
        <v>0</v>
      </c>
      <c r="AS123" s="107">
        <f t="shared" si="161"/>
        <v>0</v>
      </c>
      <c r="AT123" s="107">
        <f t="shared" si="162"/>
        <v>0</v>
      </c>
      <c r="AU123" s="109">
        <f t="shared" si="163"/>
        <v>0</v>
      </c>
      <c r="AV123" s="109">
        <f t="shared" si="164"/>
        <v>0</v>
      </c>
      <c r="AW123" s="109">
        <f t="shared" si="165"/>
        <v>0</v>
      </c>
      <c r="AY123" s="82">
        <f t="shared" si="166"/>
        <v>0</v>
      </c>
      <c r="AZ123" s="82" t="e">
        <f t="shared" si="167"/>
        <v>#DIV/0!</v>
      </c>
      <c r="BA123" s="77">
        <f t="shared" si="168"/>
        <v>0</v>
      </c>
      <c r="BB123" s="108">
        <f t="shared" si="169"/>
        <v>0</v>
      </c>
      <c r="BC123" s="107">
        <f t="shared" si="170"/>
        <v>0</v>
      </c>
      <c r="BD123" s="107">
        <f t="shared" si="171"/>
        <v>0</v>
      </c>
      <c r="BE123" s="107">
        <f t="shared" si="172"/>
        <v>0</v>
      </c>
      <c r="BF123" s="109">
        <f t="shared" si="173"/>
        <v>0</v>
      </c>
      <c r="BG123" s="109">
        <f t="shared" si="174"/>
        <v>0</v>
      </c>
      <c r="BH123" s="109">
        <f t="shared" si="175"/>
        <v>0</v>
      </c>
      <c r="BJ123" s="82">
        <f t="shared" si="176"/>
        <v>0</v>
      </c>
      <c r="BK123" s="82" t="e">
        <f t="shared" si="177"/>
        <v>#DIV/0!</v>
      </c>
      <c r="BL123" s="77">
        <f t="shared" si="178"/>
        <v>0</v>
      </c>
      <c r="BM123" s="108">
        <f t="shared" si="179"/>
        <v>0</v>
      </c>
      <c r="BN123" s="107">
        <f t="shared" si="180"/>
        <v>0</v>
      </c>
      <c r="BO123" s="107">
        <f t="shared" si="181"/>
        <v>0</v>
      </c>
      <c r="BP123" s="107">
        <f t="shared" si="182"/>
        <v>0</v>
      </c>
      <c r="BQ123" s="109">
        <f t="shared" si="183"/>
        <v>0</v>
      </c>
      <c r="BR123" s="109">
        <f t="shared" si="184"/>
        <v>0</v>
      </c>
      <c r="BS123" s="109">
        <f t="shared" si="185"/>
        <v>0</v>
      </c>
      <c r="BU123" s="82">
        <f t="shared" si="186"/>
        <v>0</v>
      </c>
      <c r="BV123" s="82" t="e">
        <f t="shared" si="187"/>
        <v>#DIV/0!</v>
      </c>
      <c r="BW123" s="77">
        <f t="shared" si="188"/>
        <v>0</v>
      </c>
      <c r="BX123" s="108">
        <f t="shared" si="189"/>
        <v>0</v>
      </c>
      <c r="BY123" s="107">
        <f t="shared" si="190"/>
        <v>0</v>
      </c>
      <c r="BZ123" s="107">
        <f t="shared" si="191"/>
        <v>0</v>
      </c>
      <c r="CA123" s="107">
        <f t="shared" si="192"/>
        <v>0</v>
      </c>
      <c r="CB123" s="109">
        <f t="shared" si="193"/>
        <v>0</v>
      </c>
      <c r="CC123" s="109">
        <f t="shared" si="194"/>
        <v>0</v>
      </c>
      <c r="CD123" s="109">
        <f t="shared" si="195"/>
        <v>0</v>
      </c>
    </row>
    <row r="124" spans="1:82" x14ac:dyDescent="0.25">
      <c r="A124" s="101">
        <f t="shared" si="142"/>
        <v>39630</v>
      </c>
      <c r="B124" s="102">
        <f t="shared" si="121"/>
        <v>3.0290000000000004</v>
      </c>
      <c r="C124" s="80">
        <f t="shared" si="143"/>
        <v>0.18</v>
      </c>
      <c r="D124" s="102">
        <f t="shared" si="71"/>
        <v>-0.17</v>
      </c>
      <c r="E124" s="106">
        <f t="shared" si="72"/>
        <v>1</v>
      </c>
      <c r="F124" s="105">
        <f t="shared" ca="1" si="144"/>
        <v>2856</v>
      </c>
      <c r="G124" s="80" t="e">
        <f t="shared" si="145"/>
        <v>#DIV/0!</v>
      </c>
      <c r="H124" s="80" t="e">
        <f t="shared" si="146"/>
        <v>#DIV/0!</v>
      </c>
      <c r="I124" s="104">
        <f t="shared" si="76"/>
        <v>5</v>
      </c>
      <c r="K124" s="102">
        <f t="shared" si="77"/>
        <v>-0.17</v>
      </c>
      <c r="L124" s="106">
        <f t="shared" si="78"/>
        <v>1</v>
      </c>
      <c r="M124" s="105">
        <f t="shared" ca="1" si="147"/>
        <v>2856</v>
      </c>
      <c r="N124" s="217" t="e">
        <f t="shared" si="148"/>
        <v>#DIV/0!</v>
      </c>
      <c r="O124" s="80" t="e">
        <f t="shared" si="149"/>
        <v>#DIV/0!</v>
      </c>
      <c r="P124" s="104">
        <f t="shared" si="82"/>
        <v>5</v>
      </c>
      <c r="R124" s="102">
        <f t="shared" si="83"/>
        <v>0.22750000000000001</v>
      </c>
      <c r="S124" s="106">
        <f t="shared" si="84"/>
        <v>1</v>
      </c>
      <c r="T124" s="105">
        <f t="shared" ca="1" si="150"/>
        <v>2856</v>
      </c>
      <c r="U124" s="217" t="e">
        <f t="shared" si="151"/>
        <v>#DIV/0!</v>
      </c>
      <c r="V124" s="80" t="e">
        <f t="shared" si="152"/>
        <v>#DIV/0!</v>
      </c>
      <c r="W124" s="104">
        <f t="shared" si="88"/>
        <v>4.95</v>
      </c>
      <c r="X124" s="105"/>
      <c r="Y124" s="102">
        <f t="shared" si="89"/>
        <v>2.2499999999999999E-2</v>
      </c>
      <c r="Z124" s="106">
        <f t="shared" si="90"/>
        <v>1</v>
      </c>
      <c r="AA124" s="105">
        <f t="shared" ca="1" si="153"/>
        <v>2856</v>
      </c>
      <c r="AB124" s="80" t="e">
        <f t="shared" si="154"/>
        <v>#DIV/0!</v>
      </c>
      <c r="AC124" s="80" t="e">
        <f t="shared" si="155"/>
        <v>#DIV/0!</v>
      </c>
      <c r="AD124" s="104">
        <f t="shared" si="94"/>
        <v>3.98</v>
      </c>
      <c r="AF124" s="105">
        <f t="shared" ca="1" si="123"/>
        <v>2856</v>
      </c>
      <c r="AG124" s="105">
        <f t="shared" ca="1" si="124"/>
        <v>2855</v>
      </c>
      <c r="AH124" s="80">
        <f t="shared" si="95"/>
        <v>6.9831915248064022E-2</v>
      </c>
      <c r="AI124" s="182">
        <f t="shared" si="96"/>
        <v>31</v>
      </c>
      <c r="AL124" s="105"/>
      <c r="AM124" s="82"/>
      <c r="AN124" s="82">
        <f t="shared" si="156"/>
        <v>0</v>
      </c>
      <c r="AO124" s="82" t="e">
        <f t="shared" si="157"/>
        <v>#DIV/0!</v>
      </c>
      <c r="AP124" s="77">
        <f t="shared" si="158"/>
        <v>0</v>
      </c>
      <c r="AQ124" s="108">
        <f t="shared" si="159"/>
        <v>0</v>
      </c>
      <c r="AR124" s="107">
        <f t="shared" si="160"/>
        <v>0</v>
      </c>
      <c r="AS124" s="107">
        <f t="shared" si="161"/>
        <v>0</v>
      </c>
      <c r="AT124" s="107">
        <f t="shared" si="162"/>
        <v>0</v>
      </c>
      <c r="AU124" s="109">
        <f t="shared" si="163"/>
        <v>0</v>
      </c>
      <c r="AV124" s="109">
        <f t="shared" si="164"/>
        <v>0</v>
      </c>
      <c r="AW124" s="109">
        <f t="shared" si="165"/>
        <v>0</v>
      </c>
      <c r="AY124" s="82">
        <f t="shared" si="166"/>
        <v>0</v>
      </c>
      <c r="AZ124" s="82" t="e">
        <f t="shared" si="167"/>
        <v>#DIV/0!</v>
      </c>
      <c r="BA124" s="77">
        <f t="shared" si="168"/>
        <v>0</v>
      </c>
      <c r="BB124" s="108">
        <f t="shared" si="169"/>
        <v>0</v>
      </c>
      <c r="BC124" s="107">
        <f t="shared" si="170"/>
        <v>0</v>
      </c>
      <c r="BD124" s="107">
        <f t="shared" si="171"/>
        <v>0</v>
      </c>
      <c r="BE124" s="107">
        <f t="shared" si="172"/>
        <v>0</v>
      </c>
      <c r="BF124" s="109">
        <f t="shared" si="173"/>
        <v>0</v>
      </c>
      <c r="BG124" s="109">
        <f t="shared" si="174"/>
        <v>0</v>
      </c>
      <c r="BH124" s="109">
        <f t="shared" si="175"/>
        <v>0</v>
      </c>
      <c r="BJ124" s="82">
        <f t="shared" si="176"/>
        <v>0</v>
      </c>
      <c r="BK124" s="82" t="e">
        <f t="shared" si="177"/>
        <v>#DIV/0!</v>
      </c>
      <c r="BL124" s="77">
        <f t="shared" si="178"/>
        <v>0</v>
      </c>
      <c r="BM124" s="108">
        <f t="shared" si="179"/>
        <v>0</v>
      </c>
      <c r="BN124" s="107">
        <f t="shared" si="180"/>
        <v>0</v>
      </c>
      <c r="BO124" s="107">
        <f t="shared" si="181"/>
        <v>0</v>
      </c>
      <c r="BP124" s="107">
        <f t="shared" si="182"/>
        <v>0</v>
      </c>
      <c r="BQ124" s="109">
        <f t="shared" si="183"/>
        <v>0</v>
      </c>
      <c r="BR124" s="109">
        <f t="shared" si="184"/>
        <v>0</v>
      </c>
      <c r="BS124" s="109">
        <f t="shared" si="185"/>
        <v>0</v>
      </c>
      <c r="BU124" s="82">
        <f t="shared" si="186"/>
        <v>0</v>
      </c>
      <c r="BV124" s="82" t="e">
        <f t="shared" si="187"/>
        <v>#DIV/0!</v>
      </c>
      <c r="BW124" s="77">
        <f t="shared" si="188"/>
        <v>0</v>
      </c>
      <c r="BX124" s="108">
        <f t="shared" si="189"/>
        <v>0</v>
      </c>
      <c r="BY124" s="107">
        <f t="shared" si="190"/>
        <v>0</v>
      </c>
      <c r="BZ124" s="107">
        <f t="shared" si="191"/>
        <v>0</v>
      </c>
      <c r="CA124" s="107">
        <f t="shared" si="192"/>
        <v>0</v>
      </c>
      <c r="CB124" s="109">
        <f t="shared" si="193"/>
        <v>0</v>
      </c>
      <c r="CC124" s="109">
        <f t="shared" si="194"/>
        <v>0</v>
      </c>
      <c r="CD124" s="109">
        <f t="shared" si="195"/>
        <v>0</v>
      </c>
    </row>
    <row r="125" spans="1:82" x14ac:dyDescent="0.25">
      <c r="A125" s="101">
        <f t="shared" si="142"/>
        <v>39661</v>
      </c>
      <c r="B125" s="102">
        <f t="shared" si="121"/>
        <v>3.05</v>
      </c>
      <c r="C125" s="80">
        <f t="shared" si="143"/>
        <v>0.18</v>
      </c>
      <c r="D125" s="102">
        <f t="shared" si="71"/>
        <v>-0.17</v>
      </c>
      <c r="E125" s="106">
        <f t="shared" si="72"/>
        <v>1</v>
      </c>
      <c r="F125" s="105">
        <f t="shared" ca="1" si="144"/>
        <v>2889</v>
      </c>
      <c r="G125" s="80" t="e">
        <f t="shared" si="145"/>
        <v>#DIV/0!</v>
      </c>
      <c r="H125" s="80" t="e">
        <f t="shared" si="146"/>
        <v>#DIV/0!</v>
      </c>
      <c r="I125" s="104">
        <f t="shared" si="76"/>
        <v>5</v>
      </c>
      <c r="K125" s="102">
        <f t="shared" si="77"/>
        <v>-0.17</v>
      </c>
      <c r="L125" s="106">
        <f t="shared" si="78"/>
        <v>1</v>
      </c>
      <c r="M125" s="105">
        <f t="shared" ca="1" si="147"/>
        <v>2889</v>
      </c>
      <c r="N125" s="217" t="e">
        <f t="shared" si="148"/>
        <v>#DIV/0!</v>
      </c>
      <c r="O125" s="80" t="e">
        <f t="shared" si="149"/>
        <v>#DIV/0!</v>
      </c>
      <c r="P125" s="104">
        <f t="shared" si="82"/>
        <v>5</v>
      </c>
      <c r="R125" s="102">
        <f t="shared" si="83"/>
        <v>0.22500000000000001</v>
      </c>
      <c r="S125" s="106">
        <f t="shared" si="84"/>
        <v>1</v>
      </c>
      <c r="T125" s="105">
        <f t="shared" ca="1" si="150"/>
        <v>2889</v>
      </c>
      <c r="U125" s="217" t="e">
        <f t="shared" si="151"/>
        <v>#DIV/0!</v>
      </c>
      <c r="V125" s="80" t="e">
        <f t="shared" si="152"/>
        <v>#DIV/0!</v>
      </c>
      <c r="W125" s="104">
        <f t="shared" si="88"/>
        <v>4.95</v>
      </c>
      <c r="X125" s="105"/>
      <c r="Y125" s="102">
        <f t="shared" si="89"/>
        <v>2.5000000000000001E-2</v>
      </c>
      <c r="Z125" s="106">
        <f t="shared" si="90"/>
        <v>1</v>
      </c>
      <c r="AA125" s="105">
        <f t="shared" ca="1" si="153"/>
        <v>2889</v>
      </c>
      <c r="AB125" s="80" t="e">
        <f t="shared" si="154"/>
        <v>#DIV/0!</v>
      </c>
      <c r="AC125" s="80" t="e">
        <f t="shared" si="155"/>
        <v>#DIV/0!</v>
      </c>
      <c r="AD125" s="104">
        <f t="shared" si="94"/>
        <v>3.98</v>
      </c>
      <c r="AF125" s="105">
        <f t="shared" ca="1" si="123"/>
        <v>2889</v>
      </c>
      <c r="AG125" s="105">
        <f t="shared" ca="1" si="124"/>
        <v>2888</v>
      </c>
      <c r="AH125" s="80">
        <f t="shared" si="95"/>
        <v>6.9845052797913004E-2</v>
      </c>
      <c r="AI125" s="182">
        <f t="shared" si="96"/>
        <v>31</v>
      </c>
      <c r="AL125" s="105"/>
      <c r="AM125" s="82"/>
      <c r="AN125" s="82">
        <f t="shared" si="156"/>
        <v>0</v>
      </c>
      <c r="AO125" s="82" t="e">
        <f t="shared" si="157"/>
        <v>#DIV/0!</v>
      </c>
      <c r="AP125" s="77">
        <f t="shared" si="158"/>
        <v>0</v>
      </c>
      <c r="AQ125" s="108">
        <f t="shared" si="159"/>
        <v>0</v>
      </c>
      <c r="AR125" s="107">
        <f t="shared" si="160"/>
        <v>0</v>
      </c>
      <c r="AS125" s="107">
        <f t="shared" si="161"/>
        <v>0</v>
      </c>
      <c r="AT125" s="107">
        <f t="shared" si="162"/>
        <v>0</v>
      </c>
      <c r="AU125" s="109">
        <f t="shared" si="163"/>
        <v>0</v>
      </c>
      <c r="AV125" s="109">
        <f t="shared" si="164"/>
        <v>0</v>
      </c>
      <c r="AW125" s="109">
        <f t="shared" si="165"/>
        <v>0</v>
      </c>
      <c r="AY125" s="82">
        <f t="shared" si="166"/>
        <v>0</v>
      </c>
      <c r="AZ125" s="82" t="e">
        <f t="shared" si="167"/>
        <v>#DIV/0!</v>
      </c>
      <c r="BA125" s="77">
        <f t="shared" si="168"/>
        <v>0</v>
      </c>
      <c r="BB125" s="108">
        <f t="shared" si="169"/>
        <v>0</v>
      </c>
      <c r="BC125" s="107">
        <f t="shared" si="170"/>
        <v>0</v>
      </c>
      <c r="BD125" s="107">
        <f t="shared" si="171"/>
        <v>0</v>
      </c>
      <c r="BE125" s="107">
        <f t="shared" si="172"/>
        <v>0</v>
      </c>
      <c r="BF125" s="109">
        <f t="shared" si="173"/>
        <v>0</v>
      </c>
      <c r="BG125" s="109">
        <f t="shared" si="174"/>
        <v>0</v>
      </c>
      <c r="BH125" s="109">
        <f t="shared" si="175"/>
        <v>0</v>
      </c>
      <c r="BJ125" s="82">
        <f t="shared" si="176"/>
        <v>0</v>
      </c>
      <c r="BK125" s="82" t="e">
        <f t="shared" si="177"/>
        <v>#DIV/0!</v>
      </c>
      <c r="BL125" s="77">
        <f t="shared" si="178"/>
        <v>0</v>
      </c>
      <c r="BM125" s="108">
        <f t="shared" si="179"/>
        <v>0</v>
      </c>
      <c r="BN125" s="107">
        <f t="shared" si="180"/>
        <v>0</v>
      </c>
      <c r="BO125" s="107">
        <f t="shared" si="181"/>
        <v>0</v>
      </c>
      <c r="BP125" s="107">
        <f t="shared" si="182"/>
        <v>0</v>
      </c>
      <c r="BQ125" s="109">
        <f t="shared" si="183"/>
        <v>0</v>
      </c>
      <c r="BR125" s="109">
        <f t="shared" si="184"/>
        <v>0</v>
      </c>
      <c r="BS125" s="109">
        <f t="shared" si="185"/>
        <v>0</v>
      </c>
      <c r="BU125" s="82">
        <f t="shared" si="186"/>
        <v>0</v>
      </c>
      <c r="BV125" s="82" t="e">
        <f t="shared" si="187"/>
        <v>#DIV/0!</v>
      </c>
      <c r="BW125" s="77">
        <f t="shared" si="188"/>
        <v>0</v>
      </c>
      <c r="BX125" s="108">
        <f t="shared" si="189"/>
        <v>0</v>
      </c>
      <c r="BY125" s="107">
        <f t="shared" si="190"/>
        <v>0</v>
      </c>
      <c r="BZ125" s="107">
        <f t="shared" si="191"/>
        <v>0</v>
      </c>
      <c r="CA125" s="107">
        <f t="shared" si="192"/>
        <v>0</v>
      </c>
      <c r="CB125" s="109">
        <f t="shared" si="193"/>
        <v>0</v>
      </c>
      <c r="CC125" s="109">
        <f t="shared" si="194"/>
        <v>0</v>
      </c>
      <c r="CD125" s="109">
        <f t="shared" si="195"/>
        <v>0</v>
      </c>
    </row>
    <row r="126" spans="1:82" x14ac:dyDescent="0.25">
      <c r="A126" s="101">
        <f t="shared" si="142"/>
        <v>39692</v>
      </c>
      <c r="B126" s="102">
        <f t="shared" si="121"/>
        <v>3.0350000000000001</v>
      </c>
      <c r="C126" s="80">
        <f t="shared" si="143"/>
        <v>0.18</v>
      </c>
      <c r="D126" s="102">
        <f t="shared" si="71"/>
        <v>-0.17</v>
      </c>
      <c r="E126" s="106">
        <f t="shared" si="72"/>
        <v>1</v>
      </c>
      <c r="F126" s="105">
        <f t="shared" ca="1" si="144"/>
        <v>2918</v>
      </c>
      <c r="G126" s="80" t="e">
        <f t="shared" si="145"/>
        <v>#DIV/0!</v>
      </c>
      <c r="H126" s="80" t="e">
        <f t="shared" si="146"/>
        <v>#DIV/0!</v>
      </c>
      <c r="I126" s="104">
        <f t="shared" si="76"/>
        <v>5</v>
      </c>
      <c r="K126" s="102">
        <f t="shared" si="77"/>
        <v>-0.17</v>
      </c>
      <c r="L126" s="106">
        <f t="shared" si="78"/>
        <v>1</v>
      </c>
      <c r="M126" s="105">
        <f t="shared" ca="1" si="147"/>
        <v>2918</v>
      </c>
      <c r="N126" s="217" t="e">
        <f t="shared" si="148"/>
        <v>#DIV/0!</v>
      </c>
      <c r="O126" s="80" t="e">
        <f t="shared" si="149"/>
        <v>#DIV/0!</v>
      </c>
      <c r="P126" s="104">
        <f t="shared" si="82"/>
        <v>5</v>
      </c>
      <c r="R126" s="102">
        <f t="shared" si="83"/>
        <v>0.2225</v>
      </c>
      <c r="S126" s="106">
        <f t="shared" si="84"/>
        <v>1</v>
      </c>
      <c r="T126" s="105">
        <f t="shared" ca="1" si="150"/>
        <v>2918</v>
      </c>
      <c r="U126" s="217" t="e">
        <f t="shared" si="151"/>
        <v>#DIV/0!</v>
      </c>
      <c r="V126" s="80" t="e">
        <f t="shared" si="152"/>
        <v>#DIV/0!</v>
      </c>
      <c r="W126" s="104">
        <f t="shared" si="88"/>
        <v>4.95</v>
      </c>
      <c r="X126" s="105"/>
      <c r="Y126" s="102">
        <f t="shared" si="89"/>
        <v>1.7500000000000002E-2</v>
      </c>
      <c r="Z126" s="106">
        <f t="shared" si="90"/>
        <v>1</v>
      </c>
      <c r="AA126" s="105">
        <f t="shared" ca="1" si="153"/>
        <v>2918</v>
      </c>
      <c r="AB126" s="80" t="e">
        <f t="shared" si="154"/>
        <v>#DIV/0!</v>
      </c>
      <c r="AC126" s="80" t="e">
        <f t="shared" si="155"/>
        <v>#DIV/0!</v>
      </c>
      <c r="AD126" s="104">
        <f t="shared" si="94"/>
        <v>3.98</v>
      </c>
      <c r="AF126" s="105">
        <f t="shared" ca="1" si="123"/>
        <v>2918</v>
      </c>
      <c r="AG126" s="105">
        <f t="shared" ca="1" si="124"/>
        <v>2917</v>
      </c>
      <c r="AH126" s="80">
        <f t="shared" si="95"/>
        <v>6.9858190347820023E-2</v>
      </c>
      <c r="AI126" s="182">
        <f t="shared" si="96"/>
        <v>30</v>
      </c>
      <c r="AL126" s="105"/>
      <c r="AM126" s="82"/>
      <c r="AN126" s="82">
        <f t="shared" si="156"/>
        <v>0</v>
      </c>
      <c r="AO126" s="82" t="e">
        <f t="shared" si="157"/>
        <v>#DIV/0!</v>
      </c>
      <c r="AP126" s="77">
        <f t="shared" si="158"/>
        <v>0</v>
      </c>
      <c r="AQ126" s="108">
        <f t="shared" si="159"/>
        <v>0</v>
      </c>
      <c r="AR126" s="107">
        <f t="shared" si="160"/>
        <v>0</v>
      </c>
      <c r="AS126" s="107">
        <f t="shared" si="161"/>
        <v>0</v>
      </c>
      <c r="AT126" s="107">
        <f t="shared" si="162"/>
        <v>0</v>
      </c>
      <c r="AU126" s="109">
        <f t="shared" si="163"/>
        <v>0</v>
      </c>
      <c r="AV126" s="109">
        <f t="shared" si="164"/>
        <v>0</v>
      </c>
      <c r="AW126" s="109">
        <f t="shared" si="165"/>
        <v>0</v>
      </c>
      <c r="AY126" s="82">
        <f t="shared" si="166"/>
        <v>0</v>
      </c>
      <c r="AZ126" s="82" t="e">
        <f t="shared" si="167"/>
        <v>#DIV/0!</v>
      </c>
      <c r="BA126" s="77">
        <f t="shared" si="168"/>
        <v>0</v>
      </c>
      <c r="BB126" s="108">
        <f t="shared" si="169"/>
        <v>0</v>
      </c>
      <c r="BC126" s="107">
        <f t="shared" si="170"/>
        <v>0</v>
      </c>
      <c r="BD126" s="107">
        <f t="shared" si="171"/>
        <v>0</v>
      </c>
      <c r="BE126" s="107">
        <f t="shared" si="172"/>
        <v>0</v>
      </c>
      <c r="BF126" s="109">
        <f t="shared" si="173"/>
        <v>0</v>
      </c>
      <c r="BG126" s="109">
        <f t="shared" si="174"/>
        <v>0</v>
      </c>
      <c r="BH126" s="109">
        <f t="shared" si="175"/>
        <v>0</v>
      </c>
      <c r="BJ126" s="82">
        <f t="shared" si="176"/>
        <v>0</v>
      </c>
      <c r="BK126" s="82" t="e">
        <f t="shared" si="177"/>
        <v>#DIV/0!</v>
      </c>
      <c r="BL126" s="77">
        <f t="shared" si="178"/>
        <v>0</v>
      </c>
      <c r="BM126" s="108">
        <f t="shared" si="179"/>
        <v>0</v>
      </c>
      <c r="BN126" s="107">
        <f t="shared" si="180"/>
        <v>0</v>
      </c>
      <c r="BO126" s="107">
        <f t="shared" si="181"/>
        <v>0</v>
      </c>
      <c r="BP126" s="107">
        <f t="shared" si="182"/>
        <v>0</v>
      </c>
      <c r="BQ126" s="109">
        <f t="shared" si="183"/>
        <v>0</v>
      </c>
      <c r="BR126" s="109">
        <f t="shared" si="184"/>
        <v>0</v>
      </c>
      <c r="BS126" s="109">
        <f t="shared" si="185"/>
        <v>0</v>
      </c>
      <c r="BU126" s="82">
        <f t="shared" si="186"/>
        <v>0</v>
      </c>
      <c r="BV126" s="82" t="e">
        <f t="shared" si="187"/>
        <v>#DIV/0!</v>
      </c>
      <c r="BW126" s="77">
        <f t="shared" si="188"/>
        <v>0</v>
      </c>
      <c r="BX126" s="108">
        <f t="shared" si="189"/>
        <v>0</v>
      </c>
      <c r="BY126" s="107">
        <f t="shared" si="190"/>
        <v>0</v>
      </c>
      <c r="BZ126" s="107">
        <f t="shared" si="191"/>
        <v>0</v>
      </c>
      <c r="CA126" s="107">
        <f t="shared" si="192"/>
        <v>0</v>
      </c>
      <c r="CB126" s="109">
        <f t="shared" si="193"/>
        <v>0</v>
      </c>
      <c r="CC126" s="109">
        <f t="shared" si="194"/>
        <v>0</v>
      </c>
      <c r="CD126" s="109">
        <f t="shared" si="195"/>
        <v>0</v>
      </c>
    </row>
    <row r="127" spans="1:82" x14ac:dyDescent="0.25">
      <c r="A127" s="101">
        <f t="shared" si="142"/>
        <v>39722</v>
      </c>
      <c r="B127" s="102">
        <f t="shared" si="121"/>
        <v>3.0350000000000001</v>
      </c>
      <c r="C127" s="80">
        <f t="shared" si="143"/>
        <v>0.18</v>
      </c>
      <c r="D127" s="102">
        <f t="shared" si="71"/>
        <v>-0.17</v>
      </c>
      <c r="E127" s="106">
        <f t="shared" si="72"/>
        <v>1</v>
      </c>
      <c r="F127" s="105">
        <f t="shared" ca="1" si="144"/>
        <v>2948</v>
      </c>
      <c r="G127" s="80" t="e">
        <f t="shared" si="145"/>
        <v>#DIV/0!</v>
      </c>
      <c r="H127" s="80" t="e">
        <f t="shared" si="146"/>
        <v>#DIV/0!</v>
      </c>
      <c r="I127" s="104">
        <f t="shared" si="76"/>
        <v>5</v>
      </c>
      <c r="K127" s="102">
        <f t="shared" si="77"/>
        <v>-0.17</v>
      </c>
      <c r="L127" s="106">
        <f t="shared" si="78"/>
        <v>1</v>
      </c>
      <c r="M127" s="105">
        <f t="shared" ca="1" si="147"/>
        <v>2948</v>
      </c>
      <c r="N127" s="217" t="e">
        <f t="shared" si="148"/>
        <v>#DIV/0!</v>
      </c>
      <c r="O127" s="80" t="e">
        <f t="shared" si="149"/>
        <v>#DIV/0!</v>
      </c>
      <c r="P127" s="104">
        <f t="shared" si="82"/>
        <v>5</v>
      </c>
      <c r="R127" s="102">
        <f t="shared" si="83"/>
        <v>0.23749999999999999</v>
      </c>
      <c r="S127" s="106">
        <f t="shared" si="84"/>
        <v>1</v>
      </c>
      <c r="T127" s="105">
        <f t="shared" ca="1" si="150"/>
        <v>2948</v>
      </c>
      <c r="U127" s="217" t="e">
        <f t="shared" si="151"/>
        <v>#DIV/0!</v>
      </c>
      <c r="V127" s="80" t="e">
        <f t="shared" si="152"/>
        <v>#DIV/0!</v>
      </c>
      <c r="W127" s="104">
        <f t="shared" si="88"/>
        <v>4.95</v>
      </c>
      <c r="X127" s="105"/>
      <c r="Y127" s="102">
        <f t="shared" si="89"/>
        <v>7.4999999999999997E-3</v>
      </c>
      <c r="Z127" s="106">
        <f t="shared" si="90"/>
        <v>1</v>
      </c>
      <c r="AA127" s="105">
        <f t="shared" ca="1" si="153"/>
        <v>2948</v>
      </c>
      <c r="AB127" s="80" t="e">
        <f t="shared" si="154"/>
        <v>#DIV/0!</v>
      </c>
      <c r="AC127" s="80" t="e">
        <f t="shared" si="155"/>
        <v>#DIV/0!</v>
      </c>
      <c r="AD127" s="104">
        <f t="shared" si="94"/>
        <v>3.98</v>
      </c>
      <c r="AF127" s="105">
        <f t="shared" ca="1" si="123"/>
        <v>2948</v>
      </c>
      <c r="AG127" s="105">
        <f t="shared" ca="1" si="124"/>
        <v>2947</v>
      </c>
      <c r="AH127" s="80">
        <f t="shared" si="95"/>
        <v>6.9870904105849022E-2</v>
      </c>
      <c r="AI127" s="182">
        <f t="shared" si="96"/>
        <v>31</v>
      </c>
      <c r="AL127" s="105"/>
      <c r="AM127" s="82"/>
      <c r="AN127" s="82">
        <f t="shared" si="156"/>
        <v>0</v>
      </c>
      <c r="AO127" s="82" t="e">
        <f t="shared" si="157"/>
        <v>#DIV/0!</v>
      </c>
      <c r="AP127" s="77">
        <f t="shared" si="158"/>
        <v>0</v>
      </c>
      <c r="AQ127" s="108">
        <f t="shared" si="159"/>
        <v>0</v>
      </c>
      <c r="AR127" s="107">
        <f t="shared" si="160"/>
        <v>0</v>
      </c>
      <c r="AS127" s="107">
        <f t="shared" si="161"/>
        <v>0</v>
      </c>
      <c r="AT127" s="107">
        <f t="shared" si="162"/>
        <v>0</v>
      </c>
      <c r="AU127" s="109">
        <f t="shared" si="163"/>
        <v>0</v>
      </c>
      <c r="AV127" s="109">
        <f t="shared" si="164"/>
        <v>0</v>
      </c>
      <c r="AW127" s="109">
        <f t="shared" si="165"/>
        <v>0</v>
      </c>
      <c r="AY127" s="82">
        <f t="shared" si="166"/>
        <v>0</v>
      </c>
      <c r="AZ127" s="82" t="e">
        <f t="shared" si="167"/>
        <v>#DIV/0!</v>
      </c>
      <c r="BA127" s="77">
        <f t="shared" si="168"/>
        <v>0</v>
      </c>
      <c r="BB127" s="108">
        <f t="shared" si="169"/>
        <v>0</v>
      </c>
      <c r="BC127" s="107">
        <f t="shared" si="170"/>
        <v>0</v>
      </c>
      <c r="BD127" s="107">
        <f t="shared" si="171"/>
        <v>0</v>
      </c>
      <c r="BE127" s="107">
        <f t="shared" si="172"/>
        <v>0</v>
      </c>
      <c r="BF127" s="109">
        <f t="shared" si="173"/>
        <v>0</v>
      </c>
      <c r="BG127" s="109">
        <f t="shared" si="174"/>
        <v>0</v>
      </c>
      <c r="BH127" s="109">
        <f t="shared" si="175"/>
        <v>0</v>
      </c>
      <c r="BJ127" s="82">
        <f t="shared" si="176"/>
        <v>0</v>
      </c>
      <c r="BK127" s="82" t="e">
        <f t="shared" si="177"/>
        <v>#DIV/0!</v>
      </c>
      <c r="BL127" s="77">
        <f t="shared" si="178"/>
        <v>0</v>
      </c>
      <c r="BM127" s="108">
        <f t="shared" si="179"/>
        <v>0</v>
      </c>
      <c r="BN127" s="107">
        <f t="shared" si="180"/>
        <v>0</v>
      </c>
      <c r="BO127" s="107">
        <f t="shared" si="181"/>
        <v>0</v>
      </c>
      <c r="BP127" s="107">
        <f t="shared" si="182"/>
        <v>0</v>
      </c>
      <c r="BQ127" s="109">
        <f t="shared" si="183"/>
        <v>0</v>
      </c>
      <c r="BR127" s="109">
        <f t="shared" si="184"/>
        <v>0</v>
      </c>
      <c r="BS127" s="109">
        <f t="shared" si="185"/>
        <v>0</v>
      </c>
      <c r="BU127" s="82">
        <f t="shared" si="186"/>
        <v>0</v>
      </c>
      <c r="BV127" s="82" t="e">
        <f t="shared" si="187"/>
        <v>#DIV/0!</v>
      </c>
      <c r="BW127" s="77">
        <f t="shared" si="188"/>
        <v>0</v>
      </c>
      <c r="BX127" s="108">
        <f t="shared" si="189"/>
        <v>0</v>
      </c>
      <c r="BY127" s="107">
        <f t="shared" si="190"/>
        <v>0</v>
      </c>
      <c r="BZ127" s="107">
        <f t="shared" si="191"/>
        <v>0</v>
      </c>
      <c r="CA127" s="107">
        <f t="shared" si="192"/>
        <v>0</v>
      </c>
      <c r="CB127" s="109">
        <f t="shared" si="193"/>
        <v>0</v>
      </c>
      <c r="CC127" s="109">
        <f t="shared" si="194"/>
        <v>0</v>
      </c>
      <c r="CD127" s="109">
        <f t="shared" si="195"/>
        <v>0</v>
      </c>
    </row>
    <row r="128" spans="1:82" x14ac:dyDescent="0.25">
      <c r="A128" s="101">
        <f t="shared" si="142"/>
        <v>39753</v>
      </c>
      <c r="B128" s="102">
        <f t="shared" si="121"/>
        <v>3.1019999999999999</v>
      </c>
      <c r="C128" s="80">
        <f t="shared" si="143"/>
        <v>0.18</v>
      </c>
      <c r="D128" s="102">
        <f t="shared" si="71"/>
        <v>-0.17</v>
      </c>
      <c r="E128" s="106">
        <f t="shared" si="72"/>
        <v>1</v>
      </c>
      <c r="F128" s="105">
        <f t="shared" ca="1" si="144"/>
        <v>2981</v>
      </c>
      <c r="G128" s="80" t="e">
        <f t="shared" si="145"/>
        <v>#DIV/0!</v>
      </c>
      <c r="H128" s="80" t="e">
        <f t="shared" si="146"/>
        <v>#DIV/0!</v>
      </c>
      <c r="I128" s="104">
        <f t="shared" si="76"/>
        <v>5</v>
      </c>
      <c r="K128" s="102">
        <f t="shared" si="77"/>
        <v>-0.17</v>
      </c>
      <c r="L128" s="106">
        <f t="shared" si="78"/>
        <v>1</v>
      </c>
      <c r="M128" s="105">
        <f t="shared" ca="1" si="147"/>
        <v>2981</v>
      </c>
      <c r="N128" s="217" t="e">
        <f t="shared" si="148"/>
        <v>#DIV/0!</v>
      </c>
      <c r="O128" s="80" t="e">
        <f t="shared" si="149"/>
        <v>#DIV/0!</v>
      </c>
      <c r="P128" s="104">
        <f t="shared" si="82"/>
        <v>5</v>
      </c>
      <c r="R128" s="102">
        <f t="shared" si="83"/>
        <v>0.3</v>
      </c>
      <c r="S128" s="106">
        <f t="shared" si="84"/>
        <v>1</v>
      </c>
      <c r="T128" s="105">
        <f t="shared" ca="1" si="150"/>
        <v>2981</v>
      </c>
      <c r="U128" s="217" t="e">
        <f t="shared" si="151"/>
        <v>#DIV/0!</v>
      </c>
      <c r="V128" s="80" t="e">
        <f t="shared" si="152"/>
        <v>#DIV/0!</v>
      </c>
      <c r="W128" s="104">
        <f t="shared" si="88"/>
        <v>4.95</v>
      </c>
      <c r="X128" s="105"/>
      <c r="Y128" s="102">
        <f t="shared" si="89"/>
        <v>-3.2500000000000001E-2</v>
      </c>
      <c r="Z128" s="106">
        <f t="shared" si="90"/>
        <v>1</v>
      </c>
      <c r="AA128" s="105">
        <f t="shared" ca="1" si="153"/>
        <v>2981</v>
      </c>
      <c r="AB128" s="80" t="e">
        <f t="shared" si="154"/>
        <v>#DIV/0!</v>
      </c>
      <c r="AC128" s="80" t="e">
        <f t="shared" si="155"/>
        <v>#DIV/0!</v>
      </c>
      <c r="AD128" s="104">
        <f t="shared" si="94"/>
        <v>3.98</v>
      </c>
      <c r="AF128" s="105">
        <f t="shared" ca="1" si="123"/>
        <v>2981</v>
      </c>
      <c r="AG128" s="105">
        <f t="shared" ca="1" si="124"/>
        <v>2980</v>
      </c>
      <c r="AH128" s="80">
        <f t="shared" si="95"/>
        <v>6.9884041655868007E-2</v>
      </c>
      <c r="AI128" s="182">
        <f t="shared" si="96"/>
        <v>30</v>
      </c>
      <c r="AL128" s="105"/>
      <c r="AM128" s="82"/>
      <c r="AN128" s="82">
        <f t="shared" si="156"/>
        <v>0</v>
      </c>
      <c r="AO128" s="82" t="e">
        <f t="shared" si="157"/>
        <v>#DIV/0!</v>
      </c>
      <c r="AP128" s="77">
        <f t="shared" si="158"/>
        <v>0</v>
      </c>
      <c r="AQ128" s="108">
        <f t="shared" si="159"/>
        <v>0</v>
      </c>
      <c r="AR128" s="107">
        <f t="shared" si="160"/>
        <v>0</v>
      </c>
      <c r="AS128" s="107">
        <f t="shared" si="161"/>
        <v>0</v>
      </c>
      <c r="AT128" s="107">
        <f t="shared" si="162"/>
        <v>0</v>
      </c>
      <c r="AU128" s="109">
        <f t="shared" si="163"/>
        <v>0</v>
      </c>
      <c r="AV128" s="109">
        <f t="shared" si="164"/>
        <v>0</v>
      </c>
      <c r="AW128" s="109">
        <f t="shared" si="165"/>
        <v>0</v>
      </c>
      <c r="AY128" s="82">
        <f t="shared" si="166"/>
        <v>0</v>
      </c>
      <c r="AZ128" s="82" t="e">
        <f t="shared" si="167"/>
        <v>#DIV/0!</v>
      </c>
      <c r="BA128" s="77">
        <f t="shared" si="168"/>
        <v>0</v>
      </c>
      <c r="BB128" s="108">
        <f t="shared" si="169"/>
        <v>0</v>
      </c>
      <c r="BC128" s="107">
        <f t="shared" si="170"/>
        <v>0</v>
      </c>
      <c r="BD128" s="107">
        <f t="shared" si="171"/>
        <v>0</v>
      </c>
      <c r="BE128" s="107">
        <f t="shared" si="172"/>
        <v>0</v>
      </c>
      <c r="BF128" s="109">
        <f t="shared" si="173"/>
        <v>0</v>
      </c>
      <c r="BG128" s="109">
        <f t="shared" si="174"/>
        <v>0</v>
      </c>
      <c r="BH128" s="109">
        <f t="shared" si="175"/>
        <v>0</v>
      </c>
      <c r="BJ128" s="82">
        <f t="shared" si="176"/>
        <v>0</v>
      </c>
      <c r="BK128" s="82" t="e">
        <f t="shared" si="177"/>
        <v>#DIV/0!</v>
      </c>
      <c r="BL128" s="77">
        <f t="shared" si="178"/>
        <v>0</v>
      </c>
      <c r="BM128" s="108">
        <f t="shared" si="179"/>
        <v>0</v>
      </c>
      <c r="BN128" s="107">
        <f t="shared" si="180"/>
        <v>0</v>
      </c>
      <c r="BO128" s="107">
        <f t="shared" si="181"/>
        <v>0</v>
      </c>
      <c r="BP128" s="107">
        <f t="shared" si="182"/>
        <v>0</v>
      </c>
      <c r="BQ128" s="109">
        <f t="shared" si="183"/>
        <v>0</v>
      </c>
      <c r="BR128" s="109">
        <f t="shared" si="184"/>
        <v>0</v>
      </c>
      <c r="BS128" s="109">
        <f t="shared" si="185"/>
        <v>0</v>
      </c>
      <c r="BU128" s="82">
        <f t="shared" si="186"/>
        <v>0</v>
      </c>
      <c r="BV128" s="82" t="e">
        <f t="shared" si="187"/>
        <v>#DIV/0!</v>
      </c>
      <c r="BW128" s="77">
        <f t="shared" si="188"/>
        <v>0</v>
      </c>
      <c r="BX128" s="108">
        <f t="shared" si="189"/>
        <v>0</v>
      </c>
      <c r="BY128" s="107">
        <f t="shared" si="190"/>
        <v>0</v>
      </c>
      <c r="BZ128" s="107">
        <f t="shared" si="191"/>
        <v>0</v>
      </c>
      <c r="CA128" s="107">
        <f t="shared" si="192"/>
        <v>0</v>
      </c>
      <c r="CB128" s="109">
        <f t="shared" si="193"/>
        <v>0</v>
      </c>
      <c r="CC128" s="109">
        <f t="shared" si="194"/>
        <v>0</v>
      </c>
      <c r="CD128" s="109">
        <f t="shared" si="195"/>
        <v>0</v>
      </c>
    </row>
    <row r="129" spans="1:82" x14ac:dyDescent="0.25">
      <c r="A129" s="101">
        <f t="shared" si="142"/>
        <v>39783</v>
      </c>
      <c r="B129" s="102">
        <f t="shared" si="121"/>
        <v>3.1690000000000005</v>
      </c>
      <c r="C129" s="80">
        <f t="shared" si="143"/>
        <v>0.18</v>
      </c>
      <c r="D129" s="102">
        <f t="shared" si="71"/>
        <v>-0.17</v>
      </c>
      <c r="E129" s="106">
        <f t="shared" si="72"/>
        <v>1</v>
      </c>
      <c r="F129" s="105">
        <f t="shared" ca="1" si="144"/>
        <v>3008</v>
      </c>
      <c r="G129" s="80" t="e">
        <f t="shared" si="145"/>
        <v>#DIV/0!</v>
      </c>
      <c r="H129" s="80" t="e">
        <f t="shared" si="146"/>
        <v>#DIV/0!</v>
      </c>
      <c r="I129" s="104">
        <f t="shared" si="76"/>
        <v>5</v>
      </c>
      <c r="K129" s="102">
        <f t="shared" si="77"/>
        <v>-0.17</v>
      </c>
      <c r="L129" s="106">
        <f t="shared" si="78"/>
        <v>1</v>
      </c>
      <c r="M129" s="105">
        <f t="shared" ca="1" si="147"/>
        <v>3008</v>
      </c>
      <c r="N129" s="217" t="e">
        <f t="shared" si="148"/>
        <v>#DIV/0!</v>
      </c>
      <c r="O129" s="80" t="e">
        <f t="shared" si="149"/>
        <v>#DIV/0!</v>
      </c>
      <c r="P129" s="104">
        <f t="shared" si="82"/>
        <v>5</v>
      </c>
      <c r="R129" s="102">
        <f t="shared" si="83"/>
        <v>0.34</v>
      </c>
      <c r="S129" s="106">
        <f t="shared" si="84"/>
        <v>1</v>
      </c>
      <c r="T129" s="105">
        <f t="shared" ca="1" si="150"/>
        <v>3008</v>
      </c>
      <c r="U129" s="217" t="e">
        <f t="shared" si="151"/>
        <v>#DIV/0!</v>
      </c>
      <c r="V129" s="80" t="e">
        <f t="shared" si="152"/>
        <v>#DIV/0!</v>
      </c>
      <c r="W129" s="104">
        <f t="shared" si="88"/>
        <v>4.95</v>
      </c>
      <c r="X129" s="105"/>
      <c r="Y129" s="102">
        <f t="shared" si="89"/>
        <v>-5.5E-2</v>
      </c>
      <c r="Z129" s="106">
        <f t="shared" si="90"/>
        <v>1</v>
      </c>
      <c r="AA129" s="105">
        <f t="shared" ca="1" si="153"/>
        <v>3008</v>
      </c>
      <c r="AB129" s="80" t="e">
        <f t="shared" si="154"/>
        <v>#DIV/0!</v>
      </c>
      <c r="AC129" s="80" t="e">
        <f t="shared" si="155"/>
        <v>#DIV/0!</v>
      </c>
      <c r="AD129" s="104">
        <f t="shared" si="94"/>
        <v>3.98</v>
      </c>
      <c r="AF129" s="105">
        <f t="shared" ca="1" si="123"/>
        <v>3008</v>
      </c>
      <c r="AG129" s="105">
        <f t="shared" ca="1" si="124"/>
        <v>3007</v>
      </c>
      <c r="AH129" s="80">
        <f t="shared" si="95"/>
        <v>6.9896755414006015E-2</v>
      </c>
      <c r="AI129" s="182">
        <f t="shared" si="96"/>
        <v>31</v>
      </c>
      <c r="AL129" s="105"/>
      <c r="AM129" s="82"/>
      <c r="AN129" s="82">
        <f t="shared" si="156"/>
        <v>0</v>
      </c>
      <c r="AO129" s="82" t="e">
        <f t="shared" si="157"/>
        <v>#DIV/0!</v>
      </c>
      <c r="AP129" s="77">
        <f t="shared" si="158"/>
        <v>0</v>
      </c>
      <c r="AQ129" s="108">
        <f t="shared" si="159"/>
        <v>0</v>
      </c>
      <c r="AR129" s="107">
        <f t="shared" si="160"/>
        <v>0</v>
      </c>
      <c r="AS129" s="107">
        <f t="shared" si="161"/>
        <v>0</v>
      </c>
      <c r="AT129" s="107">
        <f t="shared" si="162"/>
        <v>0</v>
      </c>
      <c r="AU129" s="109">
        <f t="shared" si="163"/>
        <v>0</v>
      </c>
      <c r="AV129" s="109">
        <f t="shared" si="164"/>
        <v>0</v>
      </c>
      <c r="AW129" s="109">
        <f t="shared" si="165"/>
        <v>0</v>
      </c>
      <c r="AY129" s="82">
        <f t="shared" si="166"/>
        <v>0</v>
      </c>
      <c r="AZ129" s="82" t="e">
        <f t="shared" si="167"/>
        <v>#DIV/0!</v>
      </c>
      <c r="BA129" s="77">
        <f t="shared" si="168"/>
        <v>0</v>
      </c>
      <c r="BB129" s="108">
        <f t="shared" si="169"/>
        <v>0</v>
      </c>
      <c r="BC129" s="107">
        <f t="shared" si="170"/>
        <v>0</v>
      </c>
      <c r="BD129" s="107">
        <f t="shared" si="171"/>
        <v>0</v>
      </c>
      <c r="BE129" s="107">
        <f t="shared" si="172"/>
        <v>0</v>
      </c>
      <c r="BF129" s="109">
        <f t="shared" si="173"/>
        <v>0</v>
      </c>
      <c r="BG129" s="109">
        <f t="shared" si="174"/>
        <v>0</v>
      </c>
      <c r="BH129" s="109">
        <f t="shared" si="175"/>
        <v>0</v>
      </c>
      <c r="BJ129" s="82">
        <f t="shared" si="176"/>
        <v>0</v>
      </c>
      <c r="BK129" s="82" t="e">
        <f t="shared" si="177"/>
        <v>#DIV/0!</v>
      </c>
      <c r="BL129" s="77">
        <f t="shared" si="178"/>
        <v>0</v>
      </c>
      <c r="BM129" s="108">
        <f t="shared" si="179"/>
        <v>0</v>
      </c>
      <c r="BN129" s="107">
        <f t="shared" si="180"/>
        <v>0</v>
      </c>
      <c r="BO129" s="107">
        <f t="shared" si="181"/>
        <v>0</v>
      </c>
      <c r="BP129" s="107">
        <f t="shared" si="182"/>
        <v>0</v>
      </c>
      <c r="BQ129" s="109">
        <f t="shared" si="183"/>
        <v>0</v>
      </c>
      <c r="BR129" s="109">
        <f t="shared" si="184"/>
        <v>0</v>
      </c>
      <c r="BS129" s="109">
        <f t="shared" si="185"/>
        <v>0</v>
      </c>
      <c r="BU129" s="82">
        <f t="shared" si="186"/>
        <v>0</v>
      </c>
      <c r="BV129" s="82" t="e">
        <f t="shared" si="187"/>
        <v>#DIV/0!</v>
      </c>
      <c r="BW129" s="77">
        <f t="shared" si="188"/>
        <v>0</v>
      </c>
      <c r="BX129" s="108">
        <f t="shared" si="189"/>
        <v>0</v>
      </c>
      <c r="BY129" s="107">
        <f t="shared" si="190"/>
        <v>0</v>
      </c>
      <c r="BZ129" s="107">
        <f t="shared" si="191"/>
        <v>0</v>
      </c>
      <c r="CA129" s="107">
        <f t="shared" si="192"/>
        <v>0</v>
      </c>
      <c r="CB129" s="109">
        <f t="shared" si="193"/>
        <v>0</v>
      </c>
      <c r="CC129" s="109">
        <f t="shared" si="194"/>
        <v>0</v>
      </c>
      <c r="CD129" s="109">
        <f t="shared" si="195"/>
        <v>0</v>
      </c>
    </row>
    <row r="130" spans="1:82" x14ac:dyDescent="0.25">
      <c r="A130" s="101">
        <f t="shared" si="142"/>
        <v>39814</v>
      </c>
      <c r="B130" s="102">
        <f t="shared" si="121"/>
        <v>3.4640000000000004</v>
      </c>
      <c r="C130" s="80">
        <f t="shared" si="143"/>
        <v>0.18</v>
      </c>
      <c r="D130" s="102">
        <f t="shared" si="71"/>
        <v>-0.17</v>
      </c>
      <c r="E130" s="106">
        <f t="shared" si="72"/>
        <v>1</v>
      </c>
      <c r="F130" s="105">
        <f t="shared" ca="1" si="144"/>
        <v>3042</v>
      </c>
      <c r="G130" s="80" t="e">
        <f t="shared" si="145"/>
        <v>#DIV/0!</v>
      </c>
      <c r="H130" s="80" t="e">
        <f t="shared" si="146"/>
        <v>#DIV/0!</v>
      </c>
      <c r="I130" s="104">
        <f t="shared" si="76"/>
        <v>5</v>
      </c>
      <c r="K130" s="102">
        <f t="shared" si="77"/>
        <v>-0.17</v>
      </c>
      <c r="L130" s="106">
        <f t="shared" si="78"/>
        <v>1</v>
      </c>
      <c r="M130" s="105">
        <f t="shared" ca="1" si="147"/>
        <v>3042</v>
      </c>
      <c r="N130" s="217" t="e">
        <f t="shared" si="148"/>
        <v>#DIV/0!</v>
      </c>
      <c r="O130" s="80" t="e">
        <f t="shared" si="149"/>
        <v>#DIV/0!</v>
      </c>
      <c r="P130" s="104">
        <f t="shared" si="82"/>
        <v>5</v>
      </c>
      <c r="R130" s="102">
        <f t="shared" si="83"/>
        <v>0.40500000000000003</v>
      </c>
      <c r="S130" s="106">
        <f t="shared" si="84"/>
        <v>1</v>
      </c>
      <c r="T130" s="105">
        <f t="shared" ca="1" si="150"/>
        <v>3042</v>
      </c>
      <c r="U130" s="217" t="e">
        <f t="shared" si="151"/>
        <v>#DIV/0!</v>
      </c>
      <c r="V130" s="80" t="e">
        <f t="shared" si="152"/>
        <v>#DIV/0!</v>
      </c>
      <c r="W130" s="104">
        <f t="shared" si="88"/>
        <v>4.95</v>
      </c>
      <c r="X130" s="105"/>
      <c r="Y130" s="102">
        <f t="shared" si="89"/>
        <v>-5.7500000000000002E-2</v>
      </c>
      <c r="Z130" s="106">
        <f t="shared" si="90"/>
        <v>1</v>
      </c>
      <c r="AA130" s="105">
        <f t="shared" ca="1" si="153"/>
        <v>3042</v>
      </c>
      <c r="AB130" s="80" t="e">
        <f t="shared" si="154"/>
        <v>#DIV/0!</v>
      </c>
      <c r="AC130" s="80" t="e">
        <f t="shared" si="155"/>
        <v>#DIV/0!</v>
      </c>
      <c r="AD130" s="104">
        <f t="shared" si="94"/>
        <v>3.98</v>
      </c>
      <c r="AF130" s="105">
        <f t="shared" ca="1" si="123"/>
        <v>3042</v>
      </c>
      <c r="AG130" s="105">
        <f t="shared" ca="1" si="124"/>
        <v>3039</v>
      </c>
      <c r="AH130" s="80">
        <f t="shared" si="95"/>
        <v>6.9909892964137021E-2</v>
      </c>
      <c r="AI130" s="182">
        <f t="shared" si="96"/>
        <v>31</v>
      </c>
      <c r="AL130" s="105"/>
      <c r="AM130" s="82"/>
      <c r="AN130" s="82">
        <f t="shared" si="156"/>
        <v>0</v>
      </c>
      <c r="AO130" s="82" t="e">
        <f t="shared" si="157"/>
        <v>#DIV/0!</v>
      </c>
      <c r="AP130" s="77">
        <f t="shared" si="158"/>
        <v>0</v>
      </c>
      <c r="AQ130" s="108">
        <f t="shared" si="159"/>
        <v>0</v>
      </c>
      <c r="AR130" s="107">
        <f t="shared" si="160"/>
        <v>0</v>
      </c>
      <c r="AS130" s="107">
        <f t="shared" si="161"/>
        <v>0</v>
      </c>
      <c r="AT130" s="107">
        <f t="shared" si="162"/>
        <v>0</v>
      </c>
      <c r="AU130" s="109">
        <f t="shared" si="163"/>
        <v>0</v>
      </c>
      <c r="AV130" s="109">
        <f t="shared" si="164"/>
        <v>0</v>
      </c>
      <c r="AW130" s="109">
        <f t="shared" si="165"/>
        <v>0</v>
      </c>
      <c r="AY130" s="82">
        <f t="shared" si="166"/>
        <v>0</v>
      </c>
      <c r="AZ130" s="82" t="e">
        <f t="shared" si="167"/>
        <v>#DIV/0!</v>
      </c>
      <c r="BA130" s="77">
        <f t="shared" si="168"/>
        <v>0</v>
      </c>
      <c r="BB130" s="108">
        <f t="shared" si="169"/>
        <v>0</v>
      </c>
      <c r="BC130" s="107">
        <f t="shared" si="170"/>
        <v>0</v>
      </c>
      <c r="BD130" s="107">
        <f t="shared" si="171"/>
        <v>0</v>
      </c>
      <c r="BE130" s="107">
        <f t="shared" si="172"/>
        <v>0</v>
      </c>
      <c r="BF130" s="109">
        <f t="shared" si="173"/>
        <v>0</v>
      </c>
      <c r="BG130" s="109">
        <f t="shared" si="174"/>
        <v>0</v>
      </c>
      <c r="BH130" s="109">
        <f t="shared" si="175"/>
        <v>0</v>
      </c>
      <c r="BJ130" s="82">
        <f t="shared" si="176"/>
        <v>0</v>
      </c>
      <c r="BK130" s="82" t="e">
        <f t="shared" si="177"/>
        <v>#DIV/0!</v>
      </c>
      <c r="BL130" s="77">
        <f t="shared" si="178"/>
        <v>0</v>
      </c>
      <c r="BM130" s="108">
        <f t="shared" si="179"/>
        <v>0</v>
      </c>
      <c r="BN130" s="107">
        <f t="shared" si="180"/>
        <v>0</v>
      </c>
      <c r="BO130" s="107">
        <f t="shared" si="181"/>
        <v>0</v>
      </c>
      <c r="BP130" s="107">
        <f t="shared" si="182"/>
        <v>0</v>
      </c>
      <c r="BQ130" s="109">
        <f t="shared" si="183"/>
        <v>0</v>
      </c>
      <c r="BR130" s="109">
        <f t="shared" si="184"/>
        <v>0</v>
      </c>
      <c r="BS130" s="109">
        <f t="shared" si="185"/>
        <v>0</v>
      </c>
      <c r="BU130" s="82">
        <f t="shared" si="186"/>
        <v>0</v>
      </c>
      <c r="BV130" s="82" t="e">
        <f t="shared" si="187"/>
        <v>#DIV/0!</v>
      </c>
      <c r="BW130" s="77">
        <f t="shared" si="188"/>
        <v>0</v>
      </c>
      <c r="BX130" s="108">
        <f t="shared" si="189"/>
        <v>0</v>
      </c>
      <c r="BY130" s="107">
        <f t="shared" si="190"/>
        <v>0</v>
      </c>
      <c r="BZ130" s="107">
        <f t="shared" si="191"/>
        <v>0</v>
      </c>
      <c r="CA130" s="107">
        <f t="shared" si="192"/>
        <v>0</v>
      </c>
      <c r="CB130" s="109">
        <f t="shared" si="193"/>
        <v>0</v>
      </c>
      <c r="CC130" s="109">
        <f t="shared" si="194"/>
        <v>0</v>
      </c>
      <c r="CD130" s="109">
        <f t="shared" si="195"/>
        <v>0</v>
      </c>
    </row>
    <row r="131" spans="1:82" x14ac:dyDescent="0.25">
      <c r="A131" s="101">
        <f t="shared" si="142"/>
        <v>39845</v>
      </c>
      <c r="B131" s="102">
        <f t="shared" si="121"/>
        <v>3.3460000000000001</v>
      </c>
      <c r="C131" s="80">
        <f t="shared" si="143"/>
        <v>0.18</v>
      </c>
      <c r="D131" s="102">
        <f t="shared" si="71"/>
        <v>-0.17</v>
      </c>
      <c r="E131" s="106">
        <f t="shared" si="72"/>
        <v>1</v>
      </c>
      <c r="F131" s="105">
        <f t="shared" ca="1" si="144"/>
        <v>3072</v>
      </c>
      <c r="G131" s="80" t="e">
        <f t="shared" si="145"/>
        <v>#DIV/0!</v>
      </c>
      <c r="H131" s="80" t="e">
        <f t="shared" si="146"/>
        <v>#DIV/0!</v>
      </c>
      <c r="I131" s="104">
        <f t="shared" si="76"/>
        <v>5</v>
      </c>
      <c r="K131" s="102">
        <f t="shared" si="77"/>
        <v>-0.17</v>
      </c>
      <c r="L131" s="106">
        <f t="shared" si="78"/>
        <v>1</v>
      </c>
      <c r="M131" s="105">
        <f t="shared" ca="1" si="147"/>
        <v>3072</v>
      </c>
      <c r="N131" s="217" t="e">
        <f t="shared" si="148"/>
        <v>#DIV/0!</v>
      </c>
      <c r="O131" s="80" t="e">
        <f t="shared" si="149"/>
        <v>#DIV/0!</v>
      </c>
      <c r="P131" s="104">
        <f t="shared" si="82"/>
        <v>5</v>
      </c>
      <c r="R131" s="102">
        <f t="shared" si="83"/>
        <v>0.38</v>
      </c>
      <c r="S131" s="106">
        <f t="shared" si="84"/>
        <v>1</v>
      </c>
      <c r="T131" s="105">
        <f t="shared" ca="1" si="150"/>
        <v>3072</v>
      </c>
      <c r="U131" s="217" t="e">
        <f t="shared" si="151"/>
        <v>#DIV/0!</v>
      </c>
      <c r="V131" s="80" t="e">
        <f t="shared" si="152"/>
        <v>#DIV/0!</v>
      </c>
      <c r="W131" s="104">
        <f t="shared" si="88"/>
        <v>4.95</v>
      </c>
      <c r="X131" s="105"/>
      <c r="Y131" s="102">
        <f t="shared" si="89"/>
        <v>-0.04</v>
      </c>
      <c r="Z131" s="106">
        <f t="shared" si="90"/>
        <v>1</v>
      </c>
      <c r="AA131" s="105">
        <f t="shared" ca="1" si="153"/>
        <v>3072</v>
      </c>
      <c r="AB131" s="80" t="e">
        <f t="shared" si="154"/>
        <v>#DIV/0!</v>
      </c>
      <c r="AC131" s="80" t="e">
        <f t="shared" si="155"/>
        <v>#DIV/0!</v>
      </c>
      <c r="AD131" s="104">
        <f t="shared" si="94"/>
        <v>3.98</v>
      </c>
      <c r="AF131" s="105">
        <f t="shared" ca="1" si="123"/>
        <v>3072</v>
      </c>
      <c r="AG131" s="105">
        <f t="shared" ca="1" si="124"/>
        <v>3071</v>
      </c>
      <c r="AH131" s="80">
        <f t="shared" si="95"/>
        <v>6.992303051432501E-2</v>
      </c>
      <c r="AI131" s="182">
        <f t="shared" si="96"/>
        <v>28</v>
      </c>
      <c r="AL131" s="105"/>
      <c r="AM131" s="82"/>
      <c r="AN131" s="82">
        <f t="shared" si="156"/>
        <v>0</v>
      </c>
      <c r="AO131" s="82" t="e">
        <f t="shared" si="157"/>
        <v>#DIV/0!</v>
      </c>
      <c r="AP131" s="77">
        <f t="shared" si="158"/>
        <v>0</v>
      </c>
      <c r="AQ131" s="108">
        <f t="shared" si="159"/>
        <v>0</v>
      </c>
      <c r="AR131" s="107">
        <f t="shared" si="160"/>
        <v>0</v>
      </c>
      <c r="AS131" s="107">
        <f t="shared" si="161"/>
        <v>0</v>
      </c>
      <c r="AT131" s="107">
        <f t="shared" si="162"/>
        <v>0</v>
      </c>
      <c r="AU131" s="109">
        <f t="shared" si="163"/>
        <v>0</v>
      </c>
      <c r="AV131" s="109">
        <f t="shared" si="164"/>
        <v>0</v>
      </c>
      <c r="AW131" s="109">
        <f t="shared" si="165"/>
        <v>0</v>
      </c>
      <c r="AY131" s="82">
        <f t="shared" si="166"/>
        <v>0</v>
      </c>
      <c r="AZ131" s="82" t="e">
        <f t="shared" si="167"/>
        <v>#DIV/0!</v>
      </c>
      <c r="BA131" s="77">
        <f t="shared" si="168"/>
        <v>0</v>
      </c>
      <c r="BB131" s="108">
        <f t="shared" si="169"/>
        <v>0</v>
      </c>
      <c r="BC131" s="107">
        <f t="shared" si="170"/>
        <v>0</v>
      </c>
      <c r="BD131" s="107">
        <f t="shared" si="171"/>
        <v>0</v>
      </c>
      <c r="BE131" s="107">
        <f t="shared" si="172"/>
        <v>0</v>
      </c>
      <c r="BF131" s="109">
        <f t="shared" si="173"/>
        <v>0</v>
      </c>
      <c r="BG131" s="109">
        <f t="shared" si="174"/>
        <v>0</v>
      </c>
      <c r="BH131" s="109">
        <f t="shared" si="175"/>
        <v>0</v>
      </c>
      <c r="BJ131" s="82">
        <f t="shared" si="176"/>
        <v>0</v>
      </c>
      <c r="BK131" s="82" t="e">
        <f t="shared" si="177"/>
        <v>#DIV/0!</v>
      </c>
      <c r="BL131" s="77">
        <f t="shared" si="178"/>
        <v>0</v>
      </c>
      <c r="BM131" s="108">
        <f t="shared" si="179"/>
        <v>0</v>
      </c>
      <c r="BN131" s="107">
        <f t="shared" si="180"/>
        <v>0</v>
      </c>
      <c r="BO131" s="107">
        <f t="shared" si="181"/>
        <v>0</v>
      </c>
      <c r="BP131" s="107">
        <f t="shared" si="182"/>
        <v>0</v>
      </c>
      <c r="BQ131" s="109">
        <f t="shared" si="183"/>
        <v>0</v>
      </c>
      <c r="BR131" s="109">
        <f t="shared" si="184"/>
        <v>0</v>
      </c>
      <c r="BS131" s="109">
        <f t="shared" si="185"/>
        <v>0</v>
      </c>
      <c r="BU131" s="82">
        <f t="shared" si="186"/>
        <v>0</v>
      </c>
      <c r="BV131" s="82" t="e">
        <f t="shared" si="187"/>
        <v>#DIV/0!</v>
      </c>
      <c r="BW131" s="77">
        <f t="shared" si="188"/>
        <v>0</v>
      </c>
      <c r="BX131" s="108">
        <f t="shared" si="189"/>
        <v>0</v>
      </c>
      <c r="BY131" s="107">
        <f t="shared" si="190"/>
        <v>0</v>
      </c>
      <c r="BZ131" s="107">
        <f t="shared" si="191"/>
        <v>0</v>
      </c>
      <c r="CA131" s="107">
        <f t="shared" si="192"/>
        <v>0</v>
      </c>
      <c r="CB131" s="109">
        <f t="shared" si="193"/>
        <v>0</v>
      </c>
      <c r="CC131" s="109">
        <f t="shared" si="194"/>
        <v>0</v>
      </c>
      <c r="CD131" s="109">
        <f t="shared" si="195"/>
        <v>0</v>
      </c>
    </row>
    <row r="132" spans="1:82" x14ac:dyDescent="0.25">
      <c r="A132" s="101">
        <f t="shared" si="142"/>
        <v>39873</v>
      </c>
      <c r="B132" s="102">
        <f t="shared" si="121"/>
        <v>3.1940000000000004</v>
      </c>
      <c r="C132" s="80">
        <f t="shared" si="143"/>
        <v>0.17</v>
      </c>
      <c r="D132" s="102">
        <f t="shared" si="71"/>
        <v>-0.17</v>
      </c>
      <c r="E132" s="106">
        <f t="shared" si="72"/>
        <v>1</v>
      </c>
      <c r="F132" s="105">
        <f t="shared" ca="1" si="144"/>
        <v>3100</v>
      </c>
      <c r="G132" s="80" t="e">
        <f t="shared" si="145"/>
        <v>#DIV/0!</v>
      </c>
      <c r="H132" s="80" t="e">
        <f t="shared" si="146"/>
        <v>#DIV/0!</v>
      </c>
      <c r="I132" s="104">
        <f t="shared" si="76"/>
        <v>5</v>
      </c>
      <c r="K132" s="102">
        <f t="shared" si="77"/>
        <v>-0.17</v>
      </c>
      <c r="L132" s="106">
        <f t="shared" si="78"/>
        <v>1</v>
      </c>
      <c r="M132" s="105">
        <f t="shared" ca="1" si="147"/>
        <v>3100</v>
      </c>
      <c r="N132" s="217" t="e">
        <f t="shared" si="148"/>
        <v>#DIV/0!</v>
      </c>
      <c r="O132" s="80" t="e">
        <f t="shared" si="149"/>
        <v>#DIV/0!</v>
      </c>
      <c r="P132" s="104">
        <f t="shared" si="82"/>
        <v>5</v>
      </c>
      <c r="R132" s="102">
        <f t="shared" si="83"/>
        <v>0.3775</v>
      </c>
      <c r="S132" s="106">
        <f t="shared" si="84"/>
        <v>1</v>
      </c>
      <c r="T132" s="105">
        <f t="shared" ca="1" si="150"/>
        <v>3100</v>
      </c>
      <c r="U132" s="217" t="e">
        <f t="shared" si="151"/>
        <v>#DIV/0!</v>
      </c>
      <c r="V132" s="80" t="e">
        <f t="shared" si="152"/>
        <v>#DIV/0!</v>
      </c>
      <c r="W132" s="104">
        <f t="shared" si="88"/>
        <v>4.95</v>
      </c>
      <c r="X132" s="105"/>
      <c r="Y132" s="102">
        <f t="shared" si="89"/>
        <v>-2.75E-2</v>
      </c>
      <c r="Z132" s="106">
        <f t="shared" si="90"/>
        <v>1</v>
      </c>
      <c r="AA132" s="105">
        <f t="shared" ca="1" si="153"/>
        <v>3100</v>
      </c>
      <c r="AB132" s="80" t="e">
        <f t="shared" si="154"/>
        <v>#DIV/0!</v>
      </c>
      <c r="AC132" s="80" t="e">
        <f t="shared" si="155"/>
        <v>#DIV/0!</v>
      </c>
      <c r="AD132" s="104">
        <f t="shared" si="94"/>
        <v>3.98</v>
      </c>
      <c r="AF132" s="105">
        <f t="shared" ca="1" si="123"/>
        <v>3100</v>
      </c>
      <c r="AG132" s="105">
        <f t="shared" ca="1" si="124"/>
        <v>3099</v>
      </c>
      <c r="AH132" s="80">
        <f t="shared" si="95"/>
        <v>6.9934896688738035E-2</v>
      </c>
      <c r="AI132" s="182">
        <f t="shared" si="96"/>
        <v>31</v>
      </c>
      <c r="AL132" s="105"/>
      <c r="AM132" s="82"/>
      <c r="AN132" s="82">
        <f t="shared" si="156"/>
        <v>0</v>
      </c>
      <c r="AO132" s="82" t="e">
        <f t="shared" si="157"/>
        <v>#DIV/0!</v>
      </c>
      <c r="AP132" s="77">
        <f t="shared" si="158"/>
        <v>0</v>
      </c>
      <c r="AQ132" s="108">
        <f t="shared" si="159"/>
        <v>0</v>
      </c>
      <c r="AR132" s="107">
        <f t="shared" si="160"/>
        <v>0</v>
      </c>
      <c r="AS132" s="107">
        <f t="shared" si="161"/>
        <v>0</v>
      </c>
      <c r="AT132" s="107">
        <f t="shared" si="162"/>
        <v>0</v>
      </c>
      <c r="AU132" s="109">
        <f t="shared" si="163"/>
        <v>0</v>
      </c>
      <c r="AV132" s="109">
        <f t="shared" si="164"/>
        <v>0</v>
      </c>
      <c r="AW132" s="109">
        <f t="shared" si="165"/>
        <v>0</v>
      </c>
      <c r="AY132" s="82">
        <f t="shared" si="166"/>
        <v>0</v>
      </c>
      <c r="AZ132" s="82" t="e">
        <f t="shared" si="167"/>
        <v>#DIV/0!</v>
      </c>
      <c r="BA132" s="77">
        <f t="shared" si="168"/>
        <v>0</v>
      </c>
      <c r="BB132" s="108">
        <f t="shared" si="169"/>
        <v>0</v>
      </c>
      <c r="BC132" s="107">
        <f t="shared" si="170"/>
        <v>0</v>
      </c>
      <c r="BD132" s="107">
        <f t="shared" si="171"/>
        <v>0</v>
      </c>
      <c r="BE132" s="107">
        <f t="shared" si="172"/>
        <v>0</v>
      </c>
      <c r="BF132" s="109">
        <f t="shared" si="173"/>
        <v>0</v>
      </c>
      <c r="BG132" s="109">
        <f t="shared" si="174"/>
        <v>0</v>
      </c>
      <c r="BH132" s="109">
        <f t="shared" si="175"/>
        <v>0</v>
      </c>
      <c r="BJ132" s="82">
        <f t="shared" si="176"/>
        <v>0</v>
      </c>
      <c r="BK132" s="82" t="e">
        <f t="shared" si="177"/>
        <v>#DIV/0!</v>
      </c>
      <c r="BL132" s="77">
        <f t="shared" si="178"/>
        <v>0</v>
      </c>
      <c r="BM132" s="108">
        <f t="shared" si="179"/>
        <v>0</v>
      </c>
      <c r="BN132" s="107">
        <f t="shared" si="180"/>
        <v>0</v>
      </c>
      <c r="BO132" s="107">
        <f t="shared" si="181"/>
        <v>0</v>
      </c>
      <c r="BP132" s="107">
        <f t="shared" si="182"/>
        <v>0</v>
      </c>
      <c r="BQ132" s="109">
        <f t="shared" si="183"/>
        <v>0</v>
      </c>
      <c r="BR132" s="109">
        <f t="shared" si="184"/>
        <v>0</v>
      </c>
      <c r="BS132" s="109">
        <f t="shared" si="185"/>
        <v>0</v>
      </c>
      <c r="BU132" s="82">
        <f t="shared" si="186"/>
        <v>0</v>
      </c>
      <c r="BV132" s="82" t="e">
        <f t="shared" si="187"/>
        <v>#DIV/0!</v>
      </c>
      <c r="BW132" s="77">
        <f t="shared" si="188"/>
        <v>0</v>
      </c>
      <c r="BX132" s="108">
        <f t="shared" si="189"/>
        <v>0</v>
      </c>
      <c r="BY132" s="107">
        <f t="shared" si="190"/>
        <v>0</v>
      </c>
      <c r="BZ132" s="107">
        <f t="shared" si="191"/>
        <v>0</v>
      </c>
      <c r="CA132" s="107">
        <f t="shared" si="192"/>
        <v>0</v>
      </c>
      <c r="CB132" s="109">
        <f t="shared" si="193"/>
        <v>0</v>
      </c>
      <c r="CC132" s="109">
        <f t="shared" si="194"/>
        <v>0</v>
      </c>
      <c r="CD132" s="109">
        <f t="shared" si="195"/>
        <v>0</v>
      </c>
    </row>
    <row r="133" spans="1:82" x14ac:dyDescent="0.25">
      <c r="A133" s="101">
        <f t="shared" si="142"/>
        <v>39904</v>
      </c>
      <c r="B133" s="102">
        <f t="shared" si="121"/>
        <v>3.0340000000000003</v>
      </c>
      <c r="C133" s="80">
        <f t="shared" si="143"/>
        <v>0.17</v>
      </c>
      <c r="D133" s="102">
        <f t="shared" si="71"/>
        <v>-0.17</v>
      </c>
      <c r="E133" s="106">
        <f t="shared" si="72"/>
        <v>1</v>
      </c>
      <c r="F133" s="105">
        <f t="shared" ca="1" si="144"/>
        <v>3130</v>
      </c>
      <c r="G133" s="80" t="e">
        <f t="shared" si="145"/>
        <v>#DIV/0!</v>
      </c>
      <c r="H133" s="80" t="e">
        <f t="shared" si="146"/>
        <v>#DIV/0!</v>
      </c>
      <c r="I133" s="104">
        <f t="shared" si="76"/>
        <v>5</v>
      </c>
      <c r="K133" s="102">
        <f t="shared" si="77"/>
        <v>-0.17</v>
      </c>
      <c r="L133" s="106">
        <f t="shared" si="78"/>
        <v>1</v>
      </c>
      <c r="M133" s="105">
        <f t="shared" ca="1" si="147"/>
        <v>3130</v>
      </c>
      <c r="N133" s="217" t="e">
        <f t="shared" si="148"/>
        <v>#DIV/0!</v>
      </c>
      <c r="O133" s="80" t="e">
        <f t="shared" si="149"/>
        <v>#DIV/0!</v>
      </c>
      <c r="P133" s="104">
        <f t="shared" si="82"/>
        <v>5</v>
      </c>
      <c r="R133" s="102">
        <f t="shared" si="83"/>
        <v>0.28249999999999997</v>
      </c>
      <c r="S133" s="106">
        <f t="shared" si="84"/>
        <v>1</v>
      </c>
      <c r="T133" s="105">
        <f t="shared" ca="1" si="150"/>
        <v>3130</v>
      </c>
      <c r="U133" s="217" t="e">
        <f t="shared" si="151"/>
        <v>#DIV/0!</v>
      </c>
      <c r="V133" s="80" t="e">
        <f t="shared" si="152"/>
        <v>#DIV/0!</v>
      </c>
      <c r="W133" s="104">
        <f t="shared" si="88"/>
        <v>4.95</v>
      </c>
      <c r="X133" s="105"/>
      <c r="Y133" s="102">
        <f t="shared" si="89"/>
        <v>1.4999999999999999E-2</v>
      </c>
      <c r="Z133" s="106">
        <f t="shared" si="90"/>
        <v>1</v>
      </c>
      <c r="AA133" s="105">
        <f t="shared" ca="1" si="153"/>
        <v>3130</v>
      </c>
      <c r="AB133" s="80" t="e">
        <f t="shared" si="154"/>
        <v>#DIV/0!</v>
      </c>
      <c r="AC133" s="80" t="e">
        <f t="shared" si="155"/>
        <v>#DIV/0!</v>
      </c>
      <c r="AD133" s="104">
        <f t="shared" si="94"/>
        <v>3.98</v>
      </c>
      <c r="AF133" s="105">
        <f t="shared" ca="1" si="123"/>
        <v>3130</v>
      </c>
      <c r="AG133" s="105">
        <f t="shared" ca="1" si="124"/>
        <v>3129</v>
      </c>
      <c r="AH133" s="80">
        <f t="shared" si="95"/>
        <v>6.994803423903502E-2</v>
      </c>
      <c r="AI133" s="182">
        <f t="shared" si="96"/>
        <v>30</v>
      </c>
      <c r="AL133" s="105"/>
      <c r="AM133" s="82"/>
      <c r="AN133" s="82">
        <f t="shared" si="156"/>
        <v>0</v>
      </c>
      <c r="AO133" s="82" t="e">
        <f t="shared" si="157"/>
        <v>#DIV/0!</v>
      </c>
      <c r="AP133" s="77">
        <f t="shared" si="158"/>
        <v>0</v>
      </c>
      <c r="AQ133" s="108">
        <f t="shared" si="159"/>
        <v>0</v>
      </c>
      <c r="AR133" s="107">
        <f t="shared" si="160"/>
        <v>0</v>
      </c>
      <c r="AS133" s="107">
        <f t="shared" si="161"/>
        <v>0</v>
      </c>
      <c r="AT133" s="107">
        <f t="shared" si="162"/>
        <v>0</v>
      </c>
      <c r="AU133" s="109">
        <f t="shared" si="163"/>
        <v>0</v>
      </c>
      <c r="AV133" s="109">
        <f t="shared" si="164"/>
        <v>0</v>
      </c>
      <c r="AW133" s="109">
        <f t="shared" si="165"/>
        <v>0</v>
      </c>
      <c r="AY133" s="82">
        <f t="shared" si="166"/>
        <v>0</v>
      </c>
      <c r="AZ133" s="82" t="e">
        <f t="shared" si="167"/>
        <v>#DIV/0!</v>
      </c>
      <c r="BA133" s="77">
        <f t="shared" si="168"/>
        <v>0</v>
      </c>
      <c r="BB133" s="108">
        <f t="shared" si="169"/>
        <v>0</v>
      </c>
      <c r="BC133" s="107">
        <f t="shared" si="170"/>
        <v>0</v>
      </c>
      <c r="BD133" s="107">
        <f t="shared" si="171"/>
        <v>0</v>
      </c>
      <c r="BE133" s="107">
        <f t="shared" si="172"/>
        <v>0</v>
      </c>
      <c r="BF133" s="109">
        <f t="shared" si="173"/>
        <v>0</v>
      </c>
      <c r="BG133" s="109">
        <f t="shared" si="174"/>
        <v>0</v>
      </c>
      <c r="BH133" s="109">
        <f t="shared" si="175"/>
        <v>0</v>
      </c>
      <c r="BJ133" s="82">
        <f t="shared" si="176"/>
        <v>0</v>
      </c>
      <c r="BK133" s="82" t="e">
        <f t="shared" si="177"/>
        <v>#DIV/0!</v>
      </c>
      <c r="BL133" s="77">
        <f t="shared" si="178"/>
        <v>0</v>
      </c>
      <c r="BM133" s="108">
        <f t="shared" si="179"/>
        <v>0</v>
      </c>
      <c r="BN133" s="107">
        <f t="shared" si="180"/>
        <v>0</v>
      </c>
      <c r="BO133" s="107">
        <f t="shared" si="181"/>
        <v>0</v>
      </c>
      <c r="BP133" s="107">
        <f t="shared" si="182"/>
        <v>0</v>
      </c>
      <c r="BQ133" s="109">
        <f t="shared" si="183"/>
        <v>0</v>
      </c>
      <c r="BR133" s="109">
        <f t="shared" si="184"/>
        <v>0</v>
      </c>
      <c r="BS133" s="109">
        <f t="shared" si="185"/>
        <v>0</v>
      </c>
      <c r="BU133" s="82">
        <f t="shared" si="186"/>
        <v>0</v>
      </c>
      <c r="BV133" s="82" t="e">
        <f t="shared" si="187"/>
        <v>#DIV/0!</v>
      </c>
      <c r="BW133" s="77">
        <f t="shared" si="188"/>
        <v>0</v>
      </c>
      <c r="BX133" s="108">
        <f t="shared" si="189"/>
        <v>0</v>
      </c>
      <c r="BY133" s="107">
        <f t="shared" si="190"/>
        <v>0</v>
      </c>
      <c r="BZ133" s="107">
        <f t="shared" si="191"/>
        <v>0</v>
      </c>
      <c r="CA133" s="107">
        <f t="shared" si="192"/>
        <v>0</v>
      </c>
      <c r="CB133" s="109">
        <f t="shared" si="193"/>
        <v>0</v>
      </c>
      <c r="CC133" s="109">
        <f t="shared" si="194"/>
        <v>0</v>
      </c>
      <c r="CD133" s="109">
        <f t="shared" si="195"/>
        <v>0</v>
      </c>
    </row>
    <row r="134" spans="1:82" x14ac:dyDescent="0.25">
      <c r="A134" s="101">
        <f t="shared" si="142"/>
        <v>39934</v>
      </c>
      <c r="B134" s="102">
        <f t="shared" si="121"/>
        <v>3.0249999999999999</v>
      </c>
      <c r="C134" s="80">
        <f t="shared" si="143"/>
        <v>0.17</v>
      </c>
      <c r="D134" s="102">
        <f t="shared" si="71"/>
        <v>-0.17</v>
      </c>
      <c r="E134" s="106">
        <f t="shared" si="72"/>
        <v>1</v>
      </c>
      <c r="F134" s="105">
        <f t="shared" ca="1" si="144"/>
        <v>3162</v>
      </c>
      <c r="G134" s="80" t="e">
        <f t="shared" si="145"/>
        <v>#DIV/0!</v>
      </c>
      <c r="H134" s="80" t="e">
        <f t="shared" si="146"/>
        <v>#DIV/0!</v>
      </c>
      <c r="I134" s="104">
        <f t="shared" si="76"/>
        <v>5</v>
      </c>
      <c r="K134" s="102">
        <f t="shared" si="77"/>
        <v>-0.17</v>
      </c>
      <c r="L134" s="106">
        <f t="shared" si="78"/>
        <v>1</v>
      </c>
      <c r="M134" s="105">
        <f t="shared" ca="1" si="147"/>
        <v>3162</v>
      </c>
      <c r="N134" s="217" t="e">
        <f t="shared" si="148"/>
        <v>#DIV/0!</v>
      </c>
      <c r="O134" s="80" t="e">
        <f t="shared" si="149"/>
        <v>#DIV/0!</v>
      </c>
      <c r="P134" s="104">
        <f t="shared" si="82"/>
        <v>5</v>
      </c>
      <c r="R134" s="102">
        <f t="shared" si="83"/>
        <v>0.29249999999999998</v>
      </c>
      <c r="S134" s="106">
        <f t="shared" si="84"/>
        <v>1</v>
      </c>
      <c r="T134" s="105">
        <f t="shared" ca="1" si="150"/>
        <v>3162</v>
      </c>
      <c r="U134" s="217" t="e">
        <f t="shared" si="151"/>
        <v>#DIV/0!</v>
      </c>
      <c r="V134" s="80" t="e">
        <f t="shared" si="152"/>
        <v>#DIV/0!</v>
      </c>
      <c r="W134" s="104">
        <f t="shared" si="88"/>
        <v>4.95</v>
      </c>
      <c r="X134" s="105"/>
      <c r="Y134" s="102">
        <f t="shared" si="89"/>
        <v>1.4999999999999999E-2</v>
      </c>
      <c r="Z134" s="106">
        <f t="shared" si="90"/>
        <v>1</v>
      </c>
      <c r="AA134" s="105">
        <f t="shared" ca="1" si="153"/>
        <v>3162</v>
      </c>
      <c r="AB134" s="80" t="e">
        <f t="shared" si="154"/>
        <v>#DIV/0!</v>
      </c>
      <c r="AC134" s="80" t="e">
        <f t="shared" si="155"/>
        <v>#DIV/0!</v>
      </c>
      <c r="AD134" s="104">
        <f t="shared" si="94"/>
        <v>3.98</v>
      </c>
      <c r="AF134" s="105">
        <f t="shared" ca="1" si="123"/>
        <v>3162</v>
      </c>
      <c r="AG134" s="105">
        <f t="shared" ca="1" si="124"/>
        <v>3161</v>
      </c>
      <c r="AH134" s="80">
        <f t="shared" si="95"/>
        <v>6.9960747997441008E-2</v>
      </c>
      <c r="AI134" s="182">
        <f t="shared" si="96"/>
        <v>31</v>
      </c>
      <c r="AL134" s="105"/>
      <c r="AM134" s="82"/>
      <c r="AN134" s="82">
        <f t="shared" si="156"/>
        <v>0</v>
      </c>
      <c r="AO134" s="82" t="e">
        <f t="shared" si="157"/>
        <v>#DIV/0!</v>
      </c>
      <c r="AP134" s="77">
        <f t="shared" si="158"/>
        <v>0</v>
      </c>
      <c r="AQ134" s="108">
        <f t="shared" si="159"/>
        <v>0</v>
      </c>
      <c r="AR134" s="107">
        <f t="shared" si="160"/>
        <v>0</v>
      </c>
      <c r="AS134" s="107">
        <f t="shared" si="161"/>
        <v>0</v>
      </c>
      <c r="AT134" s="107">
        <f t="shared" si="162"/>
        <v>0</v>
      </c>
      <c r="AU134" s="109">
        <f t="shared" si="163"/>
        <v>0</v>
      </c>
      <c r="AV134" s="109">
        <f t="shared" si="164"/>
        <v>0</v>
      </c>
      <c r="AW134" s="109">
        <f t="shared" si="165"/>
        <v>0</v>
      </c>
      <c r="AY134" s="82">
        <f t="shared" si="166"/>
        <v>0</v>
      </c>
      <c r="AZ134" s="82" t="e">
        <f t="shared" si="167"/>
        <v>#DIV/0!</v>
      </c>
      <c r="BA134" s="77">
        <f t="shared" si="168"/>
        <v>0</v>
      </c>
      <c r="BB134" s="108">
        <f t="shared" si="169"/>
        <v>0</v>
      </c>
      <c r="BC134" s="107">
        <f t="shared" si="170"/>
        <v>0</v>
      </c>
      <c r="BD134" s="107">
        <f t="shared" si="171"/>
        <v>0</v>
      </c>
      <c r="BE134" s="107">
        <f t="shared" si="172"/>
        <v>0</v>
      </c>
      <c r="BF134" s="109">
        <f t="shared" si="173"/>
        <v>0</v>
      </c>
      <c r="BG134" s="109">
        <f t="shared" si="174"/>
        <v>0</v>
      </c>
      <c r="BH134" s="109">
        <f t="shared" si="175"/>
        <v>0</v>
      </c>
      <c r="BJ134" s="82">
        <f t="shared" si="176"/>
        <v>0</v>
      </c>
      <c r="BK134" s="82" t="e">
        <f t="shared" si="177"/>
        <v>#DIV/0!</v>
      </c>
      <c r="BL134" s="77">
        <f t="shared" si="178"/>
        <v>0</v>
      </c>
      <c r="BM134" s="108">
        <f t="shared" si="179"/>
        <v>0</v>
      </c>
      <c r="BN134" s="107">
        <f t="shared" si="180"/>
        <v>0</v>
      </c>
      <c r="BO134" s="107">
        <f t="shared" si="181"/>
        <v>0</v>
      </c>
      <c r="BP134" s="107">
        <f t="shared" si="182"/>
        <v>0</v>
      </c>
      <c r="BQ134" s="109">
        <f t="shared" si="183"/>
        <v>0</v>
      </c>
      <c r="BR134" s="109">
        <f t="shared" si="184"/>
        <v>0</v>
      </c>
      <c r="BS134" s="109">
        <f t="shared" si="185"/>
        <v>0</v>
      </c>
      <c r="BU134" s="82">
        <f t="shared" si="186"/>
        <v>0</v>
      </c>
      <c r="BV134" s="82" t="e">
        <f t="shared" si="187"/>
        <v>#DIV/0!</v>
      </c>
      <c r="BW134" s="77">
        <f t="shared" si="188"/>
        <v>0</v>
      </c>
      <c r="BX134" s="108">
        <f t="shared" si="189"/>
        <v>0</v>
      </c>
      <c r="BY134" s="107">
        <f t="shared" si="190"/>
        <v>0</v>
      </c>
      <c r="BZ134" s="107">
        <f t="shared" si="191"/>
        <v>0</v>
      </c>
      <c r="CA134" s="107">
        <f t="shared" si="192"/>
        <v>0</v>
      </c>
      <c r="CB134" s="109">
        <f t="shared" si="193"/>
        <v>0</v>
      </c>
      <c r="CC134" s="109">
        <f t="shared" si="194"/>
        <v>0</v>
      </c>
      <c r="CD134" s="109">
        <f t="shared" si="195"/>
        <v>0</v>
      </c>
    </row>
    <row r="135" spans="1:82" x14ac:dyDescent="0.25">
      <c r="A135" s="101">
        <f t="shared" si="142"/>
        <v>39965</v>
      </c>
      <c r="B135" s="102">
        <f t="shared" si="121"/>
        <v>3.0510000000000002</v>
      </c>
      <c r="C135" s="80">
        <f t="shared" si="143"/>
        <v>0.17</v>
      </c>
      <c r="D135" s="102">
        <f t="shared" si="71"/>
        <v>-0.17</v>
      </c>
      <c r="E135" s="106">
        <f t="shared" si="72"/>
        <v>1</v>
      </c>
      <c r="F135" s="105">
        <f t="shared" ca="1" si="144"/>
        <v>3191</v>
      </c>
      <c r="G135" s="80" t="e">
        <f t="shared" si="145"/>
        <v>#DIV/0!</v>
      </c>
      <c r="H135" s="80" t="e">
        <f t="shared" si="146"/>
        <v>#DIV/0!</v>
      </c>
      <c r="I135" s="104">
        <f t="shared" si="76"/>
        <v>5</v>
      </c>
      <c r="K135" s="102">
        <f t="shared" si="77"/>
        <v>-0.17</v>
      </c>
      <c r="L135" s="106">
        <f t="shared" si="78"/>
        <v>1</v>
      </c>
      <c r="M135" s="105">
        <f t="shared" ca="1" si="147"/>
        <v>3191</v>
      </c>
      <c r="N135" s="217" t="e">
        <f t="shared" si="148"/>
        <v>#DIV/0!</v>
      </c>
      <c r="O135" s="80" t="e">
        <f t="shared" si="149"/>
        <v>#DIV/0!</v>
      </c>
      <c r="P135" s="104">
        <f t="shared" si="82"/>
        <v>5</v>
      </c>
      <c r="R135" s="102">
        <f t="shared" si="83"/>
        <v>0.28749999999999998</v>
      </c>
      <c r="S135" s="106">
        <f t="shared" si="84"/>
        <v>1</v>
      </c>
      <c r="T135" s="105">
        <f t="shared" ca="1" si="150"/>
        <v>3191</v>
      </c>
      <c r="U135" s="217" t="e">
        <f t="shared" si="151"/>
        <v>#DIV/0!</v>
      </c>
      <c r="V135" s="80" t="e">
        <f t="shared" si="152"/>
        <v>#DIV/0!</v>
      </c>
      <c r="W135" s="104">
        <f t="shared" si="88"/>
        <v>4.95</v>
      </c>
      <c r="X135" s="105"/>
      <c r="Y135" s="102">
        <f t="shared" si="89"/>
        <v>0.02</v>
      </c>
      <c r="Z135" s="106">
        <f t="shared" si="90"/>
        <v>1</v>
      </c>
      <c r="AA135" s="105">
        <f t="shared" ca="1" si="153"/>
        <v>3191</v>
      </c>
      <c r="AB135" s="80" t="e">
        <f t="shared" si="154"/>
        <v>#DIV/0!</v>
      </c>
      <c r="AC135" s="80" t="e">
        <f t="shared" si="155"/>
        <v>#DIV/0!</v>
      </c>
      <c r="AD135" s="104">
        <f t="shared" si="94"/>
        <v>3.98</v>
      </c>
      <c r="AF135" s="105">
        <f t="shared" ca="1" si="123"/>
        <v>3191</v>
      </c>
      <c r="AG135" s="105">
        <f t="shared" ca="1" si="124"/>
        <v>3190</v>
      </c>
      <c r="AH135" s="80">
        <f t="shared" si="95"/>
        <v>6.9973885547851028E-2</v>
      </c>
      <c r="AI135" s="182">
        <f t="shared" si="96"/>
        <v>30</v>
      </c>
      <c r="AL135" s="105"/>
      <c r="AM135" s="82"/>
      <c r="AN135" s="82">
        <f t="shared" si="156"/>
        <v>0</v>
      </c>
      <c r="AO135" s="82" t="e">
        <f t="shared" si="157"/>
        <v>#DIV/0!</v>
      </c>
      <c r="AP135" s="77">
        <f t="shared" si="158"/>
        <v>0</v>
      </c>
      <c r="AQ135" s="108">
        <f t="shared" si="159"/>
        <v>0</v>
      </c>
      <c r="AR135" s="107">
        <f t="shared" si="160"/>
        <v>0</v>
      </c>
      <c r="AS135" s="107">
        <f t="shared" si="161"/>
        <v>0</v>
      </c>
      <c r="AT135" s="107">
        <f t="shared" si="162"/>
        <v>0</v>
      </c>
      <c r="AU135" s="109">
        <f t="shared" si="163"/>
        <v>0</v>
      </c>
      <c r="AV135" s="109">
        <f t="shared" si="164"/>
        <v>0</v>
      </c>
      <c r="AW135" s="109">
        <f t="shared" si="165"/>
        <v>0</v>
      </c>
      <c r="AY135" s="82">
        <f t="shared" si="166"/>
        <v>0</v>
      </c>
      <c r="AZ135" s="82" t="e">
        <f t="shared" si="167"/>
        <v>#DIV/0!</v>
      </c>
      <c r="BA135" s="77">
        <f t="shared" si="168"/>
        <v>0</v>
      </c>
      <c r="BB135" s="108">
        <f t="shared" si="169"/>
        <v>0</v>
      </c>
      <c r="BC135" s="107">
        <f t="shared" si="170"/>
        <v>0</v>
      </c>
      <c r="BD135" s="107">
        <f t="shared" si="171"/>
        <v>0</v>
      </c>
      <c r="BE135" s="107">
        <f t="shared" si="172"/>
        <v>0</v>
      </c>
      <c r="BF135" s="109">
        <f t="shared" si="173"/>
        <v>0</v>
      </c>
      <c r="BG135" s="109">
        <f t="shared" si="174"/>
        <v>0</v>
      </c>
      <c r="BH135" s="109">
        <f t="shared" si="175"/>
        <v>0</v>
      </c>
      <c r="BJ135" s="82">
        <f t="shared" si="176"/>
        <v>0</v>
      </c>
      <c r="BK135" s="82" t="e">
        <f t="shared" si="177"/>
        <v>#DIV/0!</v>
      </c>
      <c r="BL135" s="77">
        <f t="shared" si="178"/>
        <v>0</v>
      </c>
      <c r="BM135" s="108">
        <f t="shared" si="179"/>
        <v>0</v>
      </c>
      <c r="BN135" s="107">
        <f t="shared" si="180"/>
        <v>0</v>
      </c>
      <c r="BO135" s="107">
        <f t="shared" si="181"/>
        <v>0</v>
      </c>
      <c r="BP135" s="107">
        <f t="shared" si="182"/>
        <v>0</v>
      </c>
      <c r="BQ135" s="109">
        <f t="shared" si="183"/>
        <v>0</v>
      </c>
      <c r="BR135" s="109">
        <f t="shared" si="184"/>
        <v>0</v>
      </c>
      <c r="BS135" s="109">
        <f t="shared" si="185"/>
        <v>0</v>
      </c>
      <c r="BU135" s="82">
        <f t="shared" si="186"/>
        <v>0</v>
      </c>
      <c r="BV135" s="82" t="e">
        <f t="shared" si="187"/>
        <v>#DIV/0!</v>
      </c>
      <c r="BW135" s="77">
        <f t="shared" si="188"/>
        <v>0</v>
      </c>
      <c r="BX135" s="108">
        <f t="shared" si="189"/>
        <v>0</v>
      </c>
      <c r="BY135" s="107">
        <f t="shared" si="190"/>
        <v>0</v>
      </c>
      <c r="BZ135" s="107">
        <f t="shared" si="191"/>
        <v>0</v>
      </c>
      <c r="CA135" s="107">
        <f t="shared" si="192"/>
        <v>0</v>
      </c>
      <c r="CB135" s="109">
        <f t="shared" si="193"/>
        <v>0</v>
      </c>
      <c r="CC135" s="109">
        <f t="shared" si="194"/>
        <v>0</v>
      </c>
      <c r="CD135" s="109">
        <f t="shared" si="195"/>
        <v>0</v>
      </c>
    </row>
    <row r="136" spans="1:82" x14ac:dyDescent="0.25">
      <c r="A136" s="101">
        <f t="shared" si="142"/>
        <v>39995</v>
      </c>
      <c r="B136" s="102">
        <f t="shared" si="121"/>
        <v>3.0730000000000004</v>
      </c>
      <c r="C136" s="80">
        <f t="shared" si="143"/>
        <v>0.17</v>
      </c>
      <c r="D136" s="102">
        <f t="shared" si="71"/>
        <v>-0.17</v>
      </c>
      <c r="E136" s="106">
        <f t="shared" si="72"/>
        <v>1</v>
      </c>
      <c r="F136" s="105">
        <f t="shared" ca="1" si="144"/>
        <v>3221</v>
      </c>
      <c r="G136" s="80" t="e">
        <f t="shared" si="145"/>
        <v>#DIV/0!</v>
      </c>
      <c r="H136" s="80" t="e">
        <f t="shared" si="146"/>
        <v>#DIV/0!</v>
      </c>
      <c r="I136" s="104">
        <f t="shared" si="76"/>
        <v>5</v>
      </c>
      <c r="K136" s="102">
        <f t="shared" si="77"/>
        <v>-0.17</v>
      </c>
      <c r="L136" s="106">
        <f t="shared" si="78"/>
        <v>1</v>
      </c>
      <c r="M136" s="105">
        <f t="shared" ca="1" si="147"/>
        <v>3221</v>
      </c>
      <c r="N136" s="217" t="e">
        <f t="shared" si="148"/>
        <v>#DIV/0!</v>
      </c>
      <c r="O136" s="80" t="e">
        <f t="shared" si="149"/>
        <v>#DIV/0!</v>
      </c>
      <c r="P136" s="104">
        <f t="shared" si="82"/>
        <v>5</v>
      </c>
      <c r="R136" s="102">
        <f t="shared" si="83"/>
        <v>0.27750000000000002</v>
      </c>
      <c r="S136" s="106">
        <f t="shared" si="84"/>
        <v>1</v>
      </c>
      <c r="T136" s="105">
        <f t="shared" ca="1" si="150"/>
        <v>3221</v>
      </c>
      <c r="U136" s="217" t="e">
        <f t="shared" si="151"/>
        <v>#DIV/0!</v>
      </c>
      <c r="V136" s="80" t="e">
        <f t="shared" si="152"/>
        <v>#DIV/0!</v>
      </c>
      <c r="W136" s="104">
        <f t="shared" si="88"/>
        <v>4.95</v>
      </c>
      <c r="X136" s="105"/>
      <c r="Y136" s="102">
        <f t="shared" si="89"/>
        <v>2.2499999999999999E-2</v>
      </c>
      <c r="Z136" s="106">
        <f t="shared" si="90"/>
        <v>1</v>
      </c>
      <c r="AA136" s="105">
        <f t="shared" ca="1" si="153"/>
        <v>3221</v>
      </c>
      <c r="AB136" s="80" t="e">
        <f t="shared" si="154"/>
        <v>#DIV/0!</v>
      </c>
      <c r="AC136" s="80" t="e">
        <f t="shared" si="155"/>
        <v>#DIV/0!</v>
      </c>
      <c r="AD136" s="104">
        <f t="shared" si="94"/>
        <v>3.98</v>
      </c>
      <c r="AF136" s="105">
        <f t="shared" ca="1" si="123"/>
        <v>3221</v>
      </c>
      <c r="AG136" s="105">
        <f t="shared" ca="1" si="124"/>
        <v>3220</v>
      </c>
      <c r="AH136" s="80">
        <f t="shared" si="95"/>
        <v>6.9986599306366026E-2</v>
      </c>
      <c r="AI136" s="182">
        <f t="shared" si="96"/>
        <v>31</v>
      </c>
      <c r="AL136" s="105"/>
      <c r="AM136" s="82"/>
      <c r="AN136" s="82">
        <f t="shared" si="156"/>
        <v>0</v>
      </c>
      <c r="AO136" s="82" t="e">
        <f t="shared" si="157"/>
        <v>#DIV/0!</v>
      </c>
      <c r="AP136" s="77">
        <f t="shared" si="158"/>
        <v>0</v>
      </c>
      <c r="AQ136" s="108">
        <f t="shared" si="159"/>
        <v>0</v>
      </c>
      <c r="AR136" s="107">
        <f t="shared" si="160"/>
        <v>0</v>
      </c>
      <c r="AS136" s="107">
        <f t="shared" si="161"/>
        <v>0</v>
      </c>
      <c r="AT136" s="107">
        <f t="shared" si="162"/>
        <v>0</v>
      </c>
      <c r="AU136" s="109">
        <f t="shared" si="163"/>
        <v>0</v>
      </c>
      <c r="AV136" s="109">
        <f t="shared" si="164"/>
        <v>0</v>
      </c>
      <c r="AW136" s="109">
        <f t="shared" si="165"/>
        <v>0</v>
      </c>
      <c r="AY136" s="82">
        <f t="shared" si="166"/>
        <v>0</v>
      </c>
      <c r="AZ136" s="82" t="e">
        <f t="shared" si="167"/>
        <v>#DIV/0!</v>
      </c>
      <c r="BA136" s="77">
        <f t="shared" si="168"/>
        <v>0</v>
      </c>
      <c r="BB136" s="108">
        <f t="shared" si="169"/>
        <v>0</v>
      </c>
      <c r="BC136" s="107">
        <f t="shared" si="170"/>
        <v>0</v>
      </c>
      <c r="BD136" s="107">
        <f t="shared" si="171"/>
        <v>0</v>
      </c>
      <c r="BE136" s="107">
        <f t="shared" si="172"/>
        <v>0</v>
      </c>
      <c r="BF136" s="109">
        <f t="shared" si="173"/>
        <v>0</v>
      </c>
      <c r="BG136" s="109">
        <f t="shared" si="174"/>
        <v>0</v>
      </c>
      <c r="BH136" s="109">
        <f t="shared" si="175"/>
        <v>0</v>
      </c>
      <c r="BJ136" s="82">
        <f t="shared" si="176"/>
        <v>0</v>
      </c>
      <c r="BK136" s="82" t="e">
        <f t="shared" si="177"/>
        <v>#DIV/0!</v>
      </c>
      <c r="BL136" s="77">
        <f t="shared" si="178"/>
        <v>0</v>
      </c>
      <c r="BM136" s="108">
        <f t="shared" si="179"/>
        <v>0</v>
      </c>
      <c r="BN136" s="107">
        <f t="shared" si="180"/>
        <v>0</v>
      </c>
      <c r="BO136" s="107">
        <f t="shared" si="181"/>
        <v>0</v>
      </c>
      <c r="BP136" s="107">
        <f t="shared" si="182"/>
        <v>0</v>
      </c>
      <c r="BQ136" s="109">
        <f t="shared" si="183"/>
        <v>0</v>
      </c>
      <c r="BR136" s="109">
        <f t="shared" si="184"/>
        <v>0</v>
      </c>
      <c r="BS136" s="109">
        <f t="shared" si="185"/>
        <v>0</v>
      </c>
      <c r="BU136" s="82">
        <f t="shared" si="186"/>
        <v>0</v>
      </c>
      <c r="BV136" s="82" t="e">
        <f t="shared" si="187"/>
        <v>#DIV/0!</v>
      </c>
      <c r="BW136" s="77">
        <f t="shared" si="188"/>
        <v>0</v>
      </c>
      <c r="BX136" s="108">
        <f t="shared" si="189"/>
        <v>0</v>
      </c>
      <c r="BY136" s="107">
        <f t="shared" si="190"/>
        <v>0</v>
      </c>
      <c r="BZ136" s="107">
        <f t="shared" si="191"/>
        <v>0</v>
      </c>
      <c r="CA136" s="107">
        <f t="shared" si="192"/>
        <v>0</v>
      </c>
      <c r="CB136" s="109">
        <f t="shared" si="193"/>
        <v>0</v>
      </c>
      <c r="CC136" s="109">
        <f t="shared" si="194"/>
        <v>0</v>
      </c>
      <c r="CD136" s="109">
        <f t="shared" si="195"/>
        <v>0</v>
      </c>
    </row>
    <row r="137" spans="1:82" x14ac:dyDescent="0.25">
      <c r="A137" s="101">
        <f t="shared" si="142"/>
        <v>40026</v>
      </c>
      <c r="B137" s="102">
        <f t="shared" si="121"/>
        <v>3.0940000000000003</v>
      </c>
      <c r="C137" s="80">
        <f t="shared" si="143"/>
        <v>0.17</v>
      </c>
      <c r="D137" s="102">
        <f t="shared" si="71"/>
        <v>-0.17</v>
      </c>
      <c r="E137" s="106">
        <f t="shared" si="72"/>
        <v>1</v>
      </c>
      <c r="F137" s="105">
        <f t="shared" ca="1" si="144"/>
        <v>3254</v>
      </c>
      <c r="G137" s="80" t="e">
        <f t="shared" si="145"/>
        <v>#DIV/0!</v>
      </c>
      <c r="H137" s="80" t="e">
        <f t="shared" si="146"/>
        <v>#DIV/0!</v>
      </c>
      <c r="I137" s="104">
        <f t="shared" si="76"/>
        <v>5</v>
      </c>
      <c r="K137" s="102">
        <f t="shared" si="77"/>
        <v>-0.17</v>
      </c>
      <c r="L137" s="106">
        <f t="shared" si="78"/>
        <v>1</v>
      </c>
      <c r="M137" s="105">
        <f t="shared" ca="1" si="147"/>
        <v>3254</v>
      </c>
      <c r="N137" s="217" t="e">
        <f t="shared" si="148"/>
        <v>#DIV/0!</v>
      </c>
      <c r="O137" s="80" t="e">
        <f t="shared" si="149"/>
        <v>#DIV/0!</v>
      </c>
      <c r="P137" s="104">
        <f t="shared" si="82"/>
        <v>5</v>
      </c>
      <c r="R137" s="102">
        <f t="shared" si="83"/>
        <v>0.27500000000000002</v>
      </c>
      <c r="S137" s="106">
        <f t="shared" si="84"/>
        <v>1</v>
      </c>
      <c r="T137" s="105">
        <f t="shared" ca="1" si="150"/>
        <v>3254</v>
      </c>
      <c r="U137" s="217" t="e">
        <f t="shared" si="151"/>
        <v>#DIV/0!</v>
      </c>
      <c r="V137" s="80" t="e">
        <f t="shared" si="152"/>
        <v>#DIV/0!</v>
      </c>
      <c r="W137" s="104">
        <f t="shared" si="88"/>
        <v>4.95</v>
      </c>
      <c r="X137" s="105"/>
      <c r="Y137" s="102">
        <f t="shared" si="89"/>
        <v>2.5000000000000001E-2</v>
      </c>
      <c r="Z137" s="106">
        <f t="shared" si="90"/>
        <v>1</v>
      </c>
      <c r="AA137" s="105">
        <f t="shared" ca="1" si="153"/>
        <v>3254</v>
      </c>
      <c r="AB137" s="80" t="e">
        <f t="shared" si="154"/>
        <v>#DIV/0!</v>
      </c>
      <c r="AC137" s="80" t="e">
        <f t="shared" si="155"/>
        <v>#DIV/0!</v>
      </c>
      <c r="AD137" s="104">
        <f t="shared" si="94"/>
        <v>3.98</v>
      </c>
      <c r="AF137" s="105">
        <f t="shared" ca="1" si="123"/>
        <v>3254</v>
      </c>
      <c r="AG137" s="105">
        <f t="shared" ca="1" si="124"/>
        <v>3253</v>
      </c>
      <c r="AH137" s="80">
        <f t="shared" si="95"/>
        <v>6.9999736856888012E-2</v>
      </c>
      <c r="AI137" s="182">
        <f t="shared" si="96"/>
        <v>31</v>
      </c>
      <c r="AL137" s="105"/>
      <c r="AM137" s="82"/>
      <c r="AN137" s="82">
        <f t="shared" si="156"/>
        <v>0</v>
      </c>
      <c r="AO137" s="82" t="e">
        <f t="shared" si="157"/>
        <v>#DIV/0!</v>
      </c>
      <c r="AP137" s="77">
        <f t="shared" si="158"/>
        <v>0</v>
      </c>
      <c r="AQ137" s="108">
        <f t="shared" si="159"/>
        <v>0</v>
      </c>
      <c r="AR137" s="107">
        <f t="shared" si="160"/>
        <v>0</v>
      </c>
      <c r="AS137" s="107">
        <f t="shared" si="161"/>
        <v>0</v>
      </c>
      <c r="AT137" s="107">
        <f t="shared" si="162"/>
        <v>0</v>
      </c>
      <c r="AU137" s="109">
        <f t="shared" si="163"/>
        <v>0</v>
      </c>
      <c r="AV137" s="109">
        <f t="shared" si="164"/>
        <v>0</v>
      </c>
      <c r="AW137" s="109">
        <f t="shared" si="165"/>
        <v>0</v>
      </c>
      <c r="AY137" s="82">
        <f t="shared" si="166"/>
        <v>0</v>
      </c>
      <c r="AZ137" s="82" t="e">
        <f t="shared" si="167"/>
        <v>#DIV/0!</v>
      </c>
      <c r="BA137" s="77">
        <f t="shared" si="168"/>
        <v>0</v>
      </c>
      <c r="BB137" s="108">
        <f t="shared" si="169"/>
        <v>0</v>
      </c>
      <c r="BC137" s="107">
        <f t="shared" si="170"/>
        <v>0</v>
      </c>
      <c r="BD137" s="107">
        <f t="shared" si="171"/>
        <v>0</v>
      </c>
      <c r="BE137" s="107">
        <f t="shared" si="172"/>
        <v>0</v>
      </c>
      <c r="BF137" s="109">
        <f t="shared" si="173"/>
        <v>0</v>
      </c>
      <c r="BG137" s="109">
        <f t="shared" si="174"/>
        <v>0</v>
      </c>
      <c r="BH137" s="109">
        <f t="shared" si="175"/>
        <v>0</v>
      </c>
      <c r="BJ137" s="82">
        <f t="shared" si="176"/>
        <v>0</v>
      </c>
      <c r="BK137" s="82" t="e">
        <f t="shared" si="177"/>
        <v>#DIV/0!</v>
      </c>
      <c r="BL137" s="77">
        <f t="shared" si="178"/>
        <v>0</v>
      </c>
      <c r="BM137" s="108">
        <f t="shared" si="179"/>
        <v>0</v>
      </c>
      <c r="BN137" s="107">
        <f t="shared" si="180"/>
        <v>0</v>
      </c>
      <c r="BO137" s="107">
        <f t="shared" si="181"/>
        <v>0</v>
      </c>
      <c r="BP137" s="107">
        <f t="shared" si="182"/>
        <v>0</v>
      </c>
      <c r="BQ137" s="109">
        <f t="shared" si="183"/>
        <v>0</v>
      </c>
      <c r="BR137" s="109">
        <f t="shared" si="184"/>
        <v>0</v>
      </c>
      <c r="BS137" s="109">
        <f t="shared" si="185"/>
        <v>0</v>
      </c>
      <c r="BU137" s="82">
        <f t="shared" si="186"/>
        <v>0</v>
      </c>
      <c r="BV137" s="82" t="e">
        <f t="shared" si="187"/>
        <v>#DIV/0!</v>
      </c>
      <c r="BW137" s="77">
        <f t="shared" si="188"/>
        <v>0</v>
      </c>
      <c r="BX137" s="108">
        <f t="shared" si="189"/>
        <v>0</v>
      </c>
      <c r="BY137" s="107">
        <f t="shared" si="190"/>
        <v>0</v>
      </c>
      <c r="BZ137" s="107">
        <f t="shared" si="191"/>
        <v>0</v>
      </c>
      <c r="CA137" s="107">
        <f t="shared" si="192"/>
        <v>0</v>
      </c>
      <c r="CB137" s="109">
        <f t="shared" si="193"/>
        <v>0</v>
      </c>
      <c r="CC137" s="109">
        <f t="shared" si="194"/>
        <v>0</v>
      </c>
      <c r="CD137" s="109">
        <f t="shared" si="195"/>
        <v>0</v>
      </c>
    </row>
    <row r="138" spans="1:82" x14ac:dyDescent="0.25">
      <c r="A138" s="101">
        <f t="shared" si="142"/>
        <v>40057</v>
      </c>
      <c r="B138" s="102">
        <f t="shared" si="121"/>
        <v>3.0780000000000003</v>
      </c>
      <c r="C138" s="80">
        <f t="shared" si="143"/>
        <v>0.17</v>
      </c>
      <c r="D138" s="102">
        <f t="shared" si="71"/>
        <v>-0.17</v>
      </c>
      <c r="E138" s="106">
        <f t="shared" si="72"/>
        <v>1</v>
      </c>
      <c r="F138" s="105">
        <f t="shared" ca="1" si="144"/>
        <v>3283</v>
      </c>
      <c r="G138" s="80" t="e">
        <f t="shared" si="145"/>
        <v>#DIV/0!</v>
      </c>
      <c r="H138" s="80" t="e">
        <f t="shared" si="146"/>
        <v>#DIV/0!</v>
      </c>
      <c r="I138" s="104">
        <f t="shared" si="76"/>
        <v>5</v>
      </c>
      <c r="K138" s="102">
        <f t="shared" si="77"/>
        <v>-0.17</v>
      </c>
      <c r="L138" s="106">
        <f t="shared" si="78"/>
        <v>1</v>
      </c>
      <c r="M138" s="105">
        <f t="shared" ca="1" si="147"/>
        <v>3283</v>
      </c>
      <c r="N138" s="217" t="e">
        <f t="shared" si="148"/>
        <v>#DIV/0!</v>
      </c>
      <c r="O138" s="80" t="e">
        <f t="shared" si="149"/>
        <v>#DIV/0!</v>
      </c>
      <c r="P138" s="104">
        <f t="shared" si="82"/>
        <v>5</v>
      </c>
      <c r="R138" s="102">
        <f t="shared" si="83"/>
        <v>0.27250000000000002</v>
      </c>
      <c r="S138" s="106">
        <f t="shared" si="84"/>
        <v>1</v>
      </c>
      <c r="T138" s="105">
        <f t="shared" ca="1" si="150"/>
        <v>3283</v>
      </c>
      <c r="U138" s="217" t="e">
        <f t="shared" si="151"/>
        <v>#DIV/0!</v>
      </c>
      <c r="V138" s="80" t="e">
        <f t="shared" si="152"/>
        <v>#DIV/0!</v>
      </c>
      <c r="W138" s="104">
        <f t="shared" si="88"/>
        <v>4.95</v>
      </c>
      <c r="X138" s="105"/>
      <c r="Y138" s="102">
        <f t="shared" si="89"/>
        <v>1.7500000000000002E-2</v>
      </c>
      <c r="Z138" s="106">
        <f t="shared" si="90"/>
        <v>1</v>
      </c>
      <c r="AA138" s="105">
        <f t="shared" ca="1" si="153"/>
        <v>3283</v>
      </c>
      <c r="AB138" s="80" t="e">
        <f t="shared" si="154"/>
        <v>#DIV/0!</v>
      </c>
      <c r="AC138" s="80" t="e">
        <f t="shared" si="155"/>
        <v>#DIV/0!</v>
      </c>
      <c r="AD138" s="104">
        <f t="shared" si="94"/>
        <v>3.98</v>
      </c>
      <c r="AF138" s="105">
        <f t="shared" ca="1" si="123"/>
        <v>3283</v>
      </c>
      <c r="AG138" s="105">
        <f t="shared" ca="1" si="124"/>
        <v>3282</v>
      </c>
      <c r="AH138" s="80">
        <f t="shared" si="95"/>
        <v>7.0012874407467007E-2</v>
      </c>
      <c r="AI138" s="182">
        <f t="shared" si="96"/>
        <v>30</v>
      </c>
      <c r="AL138" s="105"/>
      <c r="AM138" s="82"/>
      <c r="AN138" s="82">
        <f t="shared" si="156"/>
        <v>0</v>
      </c>
      <c r="AO138" s="82" t="e">
        <f t="shared" si="157"/>
        <v>#DIV/0!</v>
      </c>
      <c r="AP138" s="77">
        <f t="shared" si="158"/>
        <v>0</v>
      </c>
      <c r="AQ138" s="108">
        <f t="shared" si="159"/>
        <v>0</v>
      </c>
      <c r="AR138" s="107">
        <f t="shared" si="160"/>
        <v>0</v>
      </c>
      <c r="AS138" s="107">
        <f t="shared" si="161"/>
        <v>0</v>
      </c>
      <c r="AT138" s="107">
        <f t="shared" si="162"/>
        <v>0</v>
      </c>
      <c r="AU138" s="109">
        <f t="shared" si="163"/>
        <v>0</v>
      </c>
      <c r="AV138" s="109">
        <f t="shared" si="164"/>
        <v>0</v>
      </c>
      <c r="AW138" s="109">
        <f t="shared" si="165"/>
        <v>0</v>
      </c>
      <c r="AY138" s="82">
        <f t="shared" si="166"/>
        <v>0</v>
      </c>
      <c r="AZ138" s="82" t="e">
        <f t="shared" si="167"/>
        <v>#DIV/0!</v>
      </c>
      <c r="BA138" s="77">
        <f t="shared" si="168"/>
        <v>0</v>
      </c>
      <c r="BB138" s="108">
        <f t="shared" si="169"/>
        <v>0</v>
      </c>
      <c r="BC138" s="107">
        <f t="shared" si="170"/>
        <v>0</v>
      </c>
      <c r="BD138" s="107">
        <f t="shared" si="171"/>
        <v>0</v>
      </c>
      <c r="BE138" s="107">
        <f t="shared" si="172"/>
        <v>0</v>
      </c>
      <c r="BF138" s="109">
        <f t="shared" si="173"/>
        <v>0</v>
      </c>
      <c r="BG138" s="109">
        <f t="shared" si="174"/>
        <v>0</v>
      </c>
      <c r="BH138" s="109">
        <f t="shared" si="175"/>
        <v>0</v>
      </c>
      <c r="BJ138" s="82">
        <f t="shared" si="176"/>
        <v>0</v>
      </c>
      <c r="BK138" s="82" t="e">
        <f t="shared" si="177"/>
        <v>#DIV/0!</v>
      </c>
      <c r="BL138" s="77">
        <f t="shared" si="178"/>
        <v>0</v>
      </c>
      <c r="BM138" s="108">
        <f t="shared" si="179"/>
        <v>0</v>
      </c>
      <c r="BN138" s="107">
        <f t="shared" si="180"/>
        <v>0</v>
      </c>
      <c r="BO138" s="107">
        <f t="shared" si="181"/>
        <v>0</v>
      </c>
      <c r="BP138" s="107">
        <f t="shared" si="182"/>
        <v>0</v>
      </c>
      <c r="BQ138" s="109">
        <f t="shared" si="183"/>
        <v>0</v>
      </c>
      <c r="BR138" s="109">
        <f t="shared" si="184"/>
        <v>0</v>
      </c>
      <c r="BS138" s="109">
        <f t="shared" si="185"/>
        <v>0</v>
      </c>
      <c r="BU138" s="82">
        <f t="shared" si="186"/>
        <v>0</v>
      </c>
      <c r="BV138" s="82" t="e">
        <f t="shared" si="187"/>
        <v>#DIV/0!</v>
      </c>
      <c r="BW138" s="77">
        <f t="shared" si="188"/>
        <v>0</v>
      </c>
      <c r="BX138" s="108">
        <f t="shared" si="189"/>
        <v>0</v>
      </c>
      <c r="BY138" s="107">
        <f t="shared" si="190"/>
        <v>0</v>
      </c>
      <c r="BZ138" s="107">
        <f t="shared" si="191"/>
        <v>0</v>
      </c>
      <c r="CA138" s="107">
        <f t="shared" si="192"/>
        <v>0</v>
      </c>
      <c r="CB138" s="109">
        <f t="shared" si="193"/>
        <v>0</v>
      </c>
      <c r="CC138" s="109">
        <f t="shared" si="194"/>
        <v>0</v>
      </c>
      <c r="CD138" s="109">
        <f t="shared" si="195"/>
        <v>0</v>
      </c>
    </row>
    <row r="139" spans="1:82" x14ac:dyDescent="0.25">
      <c r="A139" s="101">
        <f t="shared" si="142"/>
        <v>40087</v>
      </c>
      <c r="B139" s="102">
        <f t="shared" si="121"/>
        <v>3.077</v>
      </c>
      <c r="C139" s="80">
        <f t="shared" si="143"/>
        <v>0.17</v>
      </c>
      <c r="D139" s="102">
        <f t="shared" si="71"/>
        <v>-0.17</v>
      </c>
      <c r="E139" s="106">
        <f t="shared" si="72"/>
        <v>1</v>
      </c>
      <c r="F139" s="105">
        <f t="shared" ca="1" si="144"/>
        <v>3315</v>
      </c>
      <c r="G139" s="80" t="e">
        <f t="shared" si="145"/>
        <v>#DIV/0!</v>
      </c>
      <c r="H139" s="80" t="e">
        <f t="shared" si="146"/>
        <v>#DIV/0!</v>
      </c>
      <c r="I139" s="104">
        <f t="shared" si="76"/>
        <v>5</v>
      </c>
      <c r="K139" s="102">
        <f t="shared" si="77"/>
        <v>-0.17</v>
      </c>
      <c r="L139" s="106">
        <f t="shared" si="78"/>
        <v>1</v>
      </c>
      <c r="M139" s="105">
        <f t="shared" ca="1" si="147"/>
        <v>3315</v>
      </c>
      <c r="N139" s="217" t="e">
        <f t="shared" si="148"/>
        <v>#DIV/0!</v>
      </c>
      <c r="O139" s="80" t="e">
        <f t="shared" si="149"/>
        <v>#DIV/0!</v>
      </c>
      <c r="P139" s="104">
        <f t="shared" si="82"/>
        <v>5</v>
      </c>
      <c r="R139" s="102">
        <f t="shared" si="83"/>
        <v>0.28749999999999998</v>
      </c>
      <c r="S139" s="106">
        <f t="shared" si="84"/>
        <v>1</v>
      </c>
      <c r="T139" s="105">
        <f t="shared" ca="1" si="150"/>
        <v>3315</v>
      </c>
      <c r="U139" s="217" t="e">
        <f t="shared" si="151"/>
        <v>#DIV/0!</v>
      </c>
      <c r="V139" s="80" t="e">
        <f t="shared" si="152"/>
        <v>#DIV/0!</v>
      </c>
      <c r="W139" s="104">
        <f t="shared" si="88"/>
        <v>4.95</v>
      </c>
      <c r="X139" s="105"/>
      <c r="Y139" s="102">
        <f t="shared" si="89"/>
        <v>7.4999999999999997E-3</v>
      </c>
      <c r="Z139" s="106">
        <f t="shared" si="90"/>
        <v>1</v>
      </c>
      <c r="AA139" s="105">
        <f t="shared" ca="1" si="153"/>
        <v>3315</v>
      </c>
      <c r="AB139" s="80" t="e">
        <f t="shared" si="154"/>
        <v>#DIV/0!</v>
      </c>
      <c r="AC139" s="80" t="e">
        <f t="shared" si="155"/>
        <v>#DIV/0!</v>
      </c>
      <c r="AD139" s="104">
        <f t="shared" si="94"/>
        <v>3.98</v>
      </c>
      <c r="AF139" s="105">
        <f t="shared" ca="1" si="123"/>
        <v>3315</v>
      </c>
      <c r="AG139" s="105">
        <f t="shared" ca="1" si="124"/>
        <v>3312</v>
      </c>
      <c r="AH139" s="80">
        <f t="shared" si="95"/>
        <v>7.0025588166146027E-2</v>
      </c>
      <c r="AI139" s="182">
        <f t="shared" si="96"/>
        <v>31</v>
      </c>
      <c r="AL139" s="105"/>
      <c r="AM139" s="82"/>
      <c r="AN139" s="82">
        <f t="shared" si="156"/>
        <v>0</v>
      </c>
      <c r="AO139" s="82" t="e">
        <f t="shared" si="157"/>
        <v>#DIV/0!</v>
      </c>
      <c r="AP139" s="77">
        <f t="shared" si="158"/>
        <v>0</v>
      </c>
      <c r="AQ139" s="108">
        <f t="shared" si="159"/>
        <v>0</v>
      </c>
      <c r="AR139" s="107">
        <f t="shared" si="160"/>
        <v>0</v>
      </c>
      <c r="AS139" s="107">
        <f t="shared" si="161"/>
        <v>0</v>
      </c>
      <c r="AT139" s="107">
        <f t="shared" si="162"/>
        <v>0</v>
      </c>
      <c r="AU139" s="109">
        <f t="shared" si="163"/>
        <v>0</v>
      </c>
      <c r="AV139" s="109">
        <f t="shared" si="164"/>
        <v>0</v>
      </c>
      <c r="AW139" s="109">
        <f t="shared" si="165"/>
        <v>0</v>
      </c>
      <c r="AY139" s="82">
        <f t="shared" si="166"/>
        <v>0</v>
      </c>
      <c r="AZ139" s="82" t="e">
        <f t="shared" si="167"/>
        <v>#DIV/0!</v>
      </c>
      <c r="BA139" s="77">
        <f t="shared" si="168"/>
        <v>0</v>
      </c>
      <c r="BB139" s="108">
        <f t="shared" si="169"/>
        <v>0</v>
      </c>
      <c r="BC139" s="107">
        <f t="shared" si="170"/>
        <v>0</v>
      </c>
      <c r="BD139" s="107">
        <f t="shared" si="171"/>
        <v>0</v>
      </c>
      <c r="BE139" s="107">
        <f t="shared" si="172"/>
        <v>0</v>
      </c>
      <c r="BF139" s="109">
        <f t="shared" si="173"/>
        <v>0</v>
      </c>
      <c r="BG139" s="109">
        <f t="shared" si="174"/>
        <v>0</v>
      </c>
      <c r="BH139" s="109">
        <f t="shared" si="175"/>
        <v>0</v>
      </c>
      <c r="BJ139" s="82">
        <f t="shared" si="176"/>
        <v>0</v>
      </c>
      <c r="BK139" s="82" t="e">
        <f t="shared" si="177"/>
        <v>#DIV/0!</v>
      </c>
      <c r="BL139" s="77">
        <f t="shared" si="178"/>
        <v>0</v>
      </c>
      <c r="BM139" s="108">
        <f t="shared" si="179"/>
        <v>0</v>
      </c>
      <c r="BN139" s="107">
        <f t="shared" si="180"/>
        <v>0</v>
      </c>
      <c r="BO139" s="107">
        <f t="shared" si="181"/>
        <v>0</v>
      </c>
      <c r="BP139" s="107">
        <f t="shared" si="182"/>
        <v>0</v>
      </c>
      <c r="BQ139" s="109">
        <f t="shared" si="183"/>
        <v>0</v>
      </c>
      <c r="BR139" s="109">
        <f t="shared" si="184"/>
        <v>0</v>
      </c>
      <c r="BS139" s="109">
        <f t="shared" si="185"/>
        <v>0</v>
      </c>
      <c r="BU139" s="82">
        <f t="shared" si="186"/>
        <v>0</v>
      </c>
      <c r="BV139" s="82" t="e">
        <f t="shared" si="187"/>
        <v>#DIV/0!</v>
      </c>
      <c r="BW139" s="77">
        <f t="shared" si="188"/>
        <v>0</v>
      </c>
      <c r="BX139" s="108">
        <f t="shared" si="189"/>
        <v>0</v>
      </c>
      <c r="BY139" s="107">
        <f t="shared" si="190"/>
        <v>0</v>
      </c>
      <c r="BZ139" s="107">
        <f t="shared" si="191"/>
        <v>0</v>
      </c>
      <c r="CA139" s="107">
        <f t="shared" si="192"/>
        <v>0</v>
      </c>
      <c r="CB139" s="109">
        <f t="shared" si="193"/>
        <v>0</v>
      </c>
      <c r="CC139" s="109">
        <f t="shared" si="194"/>
        <v>0</v>
      </c>
      <c r="CD139" s="109">
        <f t="shared" si="195"/>
        <v>0</v>
      </c>
    </row>
    <row r="140" spans="1:82" x14ac:dyDescent="0.25">
      <c r="A140" s="101">
        <f t="shared" si="142"/>
        <v>40118</v>
      </c>
      <c r="B140" s="102">
        <f t="shared" si="121"/>
        <v>3.1390000000000002</v>
      </c>
      <c r="C140" s="80">
        <f t="shared" si="143"/>
        <v>0.17</v>
      </c>
      <c r="D140" s="102">
        <f t="shared" si="71"/>
        <v>-0.17</v>
      </c>
      <c r="E140" s="106">
        <f t="shared" si="72"/>
        <v>1</v>
      </c>
      <c r="F140" s="105">
        <f t="shared" ca="1" si="144"/>
        <v>3345</v>
      </c>
      <c r="G140" s="80" t="e">
        <f t="shared" si="145"/>
        <v>#DIV/0!</v>
      </c>
      <c r="H140" s="80" t="e">
        <f t="shared" si="146"/>
        <v>#DIV/0!</v>
      </c>
      <c r="I140" s="104">
        <f t="shared" si="76"/>
        <v>5</v>
      </c>
      <c r="K140" s="102">
        <f t="shared" si="77"/>
        <v>-0.17</v>
      </c>
      <c r="L140" s="106">
        <f t="shared" si="78"/>
        <v>1</v>
      </c>
      <c r="M140" s="105">
        <f t="shared" ca="1" si="147"/>
        <v>3345</v>
      </c>
      <c r="N140" s="217" t="e">
        <f t="shared" si="148"/>
        <v>#DIV/0!</v>
      </c>
      <c r="O140" s="80" t="e">
        <f t="shared" si="149"/>
        <v>#DIV/0!</v>
      </c>
      <c r="P140" s="104">
        <f t="shared" si="82"/>
        <v>5</v>
      </c>
      <c r="R140" s="102">
        <f t="shared" si="83"/>
        <v>0.35</v>
      </c>
      <c r="S140" s="106">
        <f t="shared" si="84"/>
        <v>1</v>
      </c>
      <c r="T140" s="105">
        <f t="shared" ca="1" si="150"/>
        <v>3345</v>
      </c>
      <c r="U140" s="217" t="e">
        <f t="shared" si="151"/>
        <v>#DIV/0!</v>
      </c>
      <c r="V140" s="80" t="e">
        <f t="shared" si="152"/>
        <v>#DIV/0!</v>
      </c>
      <c r="W140" s="104">
        <f t="shared" si="88"/>
        <v>4.95</v>
      </c>
      <c r="X140" s="105"/>
      <c r="Y140" s="102">
        <f t="shared" si="89"/>
        <v>-3.2500000000000001E-2</v>
      </c>
      <c r="Z140" s="106">
        <f t="shared" si="90"/>
        <v>1</v>
      </c>
      <c r="AA140" s="105">
        <f t="shared" ca="1" si="153"/>
        <v>3345</v>
      </c>
      <c r="AB140" s="80" t="e">
        <f t="shared" si="154"/>
        <v>#DIV/0!</v>
      </c>
      <c r="AC140" s="80" t="e">
        <f t="shared" si="155"/>
        <v>#DIV/0!</v>
      </c>
      <c r="AD140" s="104">
        <f t="shared" si="94"/>
        <v>3.98</v>
      </c>
      <c r="AF140" s="105">
        <f t="shared" ca="1" si="123"/>
        <v>3345</v>
      </c>
      <c r="AG140" s="105">
        <f t="shared" ca="1" si="124"/>
        <v>3344</v>
      </c>
      <c r="AH140" s="80">
        <f t="shared" si="95"/>
        <v>7.0038725716837016E-2</v>
      </c>
      <c r="AI140" s="182">
        <f t="shared" si="96"/>
        <v>30</v>
      </c>
      <c r="AL140" s="105"/>
      <c r="AM140" s="82"/>
      <c r="AN140" s="82">
        <f t="shared" si="156"/>
        <v>0</v>
      </c>
      <c r="AO140" s="82" t="e">
        <f t="shared" si="157"/>
        <v>#DIV/0!</v>
      </c>
      <c r="AP140" s="77">
        <f t="shared" si="158"/>
        <v>0</v>
      </c>
      <c r="AQ140" s="108">
        <f t="shared" si="159"/>
        <v>0</v>
      </c>
      <c r="AR140" s="107">
        <f t="shared" si="160"/>
        <v>0</v>
      </c>
      <c r="AS140" s="107">
        <f t="shared" si="161"/>
        <v>0</v>
      </c>
      <c r="AT140" s="107">
        <f t="shared" si="162"/>
        <v>0</v>
      </c>
      <c r="AU140" s="109">
        <f t="shared" si="163"/>
        <v>0</v>
      </c>
      <c r="AV140" s="109">
        <f t="shared" si="164"/>
        <v>0</v>
      </c>
      <c r="AW140" s="109">
        <f t="shared" si="165"/>
        <v>0</v>
      </c>
      <c r="AY140" s="82">
        <f t="shared" si="166"/>
        <v>0</v>
      </c>
      <c r="AZ140" s="82" t="e">
        <f t="shared" si="167"/>
        <v>#DIV/0!</v>
      </c>
      <c r="BA140" s="77">
        <f t="shared" si="168"/>
        <v>0</v>
      </c>
      <c r="BB140" s="108">
        <f t="shared" si="169"/>
        <v>0</v>
      </c>
      <c r="BC140" s="107">
        <f t="shared" si="170"/>
        <v>0</v>
      </c>
      <c r="BD140" s="107">
        <f t="shared" si="171"/>
        <v>0</v>
      </c>
      <c r="BE140" s="107">
        <f t="shared" si="172"/>
        <v>0</v>
      </c>
      <c r="BF140" s="109">
        <f t="shared" si="173"/>
        <v>0</v>
      </c>
      <c r="BG140" s="109">
        <f t="shared" si="174"/>
        <v>0</v>
      </c>
      <c r="BH140" s="109">
        <f t="shared" si="175"/>
        <v>0</v>
      </c>
      <c r="BJ140" s="82">
        <f t="shared" si="176"/>
        <v>0</v>
      </c>
      <c r="BK140" s="82" t="e">
        <f t="shared" si="177"/>
        <v>#DIV/0!</v>
      </c>
      <c r="BL140" s="77">
        <f t="shared" si="178"/>
        <v>0</v>
      </c>
      <c r="BM140" s="108">
        <f t="shared" si="179"/>
        <v>0</v>
      </c>
      <c r="BN140" s="107">
        <f t="shared" si="180"/>
        <v>0</v>
      </c>
      <c r="BO140" s="107">
        <f t="shared" si="181"/>
        <v>0</v>
      </c>
      <c r="BP140" s="107">
        <f t="shared" si="182"/>
        <v>0</v>
      </c>
      <c r="BQ140" s="109">
        <f t="shared" si="183"/>
        <v>0</v>
      </c>
      <c r="BR140" s="109">
        <f t="shared" si="184"/>
        <v>0</v>
      </c>
      <c r="BS140" s="109">
        <f t="shared" si="185"/>
        <v>0</v>
      </c>
      <c r="BU140" s="82">
        <f t="shared" si="186"/>
        <v>0</v>
      </c>
      <c r="BV140" s="82" t="e">
        <f t="shared" si="187"/>
        <v>#DIV/0!</v>
      </c>
      <c r="BW140" s="77">
        <f t="shared" si="188"/>
        <v>0</v>
      </c>
      <c r="BX140" s="108">
        <f t="shared" si="189"/>
        <v>0</v>
      </c>
      <c r="BY140" s="107">
        <f t="shared" si="190"/>
        <v>0</v>
      </c>
      <c r="BZ140" s="107">
        <f t="shared" si="191"/>
        <v>0</v>
      </c>
      <c r="CA140" s="107">
        <f t="shared" si="192"/>
        <v>0</v>
      </c>
      <c r="CB140" s="109">
        <f t="shared" si="193"/>
        <v>0</v>
      </c>
      <c r="CC140" s="109">
        <f t="shared" si="194"/>
        <v>0</v>
      </c>
      <c r="CD140" s="109">
        <f t="shared" si="195"/>
        <v>0</v>
      </c>
    </row>
    <row r="141" spans="1:82" x14ac:dyDescent="0.25">
      <c r="A141" s="101">
        <f t="shared" si="142"/>
        <v>40148</v>
      </c>
      <c r="B141" s="102">
        <f t="shared" si="121"/>
        <v>3.2030000000000003</v>
      </c>
      <c r="C141" s="80">
        <f t="shared" si="143"/>
        <v>0.17</v>
      </c>
      <c r="D141" s="102">
        <f t="shared" si="71"/>
        <v>-0.17</v>
      </c>
      <c r="E141" s="106">
        <f t="shared" si="72"/>
        <v>1</v>
      </c>
      <c r="F141" s="105">
        <f t="shared" ca="1" si="144"/>
        <v>3373</v>
      </c>
      <c r="G141" s="80" t="e">
        <f t="shared" si="145"/>
        <v>#DIV/0!</v>
      </c>
      <c r="H141" s="80" t="e">
        <f t="shared" si="146"/>
        <v>#DIV/0!</v>
      </c>
      <c r="I141" s="104">
        <f t="shared" si="76"/>
        <v>5</v>
      </c>
      <c r="K141" s="102">
        <f t="shared" si="77"/>
        <v>-0.17</v>
      </c>
      <c r="L141" s="106">
        <f t="shared" si="78"/>
        <v>1</v>
      </c>
      <c r="M141" s="105">
        <f t="shared" ca="1" si="147"/>
        <v>3373</v>
      </c>
      <c r="N141" s="217" t="e">
        <f t="shared" si="148"/>
        <v>#DIV/0!</v>
      </c>
      <c r="O141" s="80" t="e">
        <f t="shared" si="149"/>
        <v>#DIV/0!</v>
      </c>
      <c r="P141" s="104">
        <f t="shared" si="82"/>
        <v>5</v>
      </c>
      <c r="R141" s="102">
        <f t="shared" si="83"/>
        <v>0.39</v>
      </c>
      <c r="S141" s="106">
        <f t="shared" si="84"/>
        <v>1</v>
      </c>
      <c r="T141" s="105">
        <f t="shared" ca="1" si="150"/>
        <v>3373</v>
      </c>
      <c r="U141" s="217" t="e">
        <f t="shared" si="151"/>
        <v>#DIV/0!</v>
      </c>
      <c r="V141" s="80" t="e">
        <f t="shared" si="152"/>
        <v>#DIV/0!</v>
      </c>
      <c r="W141" s="104">
        <f t="shared" si="88"/>
        <v>4.95</v>
      </c>
      <c r="X141" s="105"/>
      <c r="Y141" s="102">
        <f t="shared" si="89"/>
        <v>-5.5E-2</v>
      </c>
      <c r="Z141" s="106">
        <f t="shared" si="90"/>
        <v>1</v>
      </c>
      <c r="AA141" s="105">
        <f t="shared" ca="1" si="153"/>
        <v>3373</v>
      </c>
      <c r="AB141" s="80" t="e">
        <f t="shared" si="154"/>
        <v>#DIV/0!</v>
      </c>
      <c r="AC141" s="80" t="e">
        <f t="shared" si="155"/>
        <v>#DIV/0!</v>
      </c>
      <c r="AD141" s="104">
        <f t="shared" si="94"/>
        <v>3.98</v>
      </c>
      <c r="AF141" s="105">
        <f t="shared" ca="1" si="123"/>
        <v>3373</v>
      </c>
      <c r="AG141" s="105">
        <f t="shared" ca="1" si="124"/>
        <v>3372</v>
      </c>
      <c r="AH141" s="80">
        <f t="shared" si="95"/>
        <v>7.0051439475624019E-2</v>
      </c>
      <c r="AI141" s="182">
        <f t="shared" si="96"/>
        <v>31</v>
      </c>
      <c r="AL141" s="105"/>
      <c r="AM141" s="82"/>
      <c r="AN141" s="82">
        <f t="shared" si="156"/>
        <v>0</v>
      </c>
      <c r="AO141" s="82" t="e">
        <f t="shared" si="157"/>
        <v>#DIV/0!</v>
      </c>
      <c r="AP141" s="77">
        <f t="shared" si="158"/>
        <v>0</v>
      </c>
      <c r="AQ141" s="108">
        <f t="shared" si="159"/>
        <v>0</v>
      </c>
      <c r="AR141" s="107">
        <f t="shared" si="160"/>
        <v>0</v>
      </c>
      <c r="AS141" s="107">
        <f t="shared" si="161"/>
        <v>0</v>
      </c>
      <c r="AT141" s="107">
        <f t="shared" si="162"/>
        <v>0</v>
      </c>
      <c r="AU141" s="109">
        <f t="shared" si="163"/>
        <v>0</v>
      </c>
      <c r="AV141" s="109">
        <f t="shared" si="164"/>
        <v>0</v>
      </c>
      <c r="AW141" s="109">
        <f t="shared" si="165"/>
        <v>0</v>
      </c>
      <c r="AY141" s="82">
        <f t="shared" si="166"/>
        <v>0</v>
      </c>
      <c r="AZ141" s="82" t="e">
        <f t="shared" si="167"/>
        <v>#DIV/0!</v>
      </c>
      <c r="BA141" s="77">
        <f t="shared" si="168"/>
        <v>0</v>
      </c>
      <c r="BB141" s="108">
        <f t="shared" si="169"/>
        <v>0</v>
      </c>
      <c r="BC141" s="107">
        <f t="shared" si="170"/>
        <v>0</v>
      </c>
      <c r="BD141" s="107">
        <f t="shared" si="171"/>
        <v>0</v>
      </c>
      <c r="BE141" s="107">
        <f t="shared" si="172"/>
        <v>0</v>
      </c>
      <c r="BF141" s="109">
        <f t="shared" si="173"/>
        <v>0</v>
      </c>
      <c r="BG141" s="109">
        <f t="shared" si="174"/>
        <v>0</v>
      </c>
      <c r="BH141" s="109">
        <f t="shared" si="175"/>
        <v>0</v>
      </c>
      <c r="BJ141" s="82">
        <f t="shared" si="176"/>
        <v>0</v>
      </c>
      <c r="BK141" s="82" t="e">
        <f t="shared" si="177"/>
        <v>#DIV/0!</v>
      </c>
      <c r="BL141" s="77">
        <f t="shared" si="178"/>
        <v>0</v>
      </c>
      <c r="BM141" s="108">
        <f t="shared" si="179"/>
        <v>0</v>
      </c>
      <c r="BN141" s="107">
        <f t="shared" si="180"/>
        <v>0</v>
      </c>
      <c r="BO141" s="107">
        <f t="shared" si="181"/>
        <v>0</v>
      </c>
      <c r="BP141" s="107">
        <f t="shared" si="182"/>
        <v>0</v>
      </c>
      <c r="BQ141" s="109">
        <f t="shared" si="183"/>
        <v>0</v>
      </c>
      <c r="BR141" s="109">
        <f t="shared" si="184"/>
        <v>0</v>
      </c>
      <c r="BS141" s="109">
        <f t="shared" si="185"/>
        <v>0</v>
      </c>
      <c r="BU141" s="82">
        <f t="shared" si="186"/>
        <v>0</v>
      </c>
      <c r="BV141" s="82" t="e">
        <f t="shared" si="187"/>
        <v>#DIV/0!</v>
      </c>
      <c r="BW141" s="77">
        <f t="shared" si="188"/>
        <v>0</v>
      </c>
      <c r="BX141" s="108">
        <f t="shared" si="189"/>
        <v>0</v>
      </c>
      <c r="BY141" s="107">
        <f t="shared" si="190"/>
        <v>0</v>
      </c>
      <c r="BZ141" s="107">
        <f t="shared" si="191"/>
        <v>0</v>
      </c>
      <c r="CA141" s="107">
        <f t="shared" si="192"/>
        <v>0</v>
      </c>
      <c r="CB141" s="109">
        <f t="shared" si="193"/>
        <v>0</v>
      </c>
      <c r="CC141" s="109">
        <f t="shared" si="194"/>
        <v>0</v>
      </c>
      <c r="CD141" s="109">
        <f t="shared" si="195"/>
        <v>0</v>
      </c>
    </row>
    <row r="142" spans="1:82" x14ac:dyDescent="0.25">
      <c r="A142" s="101">
        <f t="shared" si="142"/>
        <v>40179</v>
      </c>
      <c r="B142" s="102">
        <f t="shared" si="121"/>
        <v>3.5060000000000002</v>
      </c>
      <c r="C142" s="80">
        <f t="shared" si="143"/>
        <v>0.17</v>
      </c>
      <c r="D142" s="102">
        <f t="shared" si="71"/>
        <v>-0.17</v>
      </c>
      <c r="E142" s="106">
        <f t="shared" si="72"/>
        <v>1</v>
      </c>
      <c r="F142" s="105">
        <f t="shared" ca="1" si="144"/>
        <v>3407</v>
      </c>
      <c r="G142" s="80" t="e">
        <f t="shared" si="145"/>
        <v>#DIV/0!</v>
      </c>
      <c r="H142" s="80" t="e">
        <f t="shared" si="146"/>
        <v>#DIV/0!</v>
      </c>
      <c r="I142" s="104">
        <f t="shared" si="76"/>
        <v>5</v>
      </c>
      <c r="K142" s="102">
        <f t="shared" si="77"/>
        <v>-0.17</v>
      </c>
      <c r="L142" s="106">
        <f t="shared" si="78"/>
        <v>1</v>
      </c>
      <c r="M142" s="105">
        <f t="shared" ca="1" si="147"/>
        <v>3407</v>
      </c>
      <c r="N142" s="217" t="e">
        <f t="shared" si="148"/>
        <v>#DIV/0!</v>
      </c>
      <c r="O142" s="80" t="e">
        <f t="shared" si="149"/>
        <v>#DIV/0!</v>
      </c>
      <c r="P142" s="104">
        <f t="shared" si="82"/>
        <v>5</v>
      </c>
      <c r="R142" s="102">
        <f t="shared" si="83"/>
        <v>0.4</v>
      </c>
      <c r="S142" s="106">
        <f t="shared" si="84"/>
        <v>1</v>
      </c>
      <c r="T142" s="105">
        <f t="shared" ca="1" si="150"/>
        <v>3407</v>
      </c>
      <c r="U142" s="217" t="e">
        <f t="shared" si="151"/>
        <v>#DIV/0!</v>
      </c>
      <c r="V142" s="80" t="e">
        <f t="shared" si="152"/>
        <v>#DIV/0!</v>
      </c>
      <c r="W142" s="104">
        <f t="shared" si="88"/>
        <v>4.95</v>
      </c>
      <c r="X142" s="105"/>
      <c r="Y142" s="102">
        <f t="shared" si="89"/>
        <v>-5.7500000000000002E-2</v>
      </c>
      <c r="Z142" s="106">
        <f t="shared" si="90"/>
        <v>1</v>
      </c>
      <c r="AA142" s="105">
        <f t="shared" ca="1" si="153"/>
        <v>3407</v>
      </c>
      <c r="AB142" s="80" t="e">
        <f t="shared" si="154"/>
        <v>#DIV/0!</v>
      </c>
      <c r="AC142" s="80" t="e">
        <f t="shared" si="155"/>
        <v>#DIV/0!</v>
      </c>
      <c r="AD142" s="104">
        <f t="shared" si="94"/>
        <v>3.98</v>
      </c>
      <c r="AF142" s="105">
        <f t="shared" ca="1" si="123"/>
        <v>3407</v>
      </c>
      <c r="AG142" s="105">
        <f t="shared" ca="1" si="124"/>
        <v>3406</v>
      </c>
      <c r="AH142" s="80">
        <f t="shared" si="95"/>
        <v>7.0064577026428002E-2</v>
      </c>
      <c r="AI142" s="182">
        <f t="shared" si="96"/>
        <v>31</v>
      </c>
      <c r="AL142" s="105"/>
      <c r="AM142" s="82"/>
      <c r="AN142" s="82">
        <f t="shared" si="156"/>
        <v>0</v>
      </c>
      <c r="AO142" s="82" t="e">
        <f t="shared" si="157"/>
        <v>#DIV/0!</v>
      </c>
      <c r="AP142" s="77">
        <f t="shared" si="158"/>
        <v>0</v>
      </c>
      <c r="AQ142" s="108">
        <f t="shared" si="159"/>
        <v>0</v>
      </c>
      <c r="AR142" s="107">
        <f t="shared" si="160"/>
        <v>0</v>
      </c>
      <c r="AS142" s="107">
        <f t="shared" si="161"/>
        <v>0</v>
      </c>
      <c r="AT142" s="107">
        <f t="shared" si="162"/>
        <v>0</v>
      </c>
      <c r="AU142" s="109">
        <f t="shared" si="163"/>
        <v>0</v>
      </c>
      <c r="AV142" s="109">
        <f t="shared" si="164"/>
        <v>0</v>
      </c>
      <c r="AW142" s="109">
        <f t="shared" si="165"/>
        <v>0</v>
      </c>
      <c r="AY142" s="82">
        <f t="shared" si="166"/>
        <v>0</v>
      </c>
      <c r="AZ142" s="82" t="e">
        <f t="shared" si="167"/>
        <v>#DIV/0!</v>
      </c>
      <c r="BA142" s="77">
        <f t="shared" si="168"/>
        <v>0</v>
      </c>
      <c r="BB142" s="108">
        <f t="shared" si="169"/>
        <v>0</v>
      </c>
      <c r="BC142" s="107">
        <f t="shared" si="170"/>
        <v>0</v>
      </c>
      <c r="BD142" s="107">
        <f t="shared" si="171"/>
        <v>0</v>
      </c>
      <c r="BE142" s="107">
        <f t="shared" si="172"/>
        <v>0</v>
      </c>
      <c r="BF142" s="109">
        <f t="shared" si="173"/>
        <v>0</v>
      </c>
      <c r="BG142" s="109">
        <f t="shared" si="174"/>
        <v>0</v>
      </c>
      <c r="BH142" s="109">
        <f t="shared" si="175"/>
        <v>0</v>
      </c>
      <c r="BJ142" s="82">
        <f t="shared" si="176"/>
        <v>0</v>
      </c>
      <c r="BK142" s="82" t="e">
        <f t="shared" si="177"/>
        <v>#DIV/0!</v>
      </c>
      <c r="BL142" s="77">
        <f t="shared" si="178"/>
        <v>0</v>
      </c>
      <c r="BM142" s="108">
        <f t="shared" si="179"/>
        <v>0</v>
      </c>
      <c r="BN142" s="107">
        <f t="shared" si="180"/>
        <v>0</v>
      </c>
      <c r="BO142" s="107">
        <f t="shared" si="181"/>
        <v>0</v>
      </c>
      <c r="BP142" s="107">
        <f t="shared" si="182"/>
        <v>0</v>
      </c>
      <c r="BQ142" s="109">
        <f t="shared" si="183"/>
        <v>0</v>
      </c>
      <c r="BR142" s="109">
        <f t="shared" si="184"/>
        <v>0</v>
      </c>
      <c r="BS142" s="109">
        <f t="shared" si="185"/>
        <v>0</v>
      </c>
      <c r="BU142" s="82">
        <f t="shared" si="186"/>
        <v>0</v>
      </c>
      <c r="BV142" s="82" t="e">
        <f t="shared" si="187"/>
        <v>#DIV/0!</v>
      </c>
      <c r="BW142" s="77">
        <f t="shared" si="188"/>
        <v>0</v>
      </c>
      <c r="BX142" s="108">
        <f t="shared" si="189"/>
        <v>0</v>
      </c>
      <c r="BY142" s="107">
        <f t="shared" si="190"/>
        <v>0</v>
      </c>
      <c r="BZ142" s="107">
        <f t="shared" si="191"/>
        <v>0</v>
      </c>
      <c r="CA142" s="107">
        <f t="shared" si="192"/>
        <v>0</v>
      </c>
      <c r="CB142" s="109">
        <f t="shared" si="193"/>
        <v>0</v>
      </c>
      <c r="CC142" s="109">
        <f t="shared" si="194"/>
        <v>0</v>
      </c>
      <c r="CD142" s="109">
        <f t="shared" si="195"/>
        <v>0</v>
      </c>
    </row>
    <row r="143" spans="1:82" x14ac:dyDescent="0.25">
      <c r="A143" s="101">
        <f t="shared" si="142"/>
        <v>40210</v>
      </c>
      <c r="B143" s="102">
        <f t="shared" si="121"/>
        <v>3.3919999999999999</v>
      </c>
      <c r="C143" s="80">
        <f t="shared" si="143"/>
        <v>0.17</v>
      </c>
      <c r="D143" s="102">
        <f t="shared" si="71"/>
        <v>-0.17</v>
      </c>
      <c r="E143" s="106">
        <f t="shared" si="72"/>
        <v>1</v>
      </c>
      <c r="F143" s="105">
        <f t="shared" ca="1" si="144"/>
        <v>3436</v>
      </c>
      <c r="G143" s="80" t="e">
        <f t="shared" si="145"/>
        <v>#DIV/0!</v>
      </c>
      <c r="H143" s="80" t="e">
        <f t="shared" si="146"/>
        <v>#DIV/0!</v>
      </c>
      <c r="I143" s="104">
        <f t="shared" si="76"/>
        <v>5</v>
      </c>
      <c r="K143" s="102">
        <f t="shared" si="77"/>
        <v>-0.17</v>
      </c>
      <c r="L143" s="106">
        <f t="shared" si="78"/>
        <v>1</v>
      </c>
      <c r="M143" s="105">
        <f t="shared" ca="1" si="147"/>
        <v>3436</v>
      </c>
      <c r="N143" s="217" t="e">
        <f t="shared" si="148"/>
        <v>#DIV/0!</v>
      </c>
      <c r="O143" s="80" t="e">
        <f t="shared" si="149"/>
        <v>#DIV/0!</v>
      </c>
      <c r="P143" s="104">
        <f t="shared" si="82"/>
        <v>5</v>
      </c>
      <c r="R143" s="102">
        <f t="shared" si="83"/>
        <v>0.375</v>
      </c>
      <c r="S143" s="106">
        <f t="shared" si="84"/>
        <v>1</v>
      </c>
      <c r="T143" s="105">
        <f t="shared" ca="1" si="150"/>
        <v>3436</v>
      </c>
      <c r="U143" s="217" t="e">
        <f t="shared" si="151"/>
        <v>#DIV/0!</v>
      </c>
      <c r="V143" s="80" t="e">
        <f t="shared" si="152"/>
        <v>#DIV/0!</v>
      </c>
      <c r="W143" s="104">
        <f t="shared" si="88"/>
        <v>4.95</v>
      </c>
      <c r="X143" s="105"/>
      <c r="Y143" s="102">
        <f t="shared" si="89"/>
        <v>-0.04</v>
      </c>
      <c r="Z143" s="106">
        <f t="shared" si="90"/>
        <v>1</v>
      </c>
      <c r="AA143" s="105">
        <f t="shared" ca="1" si="153"/>
        <v>3436</v>
      </c>
      <c r="AB143" s="80" t="e">
        <f t="shared" si="154"/>
        <v>#DIV/0!</v>
      </c>
      <c r="AC143" s="80" t="e">
        <f t="shared" si="155"/>
        <v>#DIV/0!</v>
      </c>
      <c r="AD143" s="104">
        <f t="shared" si="94"/>
        <v>3.98</v>
      </c>
      <c r="AF143" s="105">
        <f t="shared" ca="1" si="123"/>
        <v>3436</v>
      </c>
      <c r="AG143" s="105">
        <f t="shared" ca="1" si="124"/>
        <v>3435</v>
      </c>
      <c r="AH143" s="80">
        <f t="shared" si="95"/>
        <v>7.0077714577288008E-2</v>
      </c>
      <c r="AI143" s="182">
        <f t="shared" si="96"/>
        <v>28</v>
      </c>
      <c r="AL143" s="105"/>
      <c r="AM143" s="82"/>
      <c r="AN143" s="82">
        <f t="shared" si="156"/>
        <v>0</v>
      </c>
      <c r="AO143" s="82" t="e">
        <f t="shared" si="157"/>
        <v>#DIV/0!</v>
      </c>
      <c r="AP143" s="77">
        <f t="shared" si="158"/>
        <v>0</v>
      </c>
      <c r="AQ143" s="108">
        <f t="shared" si="159"/>
        <v>0</v>
      </c>
      <c r="AR143" s="107">
        <f t="shared" si="160"/>
        <v>0</v>
      </c>
      <c r="AS143" s="107">
        <f t="shared" si="161"/>
        <v>0</v>
      </c>
      <c r="AT143" s="107">
        <f t="shared" si="162"/>
        <v>0</v>
      </c>
      <c r="AU143" s="109">
        <f t="shared" si="163"/>
        <v>0</v>
      </c>
      <c r="AV143" s="109">
        <f t="shared" si="164"/>
        <v>0</v>
      </c>
      <c r="AW143" s="109">
        <f t="shared" si="165"/>
        <v>0</v>
      </c>
      <c r="AY143" s="82">
        <f t="shared" si="166"/>
        <v>0</v>
      </c>
      <c r="AZ143" s="82" t="e">
        <f t="shared" si="167"/>
        <v>#DIV/0!</v>
      </c>
      <c r="BA143" s="77">
        <f t="shared" si="168"/>
        <v>0</v>
      </c>
      <c r="BB143" s="108">
        <f t="shared" si="169"/>
        <v>0</v>
      </c>
      <c r="BC143" s="107">
        <f t="shared" si="170"/>
        <v>0</v>
      </c>
      <c r="BD143" s="107">
        <f t="shared" si="171"/>
        <v>0</v>
      </c>
      <c r="BE143" s="107">
        <f t="shared" si="172"/>
        <v>0</v>
      </c>
      <c r="BF143" s="109">
        <f t="shared" si="173"/>
        <v>0</v>
      </c>
      <c r="BG143" s="109">
        <f t="shared" si="174"/>
        <v>0</v>
      </c>
      <c r="BH143" s="109">
        <f t="shared" si="175"/>
        <v>0</v>
      </c>
      <c r="BJ143" s="82">
        <f t="shared" si="176"/>
        <v>0</v>
      </c>
      <c r="BK143" s="82" t="e">
        <f t="shared" si="177"/>
        <v>#DIV/0!</v>
      </c>
      <c r="BL143" s="77">
        <f t="shared" si="178"/>
        <v>0</v>
      </c>
      <c r="BM143" s="108">
        <f t="shared" si="179"/>
        <v>0</v>
      </c>
      <c r="BN143" s="107">
        <f t="shared" si="180"/>
        <v>0</v>
      </c>
      <c r="BO143" s="107">
        <f t="shared" si="181"/>
        <v>0</v>
      </c>
      <c r="BP143" s="107">
        <f t="shared" si="182"/>
        <v>0</v>
      </c>
      <c r="BQ143" s="109">
        <f t="shared" si="183"/>
        <v>0</v>
      </c>
      <c r="BR143" s="109">
        <f t="shared" si="184"/>
        <v>0</v>
      </c>
      <c r="BS143" s="109">
        <f t="shared" si="185"/>
        <v>0</v>
      </c>
      <c r="BU143" s="82">
        <f t="shared" si="186"/>
        <v>0</v>
      </c>
      <c r="BV143" s="82" t="e">
        <f t="shared" si="187"/>
        <v>#DIV/0!</v>
      </c>
      <c r="BW143" s="77">
        <f t="shared" si="188"/>
        <v>0</v>
      </c>
      <c r="BX143" s="108">
        <f t="shared" si="189"/>
        <v>0</v>
      </c>
      <c r="BY143" s="107">
        <f t="shared" si="190"/>
        <v>0</v>
      </c>
      <c r="BZ143" s="107">
        <f t="shared" si="191"/>
        <v>0</v>
      </c>
      <c r="CA143" s="107">
        <f t="shared" si="192"/>
        <v>0</v>
      </c>
      <c r="CB143" s="109">
        <f t="shared" si="193"/>
        <v>0</v>
      </c>
      <c r="CC143" s="109">
        <f t="shared" si="194"/>
        <v>0</v>
      </c>
      <c r="CD143" s="109">
        <f t="shared" si="195"/>
        <v>0</v>
      </c>
    </row>
    <row r="144" spans="1:82" x14ac:dyDescent="0.25">
      <c r="A144" s="101">
        <f t="shared" si="142"/>
        <v>40238</v>
      </c>
      <c r="B144" s="102">
        <f t="shared" si="121"/>
        <v>3.2430000000000003</v>
      </c>
      <c r="C144" s="80">
        <f t="shared" si="143"/>
        <v>0.16</v>
      </c>
      <c r="D144" s="102">
        <f t="shared" si="71"/>
        <v>-0.17</v>
      </c>
      <c r="E144" s="106">
        <f t="shared" si="72"/>
        <v>1</v>
      </c>
      <c r="F144" s="105">
        <f t="shared" ca="1" si="144"/>
        <v>3464</v>
      </c>
      <c r="G144" s="80" t="e">
        <f t="shared" si="145"/>
        <v>#DIV/0!</v>
      </c>
      <c r="H144" s="80" t="e">
        <f t="shared" si="146"/>
        <v>#DIV/0!</v>
      </c>
      <c r="I144" s="104">
        <f t="shared" si="76"/>
        <v>5</v>
      </c>
      <c r="K144" s="102">
        <f t="shared" si="77"/>
        <v>-0.17</v>
      </c>
      <c r="L144" s="106">
        <f t="shared" si="78"/>
        <v>1</v>
      </c>
      <c r="M144" s="105">
        <f t="shared" ca="1" si="147"/>
        <v>3464</v>
      </c>
      <c r="N144" s="217" t="e">
        <f t="shared" si="148"/>
        <v>#DIV/0!</v>
      </c>
      <c r="O144" s="80" t="e">
        <f t="shared" si="149"/>
        <v>#DIV/0!</v>
      </c>
      <c r="P144" s="104">
        <f t="shared" si="82"/>
        <v>5</v>
      </c>
      <c r="R144" s="102">
        <f t="shared" si="83"/>
        <v>0.37300000000000005</v>
      </c>
      <c r="S144" s="106">
        <f t="shared" si="84"/>
        <v>1</v>
      </c>
      <c r="T144" s="105">
        <f t="shared" ca="1" si="150"/>
        <v>3464</v>
      </c>
      <c r="U144" s="217" t="e">
        <f t="shared" si="151"/>
        <v>#DIV/0!</v>
      </c>
      <c r="V144" s="80" t="e">
        <f t="shared" si="152"/>
        <v>#DIV/0!</v>
      </c>
      <c r="W144" s="104">
        <f t="shared" si="88"/>
        <v>4.95</v>
      </c>
      <c r="X144" s="105"/>
      <c r="Y144" s="102">
        <f t="shared" si="89"/>
        <v>-2.75E-2</v>
      </c>
      <c r="Z144" s="106">
        <f t="shared" si="90"/>
        <v>1</v>
      </c>
      <c r="AA144" s="105">
        <f t="shared" ca="1" si="153"/>
        <v>3464</v>
      </c>
      <c r="AB144" s="80" t="e">
        <f t="shared" si="154"/>
        <v>#DIV/0!</v>
      </c>
      <c r="AC144" s="80" t="e">
        <f t="shared" si="155"/>
        <v>#DIV/0!</v>
      </c>
      <c r="AD144" s="104">
        <f t="shared" si="94"/>
        <v>3.98</v>
      </c>
      <c r="AF144" s="105">
        <f t="shared" ca="1" si="123"/>
        <v>3464</v>
      </c>
      <c r="AG144" s="105">
        <f t="shared" ca="1" si="124"/>
        <v>3463</v>
      </c>
      <c r="AH144" s="80">
        <f t="shared" si="95"/>
        <v>7.0089580752308006E-2</v>
      </c>
      <c r="AI144" s="182">
        <f t="shared" si="96"/>
        <v>31</v>
      </c>
      <c r="AL144" s="105"/>
      <c r="AM144" s="82"/>
      <c r="AN144" s="82">
        <f t="shared" si="156"/>
        <v>0</v>
      </c>
      <c r="AO144" s="82" t="e">
        <f t="shared" si="157"/>
        <v>#DIV/0!</v>
      </c>
      <c r="AP144" s="77">
        <f t="shared" si="158"/>
        <v>0</v>
      </c>
      <c r="AQ144" s="108">
        <f t="shared" si="159"/>
        <v>0</v>
      </c>
      <c r="AR144" s="107">
        <f t="shared" si="160"/>
        <v>0</v>
      </c>
      <c r="AS144" s="107">
        <f t="shared" si="161"/>
        <v>0</v>
      </c>
      <c r="AT144" s="107">
        <f t="shared" si="162"/>
        <v>0</v>
      </c>
      <c r="AU144" s="109">
        <f t="shared" si="163"/>
        <v>0</v>
      </c>
      <c r="AV144" s="109">
        <f t="shared" si="164"/>
        <v>0</v>
      </c>
      <c r="AW144" s="109">
        <f t="shared" si="165"/>
        <v>0</v>
      </c>
      <c r="AY144" s="82">
        <f t="shared" si="166"/>
        <v>0</v>
      </c>
      <c r="AZ144" s="82" t="e">
        <f t="shared" si="167"/>
        <v>#DIV/0!</v>
      </c>
      <c r="BA144" s="77">
        <f t="shared" si="168"/>
        <v>0</v>
      </c>
      <c r="BB144" s="108">
        <f t="shared" si="169"/>
        <v>0</v>
      </c>
      <c r="BC144" s="107">
        <f t="shared" si="170"/>
        <v>0</v>
      </c>
      <c r="BD144" s="107">
        <f t="shared" si="171"/>
        <v>0</v>
      </c>
      <c r="BE144" s="107">
        <f t="shared" si="172"/>
        <v>0</v>
      </c>
      <c r="BF144" s="109">
        <f t="shared" si="173"/>
        <v>0</v>
      </c>
      <c r="BG144" s="109">
        <f t="shared" si="174"/>
        <v>0</v>
      </c>
      <c r="BH144" s="109">
        <f t="shared" si="175"/>
        <v>0</v>
      </c>
      <c r="BJ144" s="82">
        <f t="shared" si="176"/>
        <v>0</v>
      </c>
      <c r="BK144" s="82" t="e">
        <f t="shared" si="177"/>
        <v>#DIV/0!</v>
      </c>
      <c r="BL144" s="77">
        <f t="shared" si="178"/>
        <v>0</v>
      </c>
      <c r="BM144" s="108">
        <f t="shared" si="179"/>
        <v>0</v>
      </c>
      <c r="BN144" s="107">
        <f t="shared" si="180"/>
        <v>0</v>
      </c>
      <c r="BO144" s="107">
        <f t="shared" si="181"/>
        <v>0</v>
      </c>
      <c r="BP144" s="107">
        <f t="shared" si="182"/>
        <v>0</v>
      </c>
      <c r="BQ144" s="109">
        <f t="shared" si="183"/>
        <v>0</v>
      </c>
      <c r="BR144" s="109">
        <f t="shared" si="184"/>
        <v>0</v>
      </c>
      <c r="BS144" s="109">
        <f t="shared" si="185"/>
        <v>0</v>
      </c>
      <c r="BU144" s="82">
        <f t="shared" si="186"/>
        <v>0</v>
      </c>
      <c r="BV144" s="82" t="e">
        <f t="shared" si="187"/>
        <v>#DIV/0!</v>
      </c>
      <c r="BW144" s="77">
        <f t="shared" si="188"/>
        <v>0</v>
      </c>
      <c r="BX144" s="108">
        <f t="shared" si="189"/>
        <v>0</v>
      </c>
      <c r="BY144" s="107">
        <f t="shared" si="190"/>
        <v>0</v>
      </c>
      <c r="BZ144" s="107">
        <f t="shared" si="191"/>
        <v>0</v>
      </c>
      <c r="CA144" s="107">
        <f t="shared" si="192"/>
        <v>0</v>
      </c>
      <c r="CB144" s="109">
        <f t="shared" si="193"/>
        <v>0</v>
      </c>
      <c r="CC144" s="109">
        <f t="shared" si="194"/>
        <v>0</v>
      </c>
      <c r="CD144" s="109">
        <f t="shared" si="195"/>
        <v>0</v>
      </c>
    </row>
    <row r="145" spans="1:82" x14ac:dyDescent="0.25">
      <c r="A145" s="101">
        <f t="shared" si="142"/>
        <v>40269</v>
      </c>
      <c r="B145" s="102">
        <f t="shared" si="121"/>
        <v>3.0860000000000003</v>
      </c>
      <c r="C145" s="80">
        <f t="shared" si="143"/>
        <v>0.16</v>
      </c>
      <c r="D145" s="102">
        <f t="shared" si="71"/>
        <v>-0.17</v>
      </c>
      <c r="E145" s="106">
        <f t="shared" si="72"/>
        <v>1</v>
      </c>
      <c r="F145" s="105">
        <f t="shared" ca="1" si="144"/>
        <v>3497</v>
      </c>
      <c r="G145" s="80" t="e">
        <f t="shared" si="145"/>
        <v>#DIV/0!</v>
      </c>
      <c r="H145" s="80" t="e">
        <f t="shared" si="146"/>
        <v>#DIV/0!</v>
      </c>
      <c r="I145" s="104">
        <f t="shared" si="76"/>
        <v>5</v>
      </c>
      <c r="K145" s="102">
        <f t="shared" si="77"/>
        <v>-0.17</v>
      </c>
      <c r="L145" s="106">
        <f t="shared" si="78"/>
        <v>1</v>
      </c>
      <c r="M145" s="105">
        <f t="shared" ca="1" si="147"/>
        <v>3497</v>
      </c>
      <c r="N145" s="217" t="e">
        <f t="shared" si="148"/>
        <v>#DIV/0!</v>
      </c>
      <c r="O145" s="80" t="e">
        <f t="shared" si="149"/>
        <v>#DIV/0!</v>
      </c>
      <c r="P145" s="104">
        <f t="shared" si="82"/>
        <v>5</v>
      </c>
      <c r="R145" s="102">
        <f t="shared" si="83"/>
        <v>0.27800000000000002</v>
      </c>
      <c r="S145" s="106">
        <f t="shared" si="84"/>
        <v>1</v>
      </c>
      <c r="T145" s="105">
        <f t="shared" ca="1" si="150"/>
        <v>3497</v>
      </c>
      <c r="U145" s="217" t="e">
        <f t="shared" si="151"/>
        <v>#DIV/0!</v>
      </c>
      <c r="V145" s="80" t="e">
        <f t="shared" si="152"/>
        <v>#DIV/0!</v>
      </c>
      <c r="W145" s="104">
        <f t="shared" si="88"/>
        <v>4.95</v>
      </c>
      <c r="X145" s="105"/>
      <c r="Y145" s="102">
        <f t="shared" si="89"/>
        <v>1.4999999999999999E-2</v>
      </c>
      <c r="Z145" s="106">
        <f t="shared" si="90"/>
        <v>1</v>
      </c>
      <c r="AA145" s="105">
        <f t="shared" ca="1" si="153"/>
        <v>3497</v>
      </c>
      <c r="AB145" s="80" t="e">
        <f t="shared" si="154"/>
        <v>#DIV/0!</v>
      </c>
      <c r="AC145" s="80" t="e">
        <f t="shared" si="155"/>
        <v>#DIV/0!</v>
      </c>
      <c r="AD145" s="104">
        <f t="shared" si="94"/>
        <v>3.98</v>
      </c>
      <c r="AF145" s="105">
        <f t="shared" ca="1" si="123"/>
        <v>3497</v>
      </c>
      <c r="AG145" s="105">
        <f t="shared" ca="1" si="124"/>
        <v>3494</v>
      </c>
      <c r="AH145" s="80">
        <f t="shared" si="95"/>
        <v>7.0102718303277023E-2</v>
      </c>
      <c r="AI145" s="182">
        <f t="shared" si="96"/>
        <v>30</v>
      </c>
      <c r="AL145" s="105"/>
      <c r="AM145" s="82"/>
      <c r="AN145" s="82">
        <f t="shared" si="156"/>
        <v>0</v>
      </c>
      <c r="AO145" s="82" t="e">
        <f t="shared" si="157"/>
        <v>#DIV/0!</v>
      </c>
      <c r="AP145" s="77">
        <f t="shared" si="158"/>
        <v>0</v>
      </c>
      <c r="AQ145" s="108">
        <f t="shared" si="159"/>
        <v>0</v>
      </c>
      <c r="AR145" s="107">
        <f t="shared" si="160"/>
        <v>0</v>
      </c>
      <c r="AS145" s="107">
        <f t="shared" si="161"/>
        <v>0</v>
      </c>
      <c r="AT145" s="107">
        <f t="shared" si="162"/>
        <v>0</v>
      </c>
      <c r="AU145" s="109">
        <f t="shared" si="163"/>
        <v>0</v>
      </c>
      <c r="AV145" s="109">
        <f t="shared" si="164"/>
        <v>0</v>
      </c>
      <c r="AW145" s="109">
        <f t="shared" si="165"/>
        <v>0</v>
      </c>
      <c r="AY145" s="82">
        <f t="shared" si="166"/>
        <v>0</v>
      </c>
      <c r="AZ145" s="82" t="e">
        <f t="shared" si="167"/>
        <v>#DIV/0!</v>
      </c>
      <c r="BA145" s="77">
        <f t="shared" si="168"/>
        <v>0</v>
      </c>
      <c r="BB145" s="108">
        <f t="shared" si="169"/>
        <v>0</v>
      </c>
      <c r="BC145" s="107">
        <f t="shared" si="170"/>
        <v>0</v>
      </c>
      <c r="BD145" s="107">
        <f t="shared" si="171"/>
        <v>0</v>
      </c>
      <c r="BE145" s="107">
        <f t="shared" si="172"/>
        <v>0</v>
      </c>
      <c r="BF145" s="109">
        <f t="shared" si="173"/>
        <v>0</v>
      </c>
      <c r="BG145" s="109">
        <f t="shared" si="174"/>
        <v>0</v>
      </c>
      <c r="BH145" s="109">
        <f t="shared" si="175"/>
        <v>0</v>
      </c>
      <c r="BJ145" s="82">
        <f t="shared" si="176"/>
        <v>0</v>
      </c>
      <c r="BK145" s="82" t="e">
        <f t="shared" si="177"/>
        <v>#DIV/0!</v>
      </c>
      <c r="BL145" s="77">
        <f t="shared" si="178"/>
        <v>0</v>
      </c>
      <c r="BM145" s="108">
        <f t="shared" si="179"/>
        <v>0</v>
      </c>
      <c r="BN145" s="107">
        <f t="shared" si="180"/>
        <v>0</v>
      </c>
      <c r="BO145" s="107">
        <f t="shared" si="181"/>
        <v>0</v>
      </c>
      <c r="BP145" s="107">
        <f t="shared" si="182"/>
        <v>0</v>
      </c>
      <c r="BQ145" s="109">
        <f t="shared" si="183"/>
        <v>0</v>
      </c>
      <c r="BR145" s="109">
        <f t="shared" si="184"/>
        <v>0</v>
      </c>
      <c r="BS145" s="109">
        <f t="shared" si="185"/>
        <v>0</v>
      </c>
      <c r="BU145" s="82">
        <f t="shared" si="186"/>
        <v>0</v>
      </c>
      <c r="BV145" s="82" t="e">
        <f t="shared" si="187"/>
        <v>#DIV/0!</v>
      </c>
      <c r="BW145" s="77">
        <f t="shared" si="188"/>
        <v>0</v>
      </c>
      <c r="BX145" s="108">
        <f t="shared" si="189"/>
        <v>0</v>
      </c>
      <c r="BY145" s="107">
        <f t="shared" si="190"/>
        <v>0</v>
      </c>
      <c r="BZ145" s="107">
        <f t="shared" si="191"/>
        <v>0</v>
      </c>
      <c r="CA145" s="107">
        <f t="shared" si="192"/>
        <v>0</v>
      </c>
      <c r="CB145" s="109">
        <f t="shared" si="193"/>
        <v>0</v>
      </c>
      <c r="CC145" s="109">
        <f t="shared" si="194"/>
        <v>0</v>
      </c>
      <c r="CD145" s="109">
        <f t="shared" si="195"/>
        <v>0</v>
      </c>
    </row>
    <row r="146" spans="1:82" x14ac:dyDescent="0.25">
      <c r="A146" s="101">
        <f t="shared" si="142"/>
        <v>40299</v>
      </c>
      <c r="B146" s="102">
        <f t="shared" si="121"/>
        <v>3.0780000000000003</v>
      </c>
      <c r="C146" s="80">
        <f t="shared" si="143"/>
        <v>0.16</v>
      </c>
      <c r="D146" s="102">
        <f t="shared" si="71"/>
        <v>-0.17</v>
      </c>
      <c r="E146" s="106">
        <f t="shared" si="72"/>
        <v>1</v>
      </c>
      <c r="F146" s="105">
        <f t="shared" ca="1" si="144"/>
        <v>3527</v>
      </c>
      <c r="G146" s="80" t="e">
        <f t="shared" si="145"/>
        <v>#DIV/0!</v>
      </c>
      <c r="H146" s="80" t="e">
        <f t="shared" si="146"/>
        <v>#DIV/0!</v>
      </c>
      <c r="I146" s="104">
        <f t="shared" si="76"/>
        <v>5</v>
      </c>
      <c r="K146" s="102">
        <f t="shared" si="77"/>
        <v>-0.17</v>
      </c>
      <c r="L146" s="106">
        <f t="shared" si="78"/>
        <v>1</v>
      </c>
      <c r="M146" s="105">
        <f t="shared" ca="1" si="147"/>
        <v>3527</v>
      </c>
      <c r="N146" s="217" t="e">
        <f t="shared" si="148"/>
        <v>#DIV/0!</v>
      </c>
      <c r="O146" s="80" t="e">
        <f t="shared" si="149"/>
        <v>#DIV/0!</v>
      </c>
      <c r="P146" s="104">
        <f t="shared" si="82"/>
        <v>5</v>
      </c>
      <c r="R146" s="102">
        <f t="shared" si="83"/>
        <v>0.28800000000000003</v>
      </c>
      <c r="S146" s="106">
        <f t="shared" si="84"/>
        <v>1</v>
      </c>
      <c r="T146" s="105">
        <f t="shared" ca="1" si="150"/>
        <v>3527</v>
      </c>
      <c r="U146" s="217" t="e">
        <f t="shared" si="151"/>
        <v>#DIV/0!</v>
      </c>
      <c r="V146" s="80" t="e">
        <f t="shared" si="152"/>
        <v>#DIV/0!</v>
      </c>
      <c r="W146" s="104">
        <f t="shared" si="88"/>
        <v>4.95</v>
      </c>
      <c r="X146" s="105"/>
      <c r="Y146" s="102">
        <f t="shared" si="89"/>
        <v>1.4999999999999999E-2</v>
      </c>
      <c r="Z146" s="106">
        <f t="shared" si="90"/>
        <v>1</v>
      </c>
      <c r="AA146" s="105">
        <f t="shared" ca="1" si="153"/>
        <v>3527</v>
      </c>
      <c r="AB146" s="80" t="e">
        <f t="shared" si="154"/>
        <v>#DIV/0!</v>
      </c>
      <c r="AC146" s="80" t="e">
        <f t="shared" si="155"/>
        <v>#DIV/0!</v>
      </c>
      <c r="AD146" s="104">
        <f t="shared" si="94"/>
        <v>3.98</v>
      </c>
      <c r="AF146" s="105">
        <f t="shared" ca="1" si="123"/>
        <v>3527</v>
      </c>
      <c r="AG146" s="105">
        <f t="shared" ca="1" si="124"/>
        <v>3526</v>
      </c>
      <c r="AH146" s="80">
        <f t="shared" si="95"/>
        <v>7.0115432062333005E-2</v>
      </c>
      <c r="AI146" s="182">
        <f t="shared" si="96"/>
        <v>31</v>
      </c>
      <c r="AL146" s="105"/>
      <c r="AM146" s="82"/>
      <c r="AN146" s="82">
        <f t="shared" si="156"/>
        <v>0</v>
      </c>
      <c r="AO146" s="82" t="e">
        <f t="shared" si="157"/>
        <v>#DIV/0!</v>
      </c>
      <c r="AP146" s="77">
        <f t="shared" si="158"/>
        <v>0</v>
      </c>
      <c r="AQ146" s="108">
        <f t="shared" si="159"/>
        <v>0</v>
      </c>
      <c r="AR146" s="107">
        <f t="shared" si="160"/>
        <v>0</v>
      </c>
      <c r="AS146" s="107">
        <f t="shared" si="161"/>
        <v>0</v>
      </c>
      <c r="AT146" s="107">
        <f t="shared" si="162"/>
        <v>0</v>
      </c>
      <c r="AU146" s="109">
        <f t="shared" si="163"/>
        <v>0</v>
      </c>
      <c r="AV146" s="109">
        <f t="shared" si="164"/>
        <v>0</v>
      </c>
      <c r="AW146" s="109">
        <f t="shared" si="165"/>
        <v>0</v>
      </c>
      <c r="AY146" s="82">
        <f t="shared" si="166"/>
        <v>0</v>
      </c>
      <c r="AZ146" s="82" t="e">
        <f t="shared" si="167"/>
        <v>#DIV/0!</v>
      </c>
      <c r="BA146" s="77">
        <f t="shared" si="168"/>
        <v>0</v>
      </c>
      <c r="BB146" s="108">
        <f t="shared" si="169"/>
        <v>0</v>
      </c>
      <c r="BC146" s="107">
        <f t="shared" si="170"/>
        <v>0</v>
      </c>
      <c r="BD146" s="107">
        <f t="shared" si="171"/>
        <v>0</v>
      </c>
      <c r="BE146" s="107">
        <f t="shared" si="172"/>
        <v>0</v>
      </c>
      <c r="BF146" s="109">
        <f t="shared" si="173"/>
        <v>0</v>
      </c>
      <c r="BG146" s="109">
        <f t="shared" si="174"/>
        <v>0</v>
      </c>
      <c r="BH146" s="109">
        <f t="shared" si="175"/>
        <v>0</v>
      </c>
      <c r="BJ146" s="82">
        <f t="shared" si="176"/>
        <v>0</v>
      </c>
      <c r="BK146" s="82" t="e">
        <f t="shared" si="177"/>
        <v>#DIV/0!</v>
      </c>
      <c r="BL146" s="77">
        <f t="shared" si="178"/>
        <v>0</v>
      </c>
      <c r="BM146" s="108">
        <f t="shared" si="179"/>
        <v>0</v>
      </c>
      <c r="BN146" s="107">
        <f t="shared" si="180"/>
        <v>0</v>
      </c>
      <c r="BO146" s="107">
        <f t="shared" si="181"/>
        <v>0</v>
      </c>
      <c r="BP146" s="107">
        <f t="shared" si="182"/>
        <v>0</v>
      </c>
      <c r="BQ146" s="109">
        <f t="shared" si="183"/>
        <v>0</v>
      </c>
      <c r="BR146" s="109">
        <f t="shared" si="184"/>
        <v>0</v>
      </c>
      <c r="BS146" s="109">
        <f t="shared" si="185"/>
        <v>0</v>
      </c>
      <c r="BU146" s="82">
        <f t="shared" si="186"/>
        <v>0</v>
      </c>
      <c r="BV146" s="82" t="e">
        <f t="shared" si="187"/>
        <v>#DIV/0!</v>
      </c>
      <c r="BW146" s="77">
        <f t="shared" si="188"/>
        <v>0</v>
      </c>
      <c r="BX146" s="108">
        <f t="shared" si="189"/>
        <v>0</v>
      </c>
      <c r="BY146" s="107">
        <f t="shared" si="190"/>
        <v>0</v>
      </c>
      <c r="BZ146" s="107">
        <f t="shared" si="191"/>
        <v>0</v>
      </c>
      <c r="CA146" s="107">
        <f t="shared" si="192"/>
        <v>0</v>
      </c>
      <c r="CB146" s="109">
        <f t="shared" si="193"/>
        <v>0</v>
      </c>
      <c r="CC146" s="109">
        <f t="shared" si="194"/>
        <v>0</v>
      </c>
      <c r="CD146" s="109">
        <f t="shared" si="195"/>
        <v>0</v>
      </c>
    </row>
    <row r="147" spans="1:82" x14ac:dyDescent="0.25">
      <c r="A147" s="101">
        <f t="shared" si="142"/>
        <v>40330</v>
      </c>
      <c r="B147" s="102">
        <f t="shared" si="121"/>
        <v>3.105</v>
      </c>
      <c r="C147" s="80">
        <f t="shared" si="143"/>
        <v>0.16</v>
      </c>
      <c r="D147" s="102">
        <f t="shared" si="71"/>
        <v>-0.17</v>
      </c>
      <c r="E147" s="106">
        <f t="shared" si="72"/>
        <v>1</v>
      </c>
      <c r="F147" s="105">
        <f t="shared" ca="1" si="144"/>
        <v>3555</v>
      </c>
      <c r="G147" s="80" t="e">
        <f t="shared" si="145"/>
        <v>#DIV/0!</v>
      </c>
      <c r="H147" s="80" t="e">
        <f t="shared" si="146"/>
        <v>#DIV/0!</v>
      </c>
      <c r="I147" s="104">
        <f t="shared" si="76"/>
        <v>5</v>
      </c>
      <c r="K147" s="102">
        <f t="shared" si="77"/>
        <v>-0.17</v>
      </c>
      <c r="L147" s="106">
        <f t="shared" si="78"/>
        <v>1</v>
      </c>
      <c r="M147" s="105">
        <f t="shared" ca="1" si="147"/>
        <v>3555</v>
      </c>
      <c r="N147" s="217" t="e">
        <f t="shared" si="148"/>
        <v>#DIV/0!</v>
      </c>
      <c r="O147" s="80" t="e">
        <f t="shared" si="149"/>
        <v>#DIV/0!</v>
      </c>
      <c r="P147" s="104">
        <f t="shared" si="82"/>
        <v>5</v>
      </c>
      <c r="R147" s="102">
        <f t="shared" si="83"/>
        <v>0.28300000000000003</v>
      </c>
      <c r="S147" s="106">
        <f t="shared" si="84"/>
        <v>1</v>
      </c>
      <c r="T147" s="105">
        <f t="shared" ca="1" si="150"/>
        <v>3555</v>
      </c>
      <c r="U147" s="217" t="e">
        <f t="shared" si="151"/>
        <v>#DIV/0!</v>
      </c>
      <c r="V147" s="80" t="e">
        <f t="shared" si="152"/>
        <v>#DIV/0!</v>
      </c>
      <c r="W147" s="104">
        <f t="shared" si="88"/>
        <v>4.95</v>
      </c>
      <c r="X147" s="105"/>
      <c r="Y147" s="102">
        <f t="shared" si="89"/>
        <v>0.02</v>
      </c>
      <c r="Z147" s="106">
        <f t="shared" si="90"/>
        <v>1</v>
      </c>
      <c r="AA147" s="105">
        <f t="shared" ca="1" si="153"/>
        <v>3555</v>
      </c>
      <c r="AB147" s="80" t="e">
        <f t="shared" si="154"/>
        <v>#DIV/0!</v>
      </c>
      <c r="AC147" s="80" t="e">
        <f t="shared" si="155"/>
        <v>#DIV/0!</v>
      </c>
      <c r="AD147" s="104">
        <f t="shared" si="94"/>
        <v>3.98</v>
      </c>
      <c r="AF147" s="105">
        <f t="shared" ca="1" si="123"/>
        <v>3555</v>
      </c>
      <c r="AG147" s="105">
        <f t="shared" ca="1" si="124"/>
        <v>3554</v>
      </c>
      <c r="AH147" s="80">
        <f t="shared" si="95"/>
        <v>7.0128569613415029E-2</v>
      </c>
      <c r="AI147" s="182">
        <f t="shared" si="96"/>
        <v>30</v>
      </c>
      <c r="AL147" s="105"/>
      <c r="AM147" s="82"/>
      <c r="AN147" s="82">
        <f t="shared" si="156"/>
        <v>0</v>
      </c>
      <c r="AO147" s="82" t="e">
        <f t="shared" si="157"/>
        <v>#DIV/0!</v>
      </c>
      <c r="AP147" s="77">
        <f t="shared" si="158"/>
        <v>0</v>
      </c>
      <c r="AQ147" s="108">
        <f t="shared" si="159"/>
        <v>0</v>
      </c>
      <c r="AR147" s="107">
        <f t="shared" si="160"/>
        <v>0</v>
      </c>
      <c r="AS147" s="107">
        <f t="shared" si="161"/>
        <v>0</v>
      </c>
      <c r="AT147" s="107">
        <f t="shared" si="162"/>
        <v>0</v>
      </c>
      <c r="AU147" s="109">
        <f t="shared" si="163"/>
        <v>0</v>
      </c>
      <c r="AV147" s="109">
        <f t="shared" si="164"/>
        <v>0</v>
      </c>
      <c r="AW147" s="109">
        <f t="shared" si="165"/>
        <v>0</v>
      </c>
      <c r="AY147" s="82">
        <f t="shared" si="166"/>
        <v>0</v>
      </c>
      <c r="AZ147" s="82" t="e">
        <f t="shared" si="167"/>
        <v>#DIV/0!</v>
      </c>
      <c r="BA147" s="77">
        <f t="shared" si="168"/>
        <v>0</v>
      </c>
      <c r="BB147" s="108">
        <f t="shared" si="169"/>
        <v>0</v>
      </c>
      <c r="BC147" s="107">
        <f t="shared" si="170"/>
        <v>0</v>
      </c>
      <c r="BD147" s="107">
        <f t="shared" si="171"/>
        <v>0</v>
      </c>
      <c r="BE147" s="107">
        <f t="shared" si="172"/>
        <v>0</v>
      </c>
      <c r="BF147" s="109">
        <f t="shared" si="173"/>
        <v>0</v>
      </c>
      <c r="BG147" s="109">
        <f t="shared" si="174"/>
        <v>0</v>
      </c>
      <c r="BH147" s="109">
        <f t="shared" si="175"/>
        <v>0</v>
      </c>
      <c r="BJ147" s="82">
        <f t="shared" si="176"/>
        <v>0</v>
      </c>
      <c r="BK147" s="82" t="e">
        <f t="shared" si="177"/>
        <v>#DIV/0!</v>
      </c>
      <c r="BL147" s="77">
        <f t="shared" si="178"/>
        <v>0</v>
      </c>
      <c r="BM147" s="108">
        <f t="shared" si="179"/>
        <v>0</v>
      </c>
      <c r="BN147" s="107">
        <f t="shared" si="180"/>
        <v>0</v>
      </c>
      <c r="BO147" s="107">
        <f t="shared" si="181"/>
        <v>0</v>
      </c>
      <c r="BP147" s="107">
        <f t="shared" si="182"/>
        <v>0</v>
      </c>
      <c r="BQ147" s="109">
        <f t="shared" si="183"/>
        <v>0</v>
      </c>
      <c r="BR147" s="109">
        <f t="shared" si="184"/>
        <v>0</v>
      </c>
      <c r="BS147" s="109">
        <f t="shared" si="185"/>
        <v>0</v>
      </c>
      <c r="BU147" s="82">
        <f t="shared" si="186"/>
        <v>0</v>
      </c>
      <c r="BV147" s="82" t="e">
        <f t="shared" si="187"/>
        <v>#DIV/0!</v>
      </c>
      <c r="BW147" s="77">
        <f t="shared" si="188"/>
        <v>0</v>
      </c>
      <c r="BX147" s="108">
        <f t="shared" si="189"/>
        <v>0</v>
      </c>
      <c r="BY147" s="107">
        <f t="shared" si="190"/>
        <v>0</v>
      </c>
      <c r="BZ147" s="107">
        <f t="shared" si="191"/>
        <v>0</v>
      </c>
      <c r="CA147" s="107">
        <f t="shared" si="192"/>
        <v>0</v>
      </c>
      <c r="CB147" s="109">
        <f t="shared" si="193"/>
        <v>0</v>
      </c>
      <c r="CC147" s="109">
        <f t="shared" si="194"/>
        <v>0</v>
      </c>
      <c r="CD147" s="109">
        <f t="shared" si="195"/>
        <v>0</v>
      </c>
    </row>
    <row r="148" spans="1:82" x14ac:dyDescent="0.25">
      <c r="A148" s="101">
        <f t="shared" si="142"/>
        <v>40360</v>
      </c>
      <c r="B148" s="102">
        <f t="shared" si="121"/>
        <v>3.1269999999999998</v>
      </c>
      <c r="C148" s="80">
        <f t="shared" si="143"/>
        <v>0.16</v>
      </c>
      <c r="D148" s="102">
        <f t="shared" si="71"/>
        <v>-0.17</v>
      </c>
      <c r="E148" s="106">
        <f t="shared" si="72"/>
        <v>1</v>
      </c>
      <c r="F148" s="105">
        <f t="shared" ca="1" si="144"/>
        <v>3588</v>
      </c>
      <c r="G148" s="80" t="e">
        <f t="shared" si="145"/>
        <v>#DIV/0!</v>
      </c>
      <c r="H148" s="80" t="e">
        <f t="shared" si="146"/>
        <v>#DIV/0!</v>
      </c>
      <c r="I148" s="104">
        <f t="shared" si="76"/>
        <v>5</v>
      </c>
      <c r="K148" s="102">
        <f t="shared" si="77"/>
        <v>-0.17</v>
      </c>
      <c r="L148" s="106">
        <f t="shared" si="78"/>
        <v>1</v>
      </c>
      <c r="M148" s="105">
        <f t="shared" ca="1" si="147"/>
        <v>3588</v>
      </c>
      <c r="N148" s="217" t="e">
        <f t="shared" si="148"/>
        <v>#DIV/0!</v>
      </c>
      <c r="O148" s="80" t="e">
        <f t="shared" si="149"/>
        <v>#DIV/0!</v>
      </c>
      <c r="P148" s="104">
        <f t="shared" si="82"/>
        <v>5</v>
      </c>
      <c r="R148" s="102">
        <f t="shared" si="83"/>
        <v>0.27300000000000002</v>
      </c>
      <c r="S148" s="106">
        <f t="shared" si="84"/>
        <v>1</v>
      </c>
      <c r="T148" s="105">
        <f t="shared" ca="1" si="150"/>
        <v>3588</v>
      </c>
      <c r="U148" s="217" t="e">
        <f t="shared" si="151"/>
        <v>#DIV/0!</v>
      </c>
      <c r="V148" s="80" t="e">
        <f t="shared" si="152"/>
        <v>#DIV/0!</v>
      </c>
      <c r="W148" s="104">
        <f t="shared" si="88"/>
        <v>4.95</v>
      </c>
      <c r="X148" s="105"/>
      <c r="Y148" s="102">
        <f t="shared" si="89"/>
        <v>2.2499999999999999E-2</v>
      </c>
      <c r="Z148" s="106">
        <f t="shared" si="90"/>
        <v>1</v>
      </c>
      <c r="AA148" s="105">
        <f t="shared" ca="1" si="153"/>
        <v>3588</v>
      </c>
      <c r="AB148" s="80" t="e">
        <f t="shared" si="154"/>
        <v>#DIV/0!</v>
      </c>
      <c r="AC148" s="80" t="e">
        <f t="shared" si="155"/>
        <v>#DIV/0!</v>
      </c>
      <c r="AD148" s="104">
        <f t="shared" si="94"/>
        <v>3.98</v>
      </c>
      <c r="AF148" s="105">
        <f t="shared" ca="1" si="123"/>
        <v>3588</v>
      </c>
      <c r="AG148" s="105">
        <f t="shared" ca="1" si="124"/>
        <v>3585</v>
      </c>
      <c r="AH148" s="80">
        <f t="shared" si="95"/>
        <v>7.0141283372581006E-2</v>
      </c>
      <c r="AI148" s="182">
        <f t="shared" si="96"/>
        <v>31</v>
      </c>
      <c r="AL148" s="105"/>
      <c r="AM148" s="82"/>
      <c r="AN148" s="82">
        <f t="shared" si="156"/>
        <v>0</v>
      </c>
      <c r="AO148" s="82" t="e">
        <f t="shared" si="157"/>
        <v>#DIV/0!</v>
      </c>
      <c r="AP148" s="77">
        <f t="shared" si="158"/>
        <v>0</v>
      </c>
      <c r="AQ148" s="108">
        <f t="shared" si="159"/>
        <v>0</v>
      </c>
      <c r="AR148" s="107">
        <f t="shared" si="160"/>
        <v>0</v>
      </c>
      <c r="AS148" s="107">
        <f t="shared" si="161"/>
        <v>0</v>
      </c>
      <c r="AT148" s="107">
        <f t="shared" si="162"/>
        <v>0</v>
      </c>
      <c r="AU148" s="109">
        <f t="shared" si="163"/>
        <v>0</v>
      </c>
      <c r="AV148" s="109">
        <f t="shared" si="164"/>
        <v>0</v>
      </c>
      <c r="AW148" s="109">
        <f t="shared" si="165"/>
        <v>0</v>
      </c>
      <c r="AY148" s="82">
        <f t="shared" si="166"/>
        <v>0</v>
      </c>
      <c r="AZ148" s="82" t="e">
        <f t="shared" si="167"/>
        <v>#DIV/0!</v>
      </c>
      <c r="BA148" s="77">
        <f t="shared" si="168"/>
        <v>0</v>
      </c>
      <c r="BB148" s="108">
        <f t="shared" si="169"/>
        <v>0</v>
      </c>
      <c r="BC148" s="107">
        <f t="shared" si="170"/>
        <v>0</v>
      </c>
      <c r="BD148" s="107">
        <f t="shared" si="171"/>
        <v>0</v>
      </c>
      <c r="BE148" s="107">
        <f t="shared" si="172"/>
        <v>0</v>
      </c>
      <c r="BF148" s="109">
        <f t="shared" si="173"/>
        <v>0</v>
      </c>
      <c r="BG148" s="109">
        <f t="shared" si="174"/>
        <v>0</v>
      </c>
      <c r="BH148" s="109">
        <f t="shared" si="175"/>
        <v>0</v>
      </c>
      <c r="BJ148" s="82">
        <f t="shared" si="176"/>
        <v>0</v>
      </c>
      <c r="BK148" s="82" t="e">
        <f t="shared" si="177"/>
        <v>#DIV/0!</v>
      </c>
      <c r="BL148" s="77">
        <f t="shared" si="178"/>
        <v>0</v>
      </c>
      <c r="BM148" s="108">
        <f t="shared" si="179"/>
        <v>0</v>
      </c>
      <c r="BN148" s="107">
        <f t="shared" si="180"/>
        <v>0</v>
      </c>
      <c r="BO148" s="107">
        <f t="shared" si="181"/>
        <v>0</v>
      </c>
      <c r="BP148" s="107">
        <f t="shared" si="182"/>
        <v>0</v>
      </c>
      <c r="BQ148" s="109">
        <f t="shared" si="183"/>
        <v>0</v>
      </c>
      <c r="BR148" s="109">
        <f t="shared" si="184"/>
        <v>0</v>
      </c>
      <c r="BS148" s="109">
        <f t="shared" si="185"/>
        <v>0</v>
      </c>
      <c r="BU148" s="82">
        <f t="shared" si="186"/>
        <v>0</v>
      </c>
      <c r="BV148" s="82" t="e">
        <f t="shared" si="187"/>
        <v>#DIV/0!</v>
      </c>
      <c r="BW148" s="77">
        <f t="shared" si="188"/>
        <v>0</v>
      </c>
      <c r="BX148" s="108">
        <f t="shared" si="189"/>
        <v>0</v>
      </c>
      <c r="BY148" s="107">
        <f t="shared" si="190"/>
        <v>0</v>
      </c>
      <c r="BZ148" s="107">
        <f t="shared" si="191"/>
        <v>0</v>
      </c>
      <c r="CA148" s="107">
        <f t="shared" si="192"/>
        <v>0</v>
      </c>
      <c r="CB148" s="109">
        <f t="shared" si="193"/>
        <v>0</v>
      </c>
      <c r="CC148" s="109">
        <f t="shared" si="194"/>
        <v>0</v>
      </c>
      <c r="CD148" s="109">
        <f t="shared" si="195"/>
        <v>0</v>
      </c>
    </row>
    <row r="149" spans="1:82" x14ac:dyDescent="0.25">
      <c r="A149" s="101">
        <f t="shared" si="142"/>
        <v>40391</v>
      </c>
      <c r="B149" s="102">
        <f t="shared" si="121"/>
        <v>3.1480000000000001</v>
      </c>
      <c r="C149" s="80">
        <f t="shared" si="143"/>
        <v>0.16</v>
      </c>
      <c r="D149" s="102">
        <f t="shared" si="71"/>
        <v>-0.17</v>
      </c>
      <c r="E149" s="106">
        <f t="shared" si="72"/>
        <v>1</v>
      </c>
      <c r="F149" s="105">
        <f t="shared" ca="1" si="144"/>
        <v>3618</v>
      </c>
      <c r="G149" s="80" t="e">
        <f t="shared" si="145"/>
        <v>#DIV/0!</v>
      </c>
      <c r="H149" s="80" t="e">
        <f t="shared" si="146"/>
        <v>#DIV/0!</v>
      </c>
      <c r="I149" s="104">
        <f t="shared" si="76"/>
        <v>5</v>
      </c>
      <c r="K149" s="102">
        <f t="shared" si="77"/>
        <v>-0.17</v>
      </c>
      <c r="L149" s="106">
        <f t="shared" si="78"/>
        <v>1</v>
      </c>
      <c r="M149" s="105">
        <f t="shared" ca="1" si="147"/>
        <v>3618</v>
      </c>
      <c r="N149" s="217" t="e">
        <f t="shared" si="148"/>
        <v>#DIV/0!</v>
      </c>
      <c r="O149" s="80" t="e">
        <f t="shared" si="149"/>
        <v>#DIV/0!</v>
      </c>
      <c r="P149" s="104">
        <f t="shared" si="82"/>
        <v>5</v>
      </c>
      <c r="R149" s="102">
        <f t="shared" si="83"/>
        <v>0.27</v>
      </c>
      <c r="S149" s="106">
        <f t="shared" si="84"/>
        <v>1</v>
      </c>
      <c r="T149" s="105">
        <f t="shared" ca="1" si="150"/>
        <v>3618</v>
      </c>
      <c r="U149" s="217" t="e">
        <f t="shared" si="151"/>
        <v>#DIV/0!</v>
      </c>
      <c r="V149" s="80" t="e">
        <f t="shared" si="152"/>
        <v>#DIV/0!</v>
      </c>
      <c r="W149" s="104">
        <f t="shared" si="88"/>
        <v>4.95</v>
      </c>
      <c r="X149" s="105"/>
      <c r="Y149" s="102">
        <f t="shared" si="89"/>
        <v>2.5000000000000001E-2</v>
      </c>
      <c r="Z149" s="106">
        <f t="shared" si="90"/>
        <v>1</v>
      </c>
      <c r="AA149" s="105">
        <f t="shared" ca="1" si="153"/>
        <v>3618</v>
      </c>
      <c r="AB149" s="80" t="e">
        <f t="shared" si="154"/>
        <v>#DIV/0!</v>
      </c>
      <c r="AC149" s="80" t="e">
        <f t="shared" si="155"/>
        <v>#DIV/0!</v>
      </c>
      <c r="AD149" s="104">
        <f t="shared" si="94"/>
        <v>3.98</v>
      </c>
      <c r="AF149" s="105">
        <f t="shared" ca="1" si="123"/>
        <v>3618</v>
      </c>
      <c r="AG149" s="105">
        <f t="shared" ca="1" si="124"/>
        <v>3617</v>
      </c>
      <c r="AH149" s="80">
        <f t="shared" si="95"/>
        <v>7.0154420923774011E-2</v>
      </c>
      <c r="AI149" s="182">
        <f t="shared" si="96"/>
        <v>31</v>
      </c>
      <c r="AL149" s="105"/>
      <c r="AM149" s="82"/>
      <c r="AN149" s="82">
        <f t="shared" si="156"/>
        <v>0</v>
      </c>
      <c r="AO149" s="82" t="e">
        <f t="shared" si="157"/>
        <v>#DIV/0!</v>
      </c>
      <c r="AP149" s="77">
        <f t="shared" si="158"/>
        <v>0</v>
      </c>
      <c r="AQ149" s="108">
        <f t="shared" si="159"/>
        <v>0</v>
      </c>
      <c r="AR149" s="107">
        <f t="shared" si="160"/>
        <v>0</v>
      </c>
      <c r="AS149" s="107">
        <f t="shared" si="161"/>
        <v>0</v>
      </c>
      <c r="AT149" s="107">
        <f t="shared" si="162"/>
        <v>0</v>
      </c>
      <c r="AU149" s="109">
        <f t="shared" si="163"/>
        <v>0</v>
      </c>
      <c r="AV149" s="109">
        <f t="shared" si="164"/>
        <v>0</v>
      </c>
      <c r="AW149" s="109">
        <f t="shared" si="165"/>
        <v>0</v>
      </c>
      <c r="AY149" s="82">
        <f t="shared" si="166"/>
        <v>0</v>
      </c>
      <c r="AZ149" s="82" t="e">
        <f t="shared" si="167"/>
        <v>#DIV/0!</v>
      </c>
      <c r="BA149" s="77">
        <f t="shared" si="168"/>
        <v>0</v>
      </c>
      <c r="BB149" s="108">
        <f t="shared" si="169"/>
        <v>0</v>
      </c>
      <c r="BC149" s="107">
        <f t="shared" si="170"/>
        <v>0</v>
      </c>
      <c r="BD149" s="107">
        <f t="shared" si="171"/>
        <v>0</v>
      </c>
      <c r="BE149" s="107">
        <f t="shared" si="172"/>
        <v>0</v>
      </c>
      <c r="BF149" s="109">
        <f t="shared" si="173"/>
        <v>0</v>
      </c>
      <c r="BG149" s="109">
        <f t="shared" si="174"/>
        <v>0</v>
      </c>
      <c r="BH149" s="109">
        <f t="shared" si="175"/>
        <v>0</v>
      </c>
      <c r="BJ149" s="82">
        <f t="shared" si="176"/>
        <v>0</v>
      </c>
      <c r="BK149" s="82" t="e">
        <f t="shared" si="177"/>
        <v>#DIV/0!</v>
      </c>
      <c r="BL149" s="77">
        <f t="shared" si="178"/>
        <v>0</v>
      </c>
      <c r="BM149" s="108">
        <f t="shared" si="179"/>
        <v>0</v>
      </c>
      <c r="BN149" s="107">
        <f t="shared" si="180"/>
        <v>0</v>
      </c>
      <c r="BO149" s="107">
        <f t="shared" si="181"/>
        <v>0</v>
      </c>
      <c r="BP149" s="107">
        <f t="shared" si="182"/>
        <v>0</v>
      </c>
      <c r="BQ149" s="109">
        <f t="shared" si="183"/>
        <v>0</v>
      </c>
      <c r="BR149" s="109">
        <f t="shared" si="184"/>
        <v>0</v>
      </c>
      <c r="BS149" s="109">
        <f t="shared" si="185"/>
        <v>0</v>
      </c>
      <c r="BU149" s="82">
        <f t="shared" si="186"/>
        <v>0</v>
      </c>
      <c r="BV149" s="82" t="e">
        <f t="shared" si="187"/>
        <v>#DIV/0!</v>
      </c>
      <c r="BW149" s="77">
        <f t="shared" si="188"/>
        <v>0</v>
      </c>
      <c r="BX149" s="108">
        <f t="shared" si="189"/>
        <v>0</v>
      </c>
      <c r="BY149" s="107">
        <f t="shared" si="190"/>
        <v>0</v>
      </c>
      <c r="BZ149" s="107">
        <f t="shared" si="191"/>
        <v>0</v>
      </c>
      <c r="CA149" s="107">
        <f t="shared" si="192"/>
        <v>0</v>
      </c>
      <c r="CB149" s="109">
        <f t="shared" si="193"/>
        <v>0</v>
      </c>
      <c r="CC149" s="109">
        <f t="shared" si="194"/>
        <v>0</v>
      </c>
      <c r="CD149" s="109">
        <f t="shared" si="195"/>
        <v>0</v>
      </c>
    </row>
    <row r="150" spans="1:82" x14ac:dyDescent="0.25">
      <c r="A150" s="101">
        <f t="shared" si="142"/>
        <v>40422</v>
      </c>
      <c r="B150" s="102">
        <f t="shared" si="121"/>
        <v>3.1310000000000002</v>
      </c>
      <c r="C150" s="80">
        <f t="shared" si="143"/>
        <v>0.16</v>
      </c>
      <c r="D150" s="102">
        <f t="shared" si="71"/>
        <v>-0.17</v>
      </c>
      <c r="E150" s="106">
        <f t="shared" si="72"/>
        <v>1</v>
      </c>
      <c r="F150" s="105">
        <f t="shared" ca="1" si="144"/>
        <v>3648</v>
      </c>
      <c r="G150" s="80" t="e">
        <f t="shared" si="145"/>
        <v>#DIV/0!</v>
      </c>
      <c r="H150" s="80" t="e">
        <f t="shared" si="146"/>
        <v>#DIV/0!</v>
      </c>
      <c r="I150" s="104">
        <f t="shared" si="76"/>
        <v>5</v>
      </c>
      <c r="K150" s="102">
        <f t="shared" si="77"/>
        <v>-0.17</v>
      </c>
      <c r="L150" s="106">
        <f t="shared" si="78"/>
        <v>1</v>
      </c>
      <c r="M150" s="105">
        <f t="shared" ca="1" si="147"/>
        <v>3648</v>
      </c>
      <c r="N150" s="217" t="e">
        <f t="shared" si="148"/>
        <v>#DIV/0!</v>
      </c>
      <c r="O150" s="80" t="e">
        <f t="shared" si="149"/>
        <v>#DIV/0!</v>
      </c>
      <c r="P150" s="104">
        <f t="shared" si="82"/>
        <v>5</v>
      </c>
      <c r="R150" s="102">
        <f t="shared" si="83"/>
        <v>0.26800000000000002</v>
      </c>
      <c r="S150" s="106">
        <f t="shared" si="84"/>
        <v>1</v>
      </c>
      <c r="T150" s="105">
        <f t="shared" ca="1" si="150"/>
        <v>3648</v>
      </c>
      <c r="U150" s="217" t="e">
        <f t="shared" si="151"/>
        <v>#DIV/0!</v>
      </c>
      <c r="V150" s="80" t="e">
        <f t="shared" si="152"/>
        <v>#DIV/0!</v>
      </c>
      <c r="W150" s="104">
        <f t="shared" si="88"/>
        <v>4.95</v>
      </c>
      <c r="X150" s="105"/>
      <c r="Y150" s="102">
        <f t="shared" si="89"/>
        <v>1.7500000000000002E-2</v>
      </c>
      <c r="Z150" s="106">
        <f t="shared" si="90"/>
        <v>1</v>
      </c>
      <c r="AA150" s="105">
        <f t="shared" ca="1" si="153"/>
        <v>3648</v>
      </c>
      <c r="AB150" s="80" t="e">
        <f t="shared" si="154"/>
        <v>#DIV/0!</v>
      </c>
      <c r="AC150" s="80" t="e">
        <f t="shared" si="155"/>
        <v>#DIV/0!</v>
      </c>
      <c r="AD150" s="104">
        <f t="shared" si="94"/>
        <v>3.98</v>
      </c>
      <c r="AF150" s="105">
        <f t="shared" ca="1" si="123"/>
        <v>3648</v>
      </c>
      <c r="AG150" s="105">
        <f t="shared" ca="1" si="124"/>
        <v>3647</v>
      </c>
      <c r="AH150" s="80">
        <f t="shared" si="95"/>
        <v>7.0167558475024996E-2</v>
      </c>
      <c r="AI150" s="182">
        <f t="shared" si="96"/>
        <v>30</v>
      </c>
      <c r="AL150" s="105"/>
      <c r="AM150" s="82"/>
      <c r="AN150" s="82">
        <f t="shared" si="156"/>
        <v>0</v>
      </c>
      <c r="AO150" s="82" t="e">
        <f t="shared" si="157"/>
        <v>#DIV/0!</v>
      </c>
      <c r="AP150" s="77">
        <f t="shared" si="158"/>
        <v>0</v>
      </c>
      <c r="AQ150" s="108">
        <f t="shared" si="159"/>
        <v>0</v>
      </c>
      <c r="AR150" s="107">
        <f t="shared" si="160"/>
        <v>0</v>
      </c>
      <c r="AS150" s="107">
        <f t="shared" si="161"/>
        <v>0</v>
      </c>
      <c r="AT150" s="107">
        <f t="shared" si="162"/>
        <v>0</v>
      </c>
      <c r="AU150" s="109">
        <f t="shared" si="163"/>
        <v>0</v>
      </c>
      <c r="AV150" s="109">
        <f t="shared" si="164"/>
        <v>0</v>
      </c>
      <c r="AW150" s="109">
        <f t="shared" si="165"/>
        <v>0</v>
      </c>
      <c r="AY150" s="82">
        <f t="shared" si="166"/>
        <v>0</v>
      </c>
      <c r="AZ150" s="82" t="e">
        <f t="shared" si="167"/>
        <v>#DIV/0!</v>
      </c>
      <c r="BA150" s="77">
        <f t="shared" si="168"/>
        <v>0</v>
      </c>
      <c r="BB150" s="108">
        <f t="shared" si="169"/>
        <v>0</v>
      </c>
      <c r="BC150" s="107">
        <f t="shared" si="170"/>
        <v>0</v>
      </c>
      <c r="BD150" s="107">
        <f t="shared" si="171"/>
        <v>0</v>
      </c>
      <c r="BE150" s="107">
        <f t="shared" si="172"/>
        <v>0</v>
      </c>
      <c r="BF150" s="109">
        <f t="shared" si="173"/>
        <v>0</v>
      </c>
      <c r="BG150" s="109">
        <f t="shared" si="174"/>
        <v>0</v>
      </c>
      <c r="BH150" s="109">
        <f t="shared" si="175"/>
        <v>0</v>
      </c>
      <c r="BJ150" s="82">
        <f t="shared" si="176"/>
        <v>0</v>
      </c>
      <c r="BK150" s="82" t="e">
        <f t="shared" si="177"/>
        <v>#DIV/0!</v>
      </c>
      <c r="BL150" s="77">
        <f t="shared" si="178"/>
        <v>0</v>
      </c>
      <c r="BM150" s="108">
        <f t="shared" si="179"/>
        <v>0</v>
      </c>
      <c r="BN150" s="107">
        <f t="shared" si="180"/>
        <v>0</v>
      </c>
      <c r="BO150" s="107">
        <f t="shared" si="181"/>
        <v>0</v>
      </c>
      <c r="BP150" s="107">
        <f t="shared" si="182"/>
        <v>0</v>
      </c>
      <c r="BQ150" s="109">
        <f t="shared" si="183"/>
        <v>0</v>
      </c>
      <c r="BR150" s="109">
        <f t="shared" si="184"/>
        <v>0</v>
      </c>
      <c r="BS150" s="109">
        <f t="shared" si="185"/>
        <v>0</v>
      </c>
      <c r="BU150" s="82">
        <f t="shared" si="186"/>
        <v>0</v>
      </c>
      <c r="BV150" s="82" t="e">
        <f t="shared" si="187"/>
        <v>#DIV/0!</v>
      </c>
      <c r="BW150" s="77">
        <f t="shared" si="188"/>
        <v>0</v>
      </c>
      <c r="BX150" s="108">
        <f t="shared" si="189"/>
        <v>0</v>
      </c>
      <c r="BY150" s="107">
        <f t="shared" si="190"/>
        <v>0</v>
      </c>
      <c r="BZ150" s="107">
        <f t="shared" si="191"/>
        <v>0</v>
      </c>
      <c r="CA150" s="107">
        <f t="shared" si="192"/>
        <v>0</v>
      </c>
      <c r="CB150" s="109">
        <f t="shared" si="193"/>
        <v>0</v>
      </c>
      <c r="CC150" s="109">
        <f t="shared" si="194"/>
        <v>0</v>
      </c>
      <c r="CD150" s="109">
        <f t="shared" si="195"/>
        <v>0</v>
      </c>
    </row>
    <row r="151" spans="1:82" x14ac:dyDescent="0.25">
      <c r="A151" s="101">
        <f t="shared" si="142"/>
        <v>40452</v>
      </c>
      <c r="B151" s="115"/>
      <c r="C151" s="134"/>
      <c r="E151" s="112"/>
      <c r="F151" s="112"/>
      <c r="G151" s="112"/>
      <c r="H151" s="113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83"/>
      <c r="AL151" s="83"/>
      <c r="AM151" s="84"/>
      <c r="AN151" s="83"/>
      <c r="AO151" s="84"/>
      <c r="AY151" s="83"/>
      <c r="AZ151" s="84"/>
      <c r="BJ151" s="83"/>
      <c r="BK151" s="84"/>
      <c r="BU151" s="83"/>
      <c r="BV151" s="84"/>
    </row>
    <row r="152" spans="1:82" x14ac:dyDescent="0.25">
      <c r="A152" s="110"/>
      <c r="B152" s="115"/>
      <c r="C152" s="134"/>
      <c r="E152" s="112"/>
      <c r="F152" s="112"/>
      <c r="G152" s="112"/>
      <c r="H152" s="113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83"/>
      <c r="AL152" s="83"/>
      <c r="AM152" s="84"/>
      <c r="AN152" s="83"/>
      <c r="AO152" s="84"/>
      <c r="AY152" s="83"/>
      <c r="AZ152" s="84"/>
      <c r="BJ152" s="83"/>
      <c r="BK152" s="84"/>
      <c r="BU152" s="83"/>
      <c r="BV152" s="84"/>
    </row>
    <row r="153" spans="1:82" x14ac:dyDescent="0.25">
      <c r="A153" s="110"/>
      <c r="B153" s="115"/>
      <c r="C153" s="134"/>
      <c r="E153" s="112"/>
      <c r="F153" s="112"/>
      <c r="G153" s="112"/>
      <c r="H153" s="113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83"/>
      <c r="AL153" s="83"/>
      <c r="AM153" s="84"/>
      <c r="AN153" s="83"/>
      <c r="AO153" s="84"/>
      <c r="AY153" s="83"/>
      <c r="AZ153" s="84"/>
      <c r="BJ153" s="83"/>
      <c r="BK153" s="84"/>
      <c r="BU153" s="83"/>
      <c r="BV153" s="84"/>
    </row>
    <row r="154" spans="1:82" x14ac:dyDescent="0.25">
      <c r="A154" s="110"/>
      <c r="B154" s="115"/>
      <c r="C154" s="134"/>
      <c r="E154" s="112"/>
      <c r="F154" s="112"/>
      <c r="G154" s="112"/>
      <c r="H154" s="113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83"/>
      <c r="AL154" s="83"/>
      <c r="AM154" s="84"/>
      <c r="AN154" s="83"/>
      <c r="AO154" s="84"/>
      <c r="AY154" s="83"/>
      <c r="AZ154" s="84"/>
      <c r="BJ154" s="83"/>
      <c r="BK154" s="84"/>
      <c r="BU154" s="83"/>
      <c r="BV154" s="84"/>
    </row>
    <row r="155" spans="1:82" x14ac:dyDescent="0.25">
      <c r="A155" s="110"/>
      <c r="B155" s="115"/>
      <c r="C155" s="134"/>
      <c r="E155" s="112"/>
      <c r="F155" s="112"/>
      <c r="G155" s="112"/>
      <c r="H155" s="113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83"/>
      <c r="AL155" s="83"/>
      <c r="AM155" s="84"/>
      <c r="AN155" s="83"/>
      <c r="AO155" s="84"/>
      <c r="AY155" s="83"/>
      <c r="AZ155" s="84"/>
      <c r="BJ155" s="83"/>
      <c r="BK155" s="84"/>
      <c r="BU155" s="83"/>
      <c r="BV155" s="84"/>
    </row>
    <row r="156" spans="1:82" x14ac:dyDescent="0.25">
      <c r="A156" s="110"/>
      <c r="B156" s="115"/>
      <c r="C156" s="134"/>
      <c r="E156" s="112"/>
      <c r="F156" s="112"/>
      <c r="G156" s="112"/>
      <c r="H156" s="113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83"/>
      <c r="AL156" s="83"/>
      <c r="AM156" s="84"/>
      <c r="AN156" s="83"/>
      <c r="AO156" s="84"/>
      <c r="AY156" s="83"/>
      <c r="AZ156" s="84"/>
      <c r="BJ156" s="83"/>
      <c r="BK156" s="84"/>
      <c r="BU156" s="83"/>
      <c r="BV156" s="84"/>
    </row>
    <row r="157" spans="1:82" x14ac:dyDescent="0.25">
      <c r="A157" s="110"/>
      <c r="B157" s="115"/>
      <c r="C157" s="134"/>
      <c r="E157" s="112"/>
      <c r="F157" s="112"/>
      <c r="G157" s="112"/>
      <c r="H157" s="113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83"/>
      <c r="AL157" s="83"/>
      <c r="AM157" s="84"/>
      <c r="AN157" s="83"/>
      <c r="AO157" s="84"/>
      <c r="AY157" s="83"/>
      <c r="AZ157" s="84"/>
      <c r="BJ157" s="83"/>
      <c r="BK157" s="84"/>
      <c r="BU157" s="83"/>
      <c r="BV157" s="84"/>
    </row>
    <row r="158" spans="1:82" x14ac:dyDescent="0.25">
      <c r="A158" s="110"/>
      <c r="B158" s="115"/>
      <c r="C158" s="134"/>
      <c r="E158" s="112"/>
      <c r="F158" s="112"/>
      <c r="G158" s="112"/>
      <c r="H158" s="113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83"/>
      <c r="AL158" s="83"/>
      <c r="AM158" s="84"/>
      <c r="AN158" s="83"/>
      <c r="AO158" s="84"/>
      <c r="AY158" s="83"/>
      <c r="AZ158" s="84"/>
      <c r="BJ158" s="83"/>
      <c r="BK158" s="84"/>
      <c r="BU158" s="83"/>
      <c r="BV158" s="84"/>
    </row>
    <row r="159" spans="1:82" x14ac:dyDescent="0.25">
      <c r="A159" s="110"/>
      <c r="B159" s="115"/>
      <c r="C159" s="134"/>
      <c r="E159" s="112"/>
      <c r="F159" s="112"/>
      <c r="G159" s="112"/>
      <c r="H159" s="113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83"/>
      <c r="AL159" s="83"/>
      <c r="AM159" s="84"/>
      <c r="AN159" s="83"/>
      <c r="AO159" s="84"/>
      <c r="AY159" s="83"/>
      <c r="AZ159" s="84"/>
      <c r="BJ159" s="83"/>
      <c r="BK159" s="84"/>
      <c r="BU159" s="83"/>
      <c r="BV159" s="84"/>
    </row>
    <row r="160" spans="1:82" x14ac:dyDescent="0.25">
      <c r="A160" s="110"/>
      <c r="B160" s="115"/>
      <c r="C160" s="134"/>
      <c r="E160" s="112"/>
      <c r="F160" s="112"/>
      <c r="G160" s="112"/>
      <c r="H160" s="113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83"/>
      <c r="AL160" s="83"/>
      <c r="AM160" s="84"/>
      <c r="AN160" s="83"/>
      <c r="AO160" s="84"/>
      <c r="AY160" s="83"/>
      <c r="AZ160" s="84"/>
      <c r="BJ160" s="83"/>
      <c r="BK160" s="84"/>
      <c r="BU160" s="83"/>
      <c r="BV160" s="84"/>
    </row>
    <row r="161" spans="1:74" x14ac:dyDescent="0.25">
      <c r="A161" s="110"/>
      <c r="B161" s="115"/>
      <c r="C161" s="134"/>
      <c r="E161" s="112"/>
      <c r="F161" s="112"/>
      <c r="G161" s="112"/>
      <c r="H161" s="113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83"/>
      <c r="AL161" s="83"/>
      <c r="AM161" s="84"/>
      <c r="AN161" s="83"/>
      <c r="AO161" s="84"/>
      <c r="AY161" s="83"/>
      <c r="AZ161" s="84"/>
      <c r="BJ161" s="83"/>
      <c r="BK161" s="84"/>
      <c r="BU161" s="83"/>
      <c r="BV161" s="84"/>
    </row>
    <row r="162" spans="1:74" x14ac:dyDescent="0.25">
      <c r="A162" s="116"/>
      <c r="E162" s="79"/>
      <c r="F162" s="79"/>
      <c r="G162" s="79"/>
      <c r="H162" s="113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83"/>
      <c r="AL162" s="83"/>
      <c r="AM162" s="84"/>
      <c r="AN162" s="83"/>
      <c r="AO162" s="84"/>
      <c r="AY162" s="83"/>
      <c r="AZ162" s="84"/>
      <c r="BJ162" s="83"/>
      <c r="BK162" s="84"/>
      <c r="BU162" s="83"/>
      <c r="BV162" s="84"/>
    </row>
    <row r="163" spans="1:74" x14ac:dyDescent="0.25">
      <c r="A163" s="110"/>
      <c r="B163" s="115"/>
      <c r="C163" s="134"/>
      <c r="E163" s="112"/>
      <c r="F163" s="112"/>
      <c r="G163" s="112"/>
      <c r="H163" s="113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83"/>
      <c r="AL163" s="83"/>
      <c r="AM163" s="84"/>
      <c r="AN163" s="83"/>
      <c r="AO163" s="84"/>
      <c r="AY163" s="83"/>
      <c r="AZ163" s="84"/>
      <c r="BJ163" s="83"/>
      <c r="BK163" s="84"/>
      <c r="BU163" s="83"/>
      <c r="BV163" s="84"/>
    </row>
    <row r="164" spans="1:74" x14ac:dyDescent="0.25">
      <c r="B164" s="117"/>
      <c r="C164" s="120"/>
      <c r="D164" s="118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4"/>
      <c r="AI164" s="111"/>
      <c r="AJ164" s="111"/>
      <c r="AK164" s="83"/>
      <c r="AL164" s="83"/>
      <c r="AM164" s="84"/>
      <c r="AN164" s="83"/>
      <c r="AO164" s="84"/>
      <c r="AY164" s="83"/>
      <c r="AZ164" s="84"/>
      <c r="BJ164" s="83"/>
      <c r="BK164" s="84"/>
      <c r="BU164" s="83"/>
      <c r="BV164" s="84"/>
    </row>
    <row r="165" spans="1:74" x14ac:dyDescent="0.25">
      <c r="B165" s="117"/>
      <c r="C165" s="120"/>
      <c r="D165" s="118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4"/>
      <c r="AI165" s="111"/>
      <c r="AJ165" s="111"/>
      <c r="AK165" s="83"/>
      <c r="AL165" s="83"/>
      <c r="AM165" s="84"/>
      <c r="AN165" s="83"/>
      <c r="AO165" s="84"/>
      <c r="AY165" s="83"/>
      <c r="AZ165" s="84"/>
      <c r="BJ165" s="83"/>
      <c r="BK165" s="84"/>
      <c r="BU165" s="83"/>
      <c r="BV165" s="84"/>
    </row>
    <row r="166" spans="1:74" x14ac:dyDescent="0.25">
      <c r="B166" s="117"/>
      <c r="C166" s="120"/>
      <c r="D166" s="118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4"/>
      <c r="AI166" s="111"/>
      <c r="AJ166" s="111"/>
      <c r="AK166" s="83"/>
      <c r="AL166" s="83"/>
      <c r="AM166" s="84"/>
      <c r="AN166" s="83"/>
      <c r="AO166" s="84"/>
      <c r="AY166" s="83"/>
      <c r="AZ166" s="84"/>
      <c r="BJ166" s="83"/>
      <c r="BK166" s="84"/>
      <c r="BU166" s="83"/>
      <c r="BV166" s="84"/>
    </row>
    <row r="167" spans="1:74" x14ac:dyDescent="0.25">
      <c r="B167" s="117"/>
      <c r="C167" s="120"/>
      <c r="D167" s="118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4"/>
      <c r="AI167" s="111"/>
      <c r="AJ167" s="111"/>
      <c r="AK167" s="83"/>
      <c r="AL167" s="83"/>
      <c r="AM167" s="84"/>
      <c r="AN167" s="83"/>
      <c r="AO167" s="84"/>
      <c r="AY167" s="83"/>
      <c r="AZ167" s="84"/>
      <c r="BJ167" s="83"/>
      <c r="BK167" s="84"/>
      <c r="BU167" s="83"/>
      <c r="BV167" s="84"/>
    </row>
    <row r="168" spans="1:74" x14ac:dyDescent="0.25">
      <c r="B168" s="117"/>
      <c r="C168" s="120"/>
      <c r="D168" s="118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4"/>
      <c r="AI168" s="111"/>
      <c r="AJ168" s="111"/>
      <c r="AK168" s="83"/>
      <c r="AL168" s="83"/>
      <c r="AM168" s="84"/>
      <c r="AN168" s="83"/>
      <c r="AO168" s="84"/>
      <c r="AY168" s="83"/>
      <c r="AZ168" s="84"/>
      <c r="BJ168" s="83"/>
      <c r="BK168" s="84"/>
      <c r="BU168" s="83"/>
      <c r="BV168" s="84"/>
    </row>
    <row r="169" spans="1:74" x14ac:dyDescent="0.25">
      <c r="B169" s="117"/>
      <c r="C169" s="120"/>
      <c r="D169" s="118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4"/>
      <c r="AI169" s="111"/>
      <c r="AJ169" s="111"/>
      <c r="AK169" s="83"/>
      <c r="AL169" s="83"/>
      <c r="AM169" s="84"/>
      <c r="AN169" s="83"/>
      <c r="AO169" s="84"/>
      <c r="AY169" s="83"/>
      <c r="AZ169" s="84"/>
      <c r="BJ169" s="83"/>
      <c r="BK169" s="84"/>
      <c r="BU169" s="83"/>
      <c r="BV169" s="84"/>
    </row>
    <row r="170" spans="1:74" x14ac:dyDescent="0.25">
      <c r="B170" s="117"/>
      <c r="C170" s="120"/>
      <c r="D170" s="118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4"/>
      <c r="AI170" s="111"/>
      <c r="AJ170" s="111"/>
      <c r="AK170" s="83"/>
      <c r="AL170" s="83"/>
      <c r="AM170" s="84"/>
      <c r="AN170" s="83"/>
      <c r="AO170" s="84"/>
      <c r="AY170" s="83"/>
      <c r="AZ170" s="84"/>
      <c r="BJ170" s="83"/>
      <c r="BK170" s="84"/>
      <c r="BU170" s="83"/>
      <c r="BV170" s="84"/>
    </row>
    <row r="171" spans="1:74" x14ac:dyDescent="0.25">
      <c r="B171" s="117"/>
      <c r="C171" s="120"/>
      <c r="D171" s="118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4"/>
      <c r="AI171" s="111"/>
      <c r="AJ171" s="111"/>
      <c r="AK171" s="83"/>
      <c r="AL171" s="83"/>
      <c r="AM171" s="84"/>
      <c r="AN171" s="83"/>
      <c r="AO171" s="84"/>
      <c r="AY171" s="83"/>
      <c r="AZ171" s="84"/>
      <c r="BJ171" s="83"/>
      <c r="BK171" s="84"/>
      <c r="BU171" s="83"/>
      <c r="BV171" s="84"/>
    </row>
    <row r="172" spans="1:74" x14ac:dyDescent="0.25">
      <c r="B172" s="117"/>
      <c r="C172" s="120"/>
      <c r="D172" s="118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4"/>
      <c r="AI172" s="111"/>
      <c r="AJ172" s="111"/>
      <c r="AK172" s="83"/>
      <c r="AL172" s="83"/>
      <c r="AM172" s="84"/>
      <c r="AN172" s="83"/>
      <c r="AO172" s="84"/>
      <c r="AY172" s="83"/>
      <c r="AZ172" s="84"/>
      <c r="BJ172" s="83"/>
      <c r="BK172" s="84"/>
      <c r="BU172" s="83"/>
      <c r="BV172" s="84"/>
    </row>
    <row r="173" spans="1:74" x14ac:dyDescent="0.25">
      <c r="B173" s="117"/>
      <c r="C173" s="120"/>
      <c r="D173" s="118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4"/>
      <c r="AI173" s="111"/>
      <c r="AJ173" s="111"/>
      <c r="AK173" s="83"/>
      <c r="AL173" s="83"/>
      <c r="AM173" s="84"/>
      <c r="AN173" s="83"/>
      <c r="AO173" s="84"/>
      <c r="AY173" s="83"/>
      <c r="AZ173" s="84"/>
      <c r="BJ173" s="83"/>
      <c r="BK173" s="84"/>
      <c r="BU173" s="83"/>
      <c r="BV173" s="84"/>
    </row>
    <row r="174" spans="1:74" x14ac:dyDescent="0.25">
      <c r="B174" s="117"/>
      <c r="C174" s="120"/>
      <c r="D174" s="118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4"/>
      <c r="AI174" s="111"/>
      <c r="AJ174" s="111"/>
      <c r="AK174" s="83"/>
      <c r="AL174" s="83"/>
      <c r="AM174" s="84"/>
      <c r="AN174" s="83"/>
      <c r="AO174" s="84"/>
      <c r="AY174" s="83"/>
      <c r="AZ174" s="84"/>
      <c r="BJ174" s="83"/>
      <c r="BK174" s="84"/>
      <c r="BU174" s="83"/>
      <c r="BV174" s="84"/>
    </row>
    <row r="175" spans="1:74" x14ac:dyDescent="0.25">
      <c r="B175" s="117"/>
      <c r="C175" s="120"/>
      <c r="D175" s="118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4"/>
      <c r="AI175" s="111"/>
      <c r="AJ175" s="111"/>
      <c r="AK175" s="83"/>
      <c r="AL175" s="83"/>
      <c r="AM175" s="84"/>
      <c r="AN175" s="83"/>
      <c r="AO175" s="84"/>
      <c r="AY175" s="83"/>
      <c r="AZ175" s="84"/>
      <c r="BJ175" s="83"/>
      <c r="BK175" s="84"/>
      <c r="BU175" s="83"/>
      <c r="BV175" s="84"/>
    </row>
    <row r="176" spans="1:74" ht="13.8" thickBot="1" x14ac:dyDescent="0.3">
      <c r="B176" s="117"/>
      <c r="C176" s="120"/>
      <c r="D176" s="121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4"/>
      <c r="AI176" s="114"/>
      <c r="AJ176" s="114"/>
      <c r="AK176" s="83"/>
      <c r="AL176" s="83"/>
      <c r="AM176" s="84"/>
      <c r="AN176" s="83"/>
      <c r="AO176" s="84"/>
      <c r="AY176" s="83"/>
      <c r="AZ176" s="84"/>
      <c r="BJ176" s="83"/>
      <c r="BK176" s="84"/>
      <c r="BU176" s="83"/>
      <c r="BV176" s="84"/>
    </row>
    <row r="177" spans="2:74" x14ac:dyDescent="0.25">
      <c r="B177" s="117"/>
      <c r="C177" s="120"/>
      <c r="D177" s="122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4"/>
      <c r="AI177" s="114"/>
      <c r="AJ177" s="114"/>
      <c r="AK177" s="83"/>
      <c r="AL177" s="83"/>
      <c r="AM177" s="84"/>
      <c r="AN177" s="83"/>
      <c r="AO177" s="84"/>
      <c r="AY177" s="83"/>
      <c r="AZ177" s="84"/>
      <c r="BJ177" s="83"/>
      <c r="BK177" s="84"/>
      <c r="BU177" s="83"/>
      <c r="BV177" s="84"/>
    </row>
    <row r="178" spans="2:74" ht="13.8" thickBot="1" x14ac:dyDescent="0.3">
      <c r="B178" s="117"/>
      <c r="C178" s="120"/>
      <c r="D178" s="123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4"/>
      <c r="AI178" s="114"/>
      <c r="AJ178" s="114"/>
      <c r="AK178" s="83"/>
      <c r="AL178" s="83"/>
      <c r="AM178" s="84"/>
      <c r="AN178" s="83"/>
      <c r="AO178" s="84"/>
      <c r="AY178" s="83"/>
      <c r="AZ178" s="84"/>
      <c r="BJ178" s="83"/>
      <c r="BK178" s="84"/>
      <c r="BU178" s="83"/>
      <c r="BV178" s="84"/>
    </row>
    <row r="179" spans="2:74" ht="13.8" thickBot="1" x14ac:dyDescent="0.3">
      <c r="B179" s="124"/>
      <c r="C179" s="125"/>
      <c r="D179" s="123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4"/>
      <c r="AI179" s="114"/>
      <c r="AJ179" s="114"/>
      <c r="AK179" s="83"/>
      <c r="AL179" s="83"/>
      <c r="AM179" s="84"/>
      <c r="AN179" s="83"/>
      <c r="AO179" s="84"/>
      <c r="AY179" s="83"/>
      <c r="AZ179" s="84"/>
      <c r="BJ179" s="83"/>
      <c r="BK179" s="84"/>
      <c r="BU179" s="83"/>
      <c r="BV179" s="84"/>
    </row>
    <row r="180" spans="2:74" x14ac:dyDescent="0.25">
      <c r="B180" s="124"/>
      <c r="C180" s="12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4"/>
      <c r="AI180" s="83"/>
      <c r="AJ180" s="83"/>
      <c r="AK180" s="83"/>
      <c r="AL180" s="83"/>
      <c r="AM180" s="84"/>
      <c r="AN180" s="83"/>
      <c r="AO180" s="84"/>
      <c r="AY180" s="83"/>
      <c r="AZ180" s="84"/>
      <c r="BJ180" s="83"/>
      <c r="BK180" s="84"/>
      <c r="BU180" s="83"/>
      <c r="BV180" s="84"/>
    </row>
    <row r="181" spans="2:74" x14ac:dyDescent="0.25">
      <c r="B181" s="124"/>
      <c r="C181" s="12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83"/>
      <c r="AI181" s="83"/>
      <c r="AJ181" s="83"/>
      <c r="AK181" s="83"/>
      <c r="AL181" s="83"/>
      <c r="AM181" s="84"/>
      <c r="AN181" s="83"/>
      <c r="AO181" s="84"/>
      <c r="AY181" s="83"/>
      <c r="AZ181" s="84"/>
      <c r="BJ181" s="83"/>
      <c r="BK181" s="84"/>
      <c r="BU181" s="83"/>
      <c r="BV181" s="84"/>
    </row>
    <row r="182" spans="2:74" x14ac:dyDescent="0.25">
      <c r="B182" s="124"/>
      <c r="C182" s="12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83"/>
      <c r="AI182" s="83"/>
      <c r="AJ182" s="83"/>
      <c r="AK182" s="83"/>
      <c r="AL182" s="83"/>
      <c r="AM182" s="84"/>
      <c r="AN182" s="83"/>
      <c r="AO182" s="84"/>
      <c r="AY182" s="83"/>
      <c r="AZ182" s="84"/>
      <c r="BJ182" s="83"/>
      <c r="BK182" s="84"/>
      <c r="BU182" s="83"/>
      <c r="BV182" s="84"/>
    </row>
    <row r="183" spans="2:74" x14ac:dyDescent="0.25">
      <c r="B183" s="124"/>
      <c r="C183" s="12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83"/>
      <c r="AI183" s="83"/>
      <c r="AJ183" s="83"/>
      <c r="AK183" s="83"/>
      <c r="AL183" s="83"/>
      <c r="AM183" s="84"/>
      <c r="AN183" s="83"/>
      <c r="AO183" s="84"/>
      <c r="AY183" s="83"/>
      <c r="AZ183" s="84"/>
      <c r="BJ183" s="83"/>
      <c r="BK183" s="84"/>
      <c r="BU183" s="83"/>
      <c r="BV183" s="84"/>
    </row>
    <row r="184" spans="2:74" x14ac:dyDescent="0.25">
      <c r="B184" s="124"/>
      <c r="C184" s="12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83"/>
      <c r="AI184" s="83"/>
      <c r="AJ184" s="83"/>
      <c r="AK184" s="83"/>
      <c r="AL184" s="83"/>
      <c r="AM184" s="84"/>
      <c r="AN184" s="83"/>
      <c r="AO184" s="84"/>
      <c r="AY184" s="83"/>
      <c r="AZ184" s="84"/>
      <c r="BJ184" s="83"/>
      <c r="BK184" s="84"/>
      <c r="BU184" s="83"/>
      <c r="BV184" s="84"/>
    </row>
    <row r="185" spans="2:74" x14ac:dyDescent="0.25">
      <c r="B185" s="124"/>
      <c r="C185" s="12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83"/>
      <c r="AK185" s="83"/>
      <c r="AL185" s="83"/>
      <c r="AM185" s="84"/>
      <c r="AN185" s="83"/>
      <c r="AO185" s="84"/>
      <c r="AY185" s="83"/>
      <c r="AZ185" s="84"/>
      <c r="BJ185" s="83"/>
      <c r="BK185" s="84"/>
      <c r="BU185" s="83"/>
      <c r="BV185" s="84"/>
    </row>
    <row r="186" spans="2:74" x14ac:dyDescent="0.25">
      <c r="B186" s="124"/>
      <c r="C186" s="12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83"/>
      <c r="AI186" s="83"/>
      <c r="AJ186" s="83"/>
      <c r="AK186" s="83"/>
      <c r="AL186" s="83"/>
      <c r="AM186" s="84"/>
      <c r="AN186" s="83"/>
      <c r="AO186" s="84"/>
      <c r="AY186" s="83"/>
      <c r="AZ186" s="84"/>
      <c r="BJ186" s="83"/>
      <c r="BK186" s="84"/>
      <c r="BU186" s="83"/>
      <c r="BV186" s="84"/>
    </row>
    <row r="187" spans="2:74" x14ac:dyDescent="0.25">
      <c r="B187" s="124"/>
      <c r="C187" s="12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83"/>
      <c r="AI187" s="83"/>
      <c r="AJ187" s="83"/>
      <c r="AK187" s="83"/>
      <c r="AL187" s="83"/>
      <c r="AM187" s="84"/>
      <c r="AN187" s="83"/>
      <c r="AO187" s="84"/>
      <c r="AY187" s="83"/>
      <c r="AZ187" s="84"/>
      <c r="BJ187" s="83"/>
      <c r="BK187" s="84"/>
      <c r="BU187" s="83"/>
      <c r="BV187" s="84"/>
    </row>
    <row r="188" spans="2:74" x14ac:dyDescent="0.25">
      <c r="B188" s="124"/>
      <c r="C188" s="125"/>
      <c r="D188" s="126"/>
      <c r="E188" s="111"/>
      <c r="F188" s="111"/>
      <c r="G188" s="111"/>
      <c r="H188" s="112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83"/>
      <c r="AI188" s="83"/>
      <c r="AJ188" s="83"/>
      <c r="AK188" s="83"/>
      <c r="AL188" s="83"/>
      <c r="AM188" s="84"/>
      <c r="AN188" s="83"/>
      <c r="AO188" s="84"/>
      <c r="AY188" s="83"/>
      <c r="AZ188" s="84"/>
      <c r="BJ188" s="83"/>
      <c r="BK188" s="84"/>
      <c r="BU188" s="83"/>
      <c r="BV188" s="84"/>
    </row>
    <row r="189" spans="2:74" x14ac:dyDescent="0.25">
      <c r="B189" s="124"/>
      <c r="C189" s="125"/>
      <c r="D189" s="126"/>
      <c r="E189" s="111"/>
      <c r="F189" s="111"/>
      <c r="G189" s="111"/>
      <c r="H189" s="112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83"/>
      <c r="AI189" s="83"/>
      <c r="AJ189" s="83"/>
      <c r="AK189" s="83"/>
      <c r="AL189" s="83"/>
      <c r="AM189" s="84"/>
      <c r="AN189" s="83"/>
      <c r="AO189" s="84"/>
      <c r="AY189" s="83"/>
      <c r="AZ189" s="84"/>
      <c r="BJ189" s="83"/>
      <c r="BK189" s="84"/>
      <c r="BU189" s="83"/>
      <c r="BV189" s="84"/>
    </row>
    <row r="190" spans="2:74" x14ac:dyDescent="0.25">
      <c r="B190" s="124"/>
      <c r="C190" s="125"/>
      <c r="D190" s="126"/>
      <c r="E190" s="111"/>
      <c r="F190" s="111"/>
      <c r="G190" s="111"/>
      <c r="H190" s="112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83"/>
      <c r="AI190" s="83"/>
      <c r="AJ190" s="83"/>
      <c r="AK190" s="83"/>
      <c r="AL190" s="83"/>
      <c r="AM190" s="84"/>
      <c r="AN190" s="83"/>
      <c r="AO190" s="84"/>
      <c r="AY190" s="83"/>
      <c r="AZ190" s="84"/>
      <c r="BJ190" s="83"/>
      <c r="BK190" s="84"/>
      <c r="BU190" s="83"/>
      <c r="BV190" s="84"/>
    </row>
    <row r="191" spans="2:74" x14ac:dyDescent="0.25">
      <c r="B191" s="124"/>
      <c r="C191" s="125"/>
      <c r="D191" s="126"/>
      <c r="E191" s="111"/>
      <c r="F191" s="111"/>
      <c r="G191" s="111"/>
      <c r="H191" s="112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83"/>
      <c r="AI191" s="83"/>
      <c r="AJ191" s="83"/>
      <c r="AK191" s="83"/>
      <c r="AL191" s="83"/>
      <c r="AM191" s="84"/>
      <c r="AN191" s="83"/>
      <c r="AO191" s="84"/>
      <c r="AY191" s="83"/>
      <c r="AZ191" s="84"/>
      <c r="BJ191" s="83"/>
      <c r="BK191" s="84"/>
      <c r="BU191" s="83"/>
      <c r="BV191" s="84"/>
    </row>
    <row r="192" spans="2:74" x14ac:dyDescent="0.25">
      <c r="B192" s="124"/>
      <c r="C192" s="125"/>
      <c r="D192" s="126"/>
      <c r="E192" s="111"/>
      <c r="F192" s="111"/>
      <c r="G192" s="111"/>
      <c r="H192" s="112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83"/>
      <c r="AI192" s="83"/>
      <c r="AJ192" s="83"/>
      <c r="AK192" s="83"/>
      <c r="AL192" s="83"/>
      <c r="AM192" s="84"/>
      <c r="AN192" s="83"/>
      <c r="AO192" s="84"/>
      <c r="AY192" s="83"/>
      <c r="AZ192" s="84"/>
      <c r="BJ192" s="83"/>
      <c r="BK192" s="84"/>
      <c r="BU192" s="83"/>
      <c r="BV192" s="84"/>
    </row>
    <row r="193" spans="2:74" x14ac:dyDescent="0.25">
      <c r="B193" s="124"/>
      <c r="C193" s="125"/>
      <c r="D193" s="126"/>
      <c r="E193" s="111"/>
      <c r="F193" s="111"/>
      <c r="G193" s="111"/>
      <c r="H193" s="112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83"/>
      <c r="AI193" s="83"/>
      <c r="AJ193" s="83"/>
      <c r="AK193" s="83"/>
      <c r="AL193" s="83"/>
      <c r="AM193" s="84"/>
      <c r="AN193" s="83"/>
      <c r="AO193" s="84"/>
      <c r="AY193" s="83"/>
      <c r="AZ193" s="84"/>
      <c r="BJ193" s="83"/>
      <c r="BK193" s="84"/>
      <c r="BU193" s="83"/>
      <c r="BV193" s="84"/>
    </row>
    <row r="194" spans="2:74" x14ac:dyDescent="0.25">
      <c r="B194" s="124"/>
      <c r="C194" s="125"/>
      <c r="D194" s="126"/>
      <c r="E194" s="111"/>
      <c r="F194" s="111"/>
      <c r="G194" s="111"/>
      <c r="H194" s="112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83"/>
      <c r="AI194" s="83"/>
      <c r="AJ194" s="83"/>
      <c r="AK194" s="83"/>
      <c r="AL194" s="83"/>
      <c r="AM194" s="84"/>
      <c r="AN194" s="83"/>
      <c r="AO194" s="84"/>
      <c r="AY194" s="83"/>
      <c r="AZ194" s="84"/>
      <c r="BJ194" s="83"/>
      <c r="BK194" s="84"/>
      <c r="BU194" s="83"/>
      <c r="BV194" s="84"/>
    </row>
    <row r="195" spans="2:74" x14ac:dyDescent="0.25">
      <c r="B195" s="124"/>
      <c r="C195" s="125"/>
      <c r="D195" s="126"/>
      <c r="E195" s="111"/>
      <c r="F195" s="111"/>
      <c r="G195" s="111"/>
      <c r="H195" s="112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83"/>
      <c r="AI195" s="83"/>
      <c r="AJ195" s="83"/>
      <c r="AK195" s="83"/>
      <c r="AL195" s="83"/>
      <c r="AM195" s="84"/>
      <c r="AN195" s="83"/>
      <c r="AO195" s="84"/>
      <c r="AY195" s="83"/>
      <c r="AZ195" s="84"/>
      <c r="BJ195" s="83"/>
      <c r="BK195" s="84"/>
      <c r="BU195" s="83"/>
      <c r="BV195" s="84"/>
    </row>
    <row r="196" spans="2:74" x14ac:dyDescent="0.25">
      <c r="B196" s="124"/>
      <c r="C196" s="125"/>
      <c r="D196" s="126"/>
      <c r="E196" s="111"/>
      <c r="F196" s="111"/>
      <c r="G196" s="111"/>
      <c r="H196" s="112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83"/>
      <c r="AI196" s="83"/>
      <c r="AJ196" s="83"/>
      <c r="AK196" s="83"/>
      <c r="AL196" s="83"/>
      <c r="AM196" s="84"/>
      <c r="AN196" s="83"/>
      <c r="AO196" s="84"/>
      <c r="AY196" s="83"/>
      <c r="AZ196" s="84"/>
      <c r="BJ196" s="83"/>
      <c r="BK196" s="84"/>
      <c r="BU196" s="83"/>
      <c r="BV196" s="84"/>
    </row>
    <row r="197" spans="2:74" x14ac:dyDescent="0.25">
      <c r="B197" s="124"/>
      <c r="C197" s="125"/>
      <c r="D197" s="126"/>
      <c r="E197" s="111"/>
      <c r="F197" s="111"/>
      <c r="G197" s="111"/>
      <c r="H197" s="112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83"/>
      <c r="AI197" s="83"/>
      <c r="AJ197" s="83"/>
      <c r="AK197" s="83"/>
      <c r="AL197" s="83"/>
      <c r="AM197" s="84"/>
      <c r="AN197" s="83"/>
      <c r="AO197" s="84"/>
      <c r="AY197" s="83"/>
      <c r="AZ197" s="84"/>
      <c r="BJ197" s="83"/>
      <c r="BK197" s="84"/>
      <c r="BU197" s="83"/>
      <c r="BV197" s="84"/>
    </row>
    <row r="198" spans="2:74" x14ac:dyDescent="0.25">
      <c r="B198" s="124"/>
      <c r="C198" s="125"/>
      <c r="D198" s="126"/>
      <c r="E198" s="111"/>
      <c r="F198" s="111"/>
      <c r="G198" s="111"/>
      <c r="H198" s="112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83"/>
      <c r="AI198" s="83"/>
      <c r="AJ198" s="83"/>
      <c r="AK198" s="83"/>
      <c r="AL198" s="83"/>
      <c r="AM198" s="84"/>
      <c r="AN198" s="83"/>
      <c r="AO198" s="84"/>
      <c r="AY198" s="83"/>
      <c r="AZ198" s="84"/>
      <c r="BJ198" s="83"/>
      <c r="BK198" s="84"/>
      <c r="BU198" s="83"/>
      <c r="BV198" s="84"/>
    </row>
    <row r="199" spans="2:74" x14ac:dyDescent="0.25">
      <c r="B199" s="124"/>
      <c r="C199" s="125"/>
      <c r="D199" s="126"/>
      <c r="E199" s="111"/>
      <c r="F199" s="111"/>
      <c r="G199" s="111"/>
      <c r="H199" s="112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83"/>
      <c r="AI199" s="83"/>
      <c r="AJ199" s="83"/>
      <c r="AK199" s="83"/>
      <c r="AL199" s="83"/>
      <c r="AM199" s="84"/>
      <c r="AN199" s="83"/>
      <c r="AO199" s="84"/>
      <c r="AY199" s="83"/>
      <c r="AZ199" s="84"/>
      <c r="BJ199" s="83"/>
      <c r="BK199" s="84"/>
      <c r="BU199" s="83"/>
      <c r="BV199" s="84"/>
    </row>
    <row r="200" spans="2:74" x14ac:dyDescent="0.25">
      <c r="B200" s="124"/>
      <c r="C200" s="125"/>
      <c r="D200" s="126"/>
      <c r="E200" s="111"/>
      <c r="F200" s="111"/>
      <c r="G200" s="111"/>
      <c r="H200" s="112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83"/>
      <c r="AI200" s="83"/>
      <c r="AJ200" s="83"/>
      <c r="AK200" s="83"/>
      <c r="AL200" s="83"/>
      <c r="AM200" s="84"/>
      <c r="AN200" s="83"/>
      <c r="AO200" s="84"/>
      <c r="AY200" s="83"/>
      <c r="AZ200" s="84"/>
      <c r="BJ200" s="83"/>
      <c r="BK200" s="84"/>
      <c r="BU200" s="83"/>
      <c r="BV200" s="84"/>
    </row>
    <row r="201" spans="2:74" x14ac:dyDescent="0.25">
      <c r="B201" s="124"/>
      <c r="C201" s="125"/>
      <c r="D201" s="126"/>
      <c r="E201" s="111"/>
      <c r="F201" s="111"/>
      <c r="G201" s="111"/>
      <c r="H201" s="112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83"/>
      <c r="AI201" s="83"/>
      <c r="AJ201" s="83"/>
      <c r="AK201" s="83"/>
      <c r="AL201" s="83"/>
      <c r="AM201" s="84"/>
      <c r="AN201" s="83"/>
      <c r="AO201" s="84"/>
      <c r="AY201" s="83"/>
      <c r="AZ201" s="84"/>
      <c r="BJ201" s="83"/>
      <c r="BK201" s="84"/>
      <c r="BU201" s="83"/>
      <c r="BV201" s="84"/>
    </row>
    <row r="202" spans="2:74" x14ac:dyDescent="0.25">
      <c r="B202" s="124"/>
      <c r="C202" s="125"/>
      <c r="D202" s="126"/>
      <c r="E202" s="111"/>
      <c r="F202" s="111"/>
      <c r="G202" s="111"/>
      <c r="H202" s="112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83"/>
      <c r="AI202" s="83"/>
      <c r="AJ202" s="83"/>
      <c r="AK202" s="83"/>
      <c r="AL202" s="83"/>
      <c r="AM202" s="84"/>
      <c r="AN202" s="83"/>
      <c r="AO202" s="84"/>
      <c r="AY202" s="83"/>
      <c r="AZ202" s="84"/>
      <c r="BJ202" s="83"/>
      <c r="BK202" s="84"/>
      <c r="BU202" s="83"/>
      <c r="BV202" s="84"/>
    </row>
    <row r="203" spans="2:74" x14ac:dyDescent="0.25">
      <c r="B203" s="124"/>
      <c r="C203" s="125"/>
      <c r="D203" s="126"/>
      <c r="E203" s="111"/>
      <c r="F203" s="111"/>
      <c r="G203" s="111"/>
      <c r="H203" s="112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83"/>
      <c r="AI203" s="83"/>
      <c r="AJ203" s="83"/>
      <c r="AK203" s="83"/>
      <c r="AL203" s="83"/>
      <c r="AM203" s="84"/>
      <c r="AN203" s="83"/>
      <c r="AO203" s="84"/>
      <c r="AY203" s="83"/>
      <c r="AZ203" s="84"/>
      <c r="BJ203" s="83"/>
      <c r="BK203" s="84"/>
      <c r="BU203" s="83"/>
      <c r="BV203" s="84"/>
    </row>
    <row r="204" spans="2:74" x14ac:dyDescent="0.25">
      <c r="B204" s="124"/>
      <c r="C204" s="125"/>
      <c r="D204" s="126"/>
      <c r="E204" s="111"/>
      <c r="F204" s="111"/>
      <c r="G204" s="111"/>
      <c r="H204" s="112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83"/>
      <c r="AI204" s="83"/>
      <c r="AJ204" s="83"/>
      <c r="AK204" s="83"/>
      <c r="AL204" s="83"/>
      <c r="AM204" s="84"/>
      <c r="AN204" s="83"/>
      <c r="AO204" s="84"/>
      <c r="AY204" s="83"/>
      <c r="AZ204" s="84"/>
      <c r="BJ204" s="83"/>
      <c r="BK204" s="84"/>
      <c r="BU204" s="83"/>
      <c r="BV204" s="84"/>
    </row>
    <row r="205" spans="2:74" x14ac:dyDescent="0.25">
      <c r="B205" s="124"/>
      <c r="C205" s="125"/>
      <c r="D205" s="126"/>
      <c r="E205" s="111"/>
      <c r="F205" s="111"/>
      <c r="G205" s="111"/>
      <c r="H205" s="112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83"/>
      <c r="AI205" s="83"/>
      <c r="AJ205" s="83"/>
      <c r="AK205" s="83"/>
      <c r="AL205" s="83"/>
      <c r="AM205" s="84"/>
      <c r="AN205" s="83"/>
      <c r="AO205" s="84"/>
      <c r="AY205" s="83"/>
      <c r="AZ205" s="84"/>
      <c r="BJ205" s="83"/>
      <c r="BK205" s="84"/>
      <c r="BU205" s="83"/>
      <c r="BV205" s="84"/>
    </row>
    <row r="206" spans="2:74" x14ac:dyDescent="0.25">
      <c r="B206" s="124"/>
      <c r="C206" s="125"/>
      <c r="D206" s="126"/>
      <c r="E206" s="111"/>
      <c r="F206" s="111"/>
      <c r="G206" s="111"/>
      <c r="H206" s="112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83"/>
      <c r="AI206" s="83"/>
      <c r="AJ206" s="83"/>
      <c r="AK206" s="83"/>
      <c r="AL206" s="83"/>
      <c r="AM206" s="84"/>
      <c r="AN206" s="83"/>
      <c r="AO206" s="84"/>
      <c r="AY206" s="83"/>
      <c r="AZ206" s="84"/>
      <c r="BJ206" s="83"/>
      <c r="BK206" s="84"/>
      <c r="BU206" s="83"/>
      <c r="BV206" s="84"/>
    </row>
    <row r="207" spans="2:74" x14ac:dyDescent="0.25">
      <c r="B207" s="124"/>
      <c r="C207" s="125"/>
      <c r="D207" s="126"/>
      <c r="E207" s="111"/>
      <c r="F207" s="111"/>
      <c r="G207" s="111"/>
      <c r="H207" s="112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83"/>
      <c r="AI207" s="83"/>
      <c r="AJ207" s="83"/>
      <c r="AK207" s="83"/>
      <c r="AL207" s="83"/>
      <c r="AM207" s="84"/>
      <c r="AN207" s="83"/>
      <c r="AO207" s="84"/>
      <c r="AY207" s="83"/>
      <c r="AZ207" s="84"/>
      <c r="BJ207" s="83"/>
      <c r="BK207" s="84"/>
      <c r="BU207" s="83"/>
      <c r="BV207" s="84"/>
    </row>
    <row r="208" spans="2:74" x14ac:dyDescent="0.25">
      <c r="B208" s="124"/>
      <c r="C208" s="125"/>
      <c r="D208" s="126"/>
      <c r="E208" s="111"/>
      <c r="F208" s="111"/>
      <c r="G208" s="111"/>
      <c r="H208" s="112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83"/>
      <c r="AI208" s="83"/>
      <c r="AJ208" s="83"/>
      <c r="AK208" s="83"/>
      <c r="AL208" s="83"/>
      <c r="AM208" s="84"/>
      <c r="AN208" s="83"/>
      <c r="AO208" s="84"/>
      <c r="AY208" s="83"/>
      <c r="AZ208" s="84"/>
      <c r="BJ208" s="83"/>
      <c r="BK208" s="84"/>
      <c r="BU208" s="83"/>
      <c r="BV208" s="84"/>
    </row>
    <row r="209" spans="2:74" x14ac:dyDescent="0.25">
      <c r="B209" s="124"/>
      <c r="C209" s="125"/>
      <c r="D209" s="126"/>
      <c r="E209" s="111"/>
      <c r="F209" s="111"/>
      <c r="G209" s="111"/>
      <c r="H209" s="112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83"/>
      <c r="AI209" s="83"/>
      <c r="AJ209" s="83"/>
      <c r="AK209" s="83"/>
      <c r="AL209" s="83"/>
      <c r="AM209" s="84"/>
      <c r="AN209" s="83"/>
      <c r="AO209" s="84"/>
      <c r="AY209" s="83"/>
      <c r="AZ209" s="84"/>
      <c r="BJ209" s="83"/>
      <c r="BK209" s="84"/>
      <c r="BU209" s="83"/>
      <c r="BV209" s="84"/>
    </row>
    <row r="210" spans="2:74" x14ac:dyDescent="0.25">
      <c r="B210" s="127"/>
      <c r="C210" s="135"/>
      <c r="D210" s="126"/>
      <c r="E210" s="111"/>
      <c r="F210" s="111"/>
      <c r="G210" s="111"/>
      <c r="H210" s="112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83"/>
      <c r="AI210" s="83"/>
      <c r="AJ210" s="83"/>
      <c r="AK210" s="83"/>
      <c r="AL210" s="83"/>
      <c r="AM210" s="84"/>
      <c r="AN210" s="83"/>
      <c r="AO210" s="84"/>
      <c r="AY210" s="83"/>
      <c r="AZ210" s="84"/>
      <c r="BJ210" s="83"/>
      <c r="BK210" s="84"/>
      <c r="BU210" s="83"/>
      <c r="BV210" s="84"/>
    </row>
    <row r="211" spans="2:74" x14ac:dyDescent="0.25">
      <c r="B211" s="127"/>
      <c r="C211" s="135"/>
      <c r="D211" s="126"/>
      <c r="E211" s="111"/>
      <c r="F211" s="111"/>
      <c r="G211" s="111"/>
      <c r="H211" s="112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83"/>
      <c r="AI211" s="83"/>
      <c r="AJ211" s="83"/>
      <c r="AK211" s="83"/>
      <c r="AL211" s="83"/>
      <c r="AM211" s="84"/>
      <c r="AN211" s="83"/>
      <c r="AO211" s="84"/>
      <c r="AY211" s="83"/>
      <c r="AZ211" s="84"/>
      <c r="BJ211" s="83"/>
      <c r="BK211" s="84"/>
      <c r="BU211" s="83"/>
      <c r="BV211" s="84"/>
    </row>
    <row r="212" spans="2:74" x14ac:dyDescent="0.25">
      <c r="B212" s="127"/>
      <c r="C212" s="135"/>
      <c r="D212" s="126"/>
      <c r="E212" s="111"/>
      <c r="F212" s="111"/>
      <c r="G212" s="111"/>
      <c r="H212" s="112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83"/>
      <c r="AI212" s="83"/>
      <c r="AJ212" s="83"/>
      <c r="AK212" s="83"/>
      <c r="AL212" s="83"/>
      <c r="AM212" s="84"/>
      <c r="AN212" s="83"/>
      <c r="AO212" s="84"/>
      <c r="AY212" s="83"/>
      <c r="AZ212" s="84"/>
      <c r="BJ212" s="83"/>
      <c r="BK212" s="84"/>
      <c r="BU212" s="83"/>
      <c r="BV212" s="84"/>
    </row>
    <row r="213" spans="2:74" x14ac:dyDescent="0.25">
      <c r="B213" s="127"/>
      <c r="C213" s="135"/>
      <c r="D213" s="126"/>
      <c r="E213" s="111"/>
      <c r="F213" s="111"/>
      <c r="G213" s="111"/>
      <c r="H213" s="112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83"/>
      <c r="AI213" s="83"/>
      <c r="AJ213" s="83"/>
      <c r="AK213" s="83"/>
      <c r="AL213" s="83"/>
      <c r="AM213" s="84"/>
      <c r="AN213" s="83"/>
      <c r="AO213" s="84"/>
      <c r="AY213" s="83"/>
      <c r="AZ213" s="84"/>
      <c r="BJ213" s="83"/>
      <c r="BK213" s="84"/>
      <c r="BU213" s="83"/>
      <c r="BV213" s="84"/>
    </row>
    <row r="214" spans="2:74" x14ac:dyDescent="0.25">
      <c r="B214" s="127"/>
      <c r="C214" s="135"/>
      <c r="D214" s="126"/>
      <c r="E214" s="111"/>
      <c r="F214" s="111"/>
      <c r="G214" s="111"/>
      <c r="H214" s="112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83"/>
      <c r="AI214" s="83"/>
      <c r="AJ214" s="83"/>
      <c r="AK214" s="83"/>
      <c r="AL214" s="83"/>
      <c r="AM214" s="84"/>
      <c r="AN214" s="83"/>
      <c r="AO214" s="84"/>
      <c r="AY214" s="83"/>
      <c r="AZ214" s="84"/>
      <c r="BJ214" s="83"/>
      <c r="BK214" s="84"/>
      <c r="BU214" s="83"/>
      <c r="BV214" s="84"/>
    </row>
    <row r="215" spans="2:74" x14ac:dyDescent="0.25">
      <c r="B215" s="127"/>
      <c r="C215" s="135"/>
      <c r="D215" s="126"/>
      <c r="E215" s="111"/>
      <c r="F215" s="111"/>
      <c r="G215" s="111"/>
      <c r="H215" s="112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83"/>
      <c r="AI215" s="83"/>
      <c r="AJ215" s="83"/>
      <c r="AK215" s="83"/>
      <c r="AL215" s="83"/>
      <c r="AM215" s="84"/>
      <c r="AN215" s="83"/>
      <c r="AO215" s="84"/>
      <c r="AY215" s="83"/>
      <c r="AZ215" s="84"/>
      <c r="BJ215" s="83"/>
      <c r="BK215" s="84"/>
      <c r="BU215" s="83"/>
      <c r="BV215" s="84"/>
    </row>
    <row r="216" spans="2:74" x14ac:dyDescent="0.25">
      <c r="B216" s="127"/>
      <c r="C216" s="135"/>
      <c r="D216" s="126"/>
      <c r="E216" s="111"/>
      <c r="F216" s="111"/>
      <c r="G216" s="111"/>
      <c r="H216" s="112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83"/>
      <c r="AI216" s="83"/>
      <c r="AJ216" s="83"/>
      <c r="AK216" s="83"/>
      <c r="AL216" s="83"/>
      <c r="AM216" s="84"/>
      <c r="AN216" s="83"/>
      <c r="AO216" s="84"/>
      <c r="AY216" s="83"/>
      <c r="AZ216" s="84"/>
      <c r="BJ216" s="83"/>
      <c r="BK216" s="84"/>
      <c r="BU216" s="83"/>
      <c r="BV216" s="84"/>
    </row>
    <row r="217" spans="2:74" x14ac:dyDescent="0.25">
      <c r="B217" s="127"/>
      <c r="C217" s="135"/>
      <c r="D217" s="126"/>
      <c r="E217" s="111"/>
      <c r="F217" s="111"/>
      <c r="G217" s="111"/>
      <c r="H217" s="112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83"/>
      <c r="AI217" s="83"/>
      <c r="AJ217" s="83"/>
      <c r="AK217" s="83"/>
      <c r="AL217" s="83"/>
      <c r="AM217" s="84"/>
      <c r="AN217" s="83"/>
      <c r="AO217" s="84"/>
      <c r="AY217" s="83"/>
      <c r="AZ217" s="84"/>
      <c r="BJ217" s="83"/>
      <c r="BK217" s="84"/>
      <c r="BU217" s="83"/>
      <c r="BV217" s="84"/>
    </row>
    <row r="218" spans="2:74" x14ac:dyDescent="0.25">
      <c r="B218" s="127"/>
      <c r="C218" s="135"/>
      <c r="D218" s="126"/>
      <c r="E218" s="111"/>
      <c r="F218" s="111"/>
      <c r="G218" s="111"/>
      <c r="H218" s="112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83"/>
      <c r="AI218" s="83"/>
      <c r="AJ218" s="83"/>
      <c r="AK218" s="83"/>
      <c r="AL218" s="83"/>
      <c r="AM218" s="84"/>
      <c r="AN218" s="83"/>
      <c r="AO218" s="84"/>
      <c r="AY218" s="83"/>
      <c r="AZ218" s="84"/>
      <c r="BJ218" s="83"/>
      <c r="BK218" s="84"/>
      <c r="BU218" s="83"/>
      <c r="BV218" s="84"/>
    </row>
    <row r="219" spans="2:74" x14ac:dyDescent="0.25">
      <c r="B219" s="127"/>
      <c r="C219" s="135"/>
      <c r="D219" s="126"/>
      <c r="E219" s="111"/>
      <c r="F219" s="111"/>
      <c r="G219" s="111"/>
      <c r="H219" s="112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83"/>
      <c r="AI219" s="83"/>
      <c r="AJ219" s="83"/>
      <c r="AK219" s="83"/>
      <c r="AL219" s="83"/>
      <c r="AM219" s="84"/>
      <c r="AN219" s="83"/>
      <c r="AO219" s="84"/>
      <c r="AY219" s="83"/>
      <c r="AZ219" s="84"/>
      <c r="BJ219" s="83"/>
      <c r="BK219" s="84"/>
      <c r="BU219" s="83"/>
      <c r="BV219" s="84"/>
    </row>
    <row r="220" spans="2:74" x14ac:dyDescent="0.25">
      <c r="B220" s="127"/>
      <c r="C220" s="135"/>
      <c r="D220" s="126"/>
      <c r="E220" s="111"/>
      <c r="F220" s="111"/>
      <c r="G220" s="111"/>
      <c r="H220" s="112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83"/>
      <c r="AI220" s="83"/>
      <c r="AJ220" s="83"/>
      <c r="AK220" s="83"/>
      <c r="AL220" s="83"/>
      <c r="AM220" s="84"/>
      <c r="AN220" s="83"/>
      <c r="AO220" s="84"/>
      <c r="AY220" s="83"/>
      <c r="AZ220" s="84"/>
      <c r="BJ220" s="83"/>
      <c r="BK220" s="84"/>
      <c r="BU220" s="83"/>
      <c r="BV220" s="84"/>
    </row>
    <row r="221" spans="2:74" x14ac:dyDescent="0.25">
      <c r="B221" s="127"/>
      <c r="C221" s="135"/>
      <c r="D221" s="126"/>
      <c r="E221" s="111"/>
      <c r="F221" s="111"/>
      <c r="G221" s="111"/>
      <c r="H221" s="112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83"/>
      <c r="AI221" s="83"/>
      <c r="AJ221" s="83"/>
      <c r="AK221" s="83"/>
      <c r="AL221" s="83"/>
      <c r="AM221" s="84"/>
      <c r="AN221" s="83"/>
      <c r="AO221" s="84"/>
      <c r="AY221" s="83"/>
      <c r="AZ221" s="84"/>
      <c r="BJ221" s="83"/>
      <c r="BK221" s="84"/>
      <c r="BU221" s="83"/>
      <c r="BV221" s="84"/>
    </row>
    <row r="222" spans="2:74" x14ac:dyDescent="0.25">
      <c r="B222" s="127"/>
      <c r="C222" s="135"/>
      <c r="D222" s="126"/>
      <c r="E222" s="111"/>
      <c r="F222" s="111"/>
      <c r="G222" s="111"/>
      <c r="H222" s="112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83"/>
      <c r="AI222" s="83"/>
      <c r="AJ222" s="83"/>
      <c r="AK222" s="83"/>
      <c r="AL222" s="83"/>
      <c r="AM222" s="84"/>
      <c r="AN222" s="83"/>
      <c r="AO222" s="84"/>
      <c r="AY222" s="83"/>
      <c r="AZ222" s="84"/>
      <c r="BJ222" s="83"/>
      <c r="BK222" s="84"/>
      <c r="BU222" s="83"/>
      <c r="BV222" s="84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T187"/>
  <sheetViews>
    <sheetView workbookViewId="0">
      <selection activeCell="K13" sqref="K13"/>
    </sheetView>
  </sheetViews>
  <sheetFormatPr defaultRowHeight="13.2" x14ac:dyDescent="0.25"/>
  <cols>
    <col min="1" max="1" width="18.6640625" style="77" customWidth="1"/>
    <col min="2" max="2" width="9.5546875" style="77" customWidth="1"/>
    <col min="3" max="4" width="9.109375" style="77" customWidth="1"/>
    <col min="5" max="5" width="10.109375" style="77" customWidth="1"/>
    <col min="6" max="42" width="9.109375" style="77" customWidth="1"/>
    <col min="76" max="76" width="9.109375" style="77" customWidth="1"/>
    <col min="110" max="110" width="9.109375" style="77" customWidth="1"/>
    <col min="144" max="144" width="9.109375" style="77" customWidth="1"/>
  </cols>
  <sheetData>
    <row r="1" spans="1:144" x14ac:dyDescent="0.25">
      <c r="A1" s="76"/>
      <c r="B1" s="158"/>
      <c r="C1" s="80"/>
      <c r="D1" s="57" t="s">
        <v>157</v>
      </c>
      <c r="E1" s="57">
        <f>summerstrip</f>
        <v>4.8109999999999999</v>
      </c>
      <c r="F1" s="57"/>
      <c r="G1" s="188" t="s">
        <v>34</v>
      </c>
      <c r="I1"/>
      <c r="J1" t="s">
        <v>199</v>
      </c>
      <c r="K1"/>
      <c r="L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144" x14ac:dyDescent="0.25">
      <c r="A2" s="76" t="s">
        <v>17</v>
      </c>
      <c r="B2" s="159">
        <f ca="1">TODAY()</f>
        <v>36769</v>
      </c>
      <c r="C2" s="80"/>
      <c r="D2" s="57" t="s">
        <v>158</v>
      </c>
      <c r="E2" s="57">
        <f>winterstrip</f>
        <v>4.5419999999999998</v>
      </c>
      <c r="F2" s="57"/>
      <c r="G2" s="57"/>
      <c r="I2"/>
      <c r="K2" t="s">
        <v>193</v>
      </c>
      <c r="L2" t="s">
        <v>194</v>
      </c>
      <c r="O2"/>
      <c r="P2"/>
      <c r="Q2"/>
      <c r="S2"/>
      <c r="T2"/>
      <c r="U2"/>
      <c r="V2"/>
      <c r="W2"/>
      <c r="X2"/>
      <c r="Z2"/>
      <c r="AA2"/>
      <c r="AB2"/>
      <c r="AC2"/>
      <c r="AD2"/>
      <c r="AE2"/>
      <c r="AG2"/>
      <c r="AH2"/>
      <c r="AI2"/>
      <c r="AJ2"/>
      <c r="AK2"/>
      <c r="AL2"/>
      <c r="AP2" s="83"/>
      <c r="BX2" s="83"/>
      <c r="DF2" s="83"/>
      <c r="EN2" s="83"/>
    </row>
    <row r="3" spans="1:144" x14ac:dyDescent="0.25">
      <c r="A3" s="57" t="s">
        <v>115</v>
      </c>
      <c r="B3" s="160" t="s">
        <v>78</v>
      </c>
      <c r="C3" s="131"/>
      <c r="D3" s="160" t="s">
        <v>94</v>
      </c>
      <c r="E3" s="160" t="s">
        <v>94</v>
      </c>
      <c r="F3" s="160" t="s">
        <v>94</v>
      </c>
      <c r="G3" s="131"/>
      <c r="H3" s="160" t="s">
        <v>94</v>
      </c>
      <c r="I3" s="137"/>
      <c r="J3" s="77">
        <v>-1</v>
      </c>
      <c r="K3" s="232" t="e">
        <f>#REF!</f>
        <v>#REF!</v>
      </c>
      <c r="L3" s="232" t="e">
        <f>#REF!</f>
        <v>#REF!</v>
      </c>
      <c r="O3" s="137"/>
      <c r="P3" s="137"/>
      <c r="Q3" s="137"/>
      <c r="S3" s="137"/>
      <c r="T3" s="137"/>
      <c r="U3" s="137"/>
      <c r="V3" s="137"/>
      <c r="W3" s="137"/>
      <c r="X3" s="137"/>
      <c r="Z3" s="137"/>
      <c r="AA3" s="137"/>
      <c r="AB3" s="137"/>
      <c r="AC3" s="137"/>
      <c r="AD3" s="137"/>
      <c r="AE3" s="137"/>
      <c r="AG3" s="137"/>
      <c r="AH3" s="137"/>
      <c r="AI3" s="137"/>
      <c r="AJ3" s="137"/>
      <c r="AK3" s="137"/>
      <c r="AL3" s="137"/>
      <c r="AP3" s="83"/>
      <c r="BX3" s="83"/>
      <c r="DF3" s="83"/>
      <c r="EN3" s="83"/>
    </row>
    <row r="4" spans="1:144" x14ac:dyDescent="0.25">
      <c r="A4" s="57"/>
      <c r="B4" s="160" t="s">
        <v>144</v>
      </c>
      <c r="C4" s="131"/>
      <c r="D4" s="160" t="s">
        <v>144</v>
      </c>
      <c r="E4" s="57"/>
      <c r="F4" s="160" t="s">
        <v>144</v>
      </c>
      <c r="G4" s="57"/>
      <c r="H4" s="160" t="s">
        <v>144</v>
      </c>
      <c r="I4" s="137"/>
      <c r="K4" s="232"/>
      <c r="L4" s="232"/>
      <c r="O4" s="137"/>
      <c r="P4" s="137"/>
      <c r="Q4" s="137"/>
      <c r="S4" s="137"/>
      <c r="T4" s="137"/>
      <c r="U4" s="137"/>
      <c r="V4" s="137"/>
      <c r="W4" s="137"/>
      <c r="X4" s="137"/>
      <c r="Z4" s="137"/>
      <c r="AA4" s="137"/>
      <c r="AB4" s="137"/>
      <c r="AC4" s="137"/>
      <c r="AD4" s="137"/>
      <c r="AE4" s="137"/>
      <c r="AG4" s="137"/>
      <c r="AH4" s="137"/>
      <c r="AI4" s="137"/>
      <c r="AJ4" s="137"/>
      <c r="AK4" s="137"/>
      <c r="AL4" s="137"/>
      <c r="AP4" s="83"/>
      <c r="BX4" s="83"/>
      <c r="DF4" s="83"/>
      <c r="EN4" s="83"/>
    </row>
    <row r="5" spans="1:144" x14ac:dyDescent="0.25">
      <c r="A5" s="57"/>
      <c r="B5" s="57" t="s">
        <v>51</v>
      </c>
      <c r="D5" s="57" t="s">
        <v>52</v>
      </c>
      <c r="F5" s="57" t="s">
        <v>160</v>
      </c>
      <c r="H5" s="57" t="s">
        <v>159</v>
      </c>
      <c r="K5" s="232" t="e">
        <f>#REF!</f>
        <v>#REF!</v>
      </c>
      <c r="L5" s="232" t="e">
        <f>#REF!</f>
        <v>#REF!</v>
      </c>
      <c r="AP5" s="83"/>
      <c r="BX5" s="83"/>
      <c r="DF5" s="83"/>
      <c r="EN5" s="83"/>
    </row>
    <row r="6" spans="1:144" x14ac:dyDescent="0.25">
      <c r="A6" s="57" t="s">
        <v>35</v>
      </c>
      <c r="B6" s="230">
        <v>36831</v>
      </c>
      <c r="C6" s="231"/>
      <c r="D6" s="230">
        <v>36831</v>
      </c>
      <c r="E6" s="231"/>
      <c r="F6" s="230">
        <v>36831</v>
      </c>
      <c r="G6" s="231"/>
      <c r="H6" s="230">
        <v>36951</v>
      </c>
      <c r="K6" s="232" t="e">
        <f>#REF!</f>
        <v>#REF!</v>
      </c>
      <c r="L6" s="232" t="e">
        <f>#REF!</f>
        <v>#REF!</v>
      </c>
      <c r="M6" s="57"/>
      <c r="N6" s="195"/>
      <c r="AP6" s="83"/>
      <c r="BX6" s="83"/>
      <c r="DF6" s="83"/>
      <c r="EN6" s="83"/>
    </row>
    <row r="7" spans="1:144" x14ac:dyDescent="0.25">
      <c r="A7" s="76" t="s">
        <v>53</v>
      </c>
      <c r="B7" s="230">
        <v>36951</v>
      </c>
      <c r="C7" s="231"/>
      <c r="D7" s="230">
        <v>36951</v>
      </c>
      <c r="E7" s="231"/>
      <c r="F7" s="230">
        <v>36951</v>
      </c>
      <c r="G7" s="231"/>
      <c r="H7" s="230">
        <v>36951</v>
      </c>
      <c r="K7" s="184"/>
      <c r="L7" s="177"/>
      <c r="M7" s="76"/>
      <c r="N7" s="195"/>
      <c r="AP7" s="83"/>
      <c r="BX7" s="83"/>
      <c r="DF7" s="83"/>
      <c r="EN7" s="83"/>
    </row>
    <row r="8" spans="1:144" x14ac:dyDescent="0.25">
      <c r="A8" s="75"/>
      <c r="B8" s="196"/>
      <c r="C8" s="197"/>
      <c r="D8" s="196"/>
      <c r="E8" s="197"/>
      <c r="F8" s="196"/>
      <c r="G8" s="197"/>
      <c r="H8" s="196"/>
      <c r="I8" s="197"/>
      <c r="M8" s="75"/>
      <c r="N8" s="198"/>
      <c r="O8" s="197"/>
      <c r="P8" s="197"/>
      <c r="Q8" s="197"/>
      <c r="S8" s="197"/>
      <c r="T8" s="197"/>
      <c r="U8" s="197"/>
      <c r="V8" s="197"/>
      <c r="W8" s="197"/>
      <c r="X8" s="197"/>
      <c r="Z8" s="197"/>
      <c r="AA8" s="197"/>
      <c r="AB8" s="197"/>
      <c r="AC8" s="197"/>
      <c r="AD8" s="197"/>
      <c r="AE8" s="197"/>
      <c r="AG8" s="197"/>
      <c r="AH8" s="197"/>
      <c r="AI8" s="197"/>
      <c r="AJ8" s="197"/>
      <c r="AK8" s="197"/>
      <c r="AP8" s="83"/>
      <c r="BX8" s="83"/>
      <c r="DF8" s="83"/>
      <c r="EN8" s="83"/>
    </row>
    <row r="9" spans="1:144" x14ac:dyDescent="0.25">
      <c r="A9" s="75" t="s">
        <v>36</v>
      </c>
      <c r="B9" s="196">
        <f>AS31-AT31</f>
        <v>0.29986754966887386</v>
      </c>
      <c r="C9" s="197"/>
      <c r="D9" s="196">
        <f>CA31-CB31</f>
        <v>1.6142384105960268</v>
      </c>
      <c r="E9" s="197"/>
      <c r="F9" s="196">
        <f>DI31-DJ31</f>
        <v>1.6142384105960268</v>
      </c>
      <c r="G9" s="197"/>
      <c r="H9" s="196">
        <f>EQ31-ER31</f>
        <v>1.2000000000000011</v>
      </c>
      <c r="I9" s="197"/>
      <c r="J9" s="160"/>
      <c r="L9" s="160"/>
      <c r="M9" s="75"/>
      <c r="N9" s="198"/>
      <c r="O9" s="197"/>
      <c r="P9" s="197"/>
      <c r="Q9" s="197"/>
      <c r="S9" s="197"/>
      <c r="T9" s="197"/>
      <c r="U9" s="197"/>
      <c r="V9" s="197"/>
      <c r="W9" s="197"/>
      <c r="X9" s="197"/>
      <c r="Z9" s="197"/>
      <c r="AA9" s="197"/>
      <c r="AB9" s="197"/>
      <c r="AC9" s="197"/>
      <c r="AD9" s="197"/>
      <c r="AE9" s="197"/>
      <c r="AG9" s="197"/>
      <c r="AH9" s="197"/>
      <c r="AI9" s="197"/>
      <c r="AJ9" s="197"/>
      <c r="AK9" s="197"/>
      <c r="AP9" s="83"/>
      <c r="BX9" s="83"/>
      <c r="DF9" s="83"/>
      <c r="EN9" s="83"/>
    </row>
    <row r="10" spans="1:144" x14ac:dyDescent="0.25">
      <c r="A10" s="75" t="s">
        <v>202</v>
      </c>
      <c r="B10" s="196">
        <f>AT31</f>
        <v>4.7004304635761587</v>
      </c>
      <c r="C10" s="197"/>
      <c r="D10" s="196">
        <f>CB31</f>
        <v>4.7004304635761587</v>
      </c>
      <c r="E10" s="197"/>
      <c r="F10" s="196">
        <f>DJ31</f>
        <v>4.7004304635761587</v>
      </c>
      <c r="G10" s="197"/>
      <c r="H10" s="196">
        <f>ER31</f>
        <v>4.3150000000000004</v>
      </c>
      <c r="I10"/>
      <c r="M10" s="62"/>
      <c r="N10" s="201"/>
      <c r="O10" s="197"/>
      <c r="P10" s="197"/>
      <c r="Q10" s="197"/>
      <c r="S10" s="197"/>
      <c r="T10" s="197"/>
      <c r="U10" s="197"/>
      <c r="V10" s="197"/>
      <c r="W10" s="197"/>
      <c r="X10" s="197"/>
      <c r="Z10" s="197"/>
      <c r="AA10" s="197"/>
      <c r="AB10" s="197"/>
      <c r="AC10" s="197"/>
      <c r="AD10" s="197"/>
      <c r="AE10" s="197"/>
      <c r="AG10" s="197"/>
      <c r="AH10" s="197"/>
      <c r="AI10" s="197"/>
      <c r="AJ10" s="197"/>
      <c r="AK10" s="197"/>
      <c r="AP10" s="83"/>
      <c r="BX10" s="83"/>
      <c r="DF10" s="83"/>
      <c r="EN10" s="83"/>
    </row>
    <row r="11" spans="1:144" x14ac:dyDescent="0.25">
      <c r="I11"/>
      <c r="J11" s="160"/>
      <c r="K11" s="160" t="s">
        <v>95</v>
      </c>
      <c r="L11" s="160"/>
      <c r="M11" s="62"/>
      <c r="N11" s="201"/>
      <c r="O11" s="197"/>
      <c r="P11" s="197"/>
      <c r="Q11" s="197"/>
      <c r="S11" s="197"/>
      <c r="T11" s="197"/>
      <c r="U11" s="197"/>
      <c r="V11" s="197"/>
      <c r="W11" s="197"/>
      <c r="X11" s="197"/>
      <c r="Z11" s="197"/>
      <c r="AA11" s="197"/>
      <c r="AB11" s="197"/>
      <c r="AC11" s="197"/>
      <c r="AD11" s="197"/>
      <c r="AE11" s="197"/>
      <c r="AG11" s="197"/>
      <c r="AH11" s="197"/>
      <c r="AI11" s="197"/>
      <c r="AJ11" s="197"/>
      <c r="AK11" s="197"/>
      <c r="AP11" s="83"/>
      <c r="BX11" s="83"/>
      <c r="DF11" s="83"/>
      <c r="EN11" s="83"/>
    </row>
    <row r="12" spans="1:144" x14ac:dyDescent="0.25">
      <c r="A12" s="75" t="s">
        <v>121</v>
      </c>
      <c r="B12" s="222">
        <v>0</v>
      </c>
      <c r="C12" s="223"/>
      <c r="D12" s="222">
        <v>0.01</v>
      </c>
      <c r="E12" s="223"/>
      <c r="F12" s="222">
        <v>0.01</v>
      </c>
      <c r="G12" s="223"/>
      <c r="H12" s="222">
        <v>6.5000000000000002E-2</v>
      </c>
      <c r="I12"/>
      <c r="J12" s="160"/>
      <c r="K12" s="160" t="s">
        <v>82</v>
      </c>
      <c r="L12" s="160"/>
      <c r="M12" s="62"/>
      <c r="N12" s="202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P12" s="83"/>
      <c r="BX12" s="83"/>
      <c r="DF12" s="83"/>
      <c r="EN12" s="83"/>
    </row>
    <row r="13" spans="1:144" x14ac:dyDescent="0.25">
      <c r="A13" s="75" t="s">
        <v>203</v>
      </c>
      <c r="B13" s="222">
        <v>0</v>
      </c>
      <c r="C13" s="223"/>
      <c r="D13" s="222">
        <v>0</v>
      </c>
      <c r="E13" s="223"/>
      <c r="F13" s="222">
        <v>0</v>
      </c>
      <c r="G13" s="223"/>
      <c r="H13" s="222">
        <v>0</v>
      </c>
      <c r="I13"/>
      <c r="J13" s="160"/>
      <c r="K13" s="160" t="s">
        <v>95</v>
      </c>
      <c r="L13" s="160"/>
      <c r="M13" s="62"/>
      <c r="N13" s="202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O13" s="137"/>
      <c r="AP13" s="83"/>
      <c r="BX13" s="83"/>
      <c r="DF13" s="83"/>
      <c r="EN13" s="83"/>
    </row>
    <row r="14" spans="1:144" x14ac:dyDescent="0.25">
      <c r="A14" s="62" t="s">
        <v>204</v>
      </c>
      <c r="B14" s="224">
        <v>0</v>
      </c>
      <c r="C14" s="224"/>
      <c r="D14" s="224">
        <v>0</v>
      </c>
      <c r="E14" s="224"/>
      <c r="F14" s="224">
        <v>0</v>
      </c>
      <c r="G14" s="224"/>
      <c r="H14" s="224">
        <v>0</v>
      </c>
      <c r="I14"/>
      <c r="J14" s="83"/>
      <c r="K14" s="160" t="s">
        <v>78</v>
      </c>
      <c r="L14" s="160"/>
      <c r="M14" s="62"/>
      <c r="N14" s="202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O14" s="137"/>
      <c r="AP14" s="83"/>
      <c r="BX14" s="83"/>
      <c r="DF14" s="83"/>
      <c r="EN14" s="83"/>
    </row>
    <row r="15" spans="1:144" x14ac:dyDescent="0.25">
      <c r="A15" s="62" t="s">
        <v>205</v>
      </c>
      <c r="B15" s="224">
        <v>0</v>
      </c>
      <c r="C15" s="224"/>
      <c r="D15" s="224">
        <v>0</v>
      </c>
      <c r="E15" s="224"/>
      <c r="F15" s="224">
        <v>0</v>
      </c>
      <c r="G15" s="224"/>
      <c r="H15" s="224">
        <v>0</v>
      </c>
      <c r="I15"/>
      <c r="J15" s="83"/>
      <c r="K15" s="160"/>
      <c r="L15" s="160"/>
      <c r="M15" s="62"/>
      <c r="N15" s="202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O15" s="137"/>
      <c r="AP15" s="83"/>
      <c r="BX15" s="83"/>
      <c r="DF15" s="83"/>
      <c r="EN15" s="83"/>
    </row>
    <row r="16" spans="1:144" x14ac:dyDescent="0.25">
      <c r="A16" s="62" t="s">
        <v>181</v>
      </c>
      <c r="B16" s="224">
        <v>0</v>
      </c>
      <c r="C16" s="226"/>
      <c r="D16" s="224">
        <v>0</v>
      </c>
      <c r="E16" s="227"/>
      <c r="F16" s="224">
        <v>0</v>
      </c>
      <c r="G16" s="227"/>
      <c r="H16" s="224">
        <v>0</v>
      </c>
      <c r="I16"/>
      <c r="K16" s="160" t="s">
        <v>98</v>
      </c>
      <c r="M16" s="56"/>
      <c r="N16" s="203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P16" s="83"/>
      <c r="BX16" s="83"/>
      <c r="DF16" s="83"/>
      <c r="EN16" s="83"/>
    </row>
    <row r="17" spans="1:176" x14ac:dyDescent="0.25">
      <c r="A17" s="75"/>
      <c r="B17" s="222"/>
      <c r="C17" s="223"/>
      <c r="D17" s="222"/>
      <c r="E17" s="223"/>
      <c r="F17" s="222"/>
      <c r="G17" s="223"/>
      <c r="H17" s="222"/>
      <c r="I17"/>
      <c r="K17" s="160" t="s">
        <v>70</v>
      </c>
      <c r="L17" s="160"/>
      <c r="M17" s="62"/>
      <c r="N17" s="194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P17" s="83"/>
      <c r="BX17" s="83"/>
      <c r="DF17" s="83"/>
      <c r="EN17" s="83"/>
    </row>
    <row r="18" spans="1:176" x14ac:dyDescent="0.25">
      <c r="A18" s="62" t="s">
        <v>119</v>
      </c>
      <c r="B18" s="259">
        <v>0.4</v>
      </c>
      <c r="C18" s="227"/>
      <c r="D18" s="228">
        <v>1.6</v>
      </c>
      <c r="E18" s="227"/>
      <c r="F18" s="228">
        <v>1.6</v>
      </c>
      <c r="G18" s="227"/>
      <c r="H18" s="228">
        <v>1</v>
      </c>
      <c r="I18"/>
      <c r="J18" s="160"/>
      <c r="K18" s="160" t="s">
        <v>100</v>
      </c>
      <c r="L18" s="160"/>
      <c r="M18" s="62"/>
      <c r="N18" s="194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P18" s="83"/>
      <c r="BX18" s="83"/>
      <c r="DF18" s="83"/>
      <c r="EN18" s="83"/>
    </row>
    <row r="19" spans="1:176" x14ac:dyDescent="0.25">
      <c r="A19" s="62" t="s">
        <v>126</v>
      </c>
      <c r="B19" s="229">
        <v>1</v>
      </c>
      <c r="C19" s="227"/>
      <c r="D19" s="229">
        <v>1</v>
      </c>
      <c r="E19" s="227"/>
      <c r="F19" s="229">
        <v>1</v>
      </c>
      <c r="G19" s="227"/>
      <c r="H19" s="229">
        <v>0</v>
      </c>
      <c r="I19"/>
      <c r="K19" s="160" t="s">
        <v>76</v>
      </c>
      <c r="N19" s="194"/>
    </row>
    <row r="20" spans="1:176" x14ac:dyDescent="0.25">
      <c r="A20" s="131"/>
      <c r="I20"/>
      <c r="K20" s="160" t="s">
        <v>102</v>
      </c>
      <c r="N20" s="194"/>
    </row>
    <row r="21" spans="1:176" x14ac:dyDescent="0.25">
      <c r="A21" s="62" t="s">
        <v>38</v>
      </c>
      <c r="B21" s="194">
        <f ca="1">BK$31</f>
        <v>5.771642361729639E-2</v>
      </c>
      <c r="C21" s="199"/>
      <c r="D21" s="194">
        <f ca="1">CS$31</f>
        <v>0.59642081853136686</v>
      </c>
      <c r="E21" s="199"/>
      <c r="F21" s="194">
        <f ca="1">EA$31</f>
        <v>0.59642081853136686</v>
      </c>
      <c r="G21" s="199"/>
      <c r="H21" s="194">
        <f ca="1">FI$31</f>
        <v>0.43907991416354308</v>
      </c>
      <c r="I21"/>
      <c r="K21" s="160" t="s">
        <v>74</v>
      </c>
      <c r="N21" s="194"/>
      <c r="AM21" s="194">
        <f>FH$31</f>
        <v>0</v>
      </c>
    </row>
    <row r="22" spans="1:176" x14ac:dyDescent="0.25">
      <c r="A22" s="62" t="s">
        <v>206</v>
      </c>
      <c r="B22" s="194">
        <f ca="1">BL$31</f>
        <v>0.34502408121806782</v>
      </c>
      <c r="C22" s="199"/>
      <c r="D22" s="194">
        <f ca="1">CT$31</f>
        <v>0.49488984530899094</v>
      </c>
      <c r="E22" s="199"/>
      <c r="F22" s="194">
        <f ca="1">EB$31</f>
        <v>0.49488984530899094</v>
      </c>
      <c r="G22" s="199"/>
      <c r="H22" s="194">
        <f ca="1">FJ$31</f>
        <v>-0.37912468916273712</v>
      </c>
      <c r="K22" s="160" t="s">
        <v>94</v>
      </c>
      <c r="AM22" s="194">
        <f ca="1">FI$31</f>
        <v>0.43907991416354308</v>
      </c>
    </row>
    <row r="23" spans="1:176" x14ac:dyDescent="0.25">
      <c r="A23" s="62" t="s">
        <v>207</v>
      </c>
      <c r="B23" s="194">
        <f ca="1">BM$31</f>
        <v>-0.33067462954208005</v>
      </c>
      <c r="C23" s="199"/>
      <c r="D23" s="194">
        <f ca="1">CU$31</f>
        <v>-0.42594993324394936</v>
      </c>
      <c r="E23" s="199"/>
      <c r="F23" s="194">
        <f ca="1">EC$31</f>
        <v>-0.42594993324394936</v>
      </c>
      <c r="G23" s="199"/>
      <c r="H23" s="194">
        <f ca="1">FK$31</f>
        <v>0.47110537599851754</v>
      </c>
      <c r="K23" s="160" t="s">
        <v>79</v>
      </c>
      <c r="AM23" s="194">
        <f ca="1">FJ$31</f>
        <v>-0.37912468916273712</v>
      </c>
    </row>
    <row r="24" spans="1:176" x14ac:dyDescent="0.25">
      <c r="A24" s="62" t="s">
        <v>208</v>
      </c>
      <c r="B24" s="194">
        <f ca="1">BN$31</f>
        <v>1.4818875240298592E-2</v>
      </c>
      <c r="C24" s="199"/>
      <c r="D24" s="194">
        <f ca="1">CV$31</f>
        <v>2.5710434694140904E-3</v>
      </c>
      <c r="E24" s="199"/>
      <c r="F24" s="194">
        <f ca="1">ED$31</f>
        <v>2.5710434694140904E-3</v>
      </c>
      <c r="G24" s="199"/>
      <c r="H24" s="194">
        <f ca="1">FL$31</f>
        <v>2.6474469434610683E-3</v>
      </c>
      <c r="K24" s="160" t="s">
        <v>99</v>
      </c>
      <c r="AM24" s="194">
        <f ca="1">FK$31</f>
        <v>0.47110537599851754</v>
      </c>
    </row>
    <row r="25" spans="1:176" x14ac:dyDescent="0.25">
      <c r="A25" s="62" t="s">
        <v>209</v>
      </c>
      <c r="B25" s="194">
        <f ca="1">BO$31</f>
        <v>1.4410737311990414E-2</v>
      </c>
      <c r="C25" s="199"/>
      <c r="D25" s="194">
        <f ca="1">CW$31</f>
        <v>2.5573668262416447E-3</v>
      </c>
      <c r="E25" s="199"/>
      <c r="F25" s="194">
        <f ca="1">EE$31</f>
        <v>2.5573668262416447E-3</v>
      </c>
      <c r="G25" s="199"/>
      <c r="H25" s="194">
        <f ca="1">FM$31</f>
        <v>2.8696847569062295E-3</v>
      </c>
      <c r="K25" s="160"/>
      <c r="AM25" s="194">
        <f ca="1">FL$31</f>
        <v>2.6474469434610683E-3</v>
      </c>
    </row>
    <row r="26" spans="1:176" x14ac:dyDescent="0.25">
      <c r="A26" s="62" t="s">
        <v>210</v>
      </c>
      <c r="B26" s="194">
        <f ca="1">BP$31</f>
        <v>5.3621314208128351E-3</v>
      </c>
      <c r="C26" s="199"/>
      <c r="D26" s="194">
        <f ca="1">CX$31</f>
        <v>9.4204047954272434E-3</v>
      </c>
      <c r="E26" s="199"/>
      <c r="F26" s="194">
        <f ca="1">EF$31</f>
        <v>9.4204047954272434E-3</v>
      </c>
      <c r="G26" s="199"/>
      <c r="H26" s="194">
        <f ca="1">FN$31</f>
        <v>1.0284012870327226E-2</v>
      </c>
      <c r="K26" s="160"/>
      <c r="AM26" s="194">
        <f ca="1">FM$31</f>
        <v>2.8696847569062295E-3</v>
      </c>
    </row>
    <row r="27" spans="1:176" x14ac:dyDescent="0.25">
      <c r="A27" s="62" t="s">
        <v>211</v>
      </c>
      <c r="B27" s="194">
        <f ca="1">BQ$31</f>
        <v>-3.7834860281580236E-3</v>
      </c>
      <c r="C27" s="199"/>
      <c r="D27" s="194">
        <f ca="1">CY$31</f>
        <v>-2.3526840448329848E-3</v>
      </c>
      <c r="E27" s="199"/>
      <c r="F27" s="194">
        <f ca="1">EG$31</f>
        <v>-2.3526840448329848E-3</v>
      </c>
      <c r="G27" s="199"/>
      <c r="H27" s="194">
        <f ca="1">FO$31</f>
        <v>-1.9553019577587482E-3</v>
      </c>
      <c r="K27" s="160"/>
      <c r="AM27" s="194">
        <f ca="1">FN$31</f>
        <v>1.0284012870327226E-2</v>
      </c>
    </row>
    <row r="28" spans="1:176" x14ac:dyDescent="0.25">
      <c r="A28" s="62" t="s">
        <v>212</v>
      </c>
      <c r="B28" s="194">
        <f ca="1">BR$31</f>
        <v>-3.4559201722670192E-2</v>
      </c>
      <c r="C28" s="199"/>
      <c r="D28" s="194">
        <f ca="1">CZ$31</f>
        <v>-8.7344967320952902E-3</v>
      </c>
      <c r="E28" s="199"/>
      <c r="F28" s="194">
        <f ca="1">EH$31</f>
        <v>-8.7344967320952902E-3</v>
      </c>
      <c r="G28" s="199"/>
      <c r="H28" s="194">
        <f ca="1">FP$31</f>
        <v>-1.0360115300141021E-2</v>
      </c>
      <c r="K28" s="160"/>
      <c r="AM28" s="194">
        <f ca="1">FO$31</f>
        <v>-1.9553019577587482E-3</v>
      </c>
    </row>
    <row r="29" spans="1:176" x14ac:dyDescent="0.25">
      <c r="A29" s="62" t="s">
        <v>33</v>
      </c>
      <c r="B29" s="194">
        <f ca="1">BS$31</f>
        <v>-3.9922172581027983E-4</v>
      </c>
      <c r="C29" s="199"/>
      <c r="D29" s="194">
        <f ca="1">DA$31</f>
        <v>-1.957817204663136E-3</v>
      </c>
      <c r="E29" s="199"/>
      <c r="F29" s="194">
        <f ca="1">EI$31</f>
        <v>-1.957817204663136E-3</v>
      </c>
      <c r="G29" s="199"/>
      <c r="H29" s="194">
        <f ca="1">FQ$31</f>
        <v>-1.3797695538874239E-3</v>
      </c>
      <c r="K29" s="160"/>
      <c r="AM29" s="194">
        <f ca="1">FP$31</f>
        <v>-1.0360115300141021E-2</v>
      </c>
    </row>
    <row r="30" spans="1:176" x14ac:dyDescent="0.25">
      <c r="A30" s="62" t="s">
        <v>214</v>
      </c>
      <c r="B30" s="194">
        <f ca="1">BT$31</f>
        <v>1.4349451675987805E-2</v>
      </c>
      <c r="C30" s="199"/>
      <c r="D30" s="194">
        <f ca="1">DB$31</f>
        <v>6.8939912065041575E-2</v>
      </c>
      <c r="E30" s="199"/>
      <c r="F30" s="194">
        <f ca="1">EJ$31</f>
        <v>6.8939912065041575E-2</v>
      </c>
      <c r="G30" s="199"/>
      <c r="H30" s="194">
        <f ca="1">FR$31</f>
        <v>9.1980686835780409E-2</v>
      </c>
      <c r="AM30" s="194">
        <f ca="1">FQ$31</f>
        <v>-1.3797695538874239E-3</v>
      </c>
    </row>
    <row r="31" spans="1:176" x14ac:dyDescent="0.25">
      <c r="A31" s="62" t="s">
        <v>215</v>
      </c>
      <c r="B31" s="194">
        <f ca="1">BU$31</f>
        <v>-4.0813792830817511E-4</v>
      </c>
      <c r="C31" s="83"/>
      <c r="D31" s="194">
        <f ca="1">DC$31</f>
        <v>-1.3676643172445679E-5</v>
      </c>
      <c r="E31" s="83"/>
      <c r="F31" s="194">
        <f ca="1">EK$31</f>
        <v>-1.3676643172445679E-5</v>
      </c>
      <c r="G31" s="83"/>
      <c r="H31" s="194">
        <f ca="1">FS$31</f>
        <v>2.2223781344516119E-4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K31" s="83"/>
      <c r="AM31" s="194">
        <f ca="1">FR$31</f>
        <v>9.1980686835780409E-2</v>
      </c>
      <c r="AP31" s="83"/>
      <c r="AQ31" s="109"/>
      <c r="AR31" s="77"/>
      <c r="AS31" s="77">
        <f>AS33/AP35</f>
        <v>5.0002980132450325</v>
      </c>
      <c r="AT31" s="77">
        <f>AT33/AP35</f>
        <v>4.7004304635761587</v>
      </c>
      <c r="AU31" s="83"/>
      <c r="AV31" s="84"/>
      <c r="AW31" s="93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132">
        <f ca="1">BK33/AP35</f>
        <v>5.771642361729639E-2</v>
      </c>
      <c r="BL31" s="132">
        <f ca="1">BL33/AP35</f>
        <v>0.34502408121806782</v>
      </c>
      <c r="BM31" s="132">
        <f ca="1">BM33/AP35</f>
        <v>-0.33067462954208005</v>
      </c>
      <c r="BN31" s="132">
        <f ca="1">BN33/AP35</f>
        <v>1.4818875240298592E-2</v>
      </c>
      <c r="BO31" s="132">
        <f ca="1">BO33/AP35</f>
        <v>1.4410737311990414E-2</v>
      </c>
      <c r="BP31" s="132">
        <f ca="1">BP33/AP35</f>
        <v>5.3621314208128351E-3</v>
      </c>
      <c r="BQ31" s="132">
        <f ca="1">BQ33/AP35</f>
        <v>-3.7834860281580236E-3</v>
      </c>
      <c r="BR31" s="132">
        <f ca="1">BR33/AP35</f>
        <v>-3.4559201722670192E-2</v>
      </c>
      <c r="BS31" s="132">
        <f ca="1">BS33/AP35</f>
        <v>-3.9922172581027983E-4</v>
      </c>
      <c r="BT31" s="132">
        <f ca="1">BT33/AP35</f>
        <v>1.4349451675987805E-2</v>
      </c>
      <c r="BU31" s="132">
        <f ca="1">BU33/AP35</f>
        <v>-4.0813792830817511E-4</v>
      </c>
      <c r="BV31" s="132">
        <f ca="1">BV33/AP35</f>
        <v>1.5786453926548113E-3</v>
      </c>
      <c r="BX31" s="83"/>
      <c r="BY31" s="109"/>
      <c r="BZ31" s="77"/>
      <c r="CA31" s="77">
        <f>CA33/BX35</f>
        <v>6.3146688741721855</v>
      </c>
      <c r="CB31" s="77">
        <f>CB33/BX35</f>
        <v>4.7004304635761587</v>
      </c>
      <c r="CC31" s="83"/>
      <c r="CD31" s="84"/>
      <c r="CE31" s="93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132">
        <f ca="1">CS33/BX35</f>
        <v>0.59642081853136686</v>
      </c>
      <c r="CT31" s="132">
        <f ca="1">CT33/BX35</f>
        <v>0.49488984530899094</v>
      </c>
      <c r="CU31" s="132">
        <f ca="1">CU33/BX35</f>
        <v>-0.42594993324394936</v>
      </c>
      <c r="CV31" s="132">
        <f ca="1">CV33/BX35</f>
        <v>2.5710434694140904E-3</v>
      </c>
      <c r="CW31" s="132">
        <f ca="1">CW33/BX35</f>
        <v>2.5573668262416447E-3</v>
      </c>
      <c r="CX31" s="132">
        <f ca="1">CX33/BX35</f>
        <v>9.4204047954272434E-3</v>
      </c>
      <c r="CY31" s="132">
        <f ca="1">CY33/BX35</f>
        <v>-2.3526840448329848E-3</v>
      </c>
      <c r="CZ31" s="132">
        <f ca="1">CZ33/BX35</f>
        <v>-8.7344967320952902E-3</v>
      </c>
      <c r="DA31" s="132">
        <f ca="1">DA33/BX35</f>
        <v>-1.957817204663136E-3</v>
      </c>
      <c r="DB31" s="132">
        <f ca="1">DB33/BX35</f>
        <v>6.8939912065041575E-2</v>
      </c>
      <c r="DC31" s="132">
        <f ca="1">DC33/BX35</f>
        <v>-1.3676643172445679E-5</v>
      </c>
      <c r="DD31" s="132">
        <f ca="1">DD33/BX35</f>
        <v>8.409343338577643E-3</v>
      </c>
      <c r="DF31" s="83"/>
      <c r="DG31" s="109"/>
      <c r="DH31" s="77"/>
      <c r="DI31" s="77">
        <f>DI33/DF35</f>
        <v>6.3146688741721855</v>
      </c>
      <c r="DJ31" s="77">
        <f>DJ33/DF35</f>
        <v>4.7004304635761587</v>
      </c>
      <c r="DK31" s="83"/>
      <c r="DL31" s="84"/>
      <c r="DM31" s="93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132">
        <f ca="1">EA33/DF35</f>
        <v>0.59642081853136686</v>
      </c>
      <c r="EB31" s="132">
        <f ca="1">EB33/DF35</f>
        <v>0.49488984530899094</v>
      </c>
      <c r="EC31" s="132">
        <f ca="1">EC33/DF35</f>
        <v>-0.42594993324394936</v>
      </c>
      <c r="ED31" s="132">
        <f ca="1">ED33/DF35</f>
        <v>2.5710434694140904E-3</v>
      </c>
      <c r="EE31" s="132">
        <f ca="1">EE33/DF35</f>
        <v>2.5573668262416447E-3</v>
      </c>
      <c r="EF31" s="132">
        <f ca="1">EF33/DF35</f>
        <v>9.4204047954272434E-3</v>
      </c>
      <c r="EG31" s="132">
        <f ca="1">EG33/DF35</f>
        <v>-2.3526840448329848E-3</v>
      </c>
      <c r="EH31" s="132">
        <f ca="1">EH33/DF35</f>
        <v>-8.7344967320952902E-3</v>
      </c>
      <c r="EI31" s="132">
        <f ca="1">EI33/DF35</f>
        <v>-1.957817204663136E-3</v>
      </c>
      <c r="EJ31" s="132">
        <f ca="1">EJ33/DF35</f>
        <v>6.8939912065041575E-2</v>
      </c>
      <c r="EK31" s="132">
        <f ca="1">EK33/DF35</f>
        <v>-1.3676643172445679E-5</v>
      </c>
      <c r="EL31" s="132">
        <f ca="1">EL33/DF35</f>
        <v>8.409343338577643E-3</v>
      </c>
      <c r="EN31" s="83"/>
      <c r="EO31" s="109"/>
      <c r="EP31" s="77"/>
      <c r="EQ31" s="77">
        <f>EQ33/EN35</f>
        <v>5.5150000000000015</v>
      </c>
      <c r="ER31" s="77">
        <f>ER33/EN35</f>
        <v>4.3150000000000004</v>
      </c>
      <c r="ES31" s="83"/>
      <c r="ET31" s="84"/>
      <c r="EU31" s="93"/>
      <c r="EV31" s="77"/>
      <c r="EW31" s="77"/>
      <c r="EX31" s="77"/>
      <c r="EY31" s="77"/>
      <c r="EZ31" s="77"/>
      <c r="FA31" s="77"/>
      <c r="FB31" s="77"/>
      <c r="FC31" s="77"/>
      <c r="FD31" s="77"/>
      <c r="FE31" s="77"/>
      <c r="FF31" s="77"/>
      <c r="FG31" s="77"/>
      <c r="FH31" s="77"/>
      <c r="FI31" s="132">
        <f ca="1">FI33/EN35</f>
        <v>0.43907991416354308</v>
      </c>
      <c r="FJ31" s="132">
        <f ca="1">FJ33/EN35</f>
        <v>-0.37912468916273712</v>
      </c>
      <c r="FK31" s="132">
        <f ca="1">FK33/EN35</f>
        <v>0.47110537599851754</v>
      </c>
      <c r="FL31" s="132">
        <f ca="1">FL33/EN35</f>
        <v>2.6474469434610683E-3</v>
      </c>
      <c r="FM31" s="132">
        <f ca="1">FM33/EN35</f>
        <v>2.8696847569062295E-3</v>
      </c>
      <c r="FN31" s="132">
        <f ca="1">FN33/EN35</f>
        <v>1.0284012870327226E-2</v>
      </c>
      <c r="FO31" s="132">
        <f ca="1">FO33/EN35</f>
        <v>-1.9553019577587482E-3</v>
      </c>
      <c r="FP31" s="132">
        <f ca="1">FP33/EN35</f>
        <v>-1.0360115300141021E-2</v>
      </c>
      <c r="FQ31" s="132">
        <f ca="1">FQ33/EN35</f>
        <v>-1.3797695538874239E-3</v>
      </c>
      <c r="FR31" s="132">
        <f ca="1">FR33/EN35</f>
        <v>9.1980686835780409E-2</v>
      </c>
      <c r="FS31" s="132">
        <f ca="1">FS33/EN35</f>
        <v>2.2223781344516119E-4</v>
      </c>
      <c r="FT31" s="132">
        <f ca="1">FT33/EN35</f>
        <v>9.8713128431175603E-3</v>
      </c>
    </row>
    <row r="32" spans="1:176" x14ac:dyDescent="0.25">
      <c r="A32" s="62" t="s">
        <v>216</v>
      </c>
      <c r="B32" s="194">
        <f ca="1">BV$31</f>
        <v>1.5786453926548113E-3</v>
      </c>
      <c r="C32" s="83"/>
      <c r="D32" s="194">
        <f ca="1">DD$31</f>
        <v>8.409343338577643E-3</v>
      </c>
      <c r="E32" s="83"/>
      <c r="F32" s="194">
        <f ca="1">EL$31</f>
        <v>8.409343338577643E-3</v>
      </c>
      <c r="G32" s="83"/>
      <c r="H32" s="194">
        <f ca="1">FT$31</f>
        <v>9.8713128431175603E-3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K32" s="83"/>
      <c r="AM32" s="194">
        <f ca="1">FS$31</f>
        <v>2.2223781344516119E-4</v>
      </c>
      <c r="AP32" s="83"/>
      <c r="AQ32" s="83"/>
      <c r="AR32" s="78">
        <f>B6</f>
        <v>36831</v>
      </c>
      <c r="AS32" s="77"/>
      <c r="AT32" s="77"/>
      <c r="AU32" s="83"/>
      <c r="AV32" s="84"/>
      <c r="AW32" s="93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X32" s="83"/>
      <c r="BY32" s="83"/>
      <c r="BZ32" s="78">
        <f>D6</f>
        <v>36831</v>
      </c>
      <c r="CA32" s="77"/>
      <c r="CB32" s="77"/>
      <c r="CC32" s="83"/>
      <c r="CD32" s="84"/>
      <c r="CE32" s="93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F32" s="83"/>
      <c r="DG32" s="83"/>
      <c r="DH32" s="78">
        <f>F6</f>
        <v>36831</v>
      </c>
      <c r="DI32" s="77"/>
      <c r="DJ32" s="77"/>
      <c r="DK32" s="83"/>
      <c r="DL32" s="84"/>
      <c r="DM32" s="93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N32" s="83"/>
      <c r="EO32" s="83"/>
      <c r="EP32" s="78">
        <f>H6</f>
        <v>36951</v>
      </c>
      <c r="EQ32" s="77"/>
      <c r="ER32" s="77"/>
      <c r="ES32" s="83"/>
      <c r="ET32" s="84"/>
      <c r="EU32" s="93"/>
      <c r="EV32" s="77"/>
      <c r="EW32" s="77"/>
      <c r="EX32" s="77"/>
      <c r="EY32" s="77"/>
      <c r="EZ32" s="77"/>
      <c r="FA32" s="77"/>
      <c r="FB32" s="77"/>
      <c r="FC32" s="77"/>
      <c r="FD32" s="77"/>
      <c r="FE32" s="77"/>
      <c r="FF32" s="77"/>
      <c r="FG32" s="77"/>
      <c r="FH32" s="77"/>
      <c r="FI32" s="77"/>
      <c r="FJ32" s="77"/>
      <c r="FK32" s="77"/>
      <c r="FL32" s="77"/>
      <c r="FM32" s="77"/>
      <c r="FN32" s="77"/>
      <c r="FO32" s="77"/>
      <c r="FP32" s="77"/>
      <c r="FQ32" s="77"/>
      <c r="FR32" s="77"/>
      <c r="FS32" s="77"/>
      <c r="FT32" s="77"/>
    </row>
    <row r="33" spans="1:176" x14ac:dyDescent="0.25">
      <c r="A33" s="83"/>
      <c r="B33" s="215"/>
      <c r="C33" s="83"/>
      <c r="D33" s="21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5"/>
      <c r="AM33" s="87"/>
      <c r="AN33" s="90"/>
      <c r="AO33" s="91"/>
      <c r="AP33" s="83" t="s">
        <v>161</v>
      </c>
      <c r="AQ33" s="83"/>
      <c r="AR33" s="78">
        <f>B7</f>
        <v>36951</v>
      </c>
      <c r="AS33" s="108">
        <f>SUM(AS38:AS61)</f>
        <v>755.04499999999996</v>
      </c>
      <c r="AT33" s="108">
        <f>SUM(AT38:AT61)</f>
        <v>709.76499999999999</v>
      </c>
      <c r="AU33" s="83"/>
      <c r="AV33" s="84"/>
      <c r="AW33" s="94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>
        <f ca="1">SUM(BK38:BK61)</f>
        <v>8.7151799662117551</v>
      </c>
      <c r="BL33" s="108">
        <f t="shared" ref="BL33:BV33" ca="1" si="0">SUM(BL38:BL61)</f>
        <v>52.098636263928242</v>
      </c>
      <c r="BM33" s="108">
        <f t="shared" ca="1" si="0"/>
        <v>-49.931869060854083</v>
      </c>
      <c r="BN33" s="108">
        <f t="shared" ca="1" si="0"/>
        <v>2.2376501612850874</v>
      </c>
      <c r="BO33" s="108">
        <f t="shared" ca="1" si="0"/>
        <v>2.1760213341105525</v>
      </c>
      <c r="BP33" s="108">
        <f t="shared" ca="1" si="0"/>
        <v>0.80968184454273806</v>
      </c>
      <c r="BQ33" s="108">
        <f t="shared" ca="1" si="0"/>
        <v>-0.57130639025186158</v>
      </c>
      <c r="BR33" s="108">
        <f t="shared" ca="1" si="0"/>
        <v>-5.2184394601231991</v>
      </c>
      <c r="BS33" s="108">
        <f t="shared" ca="1" si="0"/>
        <v>-6.028248059735225E-2</v>
      </c>
      <c r="BT33" s="108">
        <f t="shared" ca="1" si="0"/>
        <v>2.1667672030741585</v>
      </c>
      <c r="BU33" s="108">
        <f t="shared" ca="1" si="0"/>
        <v>-6.162882717453444E-2</v>
      </c>
      <c r="BV33" s="108">
        <f t="shared" ca="1" si="0"/>
        <v>0.2383754542908765</v>
      </c>
      <c r="BX33" s="83" t="s">
        <v>176</v>
      </c>
      <c r="BY33" s="83"/>
      <c r="BZ33" s="78">
        <f>D7</f>
        <v>36951</v>
      </c>
      <c r="CA33" s="108">
        <f>SUM(CA38:CA61)</f>
        <v>953.51499999999999</v>
      </c>
      <c r="CB33" s="108">
        <f>SUM(CB38:CB61)</f>
        <v>709.76499999999999</v>
      </c>
      <c r="CC33" s="83"/>
      <c r="CD33" s="84"/>
      <c r="CE33" s="94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>
        <f ca="1">SUM(CS38:CS61)</f>
        <v>90.059543598236402</v>
      </c>
      <c r="CT33" s="108">
        <f t="shared" ref="CT33:DD33" ca="1" si="1">SUM(CT38:CT61)</f>
        <v>74.72836664165763</v>
      </c>
      <c r="CU33" s="108">
        <f t="shared" ca="1" si="1"/>
        <v>-64.318439919836351</v>
      </c>
      <c r="CV33" s="108">
        <f t="shared" ca="1" si="1"/>
        <v>0.38822756388152763</v>
      </c>
      <c r="CW33" s="108">
        <f t="shared" ca="1" si="1"/>
        <v>0.38616239076248837</v>
      </c>
      <c r="CX33" s="108">
        <f t="shared" ca="1" si="1"/>
        <v>1.4224811241095139</v>
      </c>
      <c r="CY33" s="108">
        <f t="shared" ca="1" si="1"/>
        <v>-0.35525529076978068</v>
      </c>
      <c r="CZ33" s="108">
        <f t="shared" ca="1" si="1"/>
        <v>-1.3189090065463889</v>
      </c>
      <c r="DA33" s="108">
        <f t="shared" ca="1" si="1"/>
        <v>-0.29563039790413354</v>
      </c>
      <c r="DB33" s="108">
        <f t="shared" ca="1" si="1"/>
        <v>10.409926721821279</v>
      </c>
      <c r="DC33" s="108">
        <f t="shared" ca="1" si="1"/>
        <v>-2.0651731190392975E-3</v>
      </c>
      <c r="DD33" s="108">
        <f t="shared" ca="1" si="1"/>
        <v>1.269810844125224</v>
      </c>
      <c r="DF33" s="83" t="s">
        <v>177</v>
      </c>
      <c r="DG33" s="83"/>
      <c r="DH33" s="78">
        <f>F7</f>
        <v>36951</v>
      </c>
      <c r="DI33" s="108">
        <f>SUM(DI38:DI61)</f>
        <v>953.51499999999999</v>
      </c>
      <c r="DJ33" s="108">
        <f>SUM(DJ38:DJ61)</f>
        <v>709.76499999999999</v>
      </c>
      <c r="DK33" s="83"/>
      <c r="DL33" s="84"/>
      <c r="DM33" s="94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>
        <f ca="1">SUM(EA38:EA61)</f>
        <v>90.059543598236402</v>
      </c>
      <c r="EB33" s="108">
        <f t="shared" ref="EB33:EL33" ca="1" si="2">SUM(EB38:EB61)</f>
        <v>74.72836664165763</v>
      </c>
      <c r="EC33" s="108">
        <f t="shared" ca="1" si="2"/>
        <v>-64.318439919836351</v>
      </c>
      <c r="ED33" s="108">
        <f t="shared" ca="1" si="2"/>
        <v>0.38822756388152763</v>
      </c>
      <c r="EE33" s="108">
        <f t="shared" ca="1" si="2"/>
        <v>0.38616239076248837</v>
      </c>
      <c r="EF33" s="108">
        <f t="shared" ca="1" si="2"/>
        <v>1.4224811241095139</v>
      </c>
      <c r="EG33" s="108">
        <f t="shared" ca="1" si="2"/>
        <v>-0.35525529076978068</v>
      </c>
      <c r="EH33" s="108">
        <f t="shared" ca="1" si="2"/>
        <v>-1.3189090065463889</v>
      </c>
      <c r="EI33" s="108">
        <f t="shared" ca="1" si="2"/>
        <v>-0.29563039790413354</v>
      </c>
      <c r="EJ33" s="108">
        <f t="shared" ca="1" si="2"/>
        <v>10.409926721821279</v>
      </c>
      <c r="EK33" s="108">
        <f t="shared" ca="1" si="2"/>
        <v>-2.0651731190392975E-3</v>
      </c>
      <c r="EL33" s="108">
        <f t="shared" ca="1" si="2"/>
        <v>1.269810844125224</v>
      </c>
      <c r="EN33" s="83" t="s">
        <v>178</v>
      </c>
      <c r="EO33" s="83"/>
      <c r="EP33" s="78">
        <f>H7</f>
        <v>36951</v>
      </c>
      <c r="EQ33" s="108">
        <f>SUM(EQ38:EQ61)</f>
        <v>170.96500000000003</v>
      </c>
      <c r="ER33" s="108">
        <f>SUM(ER38:ER61)</f>
        <v>133.76500000000001</v>
      </c>
      <c r="ES33" s="83"/>
      <c r="ET33" s="84"/>
      <c r="EU33" s="94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>
        <f ca="1">SUM(FI38:FI61)</f>
        <v>13.611477339069836</v>
      </c>
      <c r="FJ33" s="108">
        <f t="shared" ref="FJ33:FT33" ca="1" si="3">SUM(FJ38:FJ61)</f>
        <v>-11.752865364044851</v>
      </c>
      <c r="FK33" s="108">
        <f t="shared" ca="1" si="3"/>
        <v>14.604266655954044</v>
      </c>
      <c r="FL33" s="108">
        <f t="shared" ca="1" si="3"/>
        <v>8.2070855247293115E-2</v>
      </c>
      <c r="FM33" s="108">
        <f t="shared" ca="1" si="3"/>
        <v>8.8960227464093114E-2</v>
      </c>
      <c r="FN33" s="108">
        <f t="shared" ca="1" si="3"/>
        <v>0.31880439898014401</v>
      </c>
      <c r="FO33" s="108">
        <f t="shared" ca="1" si="3"/>
        <v>-6.0614360690521195E-2</v>
      </c>
      <c r="FP33" s="108">
        <f t="shared" ca="1" si="3"/>
        <v>-0.32116357430437165</v>
      </c>
      <c r="FQ33" s="108">
        <f t="shared" ca="1" si="3"/>
        <v>-4.2772856170510139E-2</v>
      </c>
      <c r="FR33" s="108">
        <f t="shared" ca="1" si="3"/>
        <v>2.8514012919091929</v>
      </c>
      <c r="FS33" s="108">
        <f t="shared" ca="1" si="3"/>
        <v>6.8893722167999967E-3</v>
      </c>
      <c r="FT33" s="108">
        <f t="shared" ca="1" si="3"/>
        <v>0.30601069813664439</v>
      </c>
    </row>
    <row r="34" spans="1:176" x14ac:dyDescent="0.25">
      <c r="A34" s="83"/>
      <c r="B34" s="214">
        <f ca="1">B21-D21</f>
        <v>-0.53870439491407052</v>
      </c>
      <c r="C34" s="83"/>
      <c r="D34" s="57"/>
      <c r="E34" s="83"/>
      <c r="F34" s="214">
        <f ca="1">F21-H21</f>
        <v>0.15734090436782378</v>
      </c>
      <c r="G34" s="83"/>
      <c r="H34" s="214"/>
      <c r="I34" s="83"/>
      <c r="J34" s="83"/>
      <c r="K34" s="57" t="s">
        <v>51</v>
      </c>
      <c r="L34" s="83" t="str">
        <f>B3</f>
        <v>IF-CGT/APPALAC</v>
      </c>
      <c r="M34" s="83"/>
      <c r="N34" s="83"/>
      <c r="O34" s="83"/>
      <c r="P34" s="83"/>
      <c r="Q34" s="83"/>
      <c r="R34" s="57" t="s">
        <v>52</v>
      </c>
      <c r="S34" s="83" t="str">
        <f>D3</f>
        <v>IF-TRANSCO/Z6</v>
      </c>
      <c r="T34" s="83"/>
      <c r="U34" s="83"/>
      <c r="V34" s="83"/>
      <c r="W34" s="83"/>
      <c r="X34" s="83"/>
      <c r="Y34" s="57" t="s">
        <v>160</v>
      </c>
      <c r="Z34" s="83" t="str">
        <f>F3</f>
        <v>IF-TRANSCO/Z6</v>
      </c>
      <c r="AA34" s="83"/>
      <c r="AB34" s="83"/>
      <c r="AC34" s="83"/>
      <c r="AD34" s="83"/>
      <c r="AE34" s="83"/>
      <c r="AF34" s="57" t="s">
        <v>159</v>
      </c>
      <c r="AG34" s="83" t="str">
        <f>H3</f>
        <v>IF-TRANSCO/Z6</v>
      </c>
      <c r="AH34" s="83"/>
      <c r="AI34" s="83"/>
      <c r="AJ34" s="83"/>
      <c r="AK34" s="83"/>
      <c r="AM34" s="106"/>
      <c r="AP34" s="83"/>
      <c r="AQ34" s="83"/>
      <c r="AR34" s="77"/>
      <c r="AS34" s="77"/>
      <c r="AT34" s="77"/>
      <c r="AU34" s="83"/>
      <c r="AV34" s="84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X34" s="83"/>
      <c r="BY34" s="83"/>
      <c r="BZ34" s="77"/>
      <c r="CA34" s="77"/>
      <c r="CB34" s="77"/>
      <c r="CC34" s="83"/>
      <c r="CD34" s="84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DF34" s="83"/>
      <c r="DG34" s="83"/>
      <c r="DH34" s="77"/>
      <c r="DI34" s="77"/>
      <c r="DJ34" s="77"/>
      <c r="DK34" s="83"/>
      <c r="DL34" s="84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N34" s="83"/>
      <c r="EO34" s="83"/>
      <c r="EP34" s="77"/>
      <c r="EQ34" s="77"/>
      <c r="ER34" s="77"/>
      <c r="ES34" s="83"/>
      <c r="ET34" s="84"/>
      <c r="EU34" s="77"/>
      <c r="EV34" s="77"/>
      <c r="EW34" s="77"/>
      <c r="EX34" s="77"/>
      <c r="EY34" s="77"/>
      <c r="EZ34" s="77"/>
      <c r="FA34" s="77"/>
      <c r="FB34" s="77"/>
      <c r="FC34" s="77"/>
      <c r="FD34" s="77"/>
      <c r="FE34" s="77"/>
      <c r="FF34" s="77"/>
      <c r="FG34" s="77"/>
      <c r="FH34" s="77"/>
      <c r="FI34" s="77"/>
      <c r="FJ34" s="77"/>
      <c r="FK34" s="77"/>
      <c r="FL34" s="77"/>
      <c r="FM34" s="77"/>
    </row>
    <row r="35" spans="1:176" x14ac:dyDescent="0.25">
      <c r="A35" s="83"/>
      <c r="B35" s="139"/>
      <c r="C35" s="139"/>
      <c r="D35" s="160"/>
      <c r="AM35" s="133"/>
      <c r="AP35" s="136">
        <f>SUM(AP38:AP61)</f>
        <v>151</v>
      </c>
      <c r="AQ35" s="136"/>
      <c r="AR35" s="77"/>
      <c r="AS35" s="77"/>
      <c r="AT35" s="77"/>
      <c r="AU35" s="77"/>
      <c r="AV35" s="84"/>
      <c r="AW35" s="94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X35" s="136">
        <f>SUM(BX38:BX61)</f>
        <v>151</v>
      </c>
      <c r="BY35" s="136"/>
      <c r="BZ35" s="77"/>
      <c r="CA35" s="77"/>
      <c r="CB35" s="77"/>
      <c r="CC35" s="77"/>
      <c r="CD35" s="84"/>
      <c r="CE35" s="94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DF35" s="136">
        <f>SUM(DF38:DF61)</f>
        <v>151</v>
      </c>
      <c r="DG35" s="136"/>
      <c r="DH35" s="77"/>
      <c r="DI35" s="77"/>
      <c r="DJ35" s="77"/>
      <c r="DK35" s="77"/>
      <c r="DL35" s="84"/>
      <c r="DM35" s="94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N35" s="136">
        <f>SUM(EN38:EN61)</f>
        <v>31</v>
      </c>
      <c r="EO35" s="136"/>
      <c r="EP35" s="77"/>
      <c r="EQ35" s="77"/>
      <c r="ER35" s="77"/>
      <c r="ES35" s="77"/>
      <c r="ET35" s="84"/>
      <c r="EU35" s="94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</row>
    <row r="36" spans="1:176" ht="13.8" thickBot="1" x14ac:dyDescent="0.3">
      <c r="B36" s="186"/>
      <c r="C36" s="186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5"/>
      <c r="AN36" s="83"/>
      <c r="AO36" s="83"/>
      <c r="AQ36" s="77"/>
      <c r="AR36" s="77"/>
      <c r="AS36" s="96" t="s">
        <v>37</v>
      </c>
      <c r="AT36" s="96" t="s">
        <v>168</v>
      </c>
      <c r="AU36" s="77" t="s">
        <v>117</v>
      </c>
      <c r="AV36" s="77" t="s">
        <v>118</v>
      </c>
      <c r="AW36" s="83" t="s">
        <v>182</v>
      </c>
      <c r="AX36" s="96" t="s">
        <v>38</v>
      </c>
      <c r="AY36" s="96" t="s">
        <v>206</v>
      </c>
      <c r="AZ36" s="96" t="s">
        <v>207</v>
      </c>
      <c r="BA36" s="96" t="s">
        <v>208</v>
      </c>
      <c r="BB36" s="96" t="s">
        <v>209</v>
      </c>
      <c r="BC36" s="96" t="s">
        <v>210</v>
      </c>
      <c r="BD36" s="96" t="s">
        <v>211</v>
      </c>
      <c r="BE36" s="96" t="s">
        <v>212</v>
      </c>
      <c r="BF36" s="96" t="s">
        <v>33</v>
      </c>
      <c r="BG36" s="96" t="s">
        <v>214</v>
      </c>
      <c r="BH36" s="96" t="s">
        <v>215</v>
      </c>
      <c r="BI36" s="96" t="s">
        <v>216</v>
      </c>
      <c r="BJ36" s="96"/>
      <c r="BK36" s="96" t="s">
        <v>38</v>
      </c>
      <c r="BL36" s="96" t="s">
        <v>206</v>
      </c>
      <c r="BM36" s="96" t="s">
        <v>207</v>
      </c>
      <c r="BN36" s="96" t="s">
        <v>208</v>
      </c>
      <c r="BO36" s="96" t="s">
        <v>209</v>
      </c>
      <c r="BP36" s="96" t="s">
        <v>210</v>
      </c>
      <c r="BQ36" s="96" t="s">
        <v>211</v>
      </c>
      <c r="BR36" s="96" t="s">
        <v>212</v>
      </c>
      <c r="BS36" s="96" t="s">
        <v>33</v>
      </c>
      <c r="BT36" s="96" t="s">
        <v>214</v>
      </c>
      <c r="BU36" s="96" t="s">
        <v>215</v>
      </c>
      <c r="BV36" s="96" t="s">
        <v>216</v>
      </c>
      <c r="BY36" s="77"/>
      <c r="BZ36" s="77"/>
      <c r="CA36" s="96" t="s">
        <v>37</v>
      </c>
      <c r="CB36" s="96" t="s">
        <v>168</v>
      </c>
      <c r="CC36" s="77" t="s">
        <v>117</v>
      </c>
      <c r="CD36" s="77" t="s">
        <v>118</v>
      </c>
      <c r="CE36" s="83" t="s">
        <v>182</v>
      </c>
      <c r="CF36" s="96" t="s">
        <v>38</v>
      </c>
      <c r="CG36" s="96" t="s">
        <v>206</v>
      </c>
      <c r="CH36" s="96" t="s">
        <v>207</v>
      </c>
      <c r="CI36" s="96" t="s">
        <v>208</v>
      </c>
      <c r="CJ36" s="96" t="s">
        <v>209</v>
      </c>
      <c r="CK36" s="96" t="s">
        <v>210</v>
      </c>
      <c r="CL36" s="96" t="s">
        <v>211</v>
      </c>
      <c r="CM36" s="96" t="s">
        <v>212</v>
      </c>
      <c r="CN36" s="96" t="s">
        <v>33</v>
      </c>
      <c r="CO36" s="96" t="s">
        <v>214</v>
      </c>
      <c r="CP36" s="96" t="s">
        <v>215</v>
      </c>
      <c r="CQ36" s="96" t="s">
        <v>216</v>
      </c>
      <c r="CR36" s="96"/>
      <c r="CS36" s="96" t="s">
        <v>38</v>
      </c>
      <c r="CT36" s="96" t="s">
        <v>206</v>
      </c>
      <c r="CU36" s="96" t="s">
        <v>207</v>
      </c>
      <c r="CV36" s="96" t="s">
        <v>208</v>
      </c>
      <c r="CW36" s="96" t="s">
        <v>209</v>
      </c>
      <c r="CX36" s="96" t="s">
        <v>210</v>
      </c>
      <c r="CY36" s="96" t="s">
        <v>211</v>
      </c>
      <c r="CZ36" s="96" t="s">
        <v>212</v>
      </c>
      <c r="DA36" s="96" t="s">
        <v>33</v>
      </c>
      <c r="DB36" s="96" t="s">
        <v>214</v>
      </c>
      <c r="DC36" s="96" t="s">
        <v>215</v>
      </c>
      <c r="DD36" s="96" t="s">
        <v>216</v>
      </c>
      <c r="DG36" s="77"/>
      <c r="DH36" s="77"/>
      <c r="DI36" s="96" t="s">
        <v>37</v>
      </c>
      <c r="DJ36" s="96" t="s">
        <v>168</v>
      </c>
      <c r="DK36" s="77" t="s">
        <v>117</v>
      </c>
      <c r="DL36" s="77" t="s">
        <v>118</v>
      </c>
      <c r="DM36" s="83" t="s">
        <v>182</v>
      </c>
      <c r="DN36" s="96" t="s">
        <v>38</v>
      </c>
      <c r="DO36" s="96" t="s">
        <v>206</v>
      </c>
      <c r="DP36" s="96" t="s">
        <v>207</v>
      </c>
      <c r="DQ36" s="96" t="s">
        <v>208</v>
      </c>
      <c r="DR36" s="96" t="s">
        <v>209</v>
      </c>
      <c r="DS36" s="96" t="s">
        <v>210</v>
      </c>
      <c r="DT36" s="96" t="s">
        <v>211</v>
      </c>
      <c r="DU36" s="96" t="s">
        <v>212</v>
      </c>
      <c r="DV36" s="96" t="s">
        <v>33</v>
      </c>
      <c r="DW36" s="96" t="s">
        <v>214</v>
      </c>
      <c r="DX36" s="96" t="s">
        <v>215</v>
      </c>
      <c r="DY36" s="96" t="s">
        <v>216</v>
      </c>
      <c r="DZ36" s="96"/>
      <c r="EA36" s="96" t="s">
        <v>38</v>
      </c>
      <c r="EB36" s="96" t="s">
        <v>206</v>
      </c>
      <c r="EC36" s="96" t="s">
        <v>207</v>
      </c>
      <c r="ED36" s="96" t="s">
        <v>208</v>
      </c>
      <c r="EE36" s="96" t="s">
        <v>209</v>
      </c>
      <c r="EF36" s="96" t="s">
        <v>210</v>
      </c>
      <c r="EG36" s="96" t="s">
        <v>211</v>
      </c>
      <c r="EH36" s="96" t="s">
        <v>212</v>
      </c>
      <c r="EI36" s="96" t="s">
        <v>33</v>
      </c>
      <c r="EJ36" s="96" t="s">
        <v>214</v>
      </c>
      <c r="EK36" s="96" t="s">
        <v>215</v>
      </c>
      <c r="EL36" s="96" t="s">
        <v>216</v>
      </c>
      <c r="EO36" s="77"/>
      <c r="EP36" s="77"/>
      <c r="EQ36" s="96" t="s">
        <v>37</v>
      </c>
      <c r="ER36" s="96" t="s">
        <v>168</v>
      </c>
      <c r="ES36" s="77" t="s">
        <v>117</v>
      </c>
      <c r="ET36" s="77" t="s">
        <v>118</v>
      </c>
      <c r="EU36" s="83" t="s">
        <v>182</v>
      </c>
      <c r="EV36" s="96" t="s">
        <v>38</v>
      </c>
      <c r="EW36" s="96" t="s">
        <v>206</v>
      </c>
      <c r="EX36" s="96" t="s">
        <v>207</v>
      </c>
      <c r="EY36" s="96" t="s">
        <v>208</v>
      </c>
      <c r="EZ36" s="96" t="s">
        <v>209</v>
      </c>
      <c r="FA36" s="96" t="s">
        <v>210</v>
      </c>
      <c r="FB36" s="96" t="s">
        <v>211</v>
      </c>
      <c r="FC36" s="96" t="s">
        <v>212</v>
      </c>
      <c r="FD36" s="96" t="s">
        <v>33</v>
      </c>
      <c r="FE36" s="96" t="s">
        <v>214</v>
      </c>
      <c r="FF36" s="96" t="s">
        <v>215</v>
      </c>
      <c r="FG36" s="96" t="s">
        <v>216</v>
      </c>
      <c r="FH36" s="96"/>
      <c r="FI36" s="96" t="s">
        <v>38</v>
      </c>
      <c r="FJ36" s="96" t="s">
        <v>206</v>
      </c>
      <c r="FK36" s="96" t="s">
        <v>207</v>
      </c>
      <c r="FL36" s="96" t="s">
        <v>208</v>
      </c>
      <c r="FM36" s="96" t="s">
        <v>209</v>
      </c>
      <c r="FN36" s="96" t="s">
        <v>210</v>
      </c>
      <c r="FO36" s="96" t="s">
        <v>211</v>
      </c>
      <c r="FP36" s="96" t="s">
        <v>212</v>
      </c>
      <c r="FQ36" s="96" t="s">
        <v>33</v>
      </c>
      <c r="FR36" s="96" t="s">
        <v>214</v>
      </c>
      <c r="FS36" s="96" t="s">
        <v>215</v>
      </c>
      <c r="FT36" s="96" t="s">
        <v>216</v>
      </c>
    </row>
    <row r="37" spans="1:176" ht="14.4" thickTop="1" thickBot="1" x14ac:dyDescent="0.3">
      <c r="A37" s="100" t="s">
        <v>24</v>
      </c>
      <c r="B37" s="100" t="s">
        <v>61</v>
      </c>
      <c r="C37" s="100" t="s">
        <v>28</v>
      </c>
      <c r="D37" s="100" t="s">
        <v>36</v>
      </c>
      <c r="E37" s="100" t="s">
        <v>57</v>
      </c>
      <c r="F37" s="100" t="s">
        <v>25</v>
      </c>
      <c r="G37" s="100"/>
      <c r="H37" s="100"/>
      <c r="I37" s="100"/>
      <c r="J37" s="193"/>
      <c r="K37" s="100" t="s">
        <v>36</v>
      </c>
      <c r="L37" s="100" t="s">
        <v>36</v>
      </c>
      <c r="M37" s="100" t="s">
        <v>57</v>
      </c>
      <c r="N37" s="100" t="s">
        <v>57</v>
      </c>
      <c r="O37" s="100" t="s">
        <v>116</v>
      </c>
      <c r="P37" s="100" t="s">
        <v>119</v>
      </c>
      <c r="Q37"/>
      <c r="R37" s="100" t="s">
        <v>36</v>
      </c>
      <c r="S37" s="100" t="s">
        <v>36</v>
      </c>
      <c r="T37" s="100" t="s">
        <v>57</v>
      </c>
      <c r="U37" s="100" t="s">
        <v>57</v>
      </c>
      <c r="V37" s="100" t="s">
        <v>116</v>
      </c>
      <c r="W37" s="100" t="s">
        <v>119</v>
      </c>
      <c r="X37" s="193"/>
      <c r="Y37" s="100" t="s">
        <v>36</v>
      </c>
      <c r="Z37" s="100" t="s">
        <v>36</v>
      </c>
      <c r="AA37" s="100" t="s">
        <v>57</v>
      </c>
      <c r="AB37" s="100" t="s">
        <v>57</v>
      </c>
      <c r="AC37" s="100" t="s">
        <v>116</v>
      </c>
      <c r="AD37" s="100" t="s">
        <v>119</v>
      </c>
      <c r="AE37" s="193"/>
      <c r="AF37" s="100" t="s">
        <v>36</v>
      </c>
      <c r="AG37" s="100" t="s">
        <v>36</v>
      </c>
      <c r="AH37" s="100" t="s">
        <v>57</v>
      </c>
      <c r="AI37" s="100" t="s">
        <v>57</v>
      </c>
      <c r="AJ37" s="100" t="s">
        <v>116</v>
      </c>
      <c r="AK37" s="100" t="s">
        <v>119</v>
      </c>
      <c r="AM37" s="100" t="s">
        <v>27</v>
      </c>
      <c r="AN37" s="83"/>
      <c r="AP37" s="77" t="s">
        <v>46</v>
      </c>
      <c r="AQ37" s="77" t="s">
        <v>179</v>
      </c>
      <c r="AR37" s="77" t="s">
        <v>180</v>
      </c>
      <c r="AS37" s="77"/>
      <c r="AT37" s="84"/>
      <c r="AU37" s="77"/>
      <c r="AV37" s="77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77"/>
      <c r="BL37" s="77"/>
      <c r="BM37" s="77"/>
      <c r="BN37" s="77"/>
      <c r="BO37" s="77"/>
      <c r="BX37" s="77" t="s">
        <v>46</v>
      </c>
      <c r="BY37" s="77" t="s">
        <v>179</v>
      </c>
      <c r="BZ37" s="77" t="s">
        <v>180</v>
      </c>
      <c r="CA37" s="77"/>
      <c r="CB37" s="84"/>
      <c r="CC37" s="77"/>
      <c r="CD37" s="77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77"/>
      <c r="CT37" s="77"/>
      <c r="CU37" s="77"/>
      <c r="CV37" s="77"/>
      <c r="CW37" s="77"/>
      <c r="DF37" s="77" t="s">
        <v>46</v>
      </c>
      <c r="DG37" s="77" t="s">
        <v>179</v>
      </c>
      <c r="DH37" s="77" t="s">
        <v>180</v>
      </c>
      <c r="DI37" s="77"/>
      <c r="DJ37" s="84"/>
      <c r="DK37" s="77"/>
      <c r="DL37" s="77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77"/>
      <c r="EB37" s="77"/>
      <c r="EC37" s="77"/>
      <c r="ED37" s="77"/>
      <c r="EE37" s="77"/>
      <c r="EN37" s="77" t="s">
        <v>46</v>
      </c>
      <c r="EO37" s="77" t="s">
        <v>179</v>
      </c>
      <c r="EP37" s="77" t="s">
        <v>180</v>
      </c>
      <c r="EQ37" s="77"/>
      <c r="ER37" s="84"/>
      <c r="ES37" s="77"/>
      <c r="ET37" s="77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77"/>
      <c r="FJ37" s="77"/>
      <c r="FK37" s="77"/>
      <c r="FL37" s="77"/>
      <c r="FM37" s="77"/>
    </row>
    <row r="38" spans="1:176" ht="13.8" thickTop="1" x14ac:dyDescent="0.25">
      <c r="A38" s="101">
        <v>36800</v>
      </c>
      <c r="B38" s="102">
        <f>VLOOKUP(A38,STRADDLE,5,FALSE)</f>
        <v>4.782</v>
      </c>
      <c r="C38" s="80">
        <f>VLOOKUP(A38,STRADDLE,8,FALSE)</f>
        <v>0.54</v>
      </c>
      <c r="D38" s="102"/>
      <c r="E38" s="106"/>
      <c r="F38" s="105">
        <f ca="1">VLOOKUP(A38,expiration,2,FALSE)-$B$2</f>
        <v>27</v>
      </c>
      <c r="G38" s="80"/>
      <c r="H38" s="80"/>
      <c r="I38" s="104"/>
      <c r="J38" s="234"/>
      <c r="K38" s="102">
        <f>IF($B$3="NYMEX",0,VLOOKUP($A38,curvesettle,HLOOKUP($B$3,curvesettle,2,FALSE),FALSE))</f>
        <v>0.1925</v>
      </c>
      <c r="L38" s="102">
        <f>IF($B$4="NYMEX",0,VLOOKUP($A38,curvesettle,HLOOKUP($B$4,curvesettle,2,FALSE),FALSE))</f>
        <v>0</v>
      </c>
      <c r="M38" s="106">
        <f>IF(ISNUMBER(VLOOKUP($A38,VOLCURVES,HLOOKUP($B$3,VOLCURVES,2,FALSE),FALSE)),VLOOKUP($A38,VOLCURVES,HLOOKUP($B$3,VOLCURVES,2,FALSE),FALSE),1)</f>
        <v>0.98</v>
      </c>
      <c r="N38" s="106">
        <f>IF(ISNUMBER(VLOOKUP($A38,VOLCURVES,HLOOKUP($B$4,VOLCURVES,2,FALSE),FALSE)),VLOOKUP($A38,VOLCURVES,HLOOKUP($B$4,VOLCURVES,2,FALSE),FALSE),1)</f>
        <v>1</v>
      </c>
      <c r="O38" s="106">
        <f>IF(ISNUMBER(VLOOKUP($A38,CORETABLE,HLOOKUP($B$3,CORETABLE,2,FALSE),FALSE)),VLOOKUP($A38,CORETABLE,HLOOKUP($B$3,CORETABLE,2,FALSE),FALSE),0.99)</f>
        <v>0.995</v>
      </c>
      <c r="P38" s="236">
        <f>B$18</f>
        <v>0.4</v>
      </c>
      <c r="Q38" s="236"/>
      <c r="R38" s="102">
        <f t="shared" ref="R38:R61" si="4">IF($D$3="NYMEX",0,VLOOKUP($A38,curvesettle,HLOOKUP($D$3,curvesettle,2,FALSE),FALSE))</f>
        <v>0.44</v>
      </c>
      <c r="S38" s="102">
        <f t="shared" ref="S38:S61" si="5">IF($D$4="NYMEX",0,VLOOKUP($A38,curvesettle,HLOOKUP($D$4,curvesettle,2,FALSE),FALSE))</f>
        <v>0</v>
      </c>
      <c r="T38" s="106">
        <f t="shared" ref="T38:T61" si="6">IF(ISNUMBER(VLOOKUP($A38,VOLCURVES,HLOOKUP($D$3,VOLCURVES,2,FALSE),FALSE)),VLOOKUP($A38,VOLCURVES,HLOOKUP($D$3,VOLCURVES,2,FALSE),FALSE),1)</f>
        <v>0.98</v>
      </c>
      <c r="U38" s="106">
        <f>IF(ISNUMBER(VLOOKUP($A38,VOLCURVES,HLOOKUP($D$4,VOLCURVES,2,FALSE),FALSE)),VLOOKUP($A38,VOLCURVES,HLOOKUP($D$4,VOLCURVES,2,FALSE),FALSE),1)</f>
        <v>1</v>
      </c>
      <c r="V38" s="106">
        <f>IF(ISNUMBER(VLOOKUP($A38,CORETABLE,HLOOKUP($D$3,CORETABLE,2,FALSE),FALSE)),VLOOKUP($A38,CORETABLE,HLOOKUP($D$3,CORETABLE,2,FALSE),FALSE),0.99)</f>
        <v>0.99250000000000005</v>
      </c>
      <c r="W38" s="236">
        <f>D$18</f>
        <v>1.6</v>
      </c>
      <c r="X38" s="106"/>
      <c r="Y38" s="102">
        <f t="shared" ref="Y38:Y61" si="7">IF($F$3="NYMEX",0,VLOOKUP($A38,curvesettle,HLOOKUP($F$3,curvesettle,2,FALSE),FALSE))</f>
        <v>0.44</v>
      </c>
      <c r="Z38" s="102">
        <f t="shared" ref="Z38:Z61" si="8">IF($F$4="NYMEX",0,VLOOKUP($A38,curvesettle,HLOOKUP($F$4,curvesettle,2,FALSE),FALSE))</f>
        <v>0</v>
      </c>
      <c r="AA38" s="106">
        <f t="shared" ref="AA38:AA61" si="9">IF(ISNUMBER(VLOOKUP($A38,VOLCURVES,HLOOKUP($F$3,VOLCURVES,2,FALSE),FALSE)),VLOOKUP($A38,VOLCURVES,HLOOKUP($F$3,VOLCURVES,2,FALSE),FALSE),1)</f>
        <v>0.98</v>
      </c>
      <c r="AB38" s="106">
        <f>IF(ISNUMBER(VLOOKUP($A38,VOLCURVES,HLOOKUP($F$4,VOLCURVES,2,FALSE),FALSE)),VLOOKUP($A38,VOLCURVES,HLOOKUP($F$4,VOLCURVES,2,FALSE),FALSE),1)</f>
        <v>1</v>
      </c>
      <c r="AC38" s="106">
        <f t="shared" ref="AC38:AC61" si="10">IF(ISNUMBER(VLOOKUP($A38,CORETABLE,HLOOKUP($F$3,CORETABLE,2,FALSE),FALSE)),VLOOKUP($A38,CORETABLE,HLOOKUP($F$3,CORETABLE,2,FALSE),FALSE),1)</f>
        <v>0.99250000000000005</v>
      </c>
      <c r="AD38" s="236">
        <f>F$18</f>
        <v>1.6</v>
      </c>
      <c r="AE38" s="106"/>
      <c r="AF38" s="102">
        <f t="shared" ref="AF38:AF61" si="11">IF($H$3="NYMEX",0,VLOOKUP($A38,curvesettle,HLOOKUP($H$3,curvesettle,2,FALSE),FALSE))</f>
        <v>0.44</v>
      </c>
      <c r="AG38" s="102">
        <f t="shared" ref="AG38:AG61" si="12">IF($H$4="NYMEX",0,VLOOKUP($A38,curvesettle,HLOOKUP($H$4,curvesettle,2,FALSE),FALSE))</f>
        <v>0</v>
      </c>
      <c r="AH38" s="106">
        <f t="shared" ref="AH38:AH61" si="13">IF(ISNUMBER(VLOOKUP($A38,VOLCURVES,HLOOKUP($H$3,VOLCURVES,2,FALSE),FALSE)),VLOOKUP($A38,VOLCURVES,HLOOKUP($H$3,VOLCURVES,2,FALSE),FALSE),1)</f>
        <v>0.98</v>
      </c>
      <c r="AI38" s="106">
        <f>IF(ISNUMBER(VLOOKUP($A38,VOLCURVES,HLOOKUP($H$4,VOLCURVES,2,FALSE),FALSE)),VLOOKUP($A38,VOLCURVES,HLOOKUP($H$4,VOLCURVES,2,FALSE),FALSE),1)</f>
        <v>1</v>
      </c>
      <c r="AJ38" s="106">
        <f t="shared" ref="AJ38:AJ61" si="14">IF(ISNUMBER(VLOOKUP($A38,CORETABLE,HLOOKUP($H$3,CORETABLE,2,FALSE),FALSE)),VLOOKUP($A38,CORETABLE,HLOOKUP($H$3,CORETABLE,2,FALSE),FALSE),1)</f>
        <v>0.99250000000000005</v>
      </c>
      <c r="AK38" s="236">
        <f>H$18</f>
        <v>1</v>
      </c>
      <c r="AM38" s="80">
        <f>VLOOKUP($A38,STRADDLE,12,FALSE)</f>
        <v>6.7998663678555019E-2</v>
      </c>
      <c r="AN38" s="182">
        <f t="shared" ref="AN38:AN61" si="15">A39-A38</f>
        <v>31</v>
      </c>
      <c r="AP38" s="82">
        <f>IF($A38&gt;=AR$32,IF($A38&lt;=AR$33,$AN38,0),0)</f>
        <v>0</v>
      </c>
      <c r="AQ38" s="132">
        <f>$B38+$K38+$B$12</f>
        <v>4.9744999999999999</v>
      </c>
      <c r="AR38" s="132">
        <f>$B38+$L38+$B$13</f>
        <v>4.782</v>
      </c>
      <c r="AS38" s="132">
        <f>AQ38*AP38</f>
        <v>0</v>
      </c>
      <c r="AT38" s="132">
        <f>AR38*AP38</f>
        <v>0</v>
      </c>
      <c r="AU38" s="235">
        <f>($C38*$M38)+$B$14</f>
        <v>0.5292</v>
      </c>
      <c r="AV38" s="235">
        <f>($C38*$N38)+$B$15</f>
        <v>0.54</v>
      </c>
      <c r="AW38" s="106">
        <f>O38+B$16</f>
        <v>0.995</v>
      </c>
      <c r="AX38" s="237">
        <f>IF(AP38=0,0,_xll.SPRDOPT(AQ38,AR38,$P38,$AM38,AU38,AV38,AW38,$F38,$B$19,0))</f>
        <v>0</v>
      </c>
      <c r="AY38" s="237">
        <f ca="1">IF(AQ38=0,0,_xll.SPRDOPT(AQ38,AR38,$P38,$AM38,AU38,AV38,AW38,$F38,$B$19,1))</f>
        <v>5.4187398374991444E-3</v>
      </c>
      <c r="AZ38" s="237">
        <f ca="1">IF(AR38=0,0,_xll.SPRDOPT(AQ38,AR38,$P38,$AM38,AU38,AV38,AW38,$F38,$B$19,2))</f>
        <v>-5.2389616144437445E-3</v>
      </c>
      <c r="BA38" s="237">
        <f>IF(AS38=0,0,_xll.SPRDOPT(AQ38,AR38,$P38,$AM38,AU38,AV38,AW38,$F38,$B$19,3)/100)</f>
        <v>0</v>
      </c>
      <c r="BB38" s="237">
        <f>IF(AT38=0,0,_xll.SPRDOPT(AQ38,AR38,$P38,$AM38,AU38,AV38,AW38,$F38,$B$19,4)/100)</f>
        <v>0</v>
      </c>
      <c r="BC38" s="237">
        <f ca="1">IF(AU38=0,0,_xll.SPRDOPT(AQ38,AR38,$P38,$AM38,AU38,AV38,AW38,$F38,$B$19,5)/100)</f>
        <v>1.0152892434618338E-4</v>
      </c>
      <c r="BD38" s="237">
        <f ca="1">IF(AV38=0,0,_xll.SPRDOPT(AQ38,AR38,$P38,$AM38,AU38,AV38,AW38,$F38,$B$19,6)/100)</f>
        <v>-7.7043287687821822E-5</v>
      </c>
      <c r="BE38" s="237">
        <f ca="1">IF(AW38=0,0,_xll.SPRDOPT(AQ38,AR38,$P38,$AM38,AU38,AV38,AW38,$F38,$B$19,7)/100)</f>
        <v>-9.724548397415122E-4</v>
      </c>
      <c r="BF38" s="237">
        <f>IF(AX38=0,0,_xll.SPRDOPT(AQ38,AR38,$P38,$AM38,AU38,AV38,AW38,$F38,$B$19,9)/365)</f>
        <v>0</v>
      </c>
      <c r="BG38" s="237">
        <f ca="1">AY38+AZ38</f>
        <v>1.797782230553999E-4</v>
      </c>
      <c r="BH38" s="237">
        <f>BB38-BA38</f>
        <v>0</v>
      </c>
      <c r="BI38" s="237">
        <f ca="1">((AU38/AV38)*BC38)+BD38</f>
        <v>2.2455058171437896E-5</v>
      </c>
      <c r="BJ38" s="206"/>
      <c r="BK38" s="109">
        <f>$AP38*AX38</f>
        <v>0</v>
      </c>
      <c r="BL38" s="109">
        <f t="shared" ref="BL38:BV38" ca="1" si="16">$AP38*AY38</f>
        <v>0</v>
      </c>
      <c r="BM38" s="109">
        <f t="shared" ca="1" si="16"/>
        <v>0</v>
      </c>
      <c r="BN38" s="109">
        <f t="shared" si="16"/>
        <v>0</v>
      </c>
      <c r="BO38" s="109">
        <f t="shared" si="16"/>
        <v>0</v>
      </c>
      <c r="BP38" s="109">
        <f t="shared" ca="1" si="16"/>
        <v>0</v>
      </c>
      <c r="BQ38" s="109">
        <f t="shared" ca="1" si="16"/>
        <v>0</v>
      </c>
      <c r="BR38" s="109">
        <f t="shared" ca="1" si="16"/>
        <v>0</v>
      </c>
      <c r="BS38" s="109">
        <f t="shared" si="16"/>
        <v>0</v>
      </c>
      <c r="BT38" s="109">
        <f t="shared" ca="1" si="16"/>
        <v>0</v>
      </c>
      <c r="BU38" s="109">
        <f t="shared" si="16"/>
        <v>0</v>
      </c>
      <c r="BV38" s="109">
        <f t="shared" ca="1" si="16"/>
        <v>0</v>
      </c>
      <c r="BX38" s="82">
        <f>IF($A38&gt;=BZ$32,IF($A38&lt;=BZ$33,$AN38,0),0)</f>
        <v>0</v>
      </c>
      <c r="BY38" s="132">
        <f>$B38+$R38+$D$12</f>
        <v>5.2320000000000002</v>
      </c>
      <c r="BZ38" s="132">
        <f>$B38+$S38+$D$13</f>
        <v>4.782</v>
      </c>
      <c r="CA38" s="132">
        <f>BY38*BX38</f>
        <v>0</v>
      </c>
      <c r="CB38" s="132">
        <f>BZ38*BX38</f>
        <v>0</v>
      </c>
      <c r="CC38" s="235">
        <f>($C38*$T38)+$D$14</f>
        <v>0.5292</v>
      </c>
      <c r="CD38" s="235">
        <f>($C38*$U38)+$D$15</f>
        <v>0.54</v>
      </c>
      <c r="CE38" s="106">
        <f>$V38+D$16</f>
        <v>0.99250000000000005</v>
      </c>
      <c r="CF38" s="237">
        <f>IF(BX38=0,0,_xll.SPRDOPT(BY38,BZ38,$W38,$AM38,CC38,CD38,CE38,$F38,$D$19,0))</f>
        <v>0</v>
      </c>
      <c r="CG38" s="237">
        <f ca="1">IF(BY38=0,0,_xll.SPRDOPT(BY38,BZ38,$W38,$AM38,CC38,CD38,CE38,$F38,$D$19,1))</f>
        <v>1.3526316675796255E-11</v>
      </c>
      <c r="CH38" s="237">
        <f ca="1">IF(BZ38=0,0,_xll.SPRDOPT(BY38,BZ38,$W38,$AM38,CC38,CD38,CE38,$F38,$D$19,2))</f>
        <v>-1.2667473806397837E-11</v>
      </c>
      <c r="CI38" s="237">
        <f>IF(CA38=0,0,_xll.SPRDOPT(BY38,BZ38,$W38,$AM38,CC38,CD38,CE38,$F38,$D$19,3)/100)</f>
        <v>0</v>
      </c>
      <c r="CJ38" s="237">
        <f>IF(CB38=0,0,_xll.SPRDOPT(BY38,BZ38,$W38,$AM38,CC38,CD38,CE38,$F38,$D$19,4)/100)</f>
        <v>0</v>
      </c>
      <c r="CK38" s="237">
        <f ca="1">IF(CC38=0,0,_xll.SPRDOPT(BY38,BZ38,$W38,$AM38,CC38,CD38,CE38,$F38,$D$19,5)/100)</f>
        <v>1.0117288717052006E-12</v>
      </c>
      <c r="CL38" s="237">
        <f ca="1">IF(CD38=0,0,_xll.SPRDOPT(BY38,BZ38,$W38,$AM38,CC38,CD38,CE38,$F38,$D$19,6)/100)</f>
        <v>-7.7341240476499543E-13</v>
      </c>
      <c r="CM38" s="237">
        <f ca="1">IF(CE38=0,0,_xll.SPRDOPT(BY38,BZ38,$W38,$AM38,CC38,CD38,CE38,$F38,$D$19,7)/100)</f>
        <v>-3.5378302125510923E-12</v>
      </c>
      <c r="CN38" s="237">
        <f>IF(CF38=0,0,_xll.SPRDOPT(BY38,BZ38,$W38,$AM38,CC38,CD38,CE38,$F38,$D$19,9)/365)</f>
        <v>0</v>
      </c>
      <c r="CO38" s="237">
        <f ca="1">CG38+CH38</f>
        <v>8.5884286939841776E-13</v>
      </c>
      <c r="CP38" s="237">
        <f>CJ38-CI38</f>
        <v>0</v>
      </c>
      <c r="CQ38" s="237">
        <f ca="1">((CC38/CD38)*CK38)+CL38</f>
        <v>2.180818895061012E-13</v>
      </c>
      <c r="CR38" s="206"/>
      <c r="CS38" s="109">
        <f>BX38*CF38</f>
        <v>0</v>
      </c>
      <c r="CT38" s="109">
        <f ca="1">BX38*CG38</f>
        <v>0</v>
      </c>
      <c r="CU38" s="109">
        <f ca="1">BX38*CH38</f>
        <v>0</v>
      </c>
      <c r="CV38" s="109">
        <f>BX38*CI38</f>
        <v>0</v>
      </c>
      <c r="CW38" s="109">
        <f>BX38*CJ38</f>
        <v>0</v>
      </c>
      <c r="CX38" s="109">
        <f ca="1">BX38*CK38</f>
        <v>0</v>
      </c>
      <c r="CY38" s="109">
        <f ca="1">BX38*CL38</f>
        <v>0</v>
      </c>
      <c r="CZ38" s="109">
        <f ca="1">BX38*CM38</f>
        <v>0</v>
      </c>
      <c r="DA38" s="109">
        <f>BX38*CN38</f>
        <v>0</v>
      </c>
      <c r="DB38" s="109">
        <f ca="1">BX38*CO38</f>
        <v>0</v>
      </c>
      <c r="DC38" s="109">
        <f>BX38*CP38</f>
        <v>0</v>
      </c>
      <c r="DD38" s="109">
        <f ca="1">BX38*CQ38</f>
        <v>0</v>
      </c>
      <c r="DF38" s="82">
        <f>IF($A38&gt;=DH$32,IF($A38&lt;=DH$33,$AN38,0),0)</f>
        <v>0</v>
      </c>
      <c r="DG38" s="132">
        <f>$B38+$Y38+$F$12</f>
        <v>5.2320000000000002</v>
      </c>
      <c r="DH38" s="132">
        <f>$B38+$Z38+$F$13</f>
        <v>4.782</v>
      </c>
      <c r="DI38" s="132">
        <f>DG38*DF38</f>
        <v>0</v>
      </c>
      <c r="DJ38" s="132">
        <f>DH38*DF38</f>
        <v>0</v>
      </c>
      <c r="DK38" s="235">
        <f>($C38*$AA38)+$F$14</f>
        <v>0.5292</v>
      </c>
      <c r="DL38" s="235">
        <f>($C38*$AB38)+$F$15</f>
        <v>0.54</v>
      </c>
      <c r="DM38" s="106">
        <f>$AC38+$F$16</f>
        <v>0.99250000000000005</v>
      </c>
      <c r="DN38" s="237">
        <f>IF(DF38=0,0,_xll.SPRDOPT(DG38,DH38,$AD38,$AM38,DK38,DL38,DM38,$F38,$F$19,0))</f>
        <v>0</v>
      </c>
      <c r="DO38" s="237">
        <f ca="1">IF(DG38=0,0,_xll.SPRDOPT(DG38,DH38,$AD38,$AM38,DK38,DL38,DM38,$F38,$F$19,1))</f>
        <v>1.3526316675796255E-11</v>
      </c>
      <c r="DP38" s="237">
        <f ca="1">IF(DH38=0,0,_xll.SPRDOPT(DG38,DH38,$AD38,$AM38,DK38,DL38,DM38,$F38,$F$19,2))</f>
        <v>-1.2667473806397837E-11</v>
      </c>
      <c r="DQ38" s="237">
        <f>IF(DI38=0,0,_xll.SPRDOPT(DG38,DH38,$AD38,$AM38,DK38,DL38,DM38,$F38,$F$19,3)/100)</f>
        <v>0</v>
      </c>
      <c r="DR38" s="237">
        <f>IF(DJ38=0,0,_xll.SPRDOPT(DG38,DH38,$AD38,$AM38,DK38,DL38,DM38,$F38,$F$19,4)/100)</f>
        <v>0</v>
      </c>
      <c r="DS38" s="237">
        <f ca="1">IF(DK38=0,0,_xll.SPRDOPT(DG38,DH38,$AD38,$AM38,DK38,DL38,DM38,$F38,$F$19,5)/100)</f>
        <v>1.0117288717052006E-12</v>
      </c>
      <c r="DT38" s="237">
        <f ca="1">IF(DL38=0,0,_xll.SPRDOPT(DG38,DH38,$AD38,$AM38,DK38,DL38,DM38,$F38,$F$19,6)/100)</f>
        <v>-7.7341240476499543E-13</v>
      </c>
      <c r="DU38" s="237">
        <f ca="1">IF(DM38=0,0,_xll.SPRDOPT(DG38,DH38,$AD38,$AM38,DK38,DL38,DM38,$F38,$F$19,7)/100)</f>
        <v>-3.5378302125510923E-12</v>
      </c>
      <c r="DV38" s="237">
        <f>IF(DN38=0,0,_xll.SPRDOPT(DG38,DH38,$AD38,$AM38,DK38,DL38,DM38,$F38,$F$19,9)/365)</f>
        <v>0</v>
      </c>
      <c r="DW38" s="237">
        <f ca="1">DO38+DP38</f>
        <v>8.5884286939841776E-13</v>
      </c>
      <c r="DX38" s="237">
        <f>DR38-DQ38</f>
        <v>0</v>
      </c>
      <c r="DY38" s="237">
        <f ca="1">((DK38/DL38)*DS38)+DT38</f>
        <v>2.180818895061012E-13</v>
      </c>
      <c r="DZ38" s="206"/>
      <c r="EA38" s="109">
        <f>DF38*DN38</f>
        <v>0</v>
      </c>
      <c r="EB38" s="109">
        <f ca="1">DF38*DO38</f>
        <v>0</v>
      </c>
      <c r="EC38" s="109">
        <f ca="1">DF38*DP38</f>
        <v>0</v>
      </c>
      <c r="ED38" s="109">
        <f>DF38*DQ38</f>
        <v>0</v>
      </c>
      <c r="EE38" s="109">
        <f>DF38*DR38</f>
        <v>0</v>
      </c>
      <c r="EF38" s="109">
        <f ca="1">DF38*DS38</f>
        <v>0</v>
      </c>
      <c r="EG38" s="109">
        <f ca="1">DF38*DT38</f>
        <v>0</v>
      </c>
      <c r="EH38" s="109">
        <f ca="1">DF38*DU38</f>
        <v>0</v>
      </c>
      <c r="EI38" s="109">
        <f>DF38*DV38</f>
        <v>0</v>
      </c>
      <c r="EJ38" s="109">
        <f ca="1">DF38*DW38</f>
        <v>0</v>
      </c>
      <c r="EK38" s="109">
        <f>DF38*DX38</f>
        <v>0</v>
      </c>
      <c r="EL38" s="109">
        <f ca="1">DF38*DY38</f>
        <v>0</v>
      </c>
      <c r="EN38" s="82">
        <f>IF($A38&gt;=EP$32,IF($A38&lt;=EP$33,$AN38,0),0)</f>
        <v>0</v>
      </c>
      <c r="EO38" s="132">
        <f>$B38+$AF38+$H$12</f>
        <v>5.2870000000000008</v>
      </c>
      <c r="EP38" s="132">
        <f>$B38+$AG38+$H$13</f>
        <v>4.782</v>
      </c>
      <c r="EQ38" s="132">
        <f>EO38*EN38</f>
        <v>0</v>
      </c>
      <c r="ER38" s="132">
        <f>EP38*EN38</f>
        <v>0</v>
      </c>
      <c r="ES38" s="235">
        <f>($C38*$AH38)+$H$14</f>
        <v>0.5292</v>
      </c>
      <c r="ET38" s="235">
        <f>($C38*$AI38)+$H$15</f>
        <v>0.54</v>
      </c>
      <c r="EU38" s="106">
        <f>$AJ38+$H$16</f>
        <v>0.99250000000000005</v>
      </c>
      <c r="EV38" s="237">
        <f>IF(EN38=0,0,_xll.SPRDOPT(EO38,EP38,$AK38,$AM38,ES38,ET38,EU38,$F38,$H$19,0))</f>
        <v>0</v>
      </c>
      <c r="EW38" s="237">
        <f ca="1">IF(EO38=0,0,_xll.SPRDOPT(EO38,EP38,$AK38,$AM38,ES38,ET38,EU38,$F38,$H$19,1))</f>
        <v>-0.99477773576987782</v>
      </c>
      <c r="EX38" s="237">
        <f ca="1">IF(EP38=0,0,_xll.SPRDOPT(EO38,EP38,$AK38,$AM38,ES38,ET38,EU38,$F38,$H$19,2))</f>
        <v>0.99478608144128722</v>
      </c>
      <c r="EY38" s="237">
        <f>IF(EQ38=0,0,_xll.SPRDOPT(EO38,EP38,$AK38,$AM38,ES38,ET38,EU38,$F38,$H$19,3)/100)</f>
        <v>0</v>
      </c>
      <c r="EZ38" s="237">
        <f>IF(ER38=0,0,_xll.SPRDOPT(EO38,EP38,$AK38,$AM38,ES38,ET38,EU38,$F38,$H$19,4)/100)</f>
        <v>0</v>
      </c>
      <c r="FA38" s="237">
        <f ca="1">IF(ES38=0,0,_xll.SPRDOPT(EO38,EP38,$AK38,$AM38,ES38,ET38,EU38,$F38,$H$19,5)/100)</f>
        <v>8.3067399742515137E-6</v>
      </c>
      <c r="FB38" s="237">
        <f ca="1">IF(ET38=0,0,_xll.SPRDOPT(EO38,EP38,$AK38,$AM38,ES38,ET38,EU38,$F38,$H$19,6)/100)</f>
        <v>-6.356565750459506E-6</v>
      </c>
      <c r="FC38" s="237">
        <f ca="1">IF(EU38=0,0,_xll.SPRDOPT(EO38,EP38,$AK38,$AM38,ES38,ET38,EU38,$F38,$H$19,7)/100)</f>
        <v>-3.3165929510033726E-5</v>
      </c>
      <c r="FD38" s="237">
        <f>IF(EV38=0,0,_xll.SPRDOPT(EO38,EP38,$AK38,$AM38,ES38,ET38,EU38,$F38,$H$19,9)/365)</f>
        <v>0</v>
      </c>
      <c r="FE38" s="237">
        <f ca="1">EW38+EX38</f>
        <v>8.3456714093932405E-6</v>
      </c>
      <c r="FF38" s="237">
        <f>EZ38-EY38</f>
        <v>0</v>
      </c>
      <c r="FG38" s="237">
        <f ca="1">((ES38/ET38)*FA38)+FB38</f>
        <v>1.7840394243069775E-6</v>
      </c>
      <c r="FH38" s="206"/>
      <c r="FI38" s="109">
        <f t="shared" ref="FI38:FT38" si="17">$EN38*EV38</f>
        <v>0</v>
      </c>
      <c r="FJ38" s="109">
        <f t="shared" ca="1" si="17"/>
        <v>0</v>
      </c>
      <c r="FK38" s="109">
        <f t="shared" ca="1" si="17"/>
        <v>0</v>
      </c>
      <c r="FL38" s="109">
        <f t="shared" si="17"/>
        <v>0</v>
      </c>
      <c r="FM38" s="109">
        <f t="shared" si="17"/>
        <v>0</v>
      </c>
      <c r="FN38" s="109">
        <f t="shared" ca="1" si="17"/>
        <v>0</v>
      </c>
      <c r="FO38" s="109">
        <f t="shared" ca="1" si="17"/>
        <v>0</v>
      </c>
      <c r="FP38" s="109">
        <f t="shared" ca="1" si="17"/>
        <v>0</v>
      </c>
      <c r="FQ38" s="109">
        <f t="shared" si="17"/>
        <v>0</v>
      </c>
      <c r="FR38" s="109">
        <f t="shared" ca="1" si="17"/>
        <v>0</v>
      </c>
      <c r="FS38" s="109">
        <f t="shared" si="17"/>
        <v>0</v>
      </c>
      <c r="FT38" s="109">
        <f t="shared" ca="1" si="17"/>
        <v>0</v>
      </c>
    </row>
    <row r="39" spans="1:176" x14ac:dyDescent="0.25">
      <c r="A39" s="101">
        <f t="shared" ref="A39:A62" si="18">DATE(YEAR(A38),MONTH(A38)+1,1)</f>
        <v>36831</v>
      </c>
      <c r="B39" s="102">
        <f t="shared" ref="B39:B61" si="19">VLOOKUP(A39,STRADDLE,5,FALSE)</f>
        <v>4.84</v>
      </c>
      <c r="C39" s="80">
        <f t="shared" ref="C39:C61" si="20">VLOOKUP(A39,STRADDLE,8,FALSE)</f>
        <v>0.55999999999999994</v>
      </c>
      <c r="D39" s="102"/>
      <c r="E39" s="106"/>
      <c r="F39" s="105">
        <f t="shared" ref="F39:F61" ca="1" si="21">VLOOKUP(A39,expiration,2,FALSE)-$B$2</f>
        <v>57</v>
      </c>
      <c r="G39" s="80"/>
      <c r="H39" s="80"/>
      <c r="I39" s="104"/>
      <c r="J39" s="234"/>
      <c r="K39" s="102">
        <f t="shared" ref="K39:K61" si="22">IF($B$3="NYMEX",0,VLOOKUP($A39,curvesettle,HLOOKUP($B$3,curvesettle,2,FALSE),FALSE))</f>
        <v>0.27500000000000002</v>
      </c>
      <c r="L39" s="102">
        <f t="shared" ref="L39:L61" si="23">IF($B$4="NYMEX",0,VLOOKUP($A39,curvesettle,HLOOKUP($B$4,curvesettle,2,FALSE),FALSE))</f>
        <v>0</v>
      </c>
      <c r="M39" s="106">
        <f t="shared" ref="M39:M61" si="24">IF(ISNUMBER(VLOOKUP($A39,VOLCURVES,HLOOKUP($B$3,VOLCURVES,2,FALSE),FALSE)),VLOOKUP($A39,VOLCURVES,HLOOKUP($B$3,VOLCURVES,2,FALSE),FALSE),1)</f>
        <v>1</v>
      </c>
      <c r="N39" s="106">
        <f t="shared" ref="N39:N61" si="25">IF(ISNUMBER(VLOOKUP($A39,VOLCURVES,HLOOKUP($B$4,VOLCURVES,2,FALSE),FALSE)),VLOOKUP($A39,VOLCURVES,HLOOKUP($B$4,VOLCURVES,2,FALSE),FALSE),1)</f>
        <v>1</v>
      </c>
      <c r="O39" s="106">
        <f t="shared" ref="O39:O61" si="26">IF(ISNUMBER(VLOOKUP($A39,CORETABLE,HLOOKUP($B$3,CORETABLE,2,FALSE),FALSE)),VLOOKUP($A39,CORETABLE,HLOOKUP($B$3,CORETABLE,2,FALSE),FALSE),0.99)</f>
        <v>0.99</v>
      </c>
      <c r="P39" s="236">
        <f t="shared" ref="P39:P61" si="27">B$18</f>
        <v>0.4</v>
      </c>
      <c r="Q39" s="106"/>
      <c r="R39" s="102">
        <f t="shared" si="4"/>
        <v>0.78500000000000003</v>
      </c>
      <c r="S39" s="102">
        <f t="shared" si="5"/>
        <v>0</v>
      </c>
      <c r="T39" s="106">
        <f t="shared" si="6"/>
        <v>1.05</v>
      </c>
      <c r="U39" s="106">
        <f t="shared" ref="U39:U61" si="28">IF(ISNUMBER(VLOOKUP($A39,VOLCURVES,HLOOKUP($D$4,VOLCURVES,2,FALSE),FALSE)),VLOOKUP($A39,VOLCURVES,HLOOKUP($D$4,VOLCURVES,2,FALSE),FALSE),1)</f>
        <v>1</v>
      </c>
      <c r="V39" s="106">
        <f t="shared" ref="V39:V61" si="29">IF(ISNUMBER(VLOOKUP($A39,CORETABLE,HLOOKUP($D$3,CORETABLE,2,FALSE),FALSE)),VLOOKUP($A39,CORETABLE,HLOOKUP($D$3,CORETABLE,2,FALSE),FALSE),0.99)</f>
        <v>0.87</v>
      </c>
      <c r="W39" s="236">
        <f t="shared" ref="W39:W61" si="30">D$18</f>
        <v>1.6</v>
      </c>
      <c r="X39" s="106"/>
      <c r="Y39" s="102">
        <f t="shared" si="7"/>
        <v>0.78500000000000003</v>
      </c>
      <c r="Z39" s="102">
        <f t="shared" si="8"/>
        <v>0</v>
      </c>
      <c r="AA39" s="106">
        <f t="shared" si="9"/>
        <v>1.05</v>
      </c>
      <c r="AB39" s="106">
        <f t="shared" ref="AB39:AB61" si="31">IF(ISNUMBER(VLOOKUP($A39,VOLCURVES,HLOOKUP($F$4,VOLCURVES,2,FALSE),FALSE)),VLOOKUP($A39,VOLCURVES,HLOOKUP($F$4,VOLCURVES,2,FALSE),FALSE),1)</f>
        <v>1</v>
      </c>
      <c r="AC39" s="106">
        <f t="shared" si="10"/>
        <v>0.87</v>
      </c>
      <c r="AD39" s="236">
        <f t="shared" ref="AD39:AD61" si="32">F$18</f>
        <v>1.6</v>
      </c>
      <c r="AE39" s="106"/>
      <c r="AF39" s="102">
        <f t="shared" si="11"/>
        <v>0.78500000000000003</v>
      </c>
      <c r="AG39" s="102">
        <f t="shared" si="12"/>
        <v>0</v>
      </c>
      <c r="AH39" s="106">
        <f t="shared" si="13"/>
        <v>1.05</v>
      </c>
      <c r="AI39" s="106">
        <f t="shared" ref="AI39:AI61" si="33">IF(ISNUMBER(VLOOKUP($A39,VOLCURVES,HLOOKUP($H$4,VOLCURVES,2,FALSE),FALSE)),VLOOKUP($A39,VOLCURVES,HLOOKUP($H$4,VOLCURVES,2,FALSE),FALSE),1)</f>
        <v>1</v>
      </c>
      <c r="AJ39" s="106">
        <f t="shared" si="14"/>
        <v>0.87</v>
      </c>
      <c r="AK39" s="236">
        <f t="shared" ref="AK39:AK61" si="34">H$18</f>
        <v>1</v>
      </c>
      <c r="AM39" s="80">
        <f t="shared" ref="AM39:AM61" si="35">VLOOKUP($A39,STRADDLE,12,FALSE)</f>
        <v>6.8040372818879022E-2</v>
      </c>
      <c r="AN39" s="182">
        <f t="shared" si="15"/>
        <v>30</v>
      </c>
      <c r="AP39" s="82">
        <f t="shared" ref="AP39:AP61" si="36">IF($A39&gt;=AR$32,IF($A39&lt;=AR$33,$AN39,0),0)</f>
        <v>30</v>
      </c>
      <c r="AQ39" s="132">
        <f t="shared" ref="AQ39:AQ61" si="37">$B39+$K39+$B$12</f>
        <v>5.1150000000000002</v>
      </c>
      <c r="AR39" s="132">
        <f t="shared" ref="AR39:AR61" si="38">$B39+$L39+$B$13</f>
        <v>4.84</v>
      </c>
      <c r="AS39" s="132">
        <f t="shared" ref="AS39:AS61" si="39">AQ39*AP39</f>
        <v>153.45000000000002</v>
      </c>
      <c r="AT39" s="132">
        <f t="shared" ref="AT39:AT61" si="40">AR39*AP39</f>
        <v>145.19999999999999</v>
      </c>
      <c r="AU39" s="235">
        <f t="shared" ref="AU39:AU61" si="41">($C39*$M39)+$B$14</f>
        <v>0.55999999999999994</v>
      </c>
      <c r="AV39" s="235">
        <f t="shared" ref="AV39:AV61" si="42">($C39*$N39)+$B$15</f>
        <v>0.55999999999999994</v>
      </c>
      <c r="AW39" s="106">
        <f t="shared" ref="AW39:AW61" si="43">O39+B$16</f>
        <v>0.99</v>
      </c>
      <c r="AX39" s="237">
        <f ca="1">IF(AP39=0,0,_xll.SPRDOPT(AQ39,AR39,$P39,$AM39,AU39,AV39,AW39,$F39,$B$19,0))</f>
        <v>2.4973213451602885E-2</v>
      </c>
      <c r="AY39" s="237">
        <f ca="1">IF(AQ39=0,0,_xll.SPRDOPT(AQ39,AR39,$P39,$AM39,AU39,AV39,AW39,$F39,$B$19,1))</f>
        <v>0.24617115550407864</v>
      </c>
      <c r="AZ39" s="237">
        <f ca="1">IF(AR39=0,0,_xll.SPRDOPT(AQ39,AR39,$P39,$AM39,AU39,AV39,AW39,$F39,$B$19,2))</f>
        <v>-0.23756361969107087</v>
      </c>
      <c r="BA39" s="237">
        <f ca="1">IF(AS39=0,0,_xll.SPRDOPT(AQ39,AR39,$P39,$AM39,AU39,AV39,AW39,$F39,$B$19,3)/100)</f>
        <v>1.7993357628075465E-2</v>
      </c>
      <c r="BB39" s="237">
        <f ca="1">IF(AT39=0,0,_xll.SPRDOPT(AQ39,AR39,$P39,$AM39,AU39,AV39,AW39,$F39,$B$19,4)/100)</f>
        <v>1.7336204918605099E-2</v>
      </c>
      <c r="BC39" s="237">
        <f ca="1">IF(AU39=0,0,_xll.SPRDOPT(AQ39,AR39,$P39,$AM39,AU39,AV39,AW39,$F39,$B$19,5)/100)</f>
        <v>3.3152177264026339E-3</v>
      </c>
      <c r="BD39" s="237">
        <f ca="1">IF(AV39=0,0,_xll.SPRDOPT(AQ39,AR39,$P39,$AM39,AU39,AV39,AW39,$F39,$B$19,6)/100)</f>
        <v>-2.3349964460173929E-3</v>
      </c>
      <c r="BE39" s="237">
        <f ca="1">IF(AW39=0,0,_xll.SPRDOPT(AQ39,AR39,$P39,$AM39,AU39,AV39,AW39,$F39,$B$19,7)/100)</f>
        <v>-2.139647611012966E-2</v>
      </c>
      <c r="BF39" s="237">
        <f ca="1">IF(AX39=0,0,_xll.SPRDOPT(AQ39,AR39,$P39,$AM39,AU39,AV39,AW39,$F39,$B$19,9)/365)</f>
        <v>-4.7718672312952582E-4</v>
      </c>
      <c r="BG39" s="237">
        <f t="shared" ref="BG39:BG61" ca="1" si="44">AY39+AZ39</f>
        <v>8.6075358130077717E-3</v>
      </c>
      <c r="BH39" s="237">
        <f t="shared" ref="BH39:BH61" ca="1" si="45">BB39-BA39</f>
        <v>-6.5715270947036553E-4</v>
      </c>
      <c r="BI39" s="237">
        <f t="shared" ref="BI39:BI61" ca="1" si="46">((AU39/AV39)*BC39)+BD39</f>
        <v>9.8022128038524094E-4</v>
      </c>
      <c r="BJ39" s="206"/>
      <c r="BK39" s="109">
        <f t="shared" ref="BK39:BK61" ca="1" si="47">$AP39*AX39</f>
        <v>0.74919640354808659</v>
      </c>
      <c r="BL39" s="109">
        <f t="shared" ref="BL39:BL61" ca="1" si="48">$AP39*AY39</f>
        <v>7.3851346651223597</v>
      </c>
      <c r="BM39" s="109">
        <f t="shared" ref="BM39:BM61" ca="1" si="49">$AP39*AZ39</f>
        <v>-7.1269085907321266</v>
      </c>
      <c r="BN39" s="109">
        <f t="shared" ref="BN39:BN61" ca="1" si="50">$AP39*BA39</f>
        <v>0.53980072884226393</v>
      </c>
      <c r="BO39" s="109">
        <f t="shared" ref="BO39:BO61" ca="1" si="51">$AP39*BB39</f>
        <v>0.52008614755815297</v>
      </c>
      <c r="BP39" s="109">
        <f t="shared" ref="BP39:BP61" ca="1" si="52">$AP39*BC39</f>
        <v>9.9456531792079014E-2</v>
      </c>
      <c r="BQ39" s="109">
        <f t="shared" ref="BQ39:BQ61" ca="1" si="53">$AP39*BD39</f>
        <v>-7.0049893380521783E-2</v>
      </c>
      <c r="BR39" s="109">
        <f t="shared" ref="BR39:BR61" ca="1" si="54">$AP39*BE39</f>
        <v>-0.64189428330388976</v>
      </c>
      <c r="BS39" s="109">
        <f t="shared" ref="BS39:BS61" ca="1" si="55">$AP39*BF39</f>
        <v>-1.4315601693885774E-2</v>
      </c>
      <c r="BT39" s="109">
        <f t="shared" ref="BT39:BT61" ca="1" si="56">$AP39*BG39</f>
        <v>0.25822607439023315</v>
      </c>
      <c r="BU39" s="109">
        <f t="shared" ref="BU39:BU61" ca="1" si="57">$AP39*BH39</f>
        <v>-1.9714581284110966E-2</v>
      </c>
      <c r="BV39" s="109">
        <f t="shared" ref="BV39:BV61" ca="1" si="58">$AP39*BI39</f>
        <v>2.9406638411557228E-2</v>
      </c>
      <c r="BX39" s="82">
        <f t="shared" ref="BX39:BX61" si="59">IF($A39&gt;=BZ$32,IF($A39&lt;=BZ$33,$AN39,0),0)</f>
        <v>30</v>
      </c>
      <c r="BY39" s="132">
        <f t="shared" ref="BY39:BY61" si="60">$B39+$R39+$D$12</f>
        <v>5.6349999999999998</v>
      </c>
      <c r="BZ39" s="132">
        <f t="shared" ref="BZ39:BZ61" si="61">$B39+$S39+$D$13</f>
        <v>4.84</v>
      </c>
      <c r="CA39" s="132">
        <f t="shared" ref="CA39:CA61" si="62">BY39*BX39</f>
        <v>169.04999999999998</v>
      </c>
      <c r="CB39" s="132">
        <f t="shared" ref="CB39:CB61" si="63">BZ39*BX39</f>
        <v>145.19999999999999</v>
      </c>
      <c r="CC39" s="235">
        <f t="shared" ref="CC39:CC61" si="64">($C39*$T39)+$D$14</f>
        <v>0.58799999999999997</v>
      </c>
      <c r="CD39" s="235">
        <f t="shared" ref="CD39:CD61" si="65">($C39*$U39)+$D$15</f>
        <v>0.55999999999999994</v>
      </c>
      <c r="CE39" s="106">
        <f t="shared" ref="CE39:CE61" si="66">$V39+D$16</f>
        <v>0.87</v>
      </c>
      <c r="CF39" s="237">
        <f ca="1">IF(BX39=0,0,_xll.SPRDOPT(BY39,BZ39,$W39,$AM39,CC39,CD39,CE39,$F39,$D$19,0))</f>
        <v>4.7403595723372202E-2</v>
      </c>
      <c r="CG39" s="237">
        <f ca="1">IF(BY39=0,0,_xll.SPRDOPT(BY39,BZ39,$W39,$AM39,CC39,CD39,CE39,$F39,$D$19,1))</f>
        <v>0.14465688097296497</v>
      </c>
      <c r="CH39" s="237">
        <f ca="1">IF(BZ39=0,0,_xll.SPRDOPT(BY39,BZ39,$W39,$AM39,CC39,CD39,CE39,$F39,$D$19,2))</f>
        <v>-0.12218796937301106</v>
      </c>
      <c r="CI39" s="237">
        <f ca="1">IF(CA39=0,0,_xll.SPRDOPT(BY39,BZ39,$W39,$AM39,CC39,CD39,CE39,$F39,$D$19,3)/100)</f>
        <v>3.375204669987229E-3</v>
      </c>
      <c r="CJ39" s="237">
        <f ca="1">IF(CB39=0,0,_xll.SPRDOPT(BY39,BZ39,$W39,$AM39,CC39,CD39,CE39,$F39,$D$19,4)/100)</f>
        <v>2.6879340724288384E-3</v>
      </c>
      <c r="CK39" s="237">
        <f ca="1">IF(CC39=0,0,_xll.SPRDOPT(BY39,BZ39,$W39,$AM39,CC39,CD39,CE39,$F39,$D$19,5)/100)</f>
        <v>3.5957192769787054E-3</v>
      </c>
      <c r="CL39" s="237">
        <f ca="1">IF(CD39=0,0,_xll.SPRDOPT(BY39,BZ39,$W39,$AM39,CC39,CD39,CE39,$F39,$D$19,6)/100)</f>
        <v>-1.04791803590843E-3</v>
      </c>
      <c r="CM39" s="237">
        <f ca="1">IF(CE39=0,0,_xll.SPRDOPT(BY39,BZ39,$W39,$AM39,CC39,CD39,CE39,$F39,$D$19,7)/100)</f>
        <v>-4.2165038349382296E-3</v>
      </c>
      <c r="CN39" s="237">
        <f ca="1">IF(CF39=0,0,_xll.SPRDOPT(BY39,BZ39,$W39,$AM39,CC39,CD39,CE39,$F39,$D$19,9)/365)</f>
        <v>-1.3319485145477821E-3</v>
      </c>
      <c r="CO39" s="237">
        <f t="shared" ref="CO39:CO61" ca="1" si="67">CG39+CH39</f>
        <v>2.2468911599953914E-2</v>
      </c>
      <c r="CP39" s="237">
        <f t="shared" ref="CP39:CP61" ca="1" si="68">CJ39-CI39</f>
        <v>-6.872705975583906E-4</v>
      </c>
      <c r="CQ39" s="237">
        <f t="shared" ref="CQ39:CQ61" ca="1" si="69">((CC39/CD39)*CK39)+CL39</f>
        <v>2.727587204919211E-3</v>
      </c>
      <c r="CR39" s="206"/>
      <c r="CS39" s="109">
        <f t="shared" ref="CS39:CS61" ca="1" si="70">BX39*CF39</f>
        <v>1.4221078717011661</v>
      </c>
      <c r="CT39" s="109">
        <f t="shared" ref="CT39:CT61" ca="1" si="71">BX39*CG39</f>
        <v>4.3397064291889489</v>
      </c>
      <c r="CU39" s="109">
        <f t="shared" ref="CU39:CU61" ca="1" si="72">BX39*CH39</f>
        <v>-3.6656390811903319</v>
      </c>
      <c r="CV39" s="109">
        <f t="shared" ref="CV39:CV61" ca="1" si="73">BX39*CI39</f>
        <v>0.10125614009961686</v>
      </c>
      <c r="CW39" s="109">
        <f t="shared" ref="CW39:CW61" ca="1" si="74">BX39*CJ39</f>
        <v>8.0638022172865156E-2</v>
      </c>
      <c r="CX39" s="109">
        <f t="shared" ref="CX39:CX61" ca="1" si="75">BX39*CK39</f>
        <v>0.10787157830936116</v>
      </c>
      <c r="CY39" s="109">
        <f t="shared" ref="CY39:CY61" ca="1" si="76">BX39*CL39</f>
        <v>-3.1437541077252898E-2</v>
      </c>
      <c r="CZ39" s="109">
        <f t="shared" ref="CZ39:CZ61" ca="1" si="77">BX39*CM39</f>
        <v>-0.12649511504814689</v>
      </c>
      <c r="DA39" s="109">
        <f t="shared" ref="DA39:DA61" ca="1" si="78">BX39*CN39</f>
        <v>-3.9958455436433463E-2</v>
      </c>
      <c r="DB39" s="109">
        <f t="shared" ref="DB39:DB61" ca="1" si="79">BX39*CO39</f>
        <v>0.67406734799861745</v>
      </c>
      <c r="DC39" s="109">
        <f t="shared" ref="DC39:DC61" ca="1" si="80">BX39*CP39</f>
        <v>-2.0618117926751719E-2</v>
      </c>
      <c r="DD39" s="109">
        <f t="shared" ref="DD39:DD61" ca="1" si="81">BX39*CQ39</f>
        <v>8.1827616147576332E-2</v>
      </c>
      <c r="DF39" s="82">
        <f t="shared" ref="DF39:DF61" si="82">IF($A39&gt;=DH$32,IF($A39&lt;=DH$33,$AN39,0),0)</f>
        <v>30</v>
      </c>
      <c r="DG39" s="132">
        <f t="shared" ref="DG39:DG61" si="83">$B39+$Y39+$F$12</f>
        <v>5.6349999999999998</v>
      </c>
      <c r="DH39" s="132">
        <f t="shared" ref="DH39:DH61" si="84">$B39+$Z39+$F$13</f>
        <v>4.84</v>
      </c>
      <c r="DI39" s="132">
        <f t="shared" ref="DI39:DI61" si="85">DG39*DF39</f>
        <v>169.04999999999998</v>
      </c>
      <c r="DJ39" s="132">
        <f t="shared" ref="DJ39:DJ61" si="86">DH39*DF39</f>
        <v>145.19999999999999</v>
      </c>
      <c r="DK39" s="235">
        <f t="shared" ref="DK39:DK61" si="87">($C39*$AA39)+$F$14</f>
        <v>0.58799999999999997</v>
      </c>
      <c r="DL39" s="235">
        <f t="shared" ref="DL39:DL61" si="88">($C39*$AB39)+$F$15</f>
        <v>0.55999999999999994</v>
      </c>
      <c r="DM39" s="106">
        <f t="shared" ref="DM39:DM61" si="89">$AC39+$F$16</f>
        <v>0.87</v>
      </c>
      <c r="DN39" s="237">
        <f ca="1">IF(DF39=0,0,_xll.SPRDOPT(DG39,DH39,$AD39,$AM39,DK39,DL39,DM39,$F39,$F$19,0))</f>
        <v>4.7403595723372202E-2</v>
      </c>
      <c r="DO39" s="237">
        <f ca="1">IF(DG39=0,0,_xll.SPRDOPT(DG39,DH39,$AD39,$AM39,DK39,DL39,DM39,$F39,$F$19,1))</f>
        <v>0.14465688097296497</v>
      </c>
      <c r="DP39" s="237">
        <f ca="1">IF(DH39=0,0,_xll.SPRDOPT(DG39,DH39,$AD39,$AM39,DK39,DL39,DM39,$F39,$F$19,2))</f>
        <v>-0.12218796937301106</v>
      </c>
      <c r="DQ39" s="237">
        <f ca="1">IF(DI39=0,0,_xll.SPRDOPT(DG39,DH39,$AD39,$AM39,DK39,DL39,DM39,$F39,$F$19,3)/100)</f>
        <v>3.375204669987229E-3</v>
      </c>
      <c r="DR39" s="237">
        <f ca="1">IF(DJ39=0,0,_xll.SPRDOPT(DG39,DH39,$AD39,$AM39,DK39,DL39,DM39,$F39,$F$19,4)/100)</f>
        <v>2.6879340724288384E-3</v>
      </c>
      <c r="DS39" s="237">
        <f ca="1">IF(DK39=0,0,_xll.SPRDOPT(DG39,DH39,$AD39,$AM39,DK39,DL39,DM39,$F39,$F$19,5)/100)</f>
        <v>3.5957192769787054E-3</v>
      </c>
      <c r="DT39" s="237">
        <f ca="1">IF(DL39=0,0,_xll.SPRDOPT(DG39,DH39,$AD39,$AM39,DK39,DL39,DM39,$F39,$F$19,6)/100)</f>
        <v>-1.04791803590843E-3</v>
      </c>
      <c r="DU39" s="237">
        <f ca="1">IF(DM39=0,0,_xll.SPRDOPT(DG39,DH39,$AD39,$AM39,DK39,DL39,DM39,$F39,$F$19,7)/100)</f>
        <v>-4.2165038349382296E-3</v>
      </c>
      <c r="DV39" s="237">
        <f ca="1">IF(DN39=0,0,_xll.SPRDOPT(DG39,DH39,$AD39,$AM39,DK39,DL39,DM39,$F39,$F$19,9)/365)</f>
        <v>-1.3319485145477821E-3</v>
      </c>
      <c r="DW39" s="237">
        <f t="shared" ref="DW39:DW61" ca="1" si="90">DO39+DP39</f>
        <v>2.2468911599953914E-2</v>
      </c>
      <c r="DX39" s="237">
        <f t="shared" ref="DX39:DX61" ca="1" si="91">DR39-DQ39</f>
        <v>-6.872705975583906E-4</v>
      </c>
      <c r="DY39" s="237">
        <f t="shared" ref="DY39:DY61" ca="1" si="92">((DK39/DL39)*DS39)+DT39</f>
        <v>2.727587204919211E-3</v>
      </c>
      <c r="DZ39" s="206"/>
      <c r="EA39" s="109">
        <f t="shared" ref="EA39:EA61" ca="1" si="93">DF39*DN39</f>
        <v>1.4221078717011661</v>
      </c>
      <c r="EB39" s="109">
        <f t="shared" ref="EB39:EB61" ca="1" si="94">DF39*DO39</f>
        <v>4.3397064291889489</v>
      </c>
      <c r="EC39" s="109">
        <f t="shared" ref="EC39:EC61" ca="1" si="95">DF39*DP39</f>
        <v>-3.6656390811903319</v>
      </c>
      <c r="ED39" s="109">
        <f t="shared" ref="ED39:ED61" ca="1" si="96">DF39*DQ39</f>
        <v>0.10125614009961686</v>
      </c>
      <c r="EE39" s="109">
        <f t="shared" ref="EE39:EE61" ca="1" si="97">DF39*DR39</f>
        <v>8.0638022172865156E-2</v>
      </c>
      <c r="EF39" s="109">
        <f t="shared" ref="EF39:EF61" ca="1" si="98">DF39*DS39</f>
        <v>0.10787157830936116</v>
      </c>
      <c r="EG39" s="109">
        <f t="shared" ref="EG39:EG61" ca="1" si="99">DF39*DT39</f>
        <v>-3.1437541077252898E-2</v>
      </c>
      <c r="EH39" s="109">
        <f t="shared" ref="EH39:EH61" ca="1" si="100">DF39*DU39</f>
        <v>-0.12649511504814689</v>
      </c>
      <c r="EI39" s="109">
        <f t="shared" ref="EI39:EI61" ca="1" si="101">DF39*DV39</f>
        <v>-3.9958455436433463E-2</v>
      </c>
      <c r="EJ39" s="109">
        <f t="shared" ref="EJ39:EJ61" ca="1" si="102">DF39*DW39</f>
        <v>0.67406734799861745</v>
      </c>
      <c r="EK39" s="109">
        <f t="shared" ref="EK39:EK61" ca="1" si="103">DF39*DX39</f>
        <v>-2.0618117926751719E-2</v>
      </c>
      <c r="EL39" s="109">
        <f t="shared" ref="EL39:EL61" ca="1" si="104">DF39*DY39</f>
        <v>8.1827616147576332E-2</v>
      </c>
      <c r="EN39" s="82">
        <f t="shared" ref="EN39:EN61" si="105">IF($A39&gt;=EP$32,IF($A39&lt;=EP$33,$AN39,0),0)</f>
        <v>0</v>
      </c>
      <c r="EO39" s="132">
        <f t="shared" ref="EO39:EO61" si="106">$B39+$AF39+$H$12</f>
        <v>5.69</v>
      </c>
      <c r="EP39" s="132">
        <f t="shared" ref="EP39:EP61" si="107">$B39+$AG39+$H$13</f>
        <v>4.84</v>
      </c>
      <c r="EQ39" s="132">
        <f t="shared" ref="EQ39:EQ61" si="108">EO39*EN39</f>
        <v>0</v>
      </c>
      <c r="ER39" s="132">
        <f t="shared" ref="ER39:ER61" si="109">EP39*EN39</f>
        <v>0</v>
      </c>
      <c r="ES39" s="235">
        <f t="shared" ref="ES39:ES61" si="110">($C39*$AH39)+$H$14</f>
        <v>0.58799999999999997</v>
      </c>
      <c r="ET39" s="235">
        <f t="shared" ref="ET39:ET61" si="111">($C39*$AI39)+$H$15</f>
        <v>0.55999999999999994</v>
      </c>
      <c r="EU39" s="106">
        <f t="shared" ref="EU39:EU61" si="112">$AJ39+$H$16</f>
        <v>0.87</v>
      </c>
      <c r="EV39" s="237">
        <f>IF(EN39=0,0,_xll.SPRDOPT(EO39,EP39,$AK39,$AM39,ES39,ET39,EU39,$F39,$H$19,0))</f>
        <v>0</v>
      </c>
      <c r="EW39" s="237">
        <f ca="1">IF(EO39=0,0,_xll.SPRDOPT(EO39,EP39,$AK39,$AM39,ES39,ET39,EU39,$F39,$H$19,1))</f>
        <v>-0.55963442117288387</v>
      </c>
      <c r="EX39" s="237">
        <f ca="1">IF(EP39=0,0,_xll.SPRDOPT(EO39,EP39,$AK39,$AM39,ES39,ET39,EU39,$F39,$H$19,2))</f>
        <v>0.60199734855391818</v>
      </c>
      <c r="EY39" s="237">
        <f>IF(EQ39=0,0,_xll.SPRDOPT(EO39,EP39,$AK39,$AM39,ES39,ET39,EU39,$F39,$H$19,3)/100)</f>
        <v>0</v>
      </c>
      <c r="EZ39" s="237">
        <f>IF(ER39=0,0,_xll.SPRDOPT(EO39,EP39,$AK39,$AM39,ES39,ET39,EU39,$F39,$H$19,4)/100)</f>
        <v>0</v>
      </c>
      <c r="FA39" s="237">
        <f ca="1">IF(ES39=0,0,_xll.SPRDOPT(EO39,EP39,$AK39,$AM39,ES39,ET39,EU39,$F39,$H$19,5)/100)</f>
        <v>5.4614340719384988E-3</v>
      </c>
      <c r="FB39" s="237">
        <f ca="1">IF(ET39=0,0,_xll.SPRDOPT(EO39,EP39,$AK39,$AM39,ES39,ET39,EU39,$F39,$H$19,6)/100)</f>
        <v>-1.1338344068944697E-3</v>
      </c>
      <c r="FC39" s="237">
        <f ca="1">IF(EU39=0,0,_xll.SPRDOPT(EO39,EP39,$AK39,$AM39,ES39,ET39,EU39,$F39,$H$19,7)/100)</f>
        <v>-8.1456329178145395E-3</v>
      </c>
      <c r="FD39" s="237">
        <f>IF(EV39=0,0,_xll.SPRDOPT(EO39,EP39,$AK39,$AM39,ES39,ET39,EU39,$F39,$H$19,9)/365)</f>
        <v>0</v>
      </c>
      <c r="FE39" s="237">
        <f t="shared" ref="FE39:FE61" ca="1" si="113">EW39+EX39</f>
        <v>4.236292738103431E-2</v>
      </c>
      <c r="FF39" s="237">
        <f t="shared" ref="FF39:FF61" si="114">EZ39-EY39</f>
        <v>0</v>
      </c>
      <c r="FG39" s="237">
        <f t="shared" ref="FG39:FG61" ca="1" si="115">((ES39/ET39)*FA39)+FB39</f>
        <v>4.6006713686409543E-3</v>
      </c>
      <c r="FH39" s="206"/>
      <c r="FI39" s="109">
        <f t="shared" ref="FI39:FI61" si="116">$EN39*EV39</f>
        <v>0</v>
      </c>
      <c r="FJ39" s="109">
        <f t="shared" ref="FJ39:FJ61" ca="1" si="117">$EN39*EW39</f>
        <v>0</v>
      </c>
      <c r="FK39" s="109">
        <f t="shared" ref="FK39:FK61" ca="1" si="118">$EN39*EX39</f>
        <v>0</v>
      </c>
      <c r="FL39" s="109">
        <f t="shared" ref="FL39:FL61" si="119">$EN39*EY39</f>
        <v>0</v>
      </c>
      <c r="FM39" s="109">
        <f t="shared" ref="FM39:FM61" si="120">$EN39*EZ39</f>
        <v>0</v>
      </c>
      <c r="FN39" s="109">
        <f t="shared" ref="FN39:FN61" ca="1" si="121">$EN39*FA39</f>
        <v>0</v>
      </c>
      <c r="FO39" s="109">
        <f t="shared" ref="FO39:FO61" ca="1" si="122">$EN39*FB39</f>
        <v>0</v>
      </c>
      <c r="FP39" s="109">
        <f t="shared" ref="FP39:FP61" ca="1" si="123">$EN39*FC39</f>
        <v>0</v>
      </c>
      <c r="FQ39" s="109">
        <f t="shared" ref="FQ39:FQ61" si="124">$EN39*FD39</f>
        <v>0</v>
      </c>
      <c r="FR39" s="109">
        <f t="shared" ref="FR39:FR61" ca="1" si="125">$EN39*FE39</f>
        <v>0</v>
      </c>
      <c r="FS39" s="109">
        <f t="shared" ref="FS39:FS61" si="126">$EN39*FF39</f>
        <v>0</v>
      </c>
      <c r="FT39" s="109">
        <f t="shared" ref="FT39:FT61" ca="1" si="127">$EN39*FG39</f>
        <v>0</v>
      </c>
    </row>
    <row r="40" spans="1:176" x14ac:dyDescent="0.25">
      <c r="A40" s="101">
        <f t="shared" si="18"/>
        <v>36861</v>
      </c>
      <c r="B40" s="102">
        <f t="shared" si="19"/>
        <v>4.91</v>
      </c>
      <c r="C40" s="80">
        <f t="shared" si="20"/>
        <v>0.59</v>
      </c>
      <c r="D40" s="102"/>
      <c r="E40" s="106"/>
      <c r="F40" s="105">
        <f t="shared" ca="1" si="21"/>
        <v>89</v>
      </c>
      <c r="G40" s="80"/>
      <c r="H40" s="80"/>
      <c r="I40" s="104"/>
      <c r="J40" s="234"/>
      <c r="K40" s="102">
        <f t="shared" si="22"/>
        <v>0.30499999999999999</v>
      </c>
      <c r="L40" s="102">
        <f t="shared" si="23"/>
        <v>0</v>
      </c>
      <c r="M40" s="106">
        <f t="shared" si="24"/>
        <v>1</v>
      </c>
      <c r="N40" s="106">
        <f t="shared" si="25"/>
        <v>1</v>
      </c>
      <c r="O40" s="106">
        <f t="shared" si="26"/>
        <v>0.99</v>
      </c>
      <c r="P40" s="236">
        <f t="shared" si="27"/>
        <v>0.4</v>
      </c>
      <c r="Q40" s="106"/>
      <c r="R40" s="102">
        <f t="shared" si="4"/>
        <v>1.71</v>
      </c>
      <c r="S40" s="102">
        <f t="shared" si="5"/>
        <v>0</v>
      </c>
      <c r="T40" s="106">
        <f t="shared" si="6"/>
        <v>1.1499999999999999</v>
      </c>
      <c r="U40" s="106">
        <f t="shared" si="28"/>
        <v>1</v>
      </c>
      <c r="V40" s="106">
        <f t="shared" si="29"/>
        <v>0.81</v>
      </c>
      <c r="W40" s="236">
        <f t="shared" si="30"/>
        <v>1.6</v>
      </c>
      <c r="X40" s="106"/>
      <c r="Y40" s="102">
        <f t="shared" si="7"/>
        <v>1.71</v>
      </c>
      <c r="Z40" s="102">
        <f t="shared" si="8"/>
        <v>0</v>
      </c>
      <c r="AA40" s="106">
        <f t="shared" si="9"/>
        <v>1.1499999999999999</v>
      </c>
      <c r="AB40" s="106">
        <f t="shared" si="31"/>
        <v>1</v>
      </c>
      <c r="AC40" s="106">
        <f t="shared" si="10"/>
        <v>0.81</v>
      </c>
      <c r="AD40" s="236">
        <f t="shared" si="32"/>
        <v>1.6</v>
      </c>
      <c r="AE40" s="106"/>
      <c r="AF40" s="102">
        <f t="shared" si="11"/>
        <v>1.71</v>
      </c>
      <c r="AG40" s="102">
        <f t="shared" si="12"/>
        <v>0</v>
      </c>
      <c r="AH40" s="106">
        <f t="shared" si="13"/>
        <v>1.1499999999999999</v>
      </c>
      <c r="AI40" s="106">
        <f t="shared" si="33"/>
        <v>1</v>
      </c>
      <c r="AJ40" s="106">
        <f t="shared" si="14"/>
        <v>0.81</v>
      </c>
      <c r="AK40" s="236">
        <f t="shared" si="34"/>
        <v>1</v>
      </c>
      <c r="AM40" s="80">
        <f t="shared" si="35"/>
        <v>6.8247886953399006E-2</v>
      </c>
      <c r="AN40" s="182">
        <f t="shared" si="15"/>
        <v>31</v>
      </c>
      <c r="AP40" s="82">
        <f t="shared" si="36"/>
        <v>31</v>
      </c>
      <c r="AQ40" s="132">
        <f t="shared" si="37"/>
        <v>5.2149999999999999</v>
      </c>
      <c r="AR40" s="132">
        <f t="shared" si="38"/>
        <v>4.91</v>
      </c>
      <c r="AS40" s="132">
        <f t="shared" si="39"/>
        <v>161.66499999999999</v>
      </c>
      <c r="AT40" s="132">
        <f t="shared" si="40"/>
        <v>152.21</v>
      </c>
      <c r="AU40" s="235">
        <f t="shared" si="41"/>
        <v>0.59</v>
      </c>
      <c r="AV40" s="235">
        <f t="shared" si="42"/>
        <v>0.59</v>
      </c>
      <c r="AW40" s="106">
        <f t="shared" si="43"/>
        <v>0.99</v>
      </c>
      <c r="AX40" s="237">
        <f ca="1">IF(AP40=0,0,_xll.SPRDOPT(AQ40,AR40,$P40,$AM40,AU40,AV40,AW40,$F40,$B$19,0))</f>
        <v>5.3901008045306682E-2</v>
      </c>
      <c r="AY40" s="237">
        <f ca="1">IF(AQ40=0,0,_xll.SPRDOPT(AQ40,AR40,$P40,$AM40,AU40,AV40,AW40,$F40,$B$19,1))</f>
        <v>0.35113963149439048</v>
      </c>
      <c r="AZ40" s="237">
        <f ca="1">IF(AR40=0,0,_xll.SPRDOPT(AQ40,AR40,$P40,$AM40,AU40,AV40,AW40,$F40,$B$19,2))</f>
        <v>-0.33784093840189894</v>
      </c>
      <c r="BA40" s="237">
        <f ca="1">IF(AS40=0,0,_xll.SPRDOPT(AQ40,AR40,$P40,$AM40,AU40,AV40,AW40,$F40,$B$19,3)/100)</f>
        <v>1.5684313590712415E-2</v>
      </c>
      <c r="BB40" s="237">
        <f ca="1">IF(AT40=0,0,_xll.SPRDOPT(AQ40,AR40,$P40,$AM40,AU40,AV40,AW40,$F40,$B$19,4)/100)</f>
        <v>1.5280409891837708E-2</v>
      </c>
      <c r="BC40" s="237">
        <f ca="1">IF(AU40=0,0,_xll.SPRDOPT(AQ40,AR40,$P40,$AM40,AU40,AV40,AW40,$F40,$B$19,5)/100)</f>
        <v>4.9142118241113321E-3</v>
      </c>
      <c r="BD40" s="237">
        <f ca="1">IF(AV40=0,0,_xll.SPRDOPT(AQ40,AR40,$P40,$AM40,AU40,AV40,AW40,$F40,$B$19,6)/100)</f>
        <v>-3.4489937152714411E-3</v>
      </c>
      <c r="BE40" s="237">
        <f ca="1">IF(AW40=0,0,_xll.SPRDOPT(AQ40,AR40,$P40,$AM40,AU40,AV40,AW40,$F40,$B$19,7)/100)</f>
        <v>-3.3617572866139332E-2</v>
      </c>
      <c r="BF40" s="237">
        <f ca="1">IF(AX40=0,0,_xll.SPRDOPT(AQ40,AR40,$P40,$AM40,AU40,AV40,AW40,$F40,$B$19,9)/365)</f>
        <v>-4.7591640823448452E-4</v>
      </c>
      <c r="BG40" s="237">
        <f t="shared" ca="1" si="44"/>
        <v>1.3298693092491543E-2</v>
      </c>
      <c r="BH40" s="237">
        <f t="shared" ca="1" si="45"/>
        <v>-4.0390369887470697E-4</v>
      </c>
      <c r="BI40" s="237">
        <f t="shared" ca="1" si="46"/>
        <v>1.465218108839891E-3</v>
      </c>
      <c r="BJ40" s="206"/>
      <c r="BK40" s="109">
        <f t="shared" ca="1" si="47"/>
        <v>1.6709312494045072</v>
      </c>
      <c r="BL40" s="109">
        <f t="shared" ca="1" si="48"/>
        <v>10.885328576326105</v>
      </c>
      <c r="BM40" s="109">
        <f t="shared" ca="1" si="49"/>
        <v>-10.473069090458868</v>
      </c>
      <c r="BN40" s="109">
        <f t="shared" ca="1" si="50"/>
        <v>0.48621372131208485</v>
      </c>
      <c r="BO40" s="109">
        <f t="shared" ca="1" si="51"/>
        <v>0.47369270664696894</v>
      </c>
      <c r="BP40" s="109">
        <f t="shared" ca="1" si="52"/>
        <v>0.15234056654745129</v>
      </c>
      <c r="BQ40" s="109">
        <f t="shared" ca="1" si="53"/>
        <v>-0.10691880517341468</v>
      </c>
      <c r="BR40" s="109">
        <f t="shared" ca="1" si="54"/>
        <v>-1.0421447588503192</v>
      </c>
      <c r="BS40" s="109">
        <f t="shared" ca="1" si="55"/>
        <v>-1.475340865526902E-2</v>
      </c>
      <c r="BT40" s="109">
        <f t="shared" ca="1" si="56"/>
        <v>0.41225948586723782</v>
      </c>
      <c r="BU40" s="109">
        <f t="shared" ca="1" si="57"/>
        <v>-1.2521014665115916E-2</v>
      </c>
      <c r="BV40" s="109">
        <f t="shared" ca="1" si="58"/>
        <v>4.5421761374036619E-2</v>
      </c>
      <c r="BX40" s="82">
        <f t="shared" si="59"/>
        <v>31</v>
      </c>
      <c r="BY40" s="132">
        <f t="shared" si="60"/>
        <v>6.63</v>
      </c>
      <c r="BZ40" s="132">
        <f t="shared" si="61"/>
        <v>4.91</v>
      </c>
      <c r="CA40" s="132">
        <f t="shared" si="62"/>
        <v>205.53</v>
      </c>
      <c r="CB40" s="132">
        <f t="shared" si="63"/>
        <v>152.21</v>
      </c>
      <c r="CC40" s="235">
        <f t="shared" si="64"/>
        <v>0.67849999999999988</v>
      </c>
      <c r="CD40" s="235">
        <f t="shared" si="65"/>
        <v>0.59</v>
      </c>
      <c r="CE40" s="106">
        <f t="shared" si="66"/>
        <v>0.81</v>
      </c>
      <c r="CF40" s="237">
        <f ca="1">IF(BX40=0,0,_xll.SPRDOPT(BY40,BZ40,$W40,$AM40,CC40,CD40,CE40,$F40,$D$19,0))</f>
        <v>0.58436971983209263</v>
      </c>
      <c r="CG40" s="237">
        <f ca="1">IF(BY40=0,0,_xll.SPRDOPT(BY40,BZ40,$W40,$AM40,CC40,CD40,CE40,$F40,$D$19,1))</f>
        <v>0.56743880610639452</v>
      </c>
      <c r="CH40" s="237">
        <f ca="1">IF(BZ40=0,0,_xll.SPRDOPT(BY40,BZ40,$W40,$AM40,CC40,CD40,CE40,$F40,$D$19,2))</f>
        <v>-0.49534506235745401</v>
      </c>
      <c r="CI40" s="237">
        <f ca="1">IF(CA40=0,0,_xll.SPRDOPT(BY40,BZ40,$W40,$AM40,CC40,CD40,CE40,$F40,$D$19,3)/100)</f>
        <v>2.8574799361294877E-3</v>
      </c>
      <c r="CJ40" s="237">
        <f ca="1">IF(CB40=0,0,_xll.SPRDOPT(BY40,BZ40,$W40,$AM40,CC40,CD40,CE40,$F40,$D$19,4)/100)</f>
        <v>2.9885101136552634E-3</v>
      </c>
      <c r="CK40" s="237">
        <f ca="1">IF(CC40=0,0,_xll.SPRDOPT(BY40,BZ40,$W40,$AM40,CC40,CD40,CE40,$F40,$D$19,5)/100)</f>
        <v>9.7143197770693333E-3</v>
      </c>
      <c r="CL40" s="237">
        <f ca="1">IF(CD40=0,0,_xll.SPRDOPT(BY40,BZ40,$W40,$AM40,CC40,CD40,CE40,$F40,$D$19,6)/100)</f>
        <v>-2.3520268787550315E-3</v>
      </c>
      <c r="CM40" s="237">
        <f ca="1">IF(CE40=0,0,_xll.SPRDOPT(BY40,BZ40,$W40,$AM40,CC40,CD40,CE40,$F40,$D$19,7)/100)</f>
        <v>-9.2577523899743039E-3</v>
      </c>
      <c r="CN40" s="237">
        <f ca="1">IF(CF40=0,0,_xll.SPRDOPT(BY40,BZ40,$W40,$AM40,CC40,CD40,CE40,$F40,$D$19,9)/365)</f>
        <v>-2.8160343327692313E-3</v>
      </c>
      <c r="CO40" s="237">
        <f t="shared" ca="1" si="67"/>
        <v>7.2093743748940509E-2</v>
      </c>
      <c r="CP40" s="237">
        <f t="shared" ca="1" si="68"/>
        <v>1.3103017752577563E-4</v>
      </c>
      <c r="CQ40" s="237">
        <f t="shared" ca="1" si="69"/>
        <v>8.8194408648747009E-3</v>
      </c>
      <c r="CR40" s="206"/>
      <c r="CS40" s="109">
        <f t="shared" ca="1" si="70"/>
        <v>18.115461314794871</v>
      </c>
      <c r="CT40" s="109">
        <f t="shared" ca="1" si="71"/>
        <v>17.59060298929823</v>
      </c>
      <c r="CU40" s="109">
        <f t="shared" ca="1" si="72"/>
        <v>-15.355696933081074</v>
      </c>
      <c r="CV40" s="109">
        <f t="shared" ca="1" si="73"/>
        <v>8.8581878020014118E-2</v>
      </c>
      <c r="CW40" s="109">
        <f t="shared" ca="1" si="74"/>
        <v>9.2643813523313162E-2</v>
      </c>
      <c r="CX40" s="109">
        <f t="shared" ca="1" si="75"/>
        <v>0.30114391308914934</v>
      </c>
      <c r="CY40" s="109">
        <f t="shared" ca="1" si="76"/>
        <v>-7.2912833241405975E-2</v>
      </c>
      <c r="CZ40" s="109">
        <f t="shared" ca="1" si="77"/>
        <v>-0.28699032408920344</v>
      </c>
      <c r="DA40" s="109">
        <f t="shared" ca="1" si="78"/>
        <v>-8.7297064315846162E-2</v>
      </c>
      <c r="DB40" s="109">
        <f t="shared" ca="1" si="79"/>
        <v>2.2349060562171559</v>
      </c>
      <c r="DC40" s="109">
        <f t="shared" ca="1" si="80"/>
        <v>4.061935503299044E-3</v>
      </c>
      <c r="DD40" s="109">
        <f t="shared" ca="1" si="81"/>
        <v>0.27340266681111575</v>
      </c>
      <c r="DF40" s="82">
        <f t="shared" si="82"/>
        <v>31</v>
      </c>
      <c r="DG40" s="132">
        <f t="shared" si="83"/>
        <v>6.63</v>
      </c>
      <c r="DH40" s="132">
        <f t="shared" si="84"/>
        <v>4.91</v>
      </c>
      <c r="DI40" s="132">
        <f t="shared" si="85"/>
        <v>205.53</v>
      </c>
      <c r="DJ40" s="132">
        <f t="shared" si="86"/>
        <v>152.21</v>
      </c>
      <c r="DK40" s="235">
        <f t="shared" si="87"/>
        <v>0.67849999999999988</v>
      </c>
      <c r="DL40" s="235">
        <f t="shared" si="88"/>
        <v>0.59</v>
      </c>
      <c r="DM40" s="106">
        <f t="shared" si="89"/>
        <v>0.81</v>
      </c>
      <c r="DN40" s="237">
        <f ca="1">IF(DF40=0,0,_xll.SPRDOPT(DG40,DH40,$AD40,$AM40,DK40,DL40,DM40,$F40,$F$19,0))</f>
        <v>0.58436971983209263</v>
      </c>
      <c r="DO40" s="237">
        <f ca="1">IF(DG40=0,0,_xll.SPRDOPT(DG40,DH40,$AD40,$AM40,DK40,DL40,DM40,$F40,$F$19,1))</f>
        <v>0.56743880610639452</v>
      </c>
      <c r="DP40" s="237">
        <f ca="1">IF(DH40=0,0,_xll.SPRDOPT(DG40,DH40,$AD40,$AM40,DK40,DL40,DM40,$F40,$F$19,2))</f>
        <v>-0.49534506235745401</v>
      </c>
      <c r="DQ40" s="237">
        <f ca="1">IF(DI40=0,0,_xll.SPRDOPT(DG40,DH40,$AD40,$AM40,DK40,DL40,DM40,$F40,$F$19,3)/100)</f>
        <v>2.8574799361294877E-3</v>
      </c>
      <c r="DR40" s="237">
        <f ca="1">IF(DJ40=0,0,_xll.SPRDOPT(DG40,DH40,$AD40,$AM40,DK40,DL40,DM40,$F40,$F$19,4)/100)</f>
        <v>2.9885101136552634E-3</v>
      </c>
      <c r="DS40" s="237">
        <f ca="1">IF(DK40=0,0,_xll.SPRDOPT(DG40,DH40,$AD40,$AM40,DK40,DL40,DM40,$F40,$F$19,5)/100)</f>
        <v>9.7143197770693333E-3</v>
      </c>
      <c r="DT40" s="237">
        <f ca="1">IF(DL40=0,0,_xll.SPRDOPT(DG40,DH40,$AD40,$AM40,DK40,DL40,DM40,$F40,$F$19,6)/100)</f>
        <v>-2.3520268787550315E-3</v>
      </c>
      <c r="DU40" s="237">
        <f ca="1">IF(DM40=0,0,_xll.SPRDOPT(DG40,DH40,$AD40,$AM40,DK40,DL40,DM40,$F40,$F$19,7)/100)</f>
        <v>-9.2577523899743039E-3</v>
      </c>
      <c r="DV40" s="237">
        <f ca="1">IF(DN40=0,0,_xll.SPRDOPT(DG40,DH40,$AD40,$AM40,DK40,DL40,DM40,$F40,$F$19,9)/365)</f>
        <v>-2.8160343327692313E-3</v>
      </c>
      <c r="DW40" s="237">
        <f t="shared" ca="1" si="90"/>
        <v>7.2093743748940509E-2</v>
      </c>
      <c r="DX40" s="237">
        <f t="shared" ca="1" si="91"/>
        <v>1.3103017752577563E-4</v>
      </c>
      <c r="DY40" s="237">
        <f t="shared" ca="1" si="92"/>
        <v>8.8194408648747009E-3</v>
      </c>
      <c r="DZ40" s="206"/>
      <c r="EA40" s="109">
        <f t="shared" ca="1" si="93"/>
        <v>18.115461314794871</v>
      </c>
      <c r="EB40" s="109">
        <f t="shared" ca="1" si="94"/>
        <v>17.59060298929823</v>
      </c>
      <c r="EC40" s="109">
        <f t="shared" ca="1" si="95"/>
        <v>-15.355696933081074</v>
      </c>
      <c r="ED40" s="109">
        <f t="shared" ca="1" si="96"/>
        <v>8.8581878020014118E-2</v>
      </c>
      <c r="EE40" s="109">
        <f t="shared" ca="1" si="97"/>
        <v>9.2643813523313162E-2</v>
      </c>
      <c r="EF40" s="109">
        <f t="shared" ca="1" si="98"/>
        <v>0.30114391308914934</v>
      </c>
      <c r="EG40" s="109">
        <f t="shared" ca="1" si="99"/>
        <v>-7.2912833241405975E-2</v>
      </c>
      <c r="EH40" s="109">
        <f t="shared" ca="1" si="100"/>
        <v>-0.28699032408920344</v>
      </c>
      <c r="EI40" s="109">
        <f t="shared" ca="1" si="101"/>
        <v>-8.7297064315846162E-2</v>
      </c>
      <c r="EJ40" s="109">
        <f t="shared" ca="1" si="102"/>
        <v>2.2349060562171559</v>
      </c>
      <c r="EK40" s="109">
        <f t="shared" ca="1" si="103"/>
        <v>4.061935503299044E-3</v>
      </c>
      <c r="EL40" s="109">
        <f t="shared" ca="1" si="104"/>
        <v>0.27340266681111575</v>
      </c>
      <c r="EN40" s="82">
        <f t="shared" si="105"/>
        <v>0</v>
      </c>
      <c r="EO40" s="132">
        <f t="shared" si="106"/>
        <v>6.6850000000000005</v>
      </c>
      <c r="EP40" s="132">
        <f t="shared" si="107"/>
        <v>4.91</v>
      </c>
      <c r="EQ40" s="132">
        <f t="shared" si="108"/>
        <v>0</v>
      </c>
      <c r="ER40" s="132">
        <f t="shared" si="109"/>
        <v>0</v>
      </c>
      <c r="ES40" s="235">
        <f t="shared" si="110"/>
        <v>0.67849999999999988</v>
      </c>
      <c r="ET40" s="235">
        <f t="shared" si="111"/>
        <v>0.59</v>
      </c>
      <c r="EU40" s="106">
        <f t="shared" si="112"/>
        <v>0.81</v>
      </c>
      <c r="EV40" s="237">
        <f>IF(EN40=0,0,_xll.SPRDOPT(EO40,EP40,$AK40,$AM40,ES40,ET40,EU40,$F40,$H$19,0))</f>
        <v>0</v>
      </c>
      <c r="EW40" s="237">
        <f ca="1">IF(EO40=0,0,_xll.SPRDOPT(EO40,EP40,$AK40,$AM40,ES40,ET40,EU40,$F40,$H$19,1))</f>
        <v>-0.23190084867111271</v>
      </c>
      <c r="EX40" s="237">
        <f ca="1">IF(EP40=0,0,_xll.SPRDOPT(EO40,EP40,$AK40,$AM40,ES40,ET40,EU40,$F40,$H$19,2))</f>
        <v>0.29351471362566239</v>
      </c>
      <c r="EY40" s="237">
        <f>IF(EQ40=0,0,_xll.SPRDOPT(EO40,EP40,$AK40,$AM40,ES40,ET40,EU40,$F40,$H$19,3)/100)</f>
        <v>0</v>
      </c>
      <c r="EZ40" s="237">
        <f>IF(ER40=0,0,_xll.SPRDOPT(EO40,EP40,$AK40,$AM40,ES40,ET40,EU40,$F40,$H$19,4)/100)</f>
        <v>0</v>
      </c>
      <c r="FA40" s="237">
        <f ca="1">IF(ES40=0,0,_xll.SPRDOPT(EO40,EP40,$AK40,$AM40,ES40,ET40,EU40,$F40,$H$19,5)/100)</f>
        <v>7.013881202733125E-3</v>
      </c>
      <c r="FB40" s="237">
        <f ca="1">IF(ET40=0,0,_xll.SPRDOPT(EO40,EP40,$AK40,$AM40,ES40,ET40,EU40,$F40,$H$19,6)/100)</f>
        <v>-1.2293734396662142E-3</v>
      </c>
      <c r="FC40" s="237">
        <f ca="1">IF(EU40=0,0,_xll.SPRDOPT(EO40,EP40,$AK40,$AM40,ES40,ET40,EU40,$F40,$H$19,7)/100)</f>
        <v>-8.2190008709414238E-3</v>
      </c>
      <c r="FD40" s="237">
        <f>IF(EV40=0,0,_xll.SPRDOPT(EO40,EP40,$AK40,$AM40,ES40,ET40,EU40,$F40,$H$19,9)/365)</f>
        <v>0</v>
      </c>
      <c r="FE40" s="237">
        <f t="shared" ca="1" si="113"/>
        <v>6.161386495454968E-2</v>
      </c>
      <c r="FF40" s="237">
        <f t="shared" si="114"/>
        <v>0</v>
      </c>
      <c r="FG40" s="237">
        <f t="shared" ca="1" si="115"/>
        <v>6.8365899434768788E-3</v>
      </c>
      <c r="FH40" s="206"/>
      <c r="FI40" s="109">
        <f t="shared" si="116"/>
        <v>0</v>
      </c>
      <c r="FJ40" s="109">
        <f t="shared" ca="1" si="117"/>
        <v>0</v>
      </c>
      <c r="FK40" s="109">
        <f t="shared" ca="1" si="118"/>
        <v>0</v>
      </c>
      <c r="FL40" s="109">
        <f t="shared" si="119"/>
        <v>0</v>
      </c>
      <c r="FM40" s="109">
        <f t="shared" si="120"/>
        <v>0</v>
      </c>
      <c r="FN40" s="109">
        <f t="shared" ca="1" si="121"/>
        <v>0</v>
      </c>
      <c r="FO40" s="109">
        <f t="shared" ca="1" si="122"/>
        <v>0</v>
      </c>
      <c r="FP40" s="109">
        <f t="shared" ca="1" si="123"/>
        <v>0</v>
      </c>
      <c r="FQ40" s="109">
        <f t="shared" si="124"/>
        <v>0</v>
      </c>
      <c r="FR40" s="109">
        <f t="shared" ca="1" si="125"/>
        <v>0</v>
      </c>
      <c r="FS40" s="109">
        <f t="shared" si="126"/>
        <v>0</v>
      </c>
      <c r="FT40" s="109">
        <f t="shared" ca="1" si="127"/>
        <v>0</v>
      </c>
    </row>
    <row r="41" spans="1:176" x14ac:dyDescent="0.25">
      <c r="A41" s="101">
        <f t="shared" si="18"/>
        <v>36892</v>
      </c>
      <c r="B41" s="102">
        <f t="shared" si="19"/>
        <v>4.8499999999999996</v>
      </c>
      <c r="C41" s="80">
        <f t="shared" si="20"/>
        <v>0.6</v>
      </c>
      <c r="D41" s="102"/>
      <c r="E41" s="106"/>
      <c r="F41" s="105">
        <f t="shared" ca="1" si="21"/>
        <v>118</v>
      </c>
      <c r="G41" s="80"/>
      <c r="H41" s="80"/>
      <c r="I41" s="104"/>
      <c r="J41" s="234"/>
      <c r="K41" s="102">
        <f t="shared" si="22"/>
        <v>0.31</v>
      </c>
      <c r="L41" s="102">
        <f t="shared" si="23"/>
        <v>0</v>
      </c>
      <c r="M41" s="106">
        <f t="shared" si="24"/>
        <v>1</v>
      </c>
      <c r="N41" s="106">
        <f t="shared" si="25"/>
        <v>1</v>
      </c>
      <c r="O41" s="106">
        <f t="shared" si="26"/>
        <v>0.99</v>
      </c>
      <c r="P41" s="236">
        <f t="shared" si="27"/>
        <v>0.4</v>
      </c>
      <c r="Q41" s="106"/>
      <c r="R41" s="102">
        <f t="shared" si="4"/>
        <v>2.2450000000000001</v>
      </c>
      <c r="S41" s="102">
        <f t="shared" si="5"/>
        <v>0</v>
      </c>
      <c r="T41" s="106">
        <f t="shared" si="6"/>
        <v>1.1499999999999999</v>
      </c>
      <c r="U41" s="106">
        <f t="shared" si="28"/>
        <v>1</v>
      </c>
      <c r="V41" s="106">
        <f t="shared" si="29"/>
        <v>0.81</v>
      </c>
      <c r="W41" s="236">
        <f t="shared" si="30"/>
        <v>1.6</v>
      </c>
      <c r="X41" s="106"/>
      <c r="Y41" s="102">
        <f t="shared" si="7"/>
        <v>2.2450000000000001</v>
      </c>
      <c r="Z41" s="102">
        <f t="shared" si="8"/>
        <v>0</v>
      </c>
      <c r="AA41" s="106">
        <f t="shared" si="9"/>
        <v>1.1499999999999999</v>
      </c>
      <c r="AB41" s="106">
        <f t="shared" si="31"/>
        <v>1</v>
      </c>
      <c r="AC41" s="106">
        <f t="shared" si="10"/>
        <v>0.81</v>
      </c>
      <c r="AD41" s="236">
        <f t="shared" si="32"/>
        <v>1.6</v>
      </c>
      <c r="AE41" s="106"/>
      <c r="AF41" s="102">
        <f t="shared" si="11"/>
        <v>2.2450000000000001</v>
      </c>
      <c r="AG41" s="102">
        <f t="shared" si="12"/>
        <v>0</v>
      </c>
      <c r="AH41" s="106">
        <f t="shared" si="13"/>
        <v>1.1499999999999999</v>
      </c>
      <c r="AI41" s="106">
        <f t="shared" si="33"/>
        <v>1</v>
      </c>
      <c r="AJ41" s="106">
        <f t="shared" si="14"/>
        <v>0.81</v>
      </c>
      <c r="AK41" s="236">
        <f t="shared" si="34"/>
        <v>1</v>
      </c>
      <c r="AM41" s="80">
        <f t="shared" si="35"/>
        <v>6.8245902043498008E-2</v>
      </c>
      <c r="AN41" s="182">
        <f t="shared" si="15"/>
        <v>31</v>
      </c>
      <c r="AP41" s="82">
        <f t="shared" si="36"/>
        <v>31</v>
      </c>
      <c r="AQ41" s="132">
        <f t="shared" si="37"/>
        <v>5.1599999999999993</v>
      </c>
      <c r="AR41" s="132">
        <f t="shared" si="38"/>
        <v>4.8499999999999996</v>
      </c>
      <c r="AS41" s="132">
        <f t="shared" si="39"/>
        <v>159.95999999999998</v>
      </c>
      <c r="AT41" s="132">
        <f t="shared" si="40"/>
        <v>150.35</v>
      </c>
      <c r="AU41" s="235">
        <f t="shared" si="41"/>
        <v>0.6</v>
      </c>
      <c r="AV41" s="235">
        <f t="shared" si="42"/>
        <v>0.6</v>
      </c>
      <c r="AW41" s="106">
        <f t="shared" si="43"/>
        <v>0.99</v>
      </c>
      <c r="AX41" s="237">
        <f ca="1">IF(AP41=0,0,_xll.SPRDOPT(AQ41,AR41,$P41,$AM41,AU41,AV41,AW41,$F41,$B$19,0))</f>
        <v>6.9426272624203533E-2</v>
      </c>
      <c r="AY41" s="237">
        <f ca="1">IF(AQ41=0,0,_xll.SPRDOPT(AQ41,AR41,$P41,$AM41,AU41,AV41,AW41,$F41,$B$19,1))</f>
        <v>0.37884500580207087</v>
      </c>
      <c r="AZ41" s="237">
        <f ca="1">IF(AR41=0,0,_xll.SPRDOPT(AQ41,AR41,$P41,$AM41,AU41,AV41,AW41,$F41,$B$19,2))</f>
        <v>-0.36297101325118541</v>
      </c>
      <c r="BA41" s="237">
        <f ca="1">IF(AS41=0,0,_xll.SPRDOPT(AQ41,AR41,$P41,$AM41,AU41,AV41,AW41,$F41,$B$19,3)/100)</f>
        <v>1.379279245991304E-2</v>
      </c>
      <c r="BB41" s="237">
        <f ca="1">IF(AT41=0,0,_xll.SPRDOPT(AQ41,AR41,$P41,$AM41,AU41,AV41,AW41,$F41,$B$19,4)/100)</f>
        <v>1.3472632259961781E-2</v>
      </c>
      <c r="BC41" s="237">
        <f ca="1">IF(AU41=0,0,_xll.SPRDOPT(AQ41,AR41,$P41,$AM41,AU41,AV41,AW41,$F41,$B$19,5)/100)</f>
        <v>5.7342942678163811E-3</v>
      </c>
      <c r="BD41" s="237">
        <f ca="1">IF(AV41=0,0,_xll.SPRDOPT(AQ41,AR41,$P41,$AM41,AU41,AV41,AW41,$F41,$B$19,6)/100)</f>
        <v>-4.0219784138776447E-3</v>
      </c>
      <c r="BE41" s="237">
        <f ca="1">IF(AW41=0,0,_xll.SPRDOPT(AQ41,AR41,$P41,$AM41,AU41,AV41,AW41,$F41,$B$19,7)/100)</f>
        <v>-3.9667706442922994E-2</v>
      </c>
      <c r="BF41" s="237">
        <f ca="1">IF(AX41=0,0,_xll.SPRDOPT(AQ41,AR41,$P41,$AM41,AU41,AV41,AW41,$F41,$B$19,9)/365)</f>
        <v>-4.226517476867186E-4</v>
      </c>
      <c r="BG41" s="237">
        <f t="shared" ca="1" si="44"/>
        <v>1.5873992550885452E-2</v>
      </c>
      <c r="BH41" s="237">
        <f t="shared" ca="1" si="45"/>
        <v>-3.2016019995125856E-4</v>
      </c>
      <c r="BI41" s="237">
        <f t="shared" ca="1" si="46"/>
        <v>1.7123158539387364E-3</v>
      </c>
      <c r="BJ41" s="206"/>
      <c r="BK41" s="109">
        <f t="shared" ca="1" si="47"/>
        <v>2.1522144513503094</v>
      </c>
      <c r="BL41" s="109">
        <f t="shared" ca="1" si="48"/>
        <v>11.744195179864198</v>
      </c>
      <c r="BM41" s="109">
        <f t="shared" ca="1" si="49"/>
        <v>-11.252101410786748</v>
      </c>
      <c r="BN41" s="109">
        <f t="shared" ca="1" si="50"/>
        <v>0.42757656625730422</v>
      </c>
      <c r="BO41" s="109">
        <f t="shared" ca="1" si="51"/>
        <v>0.41765160005881524</v>
      </c>
      <c r="BP41" s="109">
        <f t="shared" ca="1" si="52"/>
        <v>0.17776312230230781</v>
      </c>
      <c r="BQ41" s="109">
        <f t="shared" ca="1" si="53"/>
        <v>-0.12468133083020698</v>
      </c>
      <c r="BR41" s="109">
        <f t="shared" ca="1" si="54"/>
        <v>-1.2296988997306129</v>
      </c>
      <c r="BS41" s="109">
        <f t="shared" ca="1" si="55"/>
        <v>-1.3102204178288276E-2</v>
      </c>
      <c r="BT41" s="109">
        <f t="shared" ca="1" si="56"/>
        <v>0.49209376907744901</v>
      </c>
      <c r="BU41" s="109">
        <f t="shared" ca="1" si="57"/>
        <v>-9.9249661984890155E-3</v>
      </c>
      <c r="BV41" s="109">
        <f t="shared" ca="1" si="58"/>
        <v>5.3081791472100827E-2</v>
      </c>
      <c r="BX41" s="82">
        <f t="shared" si="59"/>
        <v>31</v>
      </c>
      <c r="BY41" s="132">
        <f t="shared" si="60"/>
        <v>7.1049999999999995</v>
      </c>
      <c r="BZ41" s="132">
        <f t="shared" si="61"/>
        <v>4.8499999999999996</v>
      </c>
      <c r="CA41" s="132">
        <f t="shared" si="62"/>
        <v>220.255</v>
      </c>
      <c r="CB41" s="132">
        <f t="shared" si="63"/>
        <v>150.35</v>
      </c>
      <c r="CC41" s="235">
        <f t="shared" si="64"/>
        <v>0.69</v>
      </c>
      <c r="CD41" s="235">
        <f t="shared" si="65"/>
        <v>0.6</v>
      </c>
      <c r="CE41" s="106">
        <f t="shared" si="66"/>
        <v>0.81</v>
      </c>
      <c r="CF41" s="237">
        <f ca="1">IF(BX41=0,0,_xll.SPRDOPT(BY41,BZ41,$W41,$AM41,CC41,CD41,CE41,$F41,$D$19,0))</f>
        <v>1.000765899480198</v>
      </c>
      <c r="CG41" s="237">
        <f ca="1">IF(BY41=0,0,_xll.SPRDOPT(BY41,BZ41,$W41,$AM41,CC41,CD41,CE41,$F41,$D$19,1))</f>
        <v>0.68595549749487861</v>
      </c>
      <c r="CH41" s="237">
        <f ca="1">IF(BZ41=0,0,_xll.SPRDOPT(BY41,BZ41,$W41,$AM41,CC41,CD41,CE41,$F41,$D$19,2))</f>
        <v>-0.60897924224444544</v>
      </c>
      <c r="CI41" s="237">
        <f ca="1">IF(CA41=0,0,_xll.SPRDOPT(BY41,BZ41,$W41,$AM41,CC41,CD41,CE41,$F41,$D$19,3)/100)</f>
        <v>2.0015283173366316E-3</v>
      </c>
      <c r="CJ41" s="237">
        <f ca="1">IF(CB41=0,0,_xll.SPRDOPT(BY41,BZ41,$W41,$AM41,CC41,CD41,CE41,$F41,$D$19,4)/100)</f>
        <v>2.4252366328385406E-3</v>
      </c>
      <c r="CK41" s="237">
        <f ca="1">IF(CC41=0,0,_xll.SPRDOPT(BY41,BZ41,$W41,$AM41,CC41,CD41,CE41,$F41,$D$19,5)/100)</f>
        <v>1.0643210763374201E-2</v>
      </c>
      <c r="CL41" s="237">
        <f ca="1">IF(CD41=0,0,_xll.SPRDOPT(BY41,BZ41,$W41,$AM41,CC41,CD41,CE41,$F41,$D$19,6)/100)</f>
        <v>-2.6038419390835986E-3</v>
      </c>
      <c r="CM41" s="237">
        <f ca="1">IF(CE41=0,0,_xll.SPRDOPT(BY41,BZ41,$W41,$AM41,CC41,CD41,CE41,$F41,$D$19,7)/100)</f>
        <v>-1.0120039558797127E-2</v>
      </c>
      <c r="CN41" s="237">
        <f ca="1">IF(CF41=0,0,_xll.SPRDOPT(BY41,BZ41,$W41,$AM41,CC41,CD41,CE41,$F41,$D$19,9)/365)</f>
        <v>-2.2643521508786527E-3</v>
      </c>
      <c r="CO41" s="237">
        <f t="shared" ca="1" si="67"/>
        <v>7.6976255250433168E-2</v>
      </c>
      <c r="CP41" s="237">
        <f t="shared" ca="1" si="68"/>
        <v>4.2370831550190896E-4</v>
      </c>
      <c r="CQ41" s="237">
        <f t="shared" ca="1" si="69"/>
        <v>9.6358504387967312E-3</v>
      </c>
      <c r="CR41" s="206"/>
      <c r="CS41" s="109">
        <f t="shared" ca="1" si="70"/>
        <v>31.02374288388614</v>
      </c>
      <c r="CT41" s="109">
        <f t="shared" ca="1" si="71"/>
        <v>21.264620422341238</v>
      </c>
      <c r="CU41" s="109">
        <f t="shared" ca="1" si="72"/>
        <v>-18.878356509577809</v>
      </c>
      <c r="CV41" s="109">
        <f t="shared" ca="1" si="73"/>
        <v>6.204737783743558E-2</v>
      </c>
      <c r="CW41" s="109">
        <f t="shared" ca="1" si="74"/>
        <v>7.5182335617994756E-2</v>
      </c>
      <c r="CX41" s="109">
        <f t="shared" ca="1" si="75"/>
        <v>0.32993953366460022</v>
      </c>
      <c r="CY41" s="109">
        <f t="shared" ca="1" si="76"/>
        <v>-8.0719100111591557E-2</v>
      </c>
      <c r="CZ41" s="109">
        <f t="shared" ca="1" si="77"/>
        <v>-0.31372122632271093</v>
      </c>
      <c r="DA41" s="109">
        <f t="shared" ca="1" si="78"/>
        <v>-7.0194916677238234E-2</v>
      </c>
      <c r="DB41" s="109">
        <f t="shared" ca="1" si="79"/>
        <v>2.386263912763428</v>
      </c>
      <c r="DC41" s="109">
        <f t="shared" ca="1" si="80"/>
        <v>1.3134957780559177E-2</v>
      </c>
      <c r="DD41" s="109">
        <f t="shared" ca="1" si="81"/>
        <v>0.29871136360269868</v>
      </c>
      <c r="DF41" s="82">
        <f t="shared" si="82"/>
        <v>31</v>
      </c>
      <c r="DG41" s="132">
        <f t="shared" si="83"/>
        <v>7.1049999999999995</v>
      </c>
      <c r="DH41" s="132">
        <f t="shared" si="84"/>
        <v>4.8499999999999996</v>
      </c>
      <c r="DI41" s="132">
        <f t="shared" si="85"/>
        <v>220.255</v>
      </c>
      <c r="DJ41" s="132">
        <f t="shared" si="86"/>
        <v>150.35</v>
      </c>
      <c r="DK41" s="235">
        <f t="shared" si="87"/>
        <v>0.69</v>
      </c>
      <c r="DL41" s="235">
        <f t="shared" si="88"/>
        <v>0.6</v>
      </c>
      <c r="DM41" s="106">
        <f t="shared" si="89"/>
        <v>0.81</v>
      </c>
      <c r="DN41" s="237">
        <f ca="1">IF(DF41=0,0,_xll.SPRDOPT(DG41,DH41,$AD41,$AM41,DK41,DL41,DM41,$F41,$F$19,0))</f>
        <v>1.000765899480198</v>
      </c>
      <c r="DO41" s="237">
        <f ca="1">IF(DG41=0,0,_xll.SPRDOPT(DG41,DH41,$AD41,$AM41,DK41,DL41,DM41,$F41,$F$19,1))</f>
        <v>0.68595549749487861</v>
      </c>
      <c r="DP41" s="237">
        <f ca="1">IF(DH41=0,0,_xll.SPRDOPT(DG41,DH41,$AD41,$AM41,DK41,DL41,DM41,$F41,$F$19,2))</f>
        <v>-0.60897924224444544</v>
      </c>
      <c r="DQ41" s="237">
        <f ca="1">IF(DI41=0,0,_xll.SPRDOPT(DG41,DH41,$AD41,$AM41,DK41,DL41,DM41,$F41,$F$19,3)/100)</f>
        <v>2.0015283173366316E-3</v>
      </c>
      <c r="DR41" s="237">
        <f ca="1">IF(DJ41=0,0,_xll.SPRDOPT(DG41,DH41,$AD41,$AM41,DK41,DL41,DM41,$F41,$F$19,4)/100)</f>
        <v>2.4252366328385406E-3</v>
      </c>
      <c r="DS41" s="237">
        <f ca="1">IF(DK41=0,0,_xll.SPRDOPT(DG41,DH41,$AD41,$AM41,DK41,DL41,DM41,$F41,$F$19,5)/100)</f>
        <v>1.0643210763374201E-2</v>
      </c>
      <c r="DT41" s="237">
        <f ca="1">IF(DL41=0,0,_xll.SPRDOPT(DG41,DH41,$AD41,$AM41,DK41,DL41,DM41,$F41,$F$19,6)/100)</f>
        <v>-2.6038419390835986E-3</v>
      </c>
      <c r="DU41" s="237">
        <f ca="1">IF(DM41=0,0,_xll.SPRDOPT(DG41,DH41,$AD41,$AM41,DK41,DL41,DM41,$F41,$F$19,7)/100)</f>
        <v>-1.0120039558797127E-2</v>
      </c>
      <c r="DV41" s="237">
        <f ca="1">IF(DN41=0,0,_xll.SPRDOPT(DG41,DH41,$AD41,$AM41,DK41,DL41,DM41,$F41,$F$19,9)/365)</f>
        <v>-2.2643521508786527E-3</v>
      </c>
      <c r="DW41" s="237">
        <f t="shared" ca="1" si="90"/>
        <v>7.6976255250433168E-2</v>
      </c>
      <c r="DX41" s="237">
        <f t="shared" ca="1" si="91"/>
        <v>4.2370831550190896E-4</v>
      </c>
      <c r="DY41" s="237">
        <f t="shared" ca="1" si="92"/>
        <v>9.6358504387967312E-3</v>
      </c>
      <c r="DZ41" s="206"/>
      <c r="EA41" s="109">
        <f t="shared" ca="1" si="93"/>
        <v>31.02374288388614</v>
      </c>
      <c r="EB41" s="109">
        <f t="shared" ca="1" si="94"/>
        <v>21.264620422341238</v>
      </c>
      <c r="EC41" s="109">
        <f t="shared" ca="1" si="95"/>
        <v>-18.878356509577809</v>
      </c>
      <c r="ED41" s="109">
        <f t="shared" ca="1" si="96"/>
        <v>6.204737783743558E-2</v>
      </c>
      <c r="EE41" s="109">
        <f t="shared" ca="1" si="97"/>
        <v>7.5182335617994756E-2</v>
      </c>
      <c r="EF41" s="109">
        <f t="shared" ca="1" si="98"/>
        <v>0.32993953366460022</v>
      </c>
      <c r="EG41" s="109">
        <f t="shared" ca="1" si="99"/>
        <v>-8.0719100111591557E-2</v>
      </c>
      <c r="EH41" s="109">
        <f t="shared" ca="1" si="100"/>
        <v>-0.31372122632271093</v>
      </c>
      <c r="EI41" s="109">
        <f t="shared" ca="1" si="101"/>
        <v>-7.0194916677238234E-2</v>
      </c>
      <c r="EJ41" s="109">
        <f t="shared" ca="1" si="102"/>
        <v>2.386263912763428</v>
      </c>
      <c r="EK41" s="109">
        <f t="shared" ca="1" si="103"/>
        <v>1.3134957780559177E-2</v>
      </c>
      <c r="EL41" s="109">
        <f t="shared" ca="1" si="104"/>
        <v>0.29871136360269868</v>
      </c>
      <c r="EN41" s="82">
        <f t="shared" si="105"/>
        <v>0</v>
      </c>
      <c r="EO41" s="132">
        <f t="shared" si="106"/>
        <v>7.16</v>
      </c>
      <c r="EP41" s="132">
        <f t="shared" si="107"/>
        <v>4.8499999999999996</v>
      </c>
      <c r="EQ41" s="132">
        <f t="shared" si="108"/>
        <v>0</v>
      </c>
      <c r="ER41" s="132">
        <f t="shared" si="109"/>
        <v>0</v>
      </c>
      <c r="ES41" s="235">
        <f t="shared" si="110"/>
        <v>0.69</v>
      </c>
      <c r="ET41" s="235">
        <f t="shared" si="111"/>
        <v>0.6</v>
      </c>
      <c r="EU41" s="106">
        <f t="shared" si="112"/>
        <v>0.81</v>
      </c>
      <c r="EV41" s="237">
        <f>IF(EN41=0,0,_xll.SPRDOPT(EO41,EP41,$AK41,$AM41,ES41,ET41,EU41,$F41,$H$19,0))</f>
        <v>0</v>
      </c>
      <c r="EW41" s="237">
        <f ca="1">IF(EO41=0,0,_xll.SPRDOPT(EO41,EP41,$AK41,$AM41,ES41,ET41,EU41,$F41,$H$19,1))</f>
        <v>-0.15888078963312224</v>
      </c>
      <c r="EX41" s="237">
        <f ca="1">IF(EP41=0,0,_xll.SPRDOPT(EO41,EP41,$AK41,$AM41,ES41,ET41,EU41,$F41,$H$19,2))</f>
        <v>0.21837590231768766</v>
      </c>
      <c r="EY41" s="237">
        <f>IF(EQ41=0,0,_xll.SPRDOPT(EO41,EP41,$AK41,$AM41,ES41,ET41,EU41,$F41,$H$19,3)/100)</f>
        <v>0</v>
      </c>
      <c r="EZ41" s="237">
        <f>IF(ER41=0,0,_xll.SPRDOPT(EO41,EP41,$AK41,$AM41,ES41,ET41,EU41,$F41,$H$19,4)/100)</f>
        <v>0</v>
      </c>
      <c r="FA41" s="237">
        <f ca="1">IF(ES41=0,0,_xll.SPRDOPT(EO41,EP41,$AK41,$AM41,ES41,ET41,EU41,$F41,$H$19,5)/100)</f>
        <v>6.9052568957417466E-3</v>
      </c>
      <c r="FB41" s="237">
        <f ca="1">IF(ET41=0,0,_xll.SPRDOPT(EO41,EP41,$AK41,$AM41,ES41,ET41,EU41,$F41,$H$19,6)/100)</f>
        <v>-1.2337809901298792E-3</v>
      </c>
      <c r="FC41" s="237">
        <f ca="1">IF(EU41=0,0,_xll.SPRDOPT(EO41,EP41,$AK41,$AM41,ES41,ET41,EU41,$F41,$H$19,7)/100)</f>
        <v>-8.1299815914206552E-3</v>
      </c>
      <c r="FD41" s="237">
        <f>IF(EV41=0,0,_xll.SPRDOPT(EO41,EP41,$AK41,$AM41,ES41,ET41,EU41,$F41,$H$19,9)/365)</f>
        <v>0</v>
      </c>
      <c r="FE41" s="237">
        <f t="shared" ca="1" si="113"/>
        <v>5.9495112684565421E-2</v>
      </c>
      <c r="FF41" s="237">
        <f t="shared" si="114"/>
        <v>0</v>
      </c>
      <c r="FG41" s="237">
        <f t="shared" ca="1" si="115"/>
        <v>6.7072644399731284E-3</v>
      </c>
      <c r="FH41" s="206"/>
      <c r="FI41" s="109">
        <f t="shared" si="116"/>
        <v>0</v>
      </c>
      <c r="FJ41" s="109">
        <f t="shared" ca="1" si="117"/>
        <v>0</v>
      </c>
      <c r="FK41" s="109">
        <f t="shared" ca="1" si="118"/>
        <v>0</v>
      </c>
      <c r="FL41" s="109">
        <f t="shared" si="119"/>
        <v>0</v>
      </c>
      <c r="FM41" s="109">
        <f t="shared" si="120"/>
        <v>0</v>
      </c>
      <c r="FN41" s="109">
        <f t="shared" ca="1" si="121"/>
        <v>0</v>
      </c>
      <c r="FO41" s="109">
        <f t="shared" ca="1" si="122"/>
        <v>0</v>
      </c>
      <c r="FP41" s="109">
        <f t="shared" ca="1" si="123"/>
        <v>0</v>
      </c>
      <c r="FQ41" s="109">
        <f t="shared" si="124"/>
        <v>0</v>
      </c>
      <c r="FR41" s="109">
        <f t="shared" ca="1" si="125"/>
        <v>0</v>
      </c>
      <c r="FS41" s="109">
        <f t="shared" si="126"/>
        <v>0</v>
      </c>
      <c r="FT41" s="109">
        <f t="shared" ca="1" si="127"/>
        <v>0</v>
      </c>
    </row>
    <row r="42" spans="1:176" x14ac:dyDescent="0.25">
      <c r="A42" s="101">
        <f t="shared" si="18"/>
        <v>36923</v>
      </c>
      <c r="B42" s="102">
        <f t="shared" si="19"/>
        <v>4.58</v>
      </c>
      <c r="C42" s="80">
        <f t="shared" si="20"/>
        <v>0.59250000000000003</v>
      </c>
      <c r="D42" s="102"/>
      <c r="E42" s="106"/>
      <c r="F42" s="105">
        <f t="shared" ca="1" si="21"/>
        <v>151</v>
      </c>
      <c r="G42" s="80"/>
      <c r="H42" s="80"/>
      <c r="I42" s="104"/>
      <c r="J42" s="234"/>
      <c r="K42" s="102">
        <f t="shared" si="22"/>
        <v>0.315</v>
      </c>
      <c r="L42" s="102">
        <f t="shared" si="23"/>
        <v>0</v>
      </c>
      <c r="M42" s="106">
        <f t="shared" si="24"/>
        <v>1</v>
      </c>
      <c r="N42" s="106">
        <f t="shared" si="25"/>
        <v>1</v>
      </c>
      <c r="O42" s="106">
        <f t="shared" si="26"/>
        <v>0.99</v>
      </c>
      <c r="P42" s="236">
        <f t="shared" si="27"/>
        <v>0.4</v>
      </c>
      <c r="Q42" s="106"/>
      <c r="R42" s="102">
        <f t="shared" si="4"/>
        <v>2.1749999999999998</v>
      </c>
      <c r="S42" s="102">
        <f t="shared" si="5"/>
        <v>0</v>
      </c>
      <c r="T42" s="106">
        <f t="shared" si="6"/>
        <v>1.1499999999999999</v>
      </c>
      <c r="U42" s="106">
        <f t="shared" si="28"/>
        <v>1</v>
      </c>
      <c r="V42" s="106">
        <f t="shared" si="29"/>
        <v>0.81</v>
      </c>
      <c r="W42" s="236">
        <f t="shared" si="30"/>
        <v>1.6</v>
      </c>
      <c r="X42" s="106"/>
      <c r="Y42" s="102">
        <f t="shared" si="7"/>
        <v>2.1749999999999998</v>
      </c>
      <c r="Z42" s="102">
        <f t="shared" si="8"/>
        <v>0</v>
      </c>
      <c r="AA42" s="106">
        <f t="shared" si="9"/>
        <v>1.1499999999999999</v>
      </c>
      <c r="AB42" s="106">
        <f t="shared" si="31"/>
        <v>1</v>
      </c>
      <c r="AC42" s="106">
        <f t="shared" si="10"/>
        <v>0.81</v>
      </c>
      <c r="AD42" s="236">
        <f t="shared" si="32"/>
        <v>1.6</v>
      </c>
      <c r="AE42" s="106"/>
      <c r="AF42" s="102">
        <f t="shared" si="11"/>
        <v>2.1749999999999998</v>
      </c>
      <c r="AG42" s="102">
        <f t="shared" si="12"/>
        <v>0</v>
      </c>
      <c r="AH42" s="106">
        <f t="shared" si="13"/>
        <v>1.1499999999999999</v>
      </c>
      <c r="AI42" s="106">
        <f t="shared" si="33"/>
        <v>1</v>
      </c>
      <c r="AJ42" s="106">
        <f t="shared" si="14"/>
        <v>0.81</v>
      </c>
      <c r="AK42" s="236">
        <f t="shared" si="34"/>
        <v>1</v>
      </c>
      <c r="AM42" s="80">
        <f t="shared" si="35"/>
        <v>6.8477342037279024E-2</v>
      </c>
      <c r="AN42" s="182">
        <f t="shared" si="15"/>
        <v>28</v>
      </c>
      <c r="AP42" s="82">
        <f t="shared" si="36"/>
        <v>28</v>
      </c>
      <c r="AQ42" s="132">
        <f t="shared" si="37"/>
        <v>4.8950000000000005</v>
      </c>
      <c r="AR42" s="132">
        <f t="shared" si="38"/>
        <v>4.58</v>
      </c>
      <c r="AS42" s="132">
        <f t="shared" si="39"/>
        <v>137.06</v>
      </c>
      <c r="AT42" s="132">
        <f t="shared" si="40"/>
        <v>128.24</v>
      </c>
      <c r="AU42" s="235">
        <f t="shared" si="41"/>
        <v>0.59250000000000003</v>
      </c>
      <c r="AV42" s="235">
        <f t="shared" si="42"/>
        <v>0.59250000000000003</v>
      </c>
      <c r="AW42" s="106">
        <f t="shared" si="43"/>
        <v>0.99</v>
      </c>
      <c r="AX42" s="237">
        <f ca="1">IF(AP42=0,0,_xll.SPRDOPT(AQ42,AR42,$P42,$AM42,AU42,AV42,AW42,$F42,$B$19,0))</f>
        <v>7.8196746168346778E-2</v>
      </c>
      <c r="AY42" s="237">
        <f ca="1">IF(AQ42=0,0,_xll.SPRDOPT(AQ42,AR42,$P42,$AM42,AU42,AV42,AW42,$F42,$B$19,1))</f>
        <v>0.39363032319965297</v>
      </c>
      <c r="AZ42" s="237">
        <f ca="1">IF(AR42=0,0,_xll.SPRDOPT(AQ42,AR42,$P42,$AM42,AU42,AV42,AW42,$F42,$B$19,2))</f>
        <v>-0.37597901313892984</v>
      </c>
      <c r="BA42" s="237">
        <f ca="1">IF(AS42=0,0,_xll.SPRDOPT(AQ42,AR42,$P42,$AM42,AU42,AV42,AW42,$F42,$B$19,3)/100)</f>
        <v>1.2969498622742109E-2</v>
      </c>
      <c r="BB42" s="237">
        <f ca="1">IF(AT42=0,0,_xll.SPRDOPT(AQ42,AR42,$P42,$AM42,AU42,AV42,AW42,$F42,$B$19,4)/100)</f>
        <v>1.2698302454356882E-2</v>
      </c>
      <c r="BC42" s="237">
        <f ca="1">IF(AU42=0,0,_xll.SPRDOPT(AQ42,AR42,$P42,$AM42,AU42,AV42,AW42,$F42,$B$19,5)/100)</f>
        <v>6.3732857013889723E-3</v>
      </c>
      <c r="BD42" s="237">
        <f ca="1">IF(AV42=0,0,_xll.SPRDOPT(AQ42,AR42,$P42,$AM42,AU42,AV42,AW42,$F42,$B$19,6)/100)</f>
        <v>-4.5018782587497299E-3</v>
      </c>
      <c r="BE42" s="237">
        <f ca="1">IF(AW42=0,0,_xll.SPRDOPT(AQ42,AR42,$P42,$AM42,AU42,AV42,AW42,$F42,$B$19,7)/100)</f>
        <v>-4.1742849228666327E-2</v>
      </c>
      <c r="BF42" s="237">
        <f ca="1">IF(AX42=0,0,_xll.SPRDOPT(AQ42,AR42,$P42,$AM42,AU42,AV42,AW42,$F42,$B$19,9)/365)</f>
        <v>-3.5273633204061704E-4</v>
      </c>
      <c r="BG42" s="237">
        <f t="shared" ca="1" si="44"/>
        <v>1.7651310060723124E-2</v>
      </c>
      <c r="BH42" s="237">
        <f t="shared" ca="1" si="45"/>
        <v>-2.7119616838522723E-4</v>
      </c>
      <c r="BI42" s="237">
        <f t="shared" ca="1" si="46"/>
        <v>1.8714074426392424E-3</v>
      </c>
      <c r="BJ42" s="206"/>
      <c r="BK42" s="109">
        <f t="shared" ca="1" si="47"/>
        <v>2.1895088927137096</v>
      </c>
      <c r="BL42" s="109">
        <f t="shared" ca="1" si="48"/>
        <v>11.021649049590284</v>
      </c>
      <c r="BM42" s="109">
        <f t="shared" ca="1" si="49"/>
        <v>-10.527412367890035</v>
      </c>
      <c r="BN42" s="109">
        <f t="shared" ca="1" si="50"/>
        <v>0.36314596143677907</v>
      </c>
      <c r="BO42" s="109">
        <f t="shared" ca="1" si="51"/>
        <v>0.3555524687219927</v>
      </c>
      <c r="BP42" s="109">
        <f t="shared" ca="1" si="52"/>
        <v>0.17845199963889122</v>
      </c>
      <c r="BQ42" s="109">
        <f t="shared" ca="1" si="53"/>
        <v>-0.12605259124499243</v>
      </c>
      <c r="BR42" s="109">
        <f t="shared" ca="1" si="54"/>
        <v>-1.1687997784026571</v>
      </c>
      <c r="BS42" s="109">
        <f t="shared" ca="1" si="55"/>
        <v>-9.8766172971372773E-3</v>
      </c>
      <c r="BT42" s="109">
        <f t="shared" ca="1" si="56"/>
        <v>0.49423668170024748</v>
      </c>
      <c r="BU42" s="109">
        <f t="shared" ca="1" si="57"/>
        <v>-7.5934927147863623E-3</v>
      </c>
      <c r="BV42" s="109">
        <f t="shared" ca="1" si="58"/>
        <v>5.2399408393898783E-2</v>
      </c>
      <c r="BX42" s="82">
        <f t="shared" si="59"/>
        <v>28</v>
      </c>
      <c r="BY42" s="132">
        <f t="shared" si="60"/>
        <v>6.7649999999999997</v>
      </c>
      <c r="BZ42" s="132">
        <f t="shared" si="61"/>
        <v>4.58</v>
      </c>
      <c r="CA42" s="132">
        <f t="shared" si="62"/>
        <v>189.42</v>
      </c>
      <c r="CB42" s="132">
        <f t="shared" si="63"/>
        <v>128.24</v>
      </c>
      <c r="CC42" s="235">
        <f t="shared" si="64"/>
        <v>0.68137499999999995</v>
      </c>
      <c r="CD42" s="235">
        <f t="shared" si="65"/>
        <v>0.59250000000000003</v>
      </c>
      <c r="CE42" s="106">
        <f t="shared" si="66"/>
        <v>0.81</v>
      </c>
      <c r="CF42" s="237">
        <f ca="1">IF(BX42=0,0,_xll.SPRDOPT(BY42,BZ42,$W42,$AM42,CC42,CD42,CE42,$F42,$D$19,0))</f>
        <v>0.99209259094828506</v>
      </c>
      <c r="CG42" s="237">
        <f ca="1">IF(BY42=0,0,_xll.SPRDOPT(BY42,BZ42,$W42,$AM42,CC42,CD42,CE42,$F42,$D$19,1))</f>
        <v>0.66387430263590463</v>
      </c>
      <c r="CH42" s="237">
        <f ca="1">IF(BZ42=0,0,_xll.SPRDOPT(BY42,BZ42,$W42,$AM42,CC42,CD42,CE42,$F42,$D$19,2))</f>
        <v>-0.57676117262475812</v>
      </c>
      <c r="CI42" s="237">
        <f ca="1">IF(CA42=0,0,_xll.SPRDOPT(BY42,BZ42,$W42,$AM42,CC42,CD42,CE42,$F42,$D$19,3)/100)</f>
        <v>1.9116679731217743E-3</v>
      </c>
      <c r="CJ42" s="237">
        <f ca="1">IF(CB42=0,0,_xll.SPRDOPT(BY42,BZ42,$W42,$AM42,CC42,CD42,CE42,$F42,$D$19,4)/100)</f>
        <v>2.3002379078748223E-3</v>
      </c>
      <c r="CK42" s="237">
        <f ca="1">IF(CC42=0,0,_xll.SPRDOPT(BY42,BZ42,$W42,$AM42,CC42,CD42,CE42,$F42,$D$19,5)/100)</f>
        <v>1.1811078808302882E-2</v>
      </c>
      <c r="CL42" s="237">
        <f ca="1">IF(CD42=0,0,_xll.SPRDOPT(BY42,BZ42,$W42,$AM42,CC42,CD42,CE42,$F42,$D$19,6)/100)</f>
        <v>-2.9394780028200412E-3</v>
      </c>
      <c r="CM42" s="237">
        <f ca="1">IF(CE42=0,0,_xll.SPRDOPT(BY42,BZ42,$W42,$AM42,CC42,CD42,CE42,$F42,$D$19,7)/100)</f>
        <v>-1.0795579408802977E-2</v>
      </c>
      <c r="CN42" s="237">
        <f ca="1">IF(CF42=0,0,_xll.SPRDOPT(BY42,BZ42,$W42,$AM42,CC42,CD42,CE42,$F42,$D$19,9)/365)</f>
        <v>-1.9034281161088775E-3</v>
      </c>
      <c r="CO42" s="237">
        <f t="shared" ca="1" si="67"/>
        <v>8.7113130011146511E-2</v>
      </c>
      <c r="CP42" s="237">
        <f t="shared" ca="1" si="68"/>
        <v>3.8856993475304804E-4</v>
      </c>
      <c r="CQ42" s="237">
        <f t="shared" ca="1" si="69"/>
        <v>1.0643262626728272E-2</v>
      </c>
      <c r="CR42" s="206"/>
      <c r="CS42" s="109">
        <f t="shared" ca="1" si="70"/>
        <v>27.77859254655198</v>
      </c>
      <c r="CT42" s="109">
        <f t="shared" ca="1" si="71"/>
        <v>18.58848047380533</v>
      </c>
      <c r="CU42" s="109">
        <f t="shared" ca="1" si="72"/>
        <v>-16.149312833493227</v>
      </c>
      <c r="CV42" s="109">
        <f t="shared" ca="1" si="73"/>
        <v>5.3526703247409678E-2</v>
      </c>
      <c r="CW42" s="109">
        <f t="shared" ca="1" si="74"/>
        <v>6.4406661420495032E-2</v>
      </c>
      <c r="CX42" s="109">
        <f t="shared" ca="1" si="75"/>
        <v>0.33071020663248069</v>
      </c>
      <c r="CY42" s="109">
        <f t="shared" ca="1" si="76"/>
        <v>-8.2305384078961152E-2</v>
      </c>
      <c r="CZ42" s="109">
        <f t="shared" ca="1" si="77"/>
        <v>-0.30227622344648336</v>
      </c>
      <c r="DA42" s="109">
        <f t="shared" ca="1" si="78"/>
        <v>-5.3295987251048567E-2</v>
      </c>
      <c r="DB42" s="109">
        <f t="shared" ca="1" si="79"/>
        <v>2.4391676403121023</v>
      </c>
      <c r="DC42" s="109">
        <f t="shared" ca="1" si="80"/>
        <v>1.0879958173085345E-2</v>
      </c>
      <c r="DD42" s="109">
        <f t="shared" ca="1" si="81"/>
        <v>0.29801135354839164</v>
      </c>
      <c r="DF42" s="82">
        <f t="shared" si="82"/>
        <v>28</v>
      </c>
      <c r="DG42" s="132">
        <f t="shared" si="83"/>
        <v>6.7649999999999997</v>
      </c>
      <c r="DH42" s="132">
        <f t="shared" si="84"/>
        <v>4.58</v>
      </c>
      <c r="DI42" s="132">
        <f t="shared" si="85"/>
        <v>189.42</v>
      </c>
      <c r="DJ42" s="132">
        <f t="shared" si="86"/>
        <v>128.24</v>
      </c>
      <c r="DK42" s="235">
        <f t="shared" si="87"/>
        <v>0.68137499999999995</v>
      </c>
      <c r="DL42" s="235">
        <f t="shared" si="88"/>
        <v>0.59250000000000003</v>
      </c>
      <c r="DM42" s="106">
        <f t="shared" si="89"/>
        <v>0.81</v>
      </c>
      <c r="DN42" s="237">
        <f ca="1">IF(DF42=0,0,_xll.SPRDOPT(DG42,DH42,$AD42,$AM42,DK42,DL42,DM42,$F42,$F$19,0))</f>
        <v>0.99209259094828506</v>
      </c>
      <c r="DO42" s="237">
        <f ca="1">IF(DG42=0,0,_xll.SPRDOPT(DG42,DH42,$AD42,$AM42,DK42,DL42,DM42,$F42,$F$19,1))</f>
        <v>0.66387430263590463</v>
      </c>
      <c r="DP42" s="237">
        <f ca="1">IF(DH42=0,0,_xll.SPRDOPT(DG42,DH42,$AD42,$AM42,DK42,DL42,DM42,$F42,$F$19,2))</f>
        <v>-0.57676117262475812</v>
      </c>
      <c r="DQ42" s="237">
        <f ca="1">IF(DI42=0,0,_xll.SPRDOPT(DG42,DH42,$AD42,$AM42,DK42,DL42,DM42,$F42,$F$19,3)/100)</f>
        <v>1.9116679731217743E-3</v>
      </c>
      <c r="DR42" s="237">
        <f ca="1">IF(DJ42=0,0,_xll.SPRDOPT(DG42,DH42,$AD42,$AM42,DK42,DL42,DM42,$F42,$F$19,4)/100)</f>
        <v>2.3002379078748223E-3</v>
      </c>
      <c r="DS42" s="237">
        <f ca="1">IF(DK42=0,0,_xll.SPRDOPT(DG42,DH42,$AD42,$AM42,DK42,DL42,DM42,$F42,$F$19,5)/100)</f>
        <v>1.1811078808302882E-2</v>
      </c>
      <c r="DT42" s="237">
        <f ca="1">IF(DL42=0,0,_xll.SPRDOPT(DG42,DH42,$AD42,$AM42,DK42,DL42,DM42,$F42,$F$19,6)/100)</f>
        <v>-2.9394780028200412E-3</v>
      </c>
      <c r="DU42" s="237">
        <f ca="1">IF(DM42=0,0,_xll.SPRDOPT(DG42,DH42,$AD42,$AM42,DK42,DL42,DM42,$F42,$F$19,7)/100)</f>
        <v>-1.0795579408802977E-2</v>
      </c>
      <c r="DV42" s="237">
        <f ca="1">IF(DN42=0,0,_xll.SPRDOPT(DG42,DH42,$AD42,$AM42,DK42,DL42,DM42,$F42,$F$19,9)/365)</f>
        <v>-1.9034281161088775E-3</v>
      </c>
      <c r="DW42" s="237">
        <f t="shared" ca="1" si="90"/>
        <v>8.7113130011146511E-2</v>
      </c>
      <c r="DX42" s="237">
        <f t="shared" ca="1" si="91"/>
        <v>3.8856993475304804E-4</v>
      </c>
      <c r="DY42" s="237">
        <f t="shared" ca="1" si="92"/>
        <v>1.0643262626728272E-2</v>
      </c>
      <c r="DZ42" s="206"/>
      <c r="EA42" s="109">
        <f t="shared" ca="1" si="93"/>
        <v>27.77859254655198</v>
      </c>
      <c r="EB42" s="109">
        <f t="shared" ca="1" si="94"/>
        <v>18.58848047380533</v>
      </c>
      <c r="EC42" s="109">
        <f t="shared" ca="1" si="95"/>
        <v>-16.149312833493227</v>
      </c>
      <c r="ED42" s="109">
        <f t="shared" ca="1" si="96"/>
        <v>5.3526703247409678E-2</v>
      </c>
      <c r="EE42" s="109">
        <f t="shared" ca="1" si="97"/>
        <v>6.4406661420495032E-2</v>
      </c>
      <c r="EF42" s="109">
        <f t="shared" ca="1" si="98"/>
        <v>0.33071020663248069</v>
      </c>
      <c r="EG42" s="109">
        <f t="shared" ca="1" si="99"/>
        <v>-8.2305384078961152E-2</v>
      </c>
      <c r="EH42" s="109">
        <f t="shared" ca="1" si="100"/>
        <v>-0.30227622344648336</v>
      </c>
      <c r="EI42" s="109">
        <f t="shared" ca="1" si="101"/>
        <v>-5.3295987251048567E-2</v>
      </c>
      <c r="EJ42" s="109">
        <f t="shared" ca="1" si="102"/>
        <v>2.4391676403121023</v>
      </c>
      <c r="EK42" s="109">
        <f t="shared" ca="1" si="103"/>
        <v>1.0879958173085345E-2</v>
      </c>
      <c r="EL42" s="109">
        <f t="shared" ca="1" si="104"/>
        <v>0.29801135354839164</v>
      </c>
      <c r="EN42" s="82">
        <f t="shared" si="105"/>
        <v>0</v>
      </c>
      <c r="EO42" s="132">
        <f t="shared" si="106"/>
        <v>6.82</v>
      </c>
      <c r="EP42" s="132">
        <f t="shared" si="107"/>
        <v>4.58</v>
      </c>
      <c r="EQ42" s="132">
        <f t="shared" si="108"/>
        <v>0</v>
      </c>
      <c r="ER42" s="132">
        <f t="shared" si="109"/>
        <v>0</v>
      </c>
      <c r="ES42" s="235">
        <f t="shared" si="110"/>
        <v>0.68137499999999995</v>
      </c>
      <c r="ET42" s="235">
        <f t="shared" si="111"/>
        <v>0.59250000000000003</v>
      </c>
      <c r="EU42" s="106">
        <f t="shared" si="112"/>
        <v>0.81</v>
      </c>
      <c r="EV42" s="237">
        <f>IF(EN42=0,0,_xll.SPRDOPT(EO42,EP42,$AK42,$AM42,ES42,ET42,EU42,$F42,$H$19,0))</f>
        <v>0</v>
      </c>
      <c r="EW42" s="237">
        <f ca="1">IF(EO42=0,0,_xll.SPRDOPT(EO42,EP42,$AK42,$AM42,ES42,ET42,EU42,$F42,$H$19,1))</f>
        <v>-0.17871234394708779</v>
      </c>
      <c r="EX42" s="237">
        <f ca="1">IF(EP42=0,0,_xll.SPRDOPT(EO42,EP42,$AK42,$AM42,ES42,ET42,EU42,$F42,$H$19,2))</f>
        <v>0.24993965431082354</v>
      </c>
      <c r="EY42" s="237">
        <f>IF(EQ42=0,0,_xll.SPRDOPT(EO42,EP42,$AK42,$AM42,ES42,ET42,EU42,$F42,$H$19,3)/100)</f>
        <v>0</v>
      </c>
      <c r="EZ42" s="237">
        <f>IF(ER42=0,0,_xll.SPRDOPT(EO42,EP42,$AK42,$AM42,ES42,ET42,EU42,$F42,$H$19,4)/100)</f>
        <v>0</v>
      </c>
      <c r="FA42" s="237">
        <f ca="1">IF(ES42=0,0,_xll.SPRDOPT(EO42,EP42,$AK42,$AM42,ES42,ET42,EU42,$F42,$H$19,5)/100)</f>
        <v>8.0937551536208047E-3</v>
      </c>
      <c r="FB42" s="237">
        <f ca="1">IF(ET42=0,0,_xll.SPRDOPT(EO42,EP42,$AK42,$AM42,ES42,ET42,EU42,$F42,$H$19,6)/100)</f>
        <v>-1.510241641019637E-3</v>
      </c>
      <c r="FC42" s="237">
        <f ca="1">IF(EU42=0,0,_xll.SPRDOPT(EO42,EP42,$AK42,$AM42,ES42,ET42,EU42,$F42,$H$19,7)/100)</f>
        <v>-9.1863612803426264E-3</v>
      </c>
      <c r="FD42" s="237">
        <f>IF(EV42=0,0,_xll.SPRDOPT(EO42,EP42,$AK42,$AM42,ES42,ET42,EU42,$F42,$H$19,9)/365)</f>
        <v>0</v>
      </c>
      <c r="FE42" s="237">
        <f t="shared" ca="1" si="113"/>
        <v>7.1227310363735752E-2</v>
      </c>
      <c r="FF42" s="237">
        <f t="shared" si="114"/>
        <v>0</v>
      </c>
      <c r="FG42" s="237">
        <f t="shared" ca="1" si="115"/>
        <v>7.797576785644288E-3</v>
      </c>
      <c r="FH42" s="206"/>
      <c r="FI42" s="109">
        <f t="shared" si="116"/>
        <v>0</v>
      </c>
      <c r="FJ42" s="109">
        <f t="shared" ca="1" si="117"/>
        <v>0</v>
      </c>
      <c r="FK42" s="109">
        <f t="shared" ca="1" si="118"/>
        <v>0</v>
      </c>
      <c r="FL42" s="109">
        <f t="shared" si="119"/>
        <v>0</v>
      </c>
      <c r="FM42" s="109">
        <f t="shared" si="120"/>
        <v>0</v>
      </c>
      <c r="FN42" s="109">
        <f t="shared" ca="1" si="121"/>
        <v>0</v>
      </c>
      <c r="FO42" s="109">
        <f t="shared" ca="1" si="122"/>
        <v>0</v>
      </c>
      <c r="FP42" s="109">
        <f t="shared" ca="1" si="123"/>
        <v>0</v>
      </c>
      <c r="FQ42" s="109">
        <f t="shared" si="124"/>
        <v>0</v>
      </c>
      <c r="FR42" s="109">
        <f t="shared" ca="1" si="125"/>
        <v>0</v>
      </c>
      <c r="FS42" s="109">
        <f t="shared" si="126"/>
        <v>0</v>
      </c>
      <c r="FT42" s="109">
        <f t="shared" ca="1" si="127"/>
        <v>0</v>
      </c>
    </row>
    <row r="43" spans="1:176" x14ac:dyDescent="0.25">
      <c r="A43" s="101">
        <f t="shared" si="18"/>
        <v>36951</v>
      </c>
      <c r="B43" s="102">
        <f t="shared" si="19"/>
        <v>4.3150000000000004</v>
      </c>
      <c r="C43" s="80">
        <f t="shared" si="20"/>
        <v>0.53</v>
      </c>
      <c r="D43" s="102"/>
      <c r="E43" s="106"/>
      <c r="F43" s="105">
        <f t="shared" ca="1" si="21"/>
        <v>179</v>
      </c>
      <c r="G43" s="80"/>
      <c r="H43" s="80"/>
      <c r="I43" s="104"/>
      <c r="J43" s="234"/>
      <c r="K43" s="102">
        <f t="shared" si="22"/>
        <v>0.29499999999999998</v>
      </c>
      <c r="L43" s="102">
        <f t="shared" si="23"/>
        <v>0</v>
      </c>
      <c r="M43" s="106">
        <f t="shared" si="24"/>
        <v>1</v>
      </c>
      <c r="N43" s="106">
        <f t="shared" si="25"/>
        <v>1</v>
      </c>
      <c r="O43" s="106">
        <f t="shared" si="26"/>
        <v>0.99</v>
      </c>
      <c r="P43" s="236">
        <f t="shared" si="27"/>
        <v>0.4</v>
      </c>
      <c r="Q43" s="106"/>
      <c r="R43" s="102">
        <f t="shared" si="4"/>
        <v>1.135</v>
      </c>
      <c r="S43" s="102">
        <f t="shared" si="5"/>
        <v>0</v>
      </c>
      <c r="T43" s="106">
        <f t="shared" si="6"/>
        <v>1.1499999999999999</v>
      </c>
      <c r="U43" s="106">
        <f t="shared" si="28"/>
        <v>1</v>
      </c>
      <c r="V43" s="106">
        <f t="shared" si="29"/>
        <v>0.81</v>
      </c>
      <c r="W43" s="236">
        <f t="shared" si="30"/>
        <v>1.6</v>
      </c>
      <c r="X43" s="106"/>
      <c r="Y43" s="102">
        <f t="shared" si="7"/>
        <v>1.135</v>
      </c>
      <c r="Z43" s="102">
        <f t="shared" si="8"/>
        <v>0</v>
      </c>
      <c r="AA43" s="106">
        <f t="shared" si="9"/>
        <v>1.1499999999999999</v>
      </c>
      <c r="AB43" s="106">
        <f t="shared" si="31"/>
        <v>1</v>
      </c>
      <c r="AC43" s="106">
        <f t="shared" si="10"/>
        <v>0.81</v>
      </c>
      <c r="AD43" s="236">
        <f t="shared" si="32"/>
        <v>1.6</v>
      </c>
      <c r="AE43" s="106"/>
      <c r="AF43" s="102">
        <f t="shared" si="11"/>
        <v>1.135</v>
      </c>
      <c r="AG43" s="102">
        <f t="shared" si="12"/>
        <v>0</v>
      </c>
      <c r="AH43" s="106">
        <f t="shared" si="13"/>
        <v>1.1499999999999999</v>
      </c>
      <c r="AI43" s="106">
        <f t="shared" si="33"/>
        <v>1</v>
      </c>
      <c r="AJ43" s="106">
        <f t="shared" si="14"/>
        <v>0.81</v>
      </c>
      <c r="AK43" s="236">
        <f t="shared" si="34"/>
        <v>1</v>
      </c>
      <c r="AM43" s="80">
        <f t="shared" si="35"/>
        <v>6.8686384627542008E-2</v>
      </c>
      <c r="AN43" s="182">
        <f t="shared" si="15"/>
        <v>31</v>
      </c>
      <c r="AP43" s="82">
        <f t="shared" si="36"/>
        <v>31</v>
      </c>
      <c r="AQ43" s="132">
        <f t="shared" si="37"/>
        <v>4.6100000000000003</v>
      </c>
      <c r="AR43" s="132">
        <f t="shared" si="38"/>
        <v>4.3150000000000004</v>
      </c>
      <c r="AS43" s="132">
        <f t="shared" si="39"/>
        <v>142.91</v>
      </c>
      <c r="AT43" s="132">
        <f t="shared" si="40"/>
        <v>133.76500000000001</v>
      </c>
      <c r="AU43" s="235">
        <f t="shared" si="41"/>
        <v>0.53</v>
      </c>
      <c r="AV43" s="235">
        <f t="shared" si="42"/>
        <v>0.53</v>
      </c>
      <c r="AW43" s="106">
        <f t="shared" si="43"/>
        <v>0.99</v>
      </c>
      <c r="AX43" s="237">
        <f ca="1">IF(AP43=0,0,_xll.SPRDOPT(AQ43,AR43,$P43,$AM43,AU43,AV43,AW43,$F43,$B$19,0))</f>
        <v>6.3010611909520717E-2</v>
      </c>
      <c r="AY43" s="237">
        <f ca="1">IF(AQ43=0,0,_xll.SPRDOPT(AQ43,AR43,$P43,$AM43,AU43,AV43,AW43,$F43,$B$19,1))</f>
        <v>0.35684931590404184</v>
      </c>
      <c r="AZ43" s="237">
        <f ca="1">IF(AR43=0,0,_xll.SPRDOPT(AQ43,AR43,$P43,$AM43,AU43,AV43,AW43,$F43,$B$19,2))</f>
        <v>-0.34039927745117116</v>
      </c>
      <c r="BA43" s="237">
        <f ca="1">IF(AS43=0,0,_xll.SPRDOPT(AQ43,AR43,$P43,$AM43,AU43,AV43,AW43,$F43,$B$19,3)/100)</f>
        <v>1.3577844626988871E-2</v>
      </c>
      <c r="BB43" s="237">
        <f ca="1">IF(AT43=0,0,_xll.SPRDOPT(AQ43,AR43,$P43,$AM43,AU43,AV43,AW43,$F43,$B$19,4)/100)</f>
        <v>1.3194787455632994E-2</v>
      </c>
      <c r="BC43" s="237">
        <f ca="1">IF(AU43=0,0,_xll.SPRDOPT(AQ43,AR43,$P43,$AM43,AU43,AV43,AW43,$F43,$B$19,5)/100)</f>
        <v>6.5054717503873804E-3</v>
      </c>
      <c r="BD43" s="237">
        <f ca="1">IF(AV43=0,0,_xll.SPRDOPT(AQ43,AR43,$P43,$AM43,AU43,AV43,AW43,$F43,$B$19,6)/100)</f>
        <v>-4.6323796652492175E-3</v>
      </c>
      <c r="BE43" s="237">
        <f ca="1">IF(AW43=0,0,_xll.SPRDOPT(AQ43,AR43,$P43,$AM43,AU43,AV43,AW43,$F43,$B$19,7)/100)</f>
        <v>-3.6641991607603883E-2</v>
      </c>
      <c r="BF43" s="237">
        <f ca="1">IF(AX43=0,0,_xll.SPRDOPT(AQ43,AR43,$P43,$AM43,AU43,AV43,AW43,$F43,$B$19,9)/365)</f>
        <v>-2.6563383137973858E-4</v>
      </c>
      <c r="BG43" s="237">
        <f t="shared" ca="1" si="44"/>
        <v>1.6450038452870686E-2</v>
      </c>
      <c r="BH43" s="237">
        <f t="shared" ca="1" si="45"/>
        <v>-3.8305717135587655E-4</v>
      </c>
      <c r="BI43" s="237">
        <f t="shared" ca="1" si="46"/>
        <v>1.8730920851381628E-3</v>
      </c>
      <c r="BJ43" s="206"/>
      <c r="BK43" s="109">
        <f t="shared" ca="1" si="47"/>
        <v>1.9533289691951423</v>
      </c>
      <c r="BL43" s="109">
        <f t="shared" ca="1" si="48"/>
        <v>11.062328793025298</v>
      </c>
      <c r="BM43" s="109">
        <f t="shared" ca="1" si="49"/>
        <v>-10.552377600986306</v>
      </c>
      <c r="BN43" s="109">
        <f t="shared" ca="1" si="50"/>
        <v>0.42091318343665501</v>
      </c>
      <c r="BO43" s="109">
        <f t="shared" ca="1" si="51"/>
        <v>0.4090384111246228</v>
      </c>
      <c r="BP43" s="109">
        <f t="shared" ca="1" si="52"/>
        <v>0.2016696242620088</v>
      </c>
      <c r="BQ43" s="109">
        <f t="shared" ca="1" si="53"/>
        <v>-0.14360376962272575</v>
      </c>
      <c r="BR43" s="109">
        <f t="shared" ca="1" si="54"/>
        <v>-1.1359017398357203</v>
      </c>
      <c r="BS43" s="109">
        <f t="shared" ca="1" si="55"/>
        <v>-8.2346487727718957E-3</v>
      </c>
      <c r="BT43" s="109">
        <f t="shared" ca="1" si="56"/>
        <v>0.5099511920389912</v>
      </c>
      <c r="BU43" s="109">
        <f t="shared" ca="1" si="57"/>
        <v>-1.1874772312032173E-2</v>
      </c>
      <c r="BV43" s="109">
        <f t="shared" ca="1" si="58"/>
        <v>5.806585463928305E-2</v>
      </c>
      <c r="BX43" s="82">
        <f t="shared" si="59"/>
        <v>31</v>
      </c>
      <c r="BY43" s="132">
        <f t="shared" si="60"/>
        <v>5.46</v>
      </c>
      <c r="BZ43" s="132">
        <f t="shared" si="61"/>
        <v>4.3150000000000004</v>
      </c>
      <c r="CA43" s="132">
        <f t="shared" si="62"/>
        <v>169.26</v>
      </c>
      <c r="CB43" s="132">
        <f t="shared" si="63"/>
        <v>133.76500000000001</v>
      </c>
      <c r="CC43" s="235">
        <f t="shared" si="64"/>
        <v>0.60949999999999993</v>
      </c>
      <c r="CD43" s="235">
        <f t="shared" si="65"/>
        <v>0.53</v>
      </c>
      <c r="CE43" s="106">
        <f t="shared" si="66"/>
        <v>0.81</v>
      </c>
      <c r="CF43" s="237">
        <f ca="1">IF(BX43=0,0,_xll.SPRDOPT(BY43,BZ43,$W43,$AM43,CC43,CD43,CE43,$F43,$D$19,0))</f>
        <v>0.37805287036458868</v>
      </c>
      <c r="CG43" s="237">
        <f ca="1">IF(BY43=0,0,_xll.SPRDOPT(BY43,BZ43,$W43,$AM43,CC43,CD43,CE43,$F43,$D$19,1))</f>
        <v>0.41757923635560928</v>
      </c>
      <c r="CH43" s="237">
        <f ca="1">IF(BZ43=0,0,_xll.SPRDOPT(BY43,BZ43,$W43,$AM43,CC43,CD43,CE43,$F43,$D$19,2))</f>
        <v>-0.33127208266109393</v>
      </c>
      <c r="CI43" s="237">
        <f ca="1">IF(CA43=0,0,_xll.SPRDOPT(BY43,BZ43,$W43,$AM43,CC43,CD43,CE43,$F43,$D$19,3)/100)</f>
        <v>2.6714666024855297E-3</v>
      </c>
      <c r="CJ43" s="237">
        <f ca="1">IF(CB43=0,0,_xll.SPRDOPT(BY43,BZ43,$W43,$AM43,CC43,CD43,CE43,$F43,$D$19,4)/100)</f>
        <v>2.3642438073490412E-3</v>
      </c>
      <c r="CK43" s="237">
        <f ca="1">IF(CC43=0,0,_xll.SPRDOPT(BY43,BZ43,$W43,$AM43,CC43,CD43,CE43,$F43,$D$19,5)/100)</f>
        <v>1.1381157819803948E-2</v>
      </c>
      <c r="CL43" s="237">
        <f ca="1">IF(CD43=0,0,_xll.SPRDOPT(BY43,BZ43,$W43,$AM43,CC43,CD43,CE43,$F43,$D$19,6)/100)</f>
        <v>-2.8348526535667447E-3</v>
      </c>
      <c r="CM43" s="237">
        <f ca="1">IF(CE43=0,0,_xll.SPRDOPT(BY43,BZ43,$W43,$AM43,CC43,CD43,CE43,$F43,$D$19,7)/100)</f>
        <v>-9.3363263754788466E-3</v>
      </c>
      <c r="CN43" s="237">
        <f ca="1">IF(CF43=0,0,_xll.SPRDOPT(BY43,BZ43,$W43,$AM43,CC43,CD43,CE43,$F43,$D$19,9)/365)</f>
        <v>-1.4478701362441008E-3</v>
      </c>
      <c r="CO43" s="237">
        <f t="shared" ca="1" si="67"/>
        <v>8.6307153694515359E-2</v>
      </c>
      <c r="CP43" s="237">
        <f t="shared" ca="1" si="68"/>
        <v>-3.0722279513648856E-4</v>
      </c>
      <c r="CQ43" s="237">
        <f t="shared" ca="1" si="69"/>
        <v>1.0253478839207795E-2</v>
      </c>
      <c r="CR43" s="206"/>
      <c r="CS43" s="109">
        <f t="shared" ca="1" si="70"/>
        <v>11.71963898130225</v>
      </c>
      <c r="CT43" s="109">
        <f t="shared" ca="1" si="71"/>
        <v>12.944956327023888</v>
      </c>
      <c r="CU43" s="109">
        <f t="shared" ca="1" si="72"/>
        <v>-10.269434562493911</v>
      </c>
      <c r="CV43" s="109">
        <f t="shared" ca="1" si="73"/>
        <v>8.281546467705142E-2</v>
      </c>
      <c r="CW43" s="109">
        <f t="shared" ca="1" si="74"/>
        <v>7.3291558027820281E-2</v>
      </c>
      <c r="CX43" s="109">
        <f t="shared" ca="1" si="75"/>
        <v>0.35281589241392242</v>
      </c>
      <c r="CY43" s="109">
        <f t="shared" ca="1" si="76"/>
        <v>-8.7880432260569089E-2</v>
      </c>
      <c r="CZ43" s="109">
        <f t="shared" ca="1" si="77"/>
        <v>-0.28942611763984427</v>
      </c>
      <c r="DA43" s="109">
        <f t="shared" ca="1" si="78"/>
        <v>-4.4883974223567123E-2</v>
      </c>
      <c r="DB43" s="109">
        <f t="shared" ca="1" si="79"/>
        <v>2.675521764529976</v>
      </c>
      <c r="DC43" s="109">
        <f t="shared" ca="1" si="80"/>
        <v>-9.5239066492311449E-3</v>
      </c>
      <c r="DD43" s="109">
        <f t="shared" ca="1" si="81"/>
        <v>0.31785784401544165</v>
      </c>
      <c r="DF43" s="82">
        <f t="shared" si="82"/>
        <v>31</v>
      </c>
      <c r="DG43" s="132">
        <f t="shared" si="83"/>
        <v>5.46</v>
      </c>
      <c r="DH43" s="132">
        <f t="shared" si="84"/>
        <v>4.3150000000000004</v>
      </c>
      <c r="DI43" s="132">
        <f t="shared" si="85"/>
        <v>169.26</v>
      </c>
      <c r="DJ43" s="132">
        <f t="shared" si="86"/>
        <v>133.76500000000001</v>
      </c>
      <c r="DK43" s="235">
        <f t="shared" si="87"/>
        <v>0.60949999999999993</v>
      </c>
      <c r="DL43" s="235">
        <f t="shared" si="88"/>
        <v>0.53</v>
      </c>
      <c r="DM43" s="106">
        <f t="shared" si="89"/>
        <v>0.81</v>
      </c>
      <c r="DN43" s="237">
        <f ca="1">IF(DF43=0,0,_xll.SPRDOPT(DG43,DH43,$AD43,$AM43,DK43,DL43,DM43,$F43,$F$19,0))</f>
        <v>0.37805287036458868</v>
      </c>
      <c r="DO43" s="237">
        <f ca="1">IF(DG43=0,0,_xll.SPRDOPT(DG43,DH43,$AD43,$AM43,DK43,DL43,DM43,$F43,$F$19,1))</f>
        <v>0.41757923635560928</v>
      </c>
      <c r="DP43" s="237">
        <f ca="1">IF(DH43=0,0,_xll.SPRDOPT(DG43,DH43,$AD43,$AM43,DK43,DL43,DM43,$F43,$F$19,2))</f>
        <v>-0.33127208266109393</v>
      </c>
      <c r="DQ43" s="237">
        <f ca="1">IF(DI43=0,0,_xll.SPRDOPT(DG43,DH43,$AD43,$AM43,DK43,DL43,DM43,$F43,$F$19,3)/100)</f>
        <v>2.6714666024855297E-3</v>
      </c>
      <c r="DR43" s="237">
        <f ca="1">IF(DJ43=0,0,_xll.SPRDOPT(DG43,DH43,$AD43,$AM43,DK43,DL43,DM43,$F43,$F$19,4)/100)</f>
        <v>2.3642438073490412E-3</v>
      </c>
      <c r="DS43" s="237">
        <f ca="1">IF(DK43=0,0,_xll.SPRDOPT(DG43,DH43,$AD43,$AM43,DK43,DL43,DM43,$F43,$F$19,5)/100)</f>
        <v>1.1381157819803948E-2</v>
      </c>
      <c r="DT43" s="237">
        <f ca="1">IF(DL43=0,0,_xll.SPRDOPT(DG43,DH43,$AD43,$AM43,DK43,DL43,DM43,$F43,$F$19,6)/100)</f>
        <v>-2.8348526535667447E-3</v>
      </c>
      <c r="DU43" s="237">
        <f ca="1">IF(DM43=0,0,_xll.SPRDOPT(DG43,DH43,$AD43,$AM43,DK43,DL43,DM43,$F43,$F$19,7)/100)</f>
        <v>-9.3363263754788466E-3</v>
      </c>
      <c r="DV43" s="237">
        <f ca="1">IF(DN43=0,0,_xll.SPRDOPT(DG43,DH43,$AD43,$AM43,DK43,DL43,DM43,$F43,$F$19,9)/365)</f>
        <v>-1.4478701362441008E-3</v>
      </c>
      <c r="DW43" s="237">
        <f t="shared" ca="1" si="90"/>
        <v>8.6307153694515359E-2</v>
      </c>
      <c r="DX43" s="237">
        <f t="shared" ca="1" si="91"/>
        <v>-3.0722279513648856E-4</v>
      </c>
      <c r="DY43" s="237">
        <f t="shared" ca="1" si="92"/>
        <v>1.0253478839207795E-2</v>
      </c>
      <c r="DZ43" s="206"/>
      <c r="EA43" s="109">
        <f t="shared" ca="1" si="93"/>
        <v>11.71963898130225</v>
      </c>
      <c r="EB43" s="109">
        <f t="shared" ca="1" si="94"/>
        <v>12.944956327023888</v>
      </c>
      <c r="EC43" s="109">
        <f t="shared" ca="1" si="95"/>
        <v>-10.269434562493911</v>
      </c>
      <c r="ED43" s="109">
        <f t="shared" ca="1" si="96"/>
        <v>8.281546467705142E-2</v>
      </c>
      <c r="EE43" s="109">
        <f t="shared" ca="1" si="97"/>
        <v>7.3291558027820281E-2</v>
      </c>
      <c r="EF43" s="109">
        <f t="shared" ca="1" si="98"/>
        <v>0.35281589241392242</v>
      </c>
      <c r="EG43" s="109">
        <f t="shared" ca="1" si="99"/>
        <v>-8.7880432260569089E-2</v>
      </c>
      <c r="EH43" s="109">
        <f t="shared" ca="1" si="100"/>
        <v>-0.28942611763984427</v>
      </c>
      <c r="EI43" s="109">
        <f t="shared" ca="1" si="101"/>
        <v>-4.4883974223567123E-2</v>
      </c>
      <c r="EJ43" s="109">
        <f t="shared" ca="1" si="102"/>
        <v>2.675521764529976</v>
      </c>
      <c r="EK43" s="109">
        <f t="shared" ca="1" si="103"/>
        <v>-9.5239066492311449E-3</v>
      </c>
      <c r="EL43" s="109">
        <f t="shared" ca="1" si="104"/>
        <v>0.31785784401544165</v>
      </c>
      <c r="EN43" s="82">
        <f t="shared" si="105"/>
        <v>31</v>
      </c>
      <c r="EO43" s="132">
        <f t="shared" si="106"/>
        <v>5.5150000000000006</v>
      </c>
      <c r="EP43" s="132">
        <f t="shared" si="107"/>
        <v>4.3150000000000004</v>
      </c>
      <c r="EQ43" s="132">
        <f t="shared" si="108"/>
        <v>170.96500000000003</v>
      </c>
      <c r="ER43" s="132">
        <f t="shared" si="109"/>
        <v>133.76500000000001</v>
      </c>
      <c r="ES43" s="235">
        <f t="shared" si="110"/>
        <v>0.60949999999999993</v>
      </c>
      <c r="ET43" s="235">
        <f t="shared" si="111"/>
        <v>0.53</v>
      </c>
      <c r="EU43" s="106">
        <f t="shared" si="112"/>
        <v>0.81</v>
      </c>
      <c r="EV43" s="237">
        <f ca="1">IF(EN43=0,0,_xll.SPRDOPT(EO43,EP43,$AK43,$AM43,ES43,ET43,EU43,$F43,$H$19,0))</f>
        <v>0.43907991416354308</v>
      </c>
      <c r="EW43" s="237">
        <f ca="1">IF(EO43=0,0,_xll.SPRDOPT(EO43,EP43,$AK43,$AM43,ES43,ET43,EU43,$F43,$H$19,1))</f>
        <v>-0.37912468916273712</v>
      </c>
      <c r="EX43" s="237">
        <f ca="1">IF(EP43=0,0,_xll.SPRDOPT(EO43,EP43,$AK43,$AM43,ES43,ET43,EU43,$F43,$H$19,2))</f>
        <v>0.47110537599851754</v>
      </c>
      <c r="EY43" s="237">
        <f ca="1">IF(EQ43=0,0,_xll.SPRDOPT(EO43,EP43,$AK43,$AM43,ES43,ET43,EU43,$F43,$H$19,3)/100)</f>
        <v>2.6474469434610683E-3</v>
      </c>
      <c r="EZ43" s="237">
        <f ca="1">IF(ER43=0,0,_xll.SPRDOPT(EO43,EP43,$AK43,$AM43,ES43,ET43,EU43,$F43,$H$19,4)/100)</f>
        <v>2.8696847569062295E-3</v>
      </c>
      <c r="FA43" s="237">
        <f ca="1">IF(ES43=0,0,_xll.SPRDOPT(EO43,EP43,$AK43,$AM43,ES43,ET43,EU43,$F43,$H$19,5)/100)</f>
        <v>1.0284012870327226E-2</v>
      </c>
      <c r="FB43" s="237">
        <f ca="1">IF(ET43=0,0,_xll.SPRDOPT(EO43,EP43,$AK43,$AM43,ES43,ET43,EU43,$F43,$H$19,6)/100)</f>
        <v>-1.9553019577587482E-3</v>
      </c>
      <c r="FC43" s="237">
        <f ca="1">IF(EU43=0,0,_xll.SPRDOPT(EO43,EP43,$AK43,$AM43,ES43,ET43,EU43,$F43,$H$19,7)/100)</f>
        <v>-1.0360115300141021E-2</v>
      </c>
      <c r="FD43" s="237">
        <f ca="1">IF(EV43=0,0,_xll.SPRDOPT(EO43,EP43,$AK43,$AM43,ES43,ET43,EU43,$F43,$H$19,9)/365)</f>
        <v>-1.3797695538874239E-3</v>
      </c>
      <c r="FE43" s="237">
        <f t="shared" ca="1" si="113"/>
        <v>9.1980686835780423E-2</v>
      </c>
      <c r="FF43" s="237">
        <f t="shared" ca="1" si="114"/>
        <v>2.2223781344516119E-4</v>
      </c>
      <c r="FG43" s="237">
        <f t="shared" ca="1" si="115"/>
        <v>9.8713128431175603E-3</v>
      </c>
      <c r="FH43" s="206"/>
      <c r="FI43" s="109">
        <f t="shared" ca="1" si="116"/>
        <v>13.611477339069836</v>
      </c>
      <c r="FJ43" s="109">
        <f t="shared" ca="1" si="117"/>
        <v>-11.752865364044851</v>
      </c>
      <c r="FK43" s="109">
        <f t="shared" ca="1" si="118"/>
        <v>14.604266655954044</v>
      </c>
      <c r="FL43" s="109">
        <f t="shared" ca="1" si="119"/>
        <v>8.2070855247293115E-2</v>
      </c>
      <c r="FM43" s="109">
        <f t="shared" ca="1" si="120"/>
        <v>8.8960227464093114E-2</v>
      </c>
      <c r="FN43" s="109">
        <f t="shared" ca="1" si="121"/>
        <v>0.31880439898014401</v>
      </c>
      <c r="FO43" s="109">
        <f t="shared" ca="1" si="122"/>
        <v>-6.0614360690521195E-2</v>
      </c>
      <c r="FP43" s="109">
        <f t="shared" ca="1" si="123"/>
        <v>-0.32116357430437165</v>
      </c>
      <c r="FQ43" s="109">
        <f t="shared" ca="1" si="124"/>
        <v>-4.2772856170510139E-2</v>
      </c>
      <c r="FR43" s="109">
        <f t="shared" ca="1" si="125"/>
        <v>2.8514012919091929</v>
      </c>
      <c r="FS43" s="109">
        <f t="shared" ca="1" si="126"/>
        <v>6.8893722167999967E-3</v>
      </c>
      <c r="FT43" s="109">
        <f t="shared" ca="1" si="127"/>
        <v>0.30601069813664439</v>
      </c>
    </row>
    <row r="44" spans="1:176" x14ac:dyDescent="0.25">
      <c r="A44" s="101">
        <f t="shared" si="18"/>
        <v>36982</v>
      </c>
      <c r="B44" s="102">
        <f t="shared" si="19"/>
        <v>4.0549999999999997</v>
      </c>
      <c r="C44" s="80">
        <f t="shared" si="20"/>
        <v>0.435</v>
      </c>
      <c r="D44" s="102"/>
      <c r="E44" s="106"/>
      <c r="F44" s="105">
        <f t="shared" ca="1" si="21"/>
        <v>209</v>
      </c>
      <c r="G44" s="80"/>
      <c r="H44" s="80"/>
      <c r="I44" s="104"/>
      <c r="J44" s="234"/>
      <c r="K44" s="102">
        <f t="shared" si="22"/>
        <v>0.2</v>
      </c>
      <c r="L44" s="102">
        <f t="shared" si="23"/>
        <v>0</v>
      </c>
      <c r="M44" s="106">
        <f t="shared" si="24"/>
        <v>0.98</v>
      </c>
      <c r="N44" s="106">
        <f t="shared" si="25"/>
        <v>1</v>
      </c>
      <c r="O44" s="106">
        <f t="shared" si="26"/>
        <v>0.99</v>
      </c>
      <c r="P44" s="236">
        <f t="shared" si="27"/>
        <v>0.4</v>
      </c>
      <c r="Q44" s="106"/>
      <c r="R44" s="102">
        <f t="shared" si="4"/>
        <v>0.52</v>
      </c>
      <c r="S44" s="102">
        <f t="shared" si="5"/>
        <v>0</v>
      </c>
      <c r="T44" s="106">
        <f t="shared" si="6"/>
        <v>0.98</v>
      </c>
      <c r="U44" s="106">
        <f t="shared" si="28"/>
        <v>1</v>
      </c>
      <c r="V44" s="106">
        <f t="shared" si="29"/>
        <v>0.9738</v>
      </c>
      <c r="W44" s="236">
        <f t="shared" si="30"/>
        <v>1.6</v>
      </c>
      <c r="X44" s="106"/>
      <c r="Y44" s="102">
        <f t="shared" si="7"/>
        <v>0.52</v>
      </c>
      <c r="Z44" s="102">
        <f t="shared" si="8"/>
        <v>0</v>
      </c>
      <c r="AA44" s="106">
        <f t="shared" si="9"/>
        <v>0.98</v>
      </c>
      <c r="AB44" s="106">
        <f t="shared" si="31"/>
        <v>1</v>
      </c>
      <c r="AC44" s="106">
        <f t="shared" si="10"/>
        <v>0.9738</v>
      </c>
      <c r="AD44" s="236">
        <f t="shared" si="32"/>
        <v>1.6</v>
      </c>
      <c r="AE44" s="106"/>
      <c r="AF44" s="102">
        <f t="shared" si="11"/>
        <v>0.52</v>
      </c>
      <c r="AG44" s="102">
        <f t="shared" si="12"/>
        <v>0</v>
      </c>
      <c r="AH44" s="106">
        <f t="shared" si="13"/>
        <v>0.98</v>
      </c>
      <c r="AI44" s="106">
        <f t="shared" si="33"/>
        <v>1</v>
      </c>
      <c r="AJ44" s="106">
        <f t="shared" si="14"/>
        <v>0.9738</v>
      </c>
      <c r="AK44" s="236">
        <f t="shared" si="34"/>
        <v>1</v>
      </c>
      <c r="AM44" s="80">
        <f t="shared" si="35"/>
        <v>6.8834971958648017E-2</v>
      </c>
      <c r="AN44" s="182">
        <f t="shared" si="15"/>
        <v>30</v>
      </c>
      <c r="AP44" s="82">
        <f t="shared" si="36"/>
        <v>0</v>
      </c>
      <c r="AQ44" s="132">
        <f t="shared" si="37"/>
        <v>4.2549999999999999</v>
      </c>
      <c r="AR44" s="132">
        <f t="shared" si="38"/>
        <v>4.0549999999999997</v>
      </c>
      <c r="AS44" s="132">
        <f t="shared" si="39"/>
        <v>0</v>
      </c>
      <c r="AT44" s="132">
        <f t="shared" si="40"/>
        <v>0</v>
      </c>
      <c r="AU44" s="235">
        <f t="shared" si="41"/>
        <v>0.42630000000000001</v>
      </c>
      <c r="AV44" s="235">
        <f t="shared" si="42"/>
        <v>0.435</v>
      </c>
      <c r="AW44" s="106">
        <f t="shared" si="43"/>
        <v>0.99</v>
      </c>
      <c r="AX44" s="237">
        <f>IF(AP44=0,0,_xll.SPRDOPT(AQ44,AR44,$P44,$AM44,AU44,AV44,AW44,$F44,$B$19,0))</f>
        <v>0</v>
      </c>
      <c r="AY44" s="237">
        <f ca="1">IF(AQ44=0,0,_xll.SPRDOPT(AQ44,AR44,$P44,$AM44,AU44,AV44,AW44,$F44,$B$19,1))</f>
        <v>0.17763451326314617</v>
      </c>
      <c r="AZ44" s="237">
        <f ca="1">IF(AR44=0,0,_xll.SPRDOPT(AQ44,AR44,$P44,$AM44,AU44,AV44,AW44,$F44,$B$19,2))</f>
        <v>-0.16772754012216001</v>
      </c>
      <c r="BA44" s="237">
        <f>IF(AS44=0,0,_xll.SPRDOPT(AQ44,AR44,$P44,$AM44,AU44,AV44,AW44,$F44,$B$19,3)/100)</f>
        <v>0</v>
      </c>
      <c r="BB44" s="237">
        <f>IF(AT44=0,0,_xll.SPRDOPT(AQ44,AR44,$P44,$AM44,AU44,AV44,AW44,$F44,$B$19,4)/100)</f>
        <v>0</v>
      </c>
      <c r="BC44" s="237">
        <f ca="1">IF(AU44=0,0,_xll.SPRDOPT(AQ44,AR44,$P44,$AM44,AU44,AV44,AW44,$F44,$B$19,5)/100)</f>
        <v>3.8534456144157011E-3</v>
      </c>
      <c r="BD44" s="237">
        <f ca="1">IF(AV44=0,0,_xll.SPRDOPT(AQ44,AR44,$P44,$AM44,AU44,AV44,AW44,$F44,$B$19,6)/100)</f>
        <v>-2.5437025239270659E-3</v>
      </c>
      <c r="BE44" s="237">
        <f ca="1">IF(AW44=0,0,_xll.SPRDOPT(AQ44,AR44,$P44,$AM44,AU44,AV44,AW44,$F44,$B$19,7)/100)</f>
        <v>-2.1937975998075836E-2</v>
      </c>
      <c r="BF44" s="237">
        <f>IF(AX44=0,0,_xll.SPRDOPT(AQ44,AR44,$P44,$AM44,AU44,AV44,AW44,$F44,$B$19,9)/365)</f>
        <v>0</v>
      </c>
      <c r="BG44" s="237">
        <f t="shared" ca="1" si="44"/>
        <v>9.9069731409861528E-3</v>
      </c>
      <c r="BH44" s="237">
        <f t="shared" si="45"/>
        <v>0</v>
      </c>
      <c r="BI44" s="237">
        <f t="shared" ca="1" si="46"/>
        <v>1.2326741782003213E-3</v>
      </c>
      <c r="BJ44" s="206"/>
      <c r="BK44" s="109">
        <f t="shared" si="47"/>
        <v>0</v>
      </c>
      <c r="BL44" s="109">
        <f t="shared" ca="1" si="48"/>
        <v>0</v>
      </c>
      <c r="BM44" s="109">
        <f t="shared" ca="1" si="49"/>
        <v>0</v>
      </c>
      <c r="BN44" s="109">
        <f t="shared" si="50"/>
        <v>0</v>
      </c>
      <c r="BO44" s="109">
        <f t="shared" si="51"/>
        <v>0</v>
      </c>
      <c r="BP44" s="109">
        <f t="shared" ca="1" si="52"/>
        <v>0</v>
      </c>
      <c r="BQ44" s="109">
        <f t="shared" ca="1" si="53"/>
        <v>0</v>
      </c>
      <c r="BR44" s="109">
        <f t="shared" ca="1" si="54"/>
        <v>0</v>
      </c>
      <c r="BS44" s="109">
        <f t="shared" si="55"/>
        <v>0</v>
      </c>
      <c r="BT44" s="109">
        <f t="shared" ca="1" si="56"/>
        <v>0</v>
      </c>
      <c r="BU44" s="109">
        <f t="shared" si="57"/>
        <v>0</v>
      </c>
      <c r="BV44" s="109">
        <f t="shared" ca="1" si="58"/>
        <v>0</v>
      </c>
      <c r="BX44" s="82">
        <f t="shared" si="59"/>
        <v>0</v>
      </c>
      <c r="BY44" s="132">
        <f t="shared" si="60"/>
        <v>4.5849999999999991</v>
      </c>
      <c r="BZ44" s="132">
        <f t="shared" si="61"/>
        <v>4.0549999999999997</v>
      </c>
      <c r="CA44" s="132">
        <f t="shared" si="62"/>
        <v>0</v>
      </c>
      <c r="CB44" s="132">
        <f t="shared" si="63"/>
        <v>0</v>
      </c>
      <c r="CC44" s="235">
        <f t="shared" si="64"/>
        <v>0.42630000000000001</v>
      </c>
      <c r="CD44" s="235">
        <f t="shared" si="65"/>
        <v>0.435</v>
      </c>
      <c r="CE44" s="106">
        <f t="shared" si="66"/>
        <v>0.9738</v>
      </c>
      <c r="CF44" s="237">
        <f>IF(BX44=0,0,_xll.SPRDOPT(BY44,BZ44,$W44,$AM44,CC44,CD44,CE44,$F44,$D$19,0))</f>
        <v>0</v>
      </c>
      <c r="CG44" s="237">
        <f ca="1">IF(BY44=0,0,_xll.SPRDOPT(BY44,BZ44,$W44,$AM44,CC44,CD44,CE44,$F44,$D$19,1))</f>
        <v>1.876305433281801E-2</v>
      </c>
      <c r="CH44" s="237">
        <f ca="1">IF(BZ44=0,0,_xll.SPRDOPT(BY44,BZ44,$W44,$AM44,CC44,CD44,CE44,$F44,$D$19,2))</f>
        <v>-1.6543884890073433E-2</v>
      </c>
      <c r="CI44" s="237">
        <f>IF(CA44=0,0,_xll.SPRDOPT(BY44,BZ44,$W44,$AM44,CC44,CD44,CE44,$F44,$D$19,3)/100)</f>
        <v>0</v>
      </c>
      <c r="CJ44" s="237">
        <f>IF(CB44=0,0,_xll.SPRDOPT(BY44,BZ44,$W44,$AM44,CC44,CD44,CE44,$F44,$D$19,4)/100)</f>
        <v>0</v>
      </c>
      <c r="CK44" s="237">
        <f ca="1">IF(CC44=0,0,_xll.SPRDOPT(BY44,BZ44,$W44,$AM44,CC44,CD44,CE44,$F44,$D$19,5)/100)</f>
        <v>1.1767009124912758E-3</v>
      </c>
      <c r="CL44" s="237">
        <f ca="1">IF(CD44=0,0,_xll.SPRDOPT(BY44,BZ44,$W44,$AM44,CC44,CD44,CE44,$F44,$D$19,6)/100)</f>
        <v>-7.1520301065785478E-4</v>
      </c>
      <c r="CM44" s="237">
        <f ca="1">IF(CE44=0,0,_xll.SPRDOPT(BY44,BZ44,$W44,$AM44,CC44,CD44,CE44,$F44,$D$19,7)/100)</f>
        <v>-1.9669775816203859E-3</v>
      </c>
      <c r="CN44" s="237">
        <f>IF(CF44=0,0,_xll.SPRDOPT(BY44,BZ44,$W44,$AM44,CC44,CD44,CE44,$F44,$D$19,9)/365)</f>
        <v>0</v>
      </c>
      <c r="CO44" s="237">
        <f t="shared" ca="1" si="67"/>
        <v>2.2191694427445771E-3</v>
      </c>
      <c r="CP44" s="237">
        <f t="shared" si="68"/>
        <v>0</v>
      </c>
      <c r="CQ44" s="237">
        <f t="shared" ca="1" si="69"/>
        <v>4.3796388358359559E-4</v>
      </c>
      <c r="CR44" s="206"/>
      <c r="CS44" s="109">
        <f t="shared" si="70"/>
        <v>0</v>
      </c>
      <c r="CT44" s="109">
        <f t="shared" ca="1" si="71"/>
        <v>0</v>
      </c>
      <c r="CU44" s="109">
        <f t="shared" ca="1" si="72"/>
        <v>0</v>
      </c>
      <c r="CV44" s="109">
        <f t="shared" si="73"/>
        <v>0</v>
      </c>
      <c r="CW44" s="109">
        <f t="shared" si="74"/>
        <v>0</v>
      </c>
      <c r="CX44" s="109">
        <f t="shared" ca="1" si="75"/>
        <v>0</v>
      </c>
      <c r="CY44" s="109">
        <f t="shared" ca="1" si="76"/>
        <v>0</v>
      </c>
      <c r="CZ44" s="109">
        <f t="shared" ca="1" si="77"/>
        <v>0</v>
      </c>
      <c r="DA44" s="109">
        <f t="shared" si="78"/>
        <v>0</v>
      </c>
      <c r="DB44" s="109">
        <f t="shared" ca="1" si="79"/>
        <v>0</v>
      </c>
      <c r="DC44" s="109">
        <f t="shared" si="80"/>
        <v>0</v>
      </c>
      <c r="DD44" s="109">
        <f t="shared" ca="1" si="81"/>
        <v>0</v>
      </c>
      <c r="DF44" s="82">
        <f t="shared" si="82"/>
        <v>0</v>
      </c>
      <c r="DG44" s="132">
        <f t="shared" si="83"/>
        <v>4.5849999999999991</v>
      </c>
      <c r="DH44" s="132">
        <f t="shared" si="84"/>
        <v>4.0549999999999997</v>
      </c>
      <c r="DI44" s="132">
        <f t="shared" si="85"/>
        <v>0</v>
      </c>
      <c r="DJ44" s="132">
        <f t="shared" si="86"/>
        <v>0</v>
      </c>
      <c r="DK44" s="235">
        <f t="shared" si="87"/>
        <v>0.42630000000000001</v>
      </c>
      <c r="DL44" s="235">
        <f t="shared" si="88"/>
        <v>0.435</v>
      </c>
      <c r="DM44" s="106">
        <f t="shared" si="89"/>
        <v>0.9738</v>
      </c>
      <c r="DN44" s="237">
        <f>IF(DF44=0,0,_xll.SPRDOPT(DG44,DH44,$AD44,$AM44,DK44,DL44,DM44,$F44,$F$19,0))</f>
        <v>0</v>
      </c>
      <c r="DO44" s="237">
        <f ca="1">IF(DG44=0,0,_xll.SPRDOPT(DG44,DH44,$AD44,$AM44,DK44,DL44,DM44,$F44,$F$19,1))</f>
        <v>1.876305433281801E-2</v>
      </c>
      <c r="DP44" s="237">
        <f ca="1">IF(DH44=0,0,_xll.SPRDOPT(DG44,DH44,$AD44,$AM44,DK44,DL44,DM44,$F44,$F$19,2))</f>
        <v>-1.6543884890073433E-2</v>
      </c>
      <c r="DQ44" s="237">
        <f>IF(DI44=0,0,_xll.SPRDOPT(DG44,DH44,$AD44,$AM44,DK44,DL44,DM44,$F44,$F$19,3)/100)</f>
        <v>0</v>
      </c>
      <c r="DR44" s="237">
        <f>IF(DJ44=0,0,_xll.SPRDOPT(DG44,DH44,$AD44,$AM44,DK44,DL44,DM44,$F44,$F$19,4)/100)</f>
        <v>0</v>
      </c>
      <c r="DS44" s="237">
        <f ca="1">IF(DK44=0,0,_xll.SPRDOPT(DG44,DH44,$AD44,$AM44,DK44,DL44,DM44,$F44,$F$19,5)/100)</f>
        <v>1.1767009124912758E-3</v>
      </c>
      <c r="DT44" s="237">
        <f ca="1">IF(DL44=0,0,_xll.SPRDOPT(DG44,DH44,$AD44,$AM44,DK44,DL44,DM44,$F44,$F$19,6)/100)</f>
        <v>-7.1520301065785478E-4</v>
      </c>
      <c r="DU44" s="237">
        <f ca="1">IF(DM44=0,0,_xll.SPRDOPT(DG44,DH44,$AD44,$AM44,DK44,DL44,DM44,$F44,$F$19,7)/100)</f>
        <v>-1.9669775816203859E-3</v>
      </c>
      <c r="DV44" s="237">
        <f>IF(DN44=0,0,_xll.SPRDOPT(DG44,DH44,$AD44,$AM44,DK44,DL44,DM44,$F44,$F$19,9)/365)</f>
        <v>0</v>
      </c>
      <c r="DW44" s="237">
        <f t="shared" ca="1" si="90"/>
        <v>2.2191694427445771E-3</v>
      </c>
      <c r="DX44" s="237">
        <f t="shared" si="91"/>
        <v>0</v>
      </c>
      <c r="DY44" s="237">
        <f t="shared" ca="1" si="92"/>
        <v>4.3796388358359559E-4</v>
      </c>
      <c r="DZ44" s="206"/>
      <c r="EA44" s="109">
        <f t="shared" si="93"/>
        <v>0</v>
      </c>
      <c r="EB44" s="109">
        <f t="shared" ca="1" si="94"/>
        <v>0</v>
      </c>
      <c r="EC44" s="109">
        <f t="shared" ca="1" si="95"/>
        <v>0</v>
      </c>
      <c r="ED44" s="109">
        <f t="shared" si="96"/>
        <v>0</v>
      </c>
      <c r="EE44" s="109">
        <f t="shared" si="97"/>
        <v>0</v>
      </c>
      <c r="EF44" s="109">
        <f t="shared" ca="1" si="98"/>
        <v>0</v>
      </c>
      <c r="EG44" s="109">
        <f t="shared" ca="1" si="99"/>
        <v>0</v>
      </c>
      <c r="EH44" s="109">
        <f t="shared" ca="1" si="100"/>
        <v>0</v>
      </c>
      <c r="EI44" s="109">
        <f t="shared" si="101"/>
        <v>0</v>
      </c>
      <c r="EJ44" s="109">
        <f t="shared" ca="1" si="102"/>
        <v>0</v>
      </c>
      <c r="EK44" s="109">
        <f t="shared" si="103"/>
        <v>0</v>
      </c>
      <c r="EL44" s="109">
        <f t="shared" ca="1" si="104"/>
        <v>0</v>
      </c>
      <c r="EN44" s="82">
        <f t="shared" si="105"/>
        <v>0</v>
      </c>
      <c r="EO44" s="132">
        <f t="shared" si="106"/>
        <v>4.6399999999999997</v>
      </c>
      <c r="EP44" s="132">
        <f t="shared" si="107"/>
        <v>4.0549999999999997</v>
      </c>
      <c r="EQ44" s="132">
        <f t="shared" si="108"/>
        <v>0</v>
      </c>
      <c r="ER44" s="132">
        <f t="shared" si="109"/>
        <v>0</v>
      </c>
      <c r="ES44" s="235">
        <f t="shared" si="110"/>
        <v>0.42630000000000001</v>
      </c>
      <c r="ET44" s="235">
        <f t="shared" si="111"/>
        <v>0.435</v>
      </c>
      <c r="EU44" s="106">
        <f t="shared" si="112"/>
        <v>0.9738</v>
      </c>
      <c r="EV44" s="237">
        <f>IF(EN44=0,0,_xll.SPRDOPT(EO44,EP44,$AK44,$AM44,ES44,ET44,EU44,$F44,$H$19,0))</f>
        <v>0</v>
      </c>
      <c r="EW44" s="237">
        <f ca="1">IF(EO44=0,0,_xll.SPRDOPT(EO44,EP44,$AK44,$AM44,ES44,ET44,EU44,$F44,$H$19,1))</f>
        <v>-0.78985598800078671</v>
      </c>
      <c r="EX44" s="237">
        <f ca="1">IF(EP44=0,0,_xll.SPRDOPT(EO44,EP44,$AK44,$AM44,ES44,ET44,EU44,$F44,$H$19,2))</f>
        <v>0.80372156496618086</v>
      </c>
      <c r="EY44" s="237">
        <f>IF(EQ44=0,0,_xll.SPRDOPT(EO44,EP44,$AK44,$AM44,ES44,ET44,EU44,$F44,$H$19,3)/100)</f>
        <v>0</v>
      </c>
      <c r="EZ44" s="237">
        <f>IF(ER44=0,0,_xll.SPRDOPT(EO44,EP44,$AK44,$AM44,ES44,ET44,EU44,$F44,$H$19,4)/100)</f>
        <v>0</v>
      </c>
      <c r="FA44" s="237">
        <f ca="1">IF(ES44=0,0,_xll.SPRDOPT(EO44,EP44,$AK44,$AM44,ES44,ET44,EU44,$F44,$H$19,5)/100)</f>
        <v>5.8872328652355725E-3</v>
      </c>
      <c r="FB44" s="237">
        <f ca="1">IF(ET44=0,0,_xll.SPRDOPT(EO44,EP44,$AK44,$AM44,ES44,ET44,EU44,$F44,$H$19,6)/100)</f>
        <v>-3.48629868438472E-3</v>
      </c>
      <c r="FC44" s="237">
        <f ca="1">IF(EU44=0,0,_xll.SPRDOPT(EO44,EP44,$AK44,$AM44,ES44,ET44,EU44,$F44,$H$19,7)/100)</f>
        <v>-1.2188400218330247E-2</v>
      </c>
      <c r="FD44" s="237">
        <f>IF(EV44=0,0,_xll.SPRDOPT(EO44,EP44,$AK44,$AM44,ES44,ET44,EU44,$F44,$H$19,9)/365)</f>
        <v>0</v>
      </c>
      <c r="FE44" s="237">
        <f t="shared" ca="1" si="113"/>
        <v>1.3865576965394144E-2</v>
      </c>
      <c r="FF44" s="237">
        <f t="shared" si="114"/>
        <v>0</v>
      </c>
      <c r="FG44" s="237">
        <f t="shared" ca="1" si="115"/>
        <v>2.2831895235461406E-3</v>
      </c>
      <c r="FH44" s="206"/>
      <c r="FI44" s="109">
        <f t="shared" si="116"/>
        <v>0</v>
      </c>
      <c r="FJ44" s="109">
        <f t="shared" ca="1" si="117"/>
        <v>0</v>
      </c>
      <c r="FK44" s="109">
        <f t="shared" ca="1" si="118"/>
        <v>0</v>
      </c>
      <c r="FL44" s="109">
        <f t="shared" si="119"/>
        <v>0</v>
      </c>
      <c r="FM44" s="109">
        <f t="shared" si="120"/>
        <v>0</v>
      </c>
      <c r="FN44" s="109">
        <f t="shared" ca="1" si="121"/>
        <v>0</v>
      </c>
      <c r="FO44" s="109">
        <f t="shared" ca="1" si="122"/>
        <v>0</v>
      </c>
      <c r="FP44" s="109">
        <f t="shared" ca="1" si="123"/>
        <v>0</v>
      </c>
      <c r="FQ44" s="109">
        <f t="shared" si="124"/>
        <v>0</v>
      </c>
      <c r="FR44" s="109">
        <f t="shared" ca="1" si="125"/>
        <v>0</v>
      </c>
      <c r="FS44" s="109">
        <f t="shared" si="126"/>
        <v>0</v>
      </c>
      <c r="FT44" s="109">
        <f t="shared" ca="1" si="127"/>
        <v>0</v>
      </c>
    </row>
    <row r="45" spans="1:176" x14ac:dyDescent="0.25">
      <c r="A45" s="101">
        <f t="shared" si="18"/>
        <v>37012</v>
      </c>
      <c r="B45" s="102">
        <f t="shared" si="19"/>
        <v>3.95</v>
      </c>
      <c r="C45" s="80">
        <f t="shared" si="20"/>
        <v>0.4</v>
      </c>
      <c r="D45" s="102"/>
      <c r="E45" s="106"/>
      <c r="F45" s="105">
        <f t="shared" ca="1" si="21"/>
        <v>238</v>
      </c>
      <c r="G45" s="80"/>
      <c r="H45" s="80"/>
      <c r="I45" s="104"/>
      <c r="J45" s="234"/>
      <c r="K45" s="102">
        <f t="shared" si="22"/>
        <v>0.19</v>
      </c>
      <c r="L45" s="102">
        <f t="shared" si="23"/>
        <v>0</v>
      </c>
      <c r="M45" s="106">
        <f t="shared" si="24"/>
        <v>0.98</v>
      </c>
      <c r="N45" s="106">
        <f t="shared" si="25"/>
        <v>1</v>
      </c>
      <c r="O45" s="106">
        <f t="shared" si="26"/>
        <v>0.99</v>
      </c>
      <c r="P45" s="236">
        <f t="shared" si="27"/>
        <v>0.4</v>
      </c>
      <c r="Q45" s="106"/>
      <c r="R45" s="102">
        <f t="shared" si="4"/>
        <v>0.40500000000000003</v>
      </c>
      <c r="S45" s="102">
        <f t="shared" si="5"/>
        <v>0</v>
      </c>
      <c r="T45" s="106">
        <f t="shared" si="6"/>
        <v>0.98</v>
      </c>
      <c r="U45" s="106">
        <f t="shared" si="28"/>
        <v>1</v>
      </c>
      <c r="V45" s="106">
        <f t="shared" si="29"/>
        <v>0.9738</v>
      </c>
      <c r="W45" s="236">
        <f t="shared" si="30"/>
        <v>1.6</v>
      </c>
      <c r="X45" s="106"/>
      <c r="Y45" s="102">
        <f t="shared" si="7"/>
        <v>0.40500000000000003</v>
      </c>
      <c r="Z45" s="102">
        <f t="shared" si="8"/>
        <v>0</v>
      </c>
      <c r="AA45" s="106">
        <f t="shared" si="9"/>
        <v>0.98</v>
      </c>
      <c r="AB45" s="106">
        <f t="shared" si="31"/>
        <v>1</v>
      </c>
      <c r="AC45" s="106">
        <f t="shared" si="10"/>
        <v>0.9738</v>
      </c>
      <c r="AD45" s="236">
        <f t="shared" si="32"/>
        <v>1.6</v>
      </c>
      <c r="AE45" s="106"/>
      <c r="AF45" s="102">
        <f t="shared" si="11"/>
        <v>0.40500000000000003</v>
      </c>
      <c r="AG45" s="102">
        <f t="shared" si="12"/>
        <v>0</v>
      </c>
      <c r="AH45" s="106">
        <f t="shared" si="13"/>
        <v>0.98</v>
      </c>
      <c r="AI45" s="106">
        <f t="shared" si="33"/>
        <v>1</v>
      </c>
      <c r="AJ45" s="106">
        <f t="shared" si="14"/>
        <v>0.9738</v>
      </c>
      <c r="AK45" s="236">
        <f t="shared" si="34"/>
        <v>1</v>
      </c>
      <c r="AM45" s="80">
        <f t="shared" si="35"/>
        <v>6.8844146311537027E-2</v>
      </c>
      <c r="AN45" s="182">
        <f t="shared" si="15"/>
        <v>31</v>
      </c>
      <c r="AP45" s="82">
        <f t="shared" si="36"/>
        <v>0</v>
      </c>
      <c r="AQ45" s="132">
        <f t="shared" si="37"/>
        <v>4.1400000000000006</v>
      </c>
      <c r="AR45" s="132">
        <f t="shared" si="38"/>
        <v>3.95</v>
      </c>
      <c r="AS45" s="132">
        <f t="shared" si="39"/>
        <v>0</v>
      </c>
      <c r="AT45" s="132">
        <f t="shared" si="40"/>
        <v>0</v>
      </c>
      <c r="AU45" s="235">
        <f t="shared" si="41"/>
        <v>0.39200000000000002</v>
      </c>
      <c r="AV45" s="235">
        <f t="shared" si="42"/>
        <v>0.4</v>
      </c>
      <c r="AW45" s="106">
        <f t="shared" si="43"/>
        <v>0.99</v>
      </c>
      <c r="AX45" s="237">
        <f>IF(AP45=0,0,_xll.SPRDOPT(AQ45,AR45,$P45,$AM45,AU45,AV45,AW45,$F45,$B$19,0))</f>
        <v>0</v>
      </c>
      <c r="AY45" s="237">
        <f ca="1">IF(AQ45=0,0,_xll.SPRDOPT(AQ45,AR45,$P45,$AM45,AU45,AV45,AW45,$F45,$B$19,1))</f>
        <v>0.15530044069311769</v>
      </c>
      <c r="AZ45" s="237">
        <f ca="1">IF(AR45=0,0,_xll.SPRDOPT(AQ45,AR45,$P45,$AM45,AU45,AV45,AW45,$F45,$B$19,2))</f>
        <v>-0.1464473255551724</v>
      </c>
      <c r="BA45" s="237">
        <f>IF(AS45=0,0,_xll.SPRDOPT(AQ45,AR45,$P45,$AM45,AU45,AV45,AW45,$F45,$B$19,3)/100)</f>
        <v>0</v>
      </c>
      <c r="BB45" s="237">
        <f>IF(AT45=0,0,_xll.SPRDOPT(AQ45,AR45,$P45,$AM45,AU45,AV45,AW45,$F45,$B$19,4)/100)</f>
        <v>0</v>
      </c>
      <c r="BC45" s="237">
        <f ca="1">IF(AU45=0,0,_xll.SPRDOPT(AQ45,AR45,$P45,$AM45,AU45,AV45,AW45,$F45,$B$19,5)/100)</f>
        <v>3.7201170236083442E-3</v>
      </c>
      <c r="BD45" s="237">
        <f ca="1">IF(AV45=0,0,_xll.SPRDOPT(AQ45,AR45,$P45,$AM45,AU45,AV45,AW45,$F45,$B$19,6)/100)</f>
        <v>-2.4702671198826897E-3</v>
      </c>
      <c r="BE45" s="237">
        <f ca="1">IF(AW45=0,0,_xll.SPRDOPT(AQ45,AR45,$P45,$AM45,AU45,AV45,AW45,$F45,$B$19,7)/100)</f>
        <v>-1.9112581522836111E-2</v>
      </c>
      <c r="BF45" s="237">
        <f>IF(AX45=0,0,_xll.SPRDOPT(AQ45,AR45,$P45,$AM45,AU45,AV45,AW45,$F45,$B$19,9)/365)</f>
        <v>0</v>
      </c>
      <c r="BG45" s="237">
        <f t="shared" ca="1" si="44"/>
        <v>8.8531151379452888E-3</v>
      </c>
      <c r="BH45" s="237">
        <f t="shared" si="45"/>
        <v>0</v>
      </c>
      <c r="BI45" s="237">
        <f t="shared" ca="1" si="46"/>
        <v>1.1754475632534877E-3</v>
      </c>
      <c r="BJ45" s="206"/>
      <c r="BK45" s="109">
        <f t="shared" si="47"/>
        <v>0</v>
      </c>
      <c r="BL45" s="109">
        <f t="shared" ca="1" si="48"/>
        <v>0</v>
      </c>
      <c r="BM45" s="109">
        <f t="shared" ca="1" si="49"/>
        <v>0</v>
      </c>
      <c r="BN45" s="109">
        <f t="shared" si="50"/>
        <v>0</v>
      </c>
      <c r="BO45" s="109">
        <f t="shared" si="51"/>
        <v>0</v>
      </c>
      <c r="BP45" s="109">
        <f t="shared" ca="1" si="52"/>
        <v>0</v>
      </c>
      <c r="BQ45" s="109">
        <f t="shared" ca="1" si="53"/>
        <v>0</v>
      </c>
      <c r="BR45" s="109">
        <f t="shared" ca="1" si="54"/>
        <v>0</v>
      </c>
      <c r="BS45" s="109">
        <f t="shared" si="55"/>
        <v>0</v>
      </c>
      <c r="BT45" s="109">
        <f t="shared" ca="1" si="56"/>
        <v>0</v>
      </c>
      <c r="BU45" s="109">
        <f t="shared" si="57"/>
        <v>0</v>
      </c>
      <c r="BV45" s="109">
        <f t="shared" ca="1" si="58"/>
        <v>0</v>
      </c>
      <c r="BX45" s="82">
        <f t="shared" si="59"/>
        <v>0</v>
      </c>
      <c r="BY45" s="132">
        <f t="shared" si="60"/>
        <v>4.3650000000000002</v>
      </c>
      <c r="BZ45" s="132">
        <f t="shared" si="61"/>
        <v>3.95</v>
      </c>
      <c r="CA45" s="132">
        <f t="shared" si="62"/>
        <v>0</v>
      </c>
      <c r="CB45" s="132">
        <f t="shared" si="63"/>
        <v>0</v>
      </c>
      <c r="CC45" s="235">
        <f t="shared" si="64"/>
        <v>0.39200000000000002</v>
      </c>
      <c r="CD45" s="235">
        <f t="shared" si="65"/>
        <v>0.4</v>
      </c>
      <c r="CE45" s="106">
        <f t="shared" si="66"/>
        <v>0.9738</v>
      </c>
      <c r="CF45" s="237">
        <f>IF(BX45=0,0,_xll.SPRDOPT(BY45,BZ45,$W45,$AM45,CC45,CD45,CE45,$F45,$D$19,0))</f>
        <v>0</v>
      </c>
      <c r="CG45" s="237">
        <f ca="1">IF(BY45=0,0,_xll.SPRDOPT(BY45,BZ45,$W45,$AM45,CC45,CD45,CE45,$F45,$D$19,1))</f>
        <v>7.2717081704954598E-3</v>
      </c>
      <c r="CH45" s="237">
        <f ca="1">IF(BZ45=0,0,_xll.SPRDOPT(BY45,BZ45,$W45,$AM45,CC45,CD45,CE45,$F45,$D$19,2))</f>
        <v>-6.3110482256930481E-3</v>
      </c>
      <c r="CI45" s="237">
        <f>IF(CA45=0,0,_xll.SPRDOPT(BY45,BZ45,$W45,$AM45,CC45,CD45,CE45,$F45,$D$19,3)/100)</f>
        <v>0</v>
      </c>
      <c r="CJ45" s="237">
        <f>IF(CB45=0,0,_xll.SPRDOPT(BY45,BZ45,$W45,$AM45,CC45,CD45,CE45,$F45,$D$19,4)/100)</f>
        <v>0</v>
      </c>
      <c r="CK45" s="237">
        <f ca="1">IF(CC45=0,0,_xll.SPRDOPT(BY45,BZ45,$W45,$AM45,CC45,CD45,CE45,$F45,$D$19,5)/100)</f>
        <v>5.2022397910858327E-4</v>
      </c>
      <c r="CL45" s="237">
        <f ca="1">IF(CD45=0,0,_xll.SPRDOPT(BY45,BZ45,$W45,$AM45,CC45,CD45,CE45,$F45,$D$19,6)/100)</f>
        <v>-3.1596710938857709E-4</v>
      </c>
      <c r="CM45" s="237">
        <f ca="1">IF(CE45=0,0,_xll.SPRDOPT(BY45,BZ45,$W45,$AM45,CC45,CD45,CE45,$F45,$D$19,7)/100)</f>
        <v>-8.1850814125115424E-4</v>
      </c>
      <c r="CN45" s="237">
        <f>IF(CF45=0,0,_xll.SPRDOPT(BY45,BZ45,$W45,$AM45,CC45,CD45,CE45,$F45,$D$19,9)/365)</f>
        <v>0</v>
      </c>
      <c r="CO45" s="237">
        <f t="shared" ca="1" si="67"/>
        <v>9.6065994480241165E-4</v>
      </c>
      <c r="CP45" s="237">
        <f t="shared" si="68"/>
        <v>0</v>
      </c>
      <c r="CQ45" s="237">
        <f t="shared" ca="1" si="69"/>
        <v>1.9385239013783447E-4</v>
      </c>
      <c r="CR45" s="206"/>
      <c r="CS45" s="109">
        <f t="shared" si="70"/>
        <v>0</v>
      </c>
      <c r="CT45" s="109">
        <f t="shared" ca="1" si="71"/>
        <v>0</v>
      </c>
      <c r="CU45" s="109">
        <f t="shared" ca="1" si="72"/>
        <v>0</v>
      </c>
      <c r="CV45" s="109">
        <f t="shared" si="73"/>
        <v>0</v>
      </c>
      <c r="CW45" s="109">
        <f t="shared" si="74"/>
        <v>0</v>
      </c>
      <c r="CX45" s="109">
        <f t="shared" ca="1" si="75"/>
        <v>0</v>
      </c>
      <c r="CY45" s="109">
        <f t="shared" ca="1" si="76"/>
        <v>0</v>
      </c>
      <c r="CZ45" s="109">
        <f t="shared" ca="1" si="77"/>
        <v>0</v>
      </c>
      <c r="DA45" s="109">
        <f t="shared" si="78"/>
        <v>0</v>
      </c>
      <c r="DB45" s="109">
        <f t="shared" ca="1" si="79"/>
        <v>0</v>
      </c>
      <c r="DC45" s="109">
        <f t="shared" si="80"/>
        <v>0</v>
      </c>
      <c r="DD45" s="109">
        <f t="shared" ca="1" si="81"/>
        <v>0</v>
      </c>
      <c r="DF45" s="82">
        <f t="shared" si="82"/>
        <v>0</v>
      </c>
      <c r="DG45" s="132">
        <f t="shared" si="83"/>
        <v>4.3650000000000002</v>
      </c>
      <c r="DH45" s="132">
        <f t="shared" si="84"/>
        <v>3.95</v>
      </c>
      <c r="DI45" s="132">
        <f t="shared" si="85"/>
        <v>0</v>
      </c>
      <c r="DJ45" s="132">
        <f t="shared" si="86"/>
        <v>0</v>
      </c>
      <c r="DK45" s="235">
        <f t="shared" si="87"/>
        <v>0.39200000000000002</v>
      </c>
      <c r="DL45" s="235">
        <f t="shared" si="88"/>
        <v>0.4</v>
      </c>
      <c r="DM45" s="106">
        <f t="shared" si="89"/>
        <v>0.9738</v>
      </c>
      <c r="DN45" s="237">
        <f>IF(DF45=0,0,_xll.SPRDOPT(DG45,DH45,$AD45,$AM45,DK45,DL45,DM45,$F45,$F$19,0))</f>
        <v>0</v>
      </c>
      <c r="DO45" s="237">
        <f ca="1">IF(DG45=0,0,_xll.SPRDOPT(DG45,DH45,$AD45,$AM45,DK45,DL45,DM45,$F45,$F$19,1))</f>
        <v>7.2717081704954598E-3</v>
      </c>
      <c r="DP45" s="237">
        <f ca="1">IF(DH45=0,0,_xll.SPRDOPT(DG45,DH45,$AD45,$AM45,DK45,DL45,DM45,$F45,$F$19,2))</f>
        <v>-6.3110482256930481E-3</v>
      </c>
      <c r="DQ45" s="237">
        <f>IF(DI45=0,0,_xll.SPRDOPT(DG45,DH45,$AD45,$AM45,DK45,DL45,DM45,$F45,$F$19,3)/100)</f>
        <v>0</v>
      </c>
      <c r="DR45" s="237">
        <f>IF(DJ45=0,0,_xll.SPRDOPT(DG45,DH45,$AD45,$AM45,DK45,DL45,DM45,$F45,$F$19,4)/100)</f>
        <v>0</v>
      </c>
      <c r="DS45" s="237">
        <f ca="1">IF(DK45=0,0,_xll.SPRDOPT(DG45,DH45,$AD45,$AM45,DK45,DL45,DM45,$F45,$F$19,5)/100)</f>
        <v>5.2022397910858327E-4</v>
      </c>
      <c r="DT45" s="237">
        <f ca="1">IF(DL45=0,0,_xll.SPRDOPT(DG45,DH45,$AD45,$AM45,DK45,DL45,DM45,$F45,$F$19,6)/100)</f>
        <v>-3.1596710938857709E-4</v>
      </c>
      <c r="DU45" s="237">
        <f ca="1">IF(DM45=0,0,_xll.SPRDOPT(DG45,DH45,$AD45,$AM45,DK45,DL45,DM45,$F45,$F$19,7)/100)</f>
        <v>-8.1850814125115424E-4</v>
      </c>
      <c r="DV45" s="237">
        <f>IF(DN45=0,0,_xll.SPRDOPT(DG45,DH45,$AD45,$AM45,DK45,DL45,DM45,$F45,$F$19,9)/365)</f>
        <v>0</v>
      </c>
      <c r="DW45" s="237">
        <f t="shared" ca="1" si="90"/>
        <v>9.6065994480241165E-4</v>
      </c>
      <c r="DX45" s="237">
        <f t="shared" si="91"/>
        <v>0</v>
      </c>
      <c r="DY45" s="237">
        <f t="shared" ca="1" si="92"/>
        <v>1.9385239013783447E-4</v>
      </c>
      <c r="DZ45" s="206"/>
      <c r="EA45" s="109">
        <f t="shared" si="93"/>
        <v>0</v>
      </c>
      <c r="EB45" s="109">
        <f t="shared" ca="1" si="94"/>
        <v>0</v>
      </c>
      <c r="EC45" s="109">
        <f t="shared" ca="1" si="95"/>
        <v>0</v>
      </c>
      <c r="ED45" s="109">
        <f t="shared" si="96"/>
        <v>0</v>
      </c>
      <c r="EE45" s="109">
        <f t="shared" si="97"/>
        <v>0</v>
      </c>
      <c r="EF45" s="109">
        <f t="shared" ca="1" si="98"/>
        <v>0</v>
      </c>
      <c r="EG45" s="109">
        <f t="shared" ca="1" si="99"/>
        <v>0</v>
      </c>
      <c r="EH45" s="109">
        <f t="shared" ca="1" si="100"/>
        <v>0</v>
      </c>
      <c r="EI45" s="109">
        <f t="shared" si="101"/>
        <v>0</v>
      </c>
      <c r="EJ45" s="109">
        <f t="shared" ca="1" si="102"/>
        <v>0</v>
      </c>
      <c r="EK45" s="109">
        <f t="shared" si="103"/>
        <v>0</v>
      </c>
      <c r="EL45" s="109">
        <f t="shared" ca="1" si="104"/>
        <v>0</v>
      </c>
      <c r="EN45" s="82">
        <f t="shared" si="105"/>
        <v>0</v>
      </c>
      <c r="EO45" s="132">
        <f t="shared" si="106"/>
        <v>4.4200000000000008</v>
      </c>
      <c r="EP45" s="132">
        <f t="shared" si="107"/>
        <v>3.95</v>
      </c>
      <c r="EQ45" s="132">
        <f t="shared" si="108"/>
        <v>0</v>
      </c>
      <c r="ER45" s="132">
        <f t="shared" si="109"/>
        <v>0</v>
      </c>
      <c r="ES45" s="235">
        <f t="shared" si="110"/>
        <v>0.39200000000000002</v>
      </c>
      <c r="ET45" s="235">
        <f t="shared" si="111"/>
        <v>0.4</v>
      </c>
      <c r="EU45" s="106">
        <f t="shared" si="112"/>
        <v>0.9738</v>
      </c>
      <c r="EV45" s="237">
        <f>IF(EN45=0,0,_xll.SPRDOPT(EO45,EP45,$AK45,$AM45,ES45,ET45,EU45,$F45,$H$19,0))</f>
        <v>0</v>
      </c>
      <c r="EW45" s="237">
        <f ca="1">IF(EO45=0,0,_xll.SPRDOPT(EO45,EP45,$AK45,$AM45,ES45,ET45,EU45,$F45,$H$19,1))</f>
        <v>-0.85793368931137337</v>
      </c>
      <c r="EX45" s="237">
        <f ca="1">IF(EP45=0,0,_xll.SPRDOPT(EO45,EP45,$AK45,$AM45,ES45,ET45,EU45,$F45,$H$19,2))</f>
        <v>0.86720126481650783</v>
      </c>
      <c r="EY45" s="237">
        <f>IF(EQ45=0,0,_xll.SPRDOPT(EO45,EP45,$AK45,$AM45,ES45,ET45,EU45,$F45,$H$19,3)/100)</f>
        <v>0</v>
      </c>
      <c r="EZ45" s="237">
        <f>IF(ER45=0,0,_xll.SPRDOPT(EO45,EP45,$AK45,$AM45,ES45,ET45,EU45,$F45,$H$19,4)/100)</f>
        <v>0</v>
      </c>
      <c r="FA45" s="237">
        <f ca="1">IF(ES45=0,0,_xll.SPRDOPT(EO45,EP45,$AK45,$AM45,ES45,ET45,EU45,$F45,$H$19,5)/100)</f>
        <v>4.0403371453535371E-3</v>
      </c>
      <c r="FB45" s="237">
        <f ca="1">IF(ET45=0,0,_xll.SPRDOPT(EO45,EP45,$AK45,$AM45,ES45,ET45,EU45,$F45,$H$19,6)/100)</f>
        <v>-2.386756351094988E-3</v>
      </c>
      <c r="FC45" s="237">
        <f ca="1">IF(EU45=0,0,_xll.SPRDOPT(EO45,EP45,$AK45,$AM45,ES45,ET45,EU45,$F45,$H$19,7)/100)</f>
        <v>-7.838100017104728E-3</v>
      </c>
      <c r="FD45" s="237">
        <f>IF(EV45=0,0,_xll.SPRDOPT(EO45,EP45,$AK45,$AM45,ES45,ET45,EU45,$F45,$H$19,9)/365)</f>
        <v>0</v>
      </c>
      <c r="FE45" s="237">
        <f t="shared" ca="1" si="113"/>
        <v>9.2675755051344622E-3</v>
      </c>
      <c r="FF45" s="237">
        <f t="shared" si="114"/>
        <v>0</v>
      </c>
      <c r="FG45" s="237">
        <f t="shared" ca="1" si="115"/>
        <v>1.5727740513514781E-3</v>
      </c>
      <c r="FH45" s="206"/>
      <c r="FI45" s="109">
        <f t="shared" si="116"/>
        <v>0</v>
      </c>
      <c r="FJ45" s="109">
        <f t="shared" ca="1" si="117"/>
        <v>0</v>
      </c>
      <c r="FK45" s="109">
        <f t="shared" ca="1" si="118"/>
        <v>0</v>
      </c>
      <c r="FL45" s="109">
        <f t="shared" si="119"/>
        <v>0</v>
      </c>
      <c r="FM45" s="109">
        <f t="shared" si="120"/>
        <v>0</v>
      </c>
      <c r="FN45" s="109">
        <f t="shared" ca="1" si="121"/>
        <v>0</v>
      </c>
      <c r="FO45" s="109">
        <f t="shared" ca="1" si="122"/>
        <v>0</v>
      </c>
      <c r="FP45" s="109">
        <f t="shared" ca="1" si="123"/>
        <v>0</v>
      </c>
      <c r="FQ45" s="109">
        <f t="shared" si="124"/>
        <v>0</v>
      </c>
      <c r="FR45" s="109">
        <f t="shared" ca="1" si="125"/>
        <v>0</v>
      </c>
      <c r="FS45" s="109">
        <f t="shared" si="126"/>
        <v>0</v>
      </c>
      <c r="FT45" s="109">
        <f t="shared" ca="1" si="127"/>
        <v>0</v>
      </c>
    </row>
    <row r="46" spans="1:176" x14ac:dyDescent="0.25">
      <c r="A46" s="101">
        <f t="shared" si="18"/>
        <v>37043</v>
      </c>
      <c r="B46" s="102">
        <f t="shared" si="19"/>
        <v>3.9350000000000001</v>
      </c>
      <c r="C46" s="80">
        <f t="shared" si="20"/>
        <v>0.39500000000000002</v>
      </c>
      <c r="D46" s="102"/>
      <c r="E46" s="106"/>
      <c r="F46" s="105">
        <f t="shared" ca="1" si="21"/>
        <v>271</v>
      </c>
      <c r="G46" s="80"/>
      <c r="H46" s="80"/>
      <c r="I46" s="104"/>
      <c r="J46" s="234"/>
      <c r="K46" s="102">
        <f t="shared" si="22"/>
        <v>0.19</v>
      </c>
      <c r="L46" s="102">
        <f t="shared" si="23"/>
        <v>0</v>
      </c>
      <c r="M46" s="106">
        <f t="shared" si="24"/>
        <v>0.98</v>
      </c>
      <c r="N46" s="106">
        <f t="shared" si="25"/>
        <v>1</v>
      </c>
      <c r="O46" s="106">
        <f t="shared" si="26"/>
        <v>0.99</v>
      </c>
      <c r="P46" s="236">
        <f t="shared" si="27"/>
        <v>0.4</v>
      </c>
      <c r="Q46" s="106"/>
      <c r="R46" s="102">
        <f t="shared" si="4"/>
        <v>0.39500000000000002</v>
      </c>
      <c r="S46" s="102">
        <f t="shared" si="5"/>
        <v>0</v>
      </c>
      <c r="T46" s="106">
        <f t="shared" si="6"/>
        <v>0.98</v>
      </c>
      <c r="U46" s="106">
        <f t="shared" si="28"/>
        <v>1</v>
      </c>
      <c r="V46" s="106">
        <f t="shared" si="29"/>
        <v>0.9738</v>
      </c>
      <c r="W46" s="236">
        <f t="shared" si="30"/>
        <v>1.6</v>
      </c>
      <c r="X46" s="106"/>
      <c r="Y46" s="102">
        <f t="shared" si="7"/>
        <v>0.39500000000000002</v>
      </c>
      <c r="Z46" s="102">
        <f t="shared" si="8"/>
        <v>0</v>
      </c>
      <c r="AA46" s="106">
        <f t="shared" si="9"/>
        <v>0.98</v>
      </c>
      <c r="AB46" s="106">
        <f t="shared" si="31"/>
        <v>1</v>
      </c>
      <c r="AC46" s="106">
        <f t="shared" si="10"/>
        <v>0.9738</v>
      </c>
      <c r="AD46" s="236">
        <f t="shared" si="32"/>
        <v>1.6</v>
      </c>
      <c r="AE46" s="106"/>
      <c r="AF46" s="102">
        <f t="shared" si="11"/>
        <v>0.39500000000000002</v>
      </c>
      <c r="AG46" s="102">
        <f t="shared" si="12"/>
        <v>0</v>
      </c>
      <c r="AH46" s="106">
        <f t="shared" si="13"/>
        <v>0.98</v>
      </c>
      <c r="AI46" s="106">
        <f t="shared" si="33"/>
        <v>1</v>
      </c>
      <c r="AJ46" s="106">
        <f t="shared" si="14"/>
        <v>0.9738</v>
      </c>
      <c r="AK46" s="236">
        <f t="shared" si="34"/>
        <v>1</v>
      </c>
      <c r="AM46" s="80">
        <f t="shared" si="35"/>
        <v>6.8853626476217011E-2</v>
      </c>
      <c r="AN46" s="182">
        <f t="shared" si="15"/>
        <v>30</v>
      </c>
      <c r="AP46" s="82">
        <f t="shared" si="36"/>
        <v>0</v>
      </c>
      <c r="AQ46" s="132">
        <f t="shared" si="37"/>
        <v>4.125</v>
      </c>
      <c r="AR46" s="132">
        <f t="shared" si="38"/>
        <v>3.9350000000000001</v>
      </c>
      <c r="AS46" s="132">
        <f t="shared" si="39"/>
        <v>0</v>
      </c>
      <c r="AT46" s="132">
        <f t="shared" si="40"/>
        <v>0</v>
      </c>
      <c r="AU46" s="235">
        <f t="shared" si="41"/>
        <v>0.3871</v>
      </c>
      <c r="AV46" s="235">
        <f t="shared" si="42"/>
        <v>0.39500000000000002</v>
      </c>
      <c r="AW46" s="106">
        <f t="shared" si="43"/>
        <v>0.99</v>
      </c>
      <c r="AX46" s="237">
        <f>IF(AP46=0,0,_xll.SPRDOPT(AQ46,AR46,$P46,$AM46,AU46,AV46,AW46,$F46,$B$19,0))</f>
        <v>0</v>
      </c>
      <c r="AY46" s="237">
        <f ca="1">IF(AQ46=0,0,_xll.SPRDOPT(AQ46,AR46,$P46,$AM46,AU46,AV46,AW46,$F46,$B$19,1))</f>
        <v>0.16673124529649599</v>
      </c>
      <c r="AZ46" s="237">
        <f ca="1">IF(AR46=0,0,_xll.SPRDOPT(AQ46,AR46,$P46,$AM46,AU46,AV46,AW46,$F46,$B$19,2))</f>
        <v>-0.15699316607017166</v>
      </c>
      <c r="BA46" s="237">
        <f>IF(AS46=0,0,_xll.SPRDOPT(AQ46,AR46,$P46,$AM46,AU46,AV46,AW46,$F46,$B$19,3)/100)</f>
        <v>0</v>
      </c>
      <c r="BB46" s="237">
        <f>IF(AT46=0,0,_xll.SPRDOPT(AQ46,AR46,$P46,$AM46,AU46,AV46,AW46,$F46,$B$19,4)/100)</f>
        <v>0</v>
      </c>
      <c r="BC46" s="237">
        <f ca="1">IF(AU46=0,0,_xll.SPRDOPT(AQ46,AR46,$P46,$AM46,AU46,AV46,AW46,$F46,$B$19,5)/100)</f>
        <v>4.1310797090363541E-3</v>
      </c>
      <c r="BD46" s="237">
        <f ca="1">IF(AV46=0,0,_xll.SPRDOPT(AQ46,AR46,$P46,$AM46,AU46,AV46,AW46,$F46,$B$19,6)/100)</f>
        <v>-2.7409608174022875E-3</v>
      </c>
      <c r="BE46" s="237">
        <f ca="1">IF(AW46=0,0,_xll.SPRDOPT(AQ46,AR46,$P46,$AM46,AU46,AV46,AW46,$F46,$B$19,7)/100)</f>
        <v>-2.0944933901434749E-2</v>
      </c>
      <c r="BF46" s="237">
        <f>IF(AX46=0,0,_xll.SPRDOPT(AQ46,AR46,$P46,$AM46,AU46,AV46,AW46,$F46,$B$19,9)/365)</f>
        <v>0</v>
      </c>
      <c r="BG46" s="237">
        <f t="shared" ca="1" si="44"/>
        <v>9.738079226324331E-3</v>
      </c>
      <c r="BH46" s="237">
        <f t="shared" si="45"/>
        <v>0</v>
      </c>
      <c r="BI46" s="237">
        <f t="shared" ca="1" si="46"/>
        <v>1.3074972974533396E-3</v>
      </c>
      <c r="BJ46" s="206"/>
      <c r="BK46" s="109">
        <f t="shared" si="47"/>
        <v>0</v>
      </c>
      <c r="BL46" s="109">
        <f t="shared" ca="1" si="48"/>
        <v>0</v>
      </c>
      <c r="BM46" s="109">
        <f t="shared" ca="1" si="49"/>
        <v>0</v>
      </c>
      <c r="BN46" s="109">
        <f t="shared" si="50"/>
        <v>0</v>
      </c>
      <c r="BO46" s="109">
        <f t="shared" si="51"/>
        <v>0</v>
      </c>
      <c r="BP46" s="109">
        <f t="shared" ca="1" si="52"/>
        <v>0</v>
      </c>
      <c r="BQ46" s="109">
        <f t="shared" ca="1" si="53"/>
        <v>0</v>
      </c>
      <c r="BR46" s="109">
        <f t="shared" ca="1" si="54"/>
        <v>0</v>
      </c>
      <c r="BS46" s="109">
        <f t="shared" si="55"/>
        <v>0</v>
      </c>
      <c r="BT46" s="109">
        <f t="shared" ca="1" si="56"/>
        <v>0</v>
      </c>
      <c r="BU46" s="109">
        <f t="shared" si="57"/>
        <v>0</v>
      </c>
      <c r="BV46" s="109">
        <f t="shared" ca="1" si="58"/>
        <v>0</v>
      </c>
      <c r="BX46" s="82">
        <f t="shared" si="59"/>
        <v>0</v>
      </c>
      <c r="BY46" s="132">
        <f t="shared" si="60"/>
        <v>4.34</v>
      </c>
      <c r="BZ46" s="132">
        <f t="shared" si="61"/>
        <v>3.9350000000000001</v>
      </c>
      <c r="CA46" s="132">
        <f t="shared" si="62"/>
        <v>0</v>
      </c>
      <c r="CB46" s="132">
        <f t="shared" si="63"/>
        <v>0</v>
      </c>
      <c r="CC46" s="235">
        <f t="shared" si="64"/>
        <v>0.3871</v>
      </c>
      <c r="CD46" s="235">
        <f t="shared" si="65"/>
        <v>0.39500000000000002</v>
      </c>
      <c r="CE46" s="106">
        <f t="shared" si="66"/>
        <v>0.9738</v>
      </c>
      <c r="CF46" s="237">
        <f>IF(BX46=0,0,_xll.SPRDOPT(BY46,BZ46,$W46,$AM46,CC46,CD46,CE46,$F46,$D$19,0))</f>
        <v>0</v>
      </c>
      <c r="CG46" s="237">
        <f ca="1">IF(BY46=0,0,_xll.SPRDOPT(BY46,BZ46,$W46,$AM46,CC46,CD46,CE46,$F46,$D$19,1))</f>
        <v>9.5605296727477064E-3</v>
      </c>
      <c r="CH46" s="237">
        <f ca="1">IF(BZ46=0,0,_xll.SPRDOPT(BY46,BZ46,$W46,$AM46,CC46,CD46,CE46,$F46,$D$19,2))</f>
        <v>-8.2731469907888419E-3</v>
      </c>
      <c r="CI46" s="237">
        <f>IF(CA46=0,0,_xll.SPRDOPT(BY46,BZ46,$W46,$AM46,CC46,CD46,CE46,$F46,$D$19,3)/100)</f>
        <v>0</v>
      </c>
      <c r="CJ46" s="237">
        <f>IF(CB46=0,0,_xll.SPRDOPT(BY46,BZ46,$W46,$AM46,CC46,CD46,CE46,$F46,$D$19,4)/100)</f>
        <v>0</v>
      </c>
      <c r="CK46" s="237">
        <f ca="1">IF(CC46=0,0,_xll.SPRDOPT(BY46,BZ46,$W46,$AM46,CC46,CD46,CE46,$F46,$D$19,5)/100)</f>
        <v>6.9960755751977263E-4</v>
      </c>
      <c r="CL46" s="237">
        <f ca="1">IF(CD46=0,0,_xll.SPRDOPT(BY46,BZ46,$W46,$AM46,CC46,CD46,CE46,$F46,$D$19,6)/100)</f>
        <v>-4.2431448155901409E-4</v>
      </c>
      <c r="CM46" s="237">
        <f ca="1">IF(CE46=0,0,_xll.SPRDOPT(BY46,BZ46,$W46,$AM46,CC46,CD46,CE46,$F46,$D$19,7)/100)</f>
        <v>-1.0912100894138416E-3</v>
      </c>
      <c r="CN46" s="237">
        <f>IF(CF46=0,0,_xll.SPRDOPT(BY46,BZ46,$W46,$AM46,CC46,CD46,CE46,$F46,$D$19,9)/365)</f>
        <v>0</v>
      </c>
      <c r="CO46" s="237">
        <f t="shared" ca="1" si="67"/>
        <v>1.2873826819588645E-3</v>
      </c>
      <c r="CP46" s="237">
        <f t="shared" si="68"/>
        <v>0</v>
      </c>
      <c r="CQ46" s="237">
        <f t="shared" ca="1" si="69"/>
        <v>2.6130092481036306E-4</v>
      </c>
      <c r="CR46" s="206"/>
      <c r="CS46" s="109">
        <f t="shared" si="70"/>
        <v>0</v>
      </c>
      <c r="CT46" s="109">
        <f t="shared" ca="1" si="71"/>
        <v>0</v>
      </c>
      <c r="CU46" s="109">
        <f t="shared" ca="1" si="72"/>
        <v>0</v>
      </c>
      <c r="CV46" s="109">
        <f t="shared" si="73"/>
        <v>0</v>
      </c>
      <c r="CW46" s="109">
        <f t="shared" si="74"/>
        <v>0</v>
      </c>
      <c r="CX46" s="109">
        <f t="shared" ca="1" si="75"/>
        <v>0</v>
      </c>
      <c r="CY46" s="109">
        <f t="shared" ca="1" si="76"/>
        <v>0</v>
      </c>
      <c r="CZ46" s="109">
        <f t="shared" ca="1" si="77"/>
        <v>0</v>
      </c>
      <c r="DA46" s="109">
        <f t="shared" si="78"/>
        <v>0</v>
      </c>
      <c r="DB46" s="109">
        <f t="shared" ca="1" si="79"/>
        <v>0</v>
      </c>
      <c r="DC46" s="109">
        <f t="shared" si="80"/>
        <v>0</v>
      </c>
      <c r="DD46" s="109">
        <f t="shared" ca="1" si="81"/>
        <v>0</v>
      </c>
      <c r="DF46" s="82">
        <f t="shared" si="82"/>
        <v>0</v>
      </c>
      <c r="DG46" s="132">
        <f t="shared" si="83"/>
        <v>4.34</v>
      </c>
      <c r="DH46" s="132">
        <f t="shared" si="84"/>
        <v>3.9350000000000001</v>
      </c>
      <c r="DI46" s="132">
        <f t="shared" si="85"/>
        <v>0</v>
      </c>
      <c r="DJ46" s="132">
        <f t="shared" si="86"/>
        <v>0</v>
      </c>
      <c r="DK46" s="235">
        <f t="shared" si="87"/>
        <v>0.3871</v>
      </c>
      <c r="DL46" s="235">
        <f t="shared" si="88"/>
        <v>0.39500000000000002</v>
      </c>
      <c r="DM46" s="106">
        <f t="shared" si="89"/>
        <v>0.9738</v>
      </c>
      <c r="DN46" s="237">
        <f>IF(DF46=0,0,_xll.SPRDOPT(DG46,DH46,$AD46,$AM46,DK46,DL46,DM46,$F46,$F$19,0))</f>
        <v>0</v>
      </c>
      <c r="DO46" s="237">
        <f ca="1">IF(DG46=0,0,_xll.SPRDOPT(DG46,DH46,$AD46,$AM46,DK46,DL46,DM46,$F46,$F$19,1))</f>
        <v>9.5605296727477064E-3</v>
      </c>
      <c r="DP46" s="237">
        <f ca="1">IF(DH46=0,0,_xll.SPRDOPT(DG46,DH46,$AD46,$AM46,DK46,DL46,DM46,$F46,$F$19,2))</f>
        <v>-8.2731469907888419E-3</v>
      </c>
      <c r="DQ46" s="237">
        <f>IF(DI46=0,0,_xll.SPRDOPT(DG46,DH46,$AD46,$AM46,DK46,DL46,DM46,$F46,$F$19,3)/100)</f>
        <v>0</v>
      </c>
      <c r="DR46" s="237">
        <f>IF(DJ46=0,0,_xll.SPRDOPT(DG46,DH46,$AD46,$AM46,DK46,DL46,DM46,$F46,$F$19,4)/100)</f>
        <v>0</v>
      </c>
      <c r="DS46" s="237">
        <f ca="1">IF(DK46=0,0,_xll.SPRDOPT(DG46,DH46,$AD46,$AM46,DK46,DL46,DM46,$F46,$F$19,5)/100)</f>
        <v>6.9960755751977263E-4</v>
      </c>
      <c r="DT46" s="237">
        <f ca="1">IF(DL46=0,0,_xll.SPRDOPT(DG46,DH46,$AD46,$AM46,DK46,DL46,DM46,$F46,$F$19,6)/100)</f>
        <v>-4.2431448155901409E-4</v>
      </c>
      <c r="DU46" s="237">
        <f ca="1">IF(DM46=0,0,_xll.SPRDOPT(DG46,DH46,$AD46,$AM46,DK46,DL46,DM46,$F46,$F$19,7)/100)</f>
        <v>-1.0912100894138416E-3</v>
      </c>
      <c r="DV46" s="237">
        <f>IF(DN46=0,0,_xll.SPRDOPT(DG46,DH46,$AD46,$AM46,DK46,DL46,DM46,$F46,$F$19,9)/365)</f>
        <v>0</v>
      </c>
      <c r="DW46" s="237">
        <f t="shared" ca="1" si="90"/>
        <v>1.2873826819588645E-3</v>
      </c>
      <c r="DX46" s="237">
        <f t="shared" si="91"/>
        <v>0</v>
      </c>
      <c r="DY46" s="237">
        <f t="shared" ca="1" si="92"/>
        <v>2.6130092481036306E-4</v>
      </c>
      <c r="DZ46" s="206"/>
      <c r="EA46" s="109">
        <f t="shared" si="93"/>
        <v>0</v>
      </c>
      <c r="EB46" s="109">
        <f t="shared" ca="1" si="94"/>
        <v>0</v>
      </c>
      <c r="EC46" s="109">
        <f t="shared" ca="1" si="95"/>
        <v>0</v>
      </c>
      <c r="ED46" s="109">
        <f t="shared" si="96"/>
        <v>0</v>
      </c>
      <c r="EE46" s="109">
        <f t="shared" si="97"/>
        <v>0</v>
      </c>
      <c r="EF46" s="109">
        <f t="shared" ca="1" si="98"/>
        <v>0</v>
      </c>
      <c r="EG46" s="109">
        <f t="shared" ca="1" si="99"/>
        <v>0</v>
      </c>
      <c r="EH46" s="109">
        <f t="shared" ca="1" si="100"/>
        <v>0</v>
      </c>
      <c r="EI46" s="109">
        <f t="shared" si="101"/>
        <v>0</v>
      </c>
      <c r="EJ46" s="109">
        <f t="shared" ca="1" si="102"/>
        <v>0</v>
      </c>
      <c r="EK46" s="109">
        <f t="shared" si="103"/>
        <v>0</v>
      </c>
      <c r="EL46" s="109">
        <f t="shared" ca="1" si="104"/>
        <v>0</v>
      </c>
      <c r="EN46" s="82">
        <f t="shared" si="105"/>
        <v>0</v>
      </c>
      <c r="EO46" s="132">
        <f t="shared" si="106"/>
        <v>4.3950000000000005</v>
      </c>
      <c r="EP46" s="132">
        <f t="shared" si="107"/>
        <v>3.9350000000000001</v>
      </c>
      <c r="EQ46" s="132">
        <f t="shared" si="108"/>
        <v>0</v>
      </c>
      <c r="ER46" s="132">
        <f t="shared" si="109"/>
        <v>0</v>
      </c>
      <c r="ES46" s="235">
        <f t="shared" si="110"/>
        <v>0.3871</v>
      </c>
      <c r="ET46" s="235">
        <f t="shared" si="111"/>
        <v>0.39500000000000002</v>
      </c>
      <c r="EU46" s="106">
        <f t="shared" si="112"/>
        <v>0.9738</v>
      </c>
      <c r="EV46" s="237">
        <f>IF(EN46=0,0,_xll.SPRDOPT(EO46,EP46,$AK46,$AM46,ES46,ET46,EU46,$F46,$H$19,0))</f>
        <v>0</v>
      </c>
      <c r="EW46" s="237">
        <f ca="1">IF(EO46=0,0,_xll.SPRDOPT(EO46,EP46,$AK46,$AM46,ES46,ET46,EU46,$F46,$H$19,1))</f>
        <v>-0.84513537165141395</v>
      </c>
      <c r="EX46" s="237">
        <f ca="1">IF(EP46=0,0,_xll.SPRDOPT(EO46,EP46,$AK46,$AM46,ES46,ET46,EU46,$F46,$H$19,2))</f>
        <v>0.85537686073469976</v>
      </c>
      <c r="EY46" s="237">
        <f>IF(EQ46=0,0,_xll.SPRDOPT(EO46,EP46,$AK46,$AM46,ES46,ET46,EU46,$F46,$H$19,3)/100)</f>
        <v>0</v>
      </c>
      <c r="EZ46" s="237">
        <f>IF(ER46=0,0,_xll.SPRDOPT(EO46,EP46,$AK46,$AM46,ES46,ET46,EU46,$F46,$H$19,4)/100)</f>
        <v>0</v>
      </c>
      <c r="FA46" s="237">
        <f ca="1">IF(ES46=0,0,_xll.SPRDOPT(EO46,EP46,$AK46,$AM46,ES46,ET46,EU46,$F46,$H$19,5)/100)</f>
        <v>4.4831881436628116E-3</v>
      </c>
      <c r="FB46" s="237">
        <f ca="1">IF(ET46=0,0,_xll.SPRDOPT(EO46,EP46,$AK46,$AM46,ES46,ET46,EU46,$F46,$H$19,6)/100)</f>
        <v>-2.6431560882712022E-3</v>
      </c>
      <c r="FC46" s="237">
        <f ca="1">IF(EU46=0,0,_xll.SPRDOPT(EO46,EP46,$AK46,$AM46,ES46,ET46,EU46,$F46,$H$19,7)/100)</f>
        <v>-8.6179812848935361E-3</v>
      </c>
      <c r="FD46" s="237">
        <f>IF(EV46=0,0,_xll.SPRDOPT(EO46,EP46,$AK46,$AM46,ES46,ET46,EU46,$F46,$H$19,9)/365)</f>
        <v>0</v>
      </c>
      <c r="FE46" s="237">
        <f t="shared" ca="1" si="113"/>
        <v>1.0241489083285815E-2</v>
      </c>
      <c r="FF46" s="237">
        <f t="shared" si="114"/>
        <v>0</v>
      </c>
      <c r="FG46" s="237">
        <f t="shared" ca="1" si="115"/>
        <v>1.7503682925183533E-3</v>
      </c>
      <c r="FH46" s="206"/>
      <c r="FI46" s="109">
        <f t="shared" si="116"/>
        <v>0</v>
      </c>
      <c r="FJ46" s="109">
        <f t="shared" ca="1" si="117"/>
        <v>0</v>
      </c>
      <c r="FK46" s="109">
        <f t="shared" ca="1" si="118"/>
        <v>0</v>
      </c>
      <c r="FL46" s="109">
        <f t="shared" si="119"/>
        <v>0</v>
      </c>
      <c r="FM46" s="109">
        <f t="shared" si="120"/>
        <v>0</v>
      </c>
      <c r="FN46" s="109">
        <f t="shared" ca="1" si="121"/>
        <v>0</v>
      </c>
      <c r="FO46" s="109">
        <f t="shared" ca="1" si="122"/>
        <v>0</v>
      </c>
      <c r="FP46" s="109">
        <f t="shared" ca="1" si="123"/>
        <v>0</v>
      </c>
      <c r="FQ46" s="109">
        <f t="shared" si="124"/>
        <v>0</v>
      </c>
      <c r="FR46" s="109">
        <f t="shared" ca="1" si="125"/>
        <v>0</v>
      </c>
      <c r="FS46" s="109">
        <f t="shared" si="126"/>
        <v>0</v>
      </c>
      <c r="FT46" s="109">
        <f t="shared" ca="1" si="127"/>
        <v>0</v>
      </c>
    </row>
    <row r="47" spans="1:176" x14ac:dyDescent="0.25">
      <c r="A47" s="101">
        <f t="shared" si="18"/>
        <v>37073</v>
      </c>
      <c r="B47" s="102">
        <f t="shared" si="19"/>
        <v>3.92</v>
      </c>
      <c r="C47" s="80">
        <f t="shared" si="20"/>
        <v>0.39500000000000002</v>
      </c>
      <c r="D47" s="102"/>
      <c r="E47" s="106"/>
      <c r="F47" s="105">
        <f t="shared" ca="1" si="21"/>
        <v>300</v>
      </c>
      <c r="G47" s="80"/>
      <c r="H47" s="80"/>
      <c r="I47" s="104"/>
      <c r="J47" s="234"/>
      <c r="K47" s="102">
        <f t="shared" si="22"/>
        <v>0.19</v>
      </c>
      <c r="L47" s="102">
        <f t="shared" si="23"/>
        <v>0</v>
      </c>
      <c r="M47" s="106">
        <f t="shared" si="24"/>
        <v>0.98</v>
      </c>
      <c r="N47" s="106">
        <f t="shared" si="25"/>
        <v>1</v>
      </c>
      <c r="O47" s="106">
        <f t="shared" si="26"/>
        <v>0.99</v>
      </c>
      <c r="P47" s="236">
        <f t="shared" si="27"/>
        <v>0.4</v>
      </c>
      <c r="Q47" s="106"/>
      <c r="R47" s="102">
        <f t="shared" si="4"/>
        <v>0.46</v>
      </c>
      <c r="S47" s="102">
        <f t="shared" si="5"/>
        <v>0</v>
      </c>
      <c r="T47" s="106">
        <f t="shared" si="6"/>
        <v>0.98</v>
      </c>
      <c r="U47" s="106">
        <f t="shared" si="28"/>
        <v>1</v>
      </c>
      <c r="V47" s="106">
        <f t="shared" si="29"/>
        <v>0.9738</v>
      </c>
      <c r="W47" s="236">
        <f t="shared" si="30"/>
        <v>1.6</v>
      </c>
      <c r="X47" s="106"/>
      <c r="Y47" s="102">
        <f t="shared" si="7"/>
        <v>0.46</v>
      </c>
      <c r="Z47" s="102">
        <f t="shared" si="8"/>
        <v>0</v>
      </c>
      <c r="AA47" s="106">
        <f t="shared" si="9"/>
        <v>0.98</v>
      </c>
      <c r="AB47" s="106">
        <f t="shared" si="31"/>
        <v>1</v>
      </c>
      <c r="AC47" s="106">
        <f t="shared" si="10"/>
        <v>0.9738</v>
      </c>
      <c r="AD47" s="236">
        <f t="shared" si="32"/>
        <v>1.6</v>
      </c>
      <c r="AE47" s="106"/>
      <c r="AF47" s="102">
        <f t="shared" si="11"/>
        <v>0.46</v>
      </c>
      <c r="AG47" s="102">
        <f t="shared" si="12"/>
        <v>0</v>
      </c>
      <c r="AH47" s="106">
        <f t="shared" si="13"/>
        <v>0.98</v>
      </c>
      <c r="AI47" s="106">
        <f t="shared" si="33"/>
        <v>1</v>
      </c>
      <c r="AJ47" s="106">
        <f t="shared" si="14"/>
        <v>0.9738</v>
      </c>
      <c r="AK47" s="236">
        <f t="shared" si="34"/>
        <v>1</v>
      </c>
      <c r="AM47" s="80">
        <f t="shared" si="35"/>
        <v>6.8863830234299026E-2</v>
      </c>
      <c r="AN47" s="182">
        <f t="shared" si="15"/>
        <v>31</v>
      </c>
      <c r="AP47" s="82">
        <f t="shared" si="36"/>
        <v>0</v>
      </c>
      <c r="AQ47" s="132">
        <f t="shared" si="37"/>
        <v>4.1100000000000003</v>
      </c>
      <c r="AR47" s="132">
        <f t="shared" si="38"/>
        <v>3.92</v>
      </c>
      <c r="AS47" s="132">
        <f t="shared" si="39"/>
        <v>0</v>
      </c>
      <c r="AT47" s="132">
        <f t="shared" si="40"/>
        <v>0</v>
      </c>
      <c r="AU47" s="235">
        <f t="shared" si="41"/>
        <v>0.3871</v>
      </c>
      <c r="AV47" s="235">
        <f t="shared" si="42"/>
        <v>0.39500000000000002</v>
      </c>
      <c r="AW47" s="106">
        <f t="shared" si="43"/>
        <v>0.99</v>
      </c>
      <c r="AX47" s="237">
        <f>IF(AP47=0,0,_xll.SPRDOPT(AQ47,AR47,$P47,$AM47,AU47,AV47,AW47,$F47,$B$19,0))</f>
        <v>0</v>
      </c>
      <c r="AY47" s="237">
        <f ca="1">IF(AQ47=0,0,_xll.SPRDOPT(AQ47,AR47,$P47,$AM47,AU47,AV47,AW47,$F47,$B$19,1))</f>
        <v>0.17780546388075924</v>
      </c>
      <c r="AZ47" s="237">
        <f ca="1">IF(AR47=0,0,_xll.SPRDOPT(AQ47,AR47,$P47,$AM47,AU47,AV47,AW47,$F47,$B$19,2))</f>
        <v>-0.16716544375011544</v>
      </c>
      <c r="BA47" s="237">
        <f>IF(AS47=0,0,_xll.SPRDOPT(AQ47,AR47,$P47,$AM47,AU47,AV47,AW47,$F47,$B$19,3)/100)</f>
        <v>0</v>
      </c>
      <c r="BB47" s="237">
        <f>IF(AT47=0,0,_xll.SPRDOPT(AQ47,AR47,$P47,$AM47,AU47,AV47,AW47,$F47,$B$19,4)/100)</f>
        <v>0</v>
      </c>
      <c r="BC47" s="237">
        <f ca="1">IF(AU47=0,0,_xll.SPRDOPT(AQ47,AR47,$P47,$AM47,AU47,AV47,AW47,$F47,$B$19,5)/100)</f>
        <v>4.4988068531908567E-3</v>
      </c>
      <c r="BD47" s="237">
        <f ca="1">IF(AV47=0,0,_xll.SPRDOPT(AQ47,AR47,$P47,$AM47,AU47,AV47,AW47,$F47,$B$19,6)/100)</f>
        <v>-2.9821716978589829E-3</v>
      </c>
      <c r="BE47" s="237">
        <f ca="1">IF(AW47=0,0,_xll.SPRDOPT(AQ47,AR47,$P47,$AM47,AU47,AV47,AW47,$F47,$B$19,7)/100)</f>
        <v>-2.2799025147911073E-2</v>
      </c>
      <c r="BF47" s="237">
        <f>IF(AX47=0,0,_xll.SPRDOPT(AQ47,AR47,$P47,$AM47,AU47,AV47,AW47,$F47,$B$19,9)/365)</f>
        <v>0</v>
      </c>
      <c r="BG47" s="237">
        <f t="shared" ca="1" si="44"/>
        <v>1.0640020130643801E-2</v>
      </c>
      <c r="BH47" s="237">
        <f t="shared" si="45"/>
        <v>0</v>
      </c>
      <c r="BI47" s="237">
        <f t="shared" ca="1" si="46"/>
        <v>1.4266590182680566E-3</v>
      </c>
      <c r="BJ47" s="206"/>
      <c r="BK47" s="109">
        <f t="shared" si="47"/>
        <v>0</v>
      </c>
      <c r="BL47" s="109">
        <f t="shared" ca="1" si="48"/>
        <v>0</v>
      </c>
      <c r="BM47" s="109">
        <f t="shared" ca="1" si="49"/>
        <v>0</v>
      </c>
      <c r="BN47" s="109">
        <f t="shared" si="50"/>
        <v>0</v>
      </c>
      <c r="BO47" s="109">
        <f t="shared" si="51"/>
        <v>0</v>
      </c>
      <c r="BP47" s="109">
        <f t="shared" ca="1" si="52"/>
        <v>0</v>
      </c>
      <c r="BQ47" s="109">
        <f t="shared" ca="1" si="53"/>
        <v>0</v>
      </c>
      <c r="BR47" s="109">
        <f t="shared" ca="1" si="54"/>
        <v>0</v>
      </c>
      <c r="BS47" s="109">
        <f t="shared" si="55"/>
        <v>0</v>
      </c>
      <c r="BT47" s="109">
        <f t="shared" ca="1" si="56"/>
        <v>0</v>
      </c>
      <c r="BU47" s="109">
        <f t="shared" si="57"/>
        <v>0</v>
      </c>
      <c r="BV47" s="109">
        <f t="shared" ca="1" si="58"/>
        <v>0</v>
      </c>
      <c r="BX47" s="82">
        <f t="shared" si="59"/>
        <v>0</v>
      </c>
      <c r="BY47" s="132">
        <f t="shared" si="60"/>
        <v>4.3899999999999997</v>
      </c>
      <c r="BZ47" s="132">
        <f t="shared" si="61"/>
        <v>3.92</v>
      </c>
      <c r="CA47" s="132">
        <f t="shared" si="62"/>
        <v>0</v>
      </c>
      <c r="CB47" s="132">
        <f t="shared" si="63"/>
        <v>0</v>
      </c>
      <c r="CC47" s="235">
        <f t="shared" si="64"/>
        <v>0.3871</v>
      </c>
      <c r="CD47" s="235">
        <f t="shared" si="65"/>
        <v>0.39500000000000002</v>
      </c>
      <c r="CE47" s="106">
        <f t="shared" si="66"/>
        <v>0.9738</v>
      </c>
      <c r="CF47" s="237">
        <f>IF(BX47=0,0,_xll.SPRDOPT(BY47,BZ47,$W47,$AM47,CC47,CD47,CE47,$F47,$D$19,0))</f>
        <v>0</v>
      </c>
      <c r="CG47" s="237">
        <f ca="1">IF(BY47=0,0,_xll.SPRDOPT(BY47,BZ47,$W47,$AM47,CC47,CD47,CE47,$F47,$D$19,1))</f>
        <v>1.9035745867308024E-2</v>
      </c>
      <c r="CH47" s="237">
        <f ca="1">IF(BZ47=0,0,_xll.SPRDOPT(BY47,BZ47,$W47,$AM47,CC47,CD47,CE47,$F47,$D$19,2))</f>
        <v>-1.6602479376445232E-2</v>
      </c>
      <c r="CI47" s="237">
        <f>IF(CA47=0,0,_xll.SPRDOPT(BY47,BZ47,$W47,$AM47,CC47,CD47,CE47,$F47,$D$19,3)/100)</f>
        <v>0</v>
      </c>
      <c r="CJ47" s="237">
        <f>IF(CB47=0,0,_xll.SPRDOPT(BY47,BZ47,$W47,$AM47,CC47,CD47,CE47,$F47,$D$19,4)/100)</f>
        <v>0</v>
      </c>
      <c r="CK47" s="237">
        <f ca="1">IF(CC47=0,0,_xll.SPRDOPT(BY47,BZ47,$W47,$AM47,CC47,CD47,CE47,$F47,$D$19,5)/100)</f>
        <v>1.3592481693616141E-3</v>
      </c>
      <c r="CL47" s="237">
        <f ca="1">IF(CD47=0,0,_xll.SPRDOPT(BY47,BZ47,$W47,$AM47,CC47,CD47,CE47,$F47,$D$19,6)/100)</f>
        <v>-8.2438137401951361E-4</v>
      </c>
      <c r="CM47" s="237">
        <f ca="1">IF(CE47=0,0,_xll.SPRDOPT(BY47,BZ47,$W47,$AM47,CC47,CD47,CE47,$F47,$D$19,7)/100)</f>
        <v>-2.0736077697152346E-3</v>
      </c>
      <c r="CN47" s="237">
        <f>IF(CF47=0,0,_xll.SPRDOPT(BY47,BZ47,$W47,$AM47,CC47,CD47,CE47,$F47,$D$19,9)/365)</f>
        <v>0</v>
      </c>
      <c r="CO47" s="237">
        <f t="shared" ca="1" si="67"/>
        <v>2.4332664908627913E-3</v>
      </c>
      <c r="CP47" s="237">
        <f t="shared" si="68"/>
        <v>0</v>
      </c>
      <c r="CQ47" s="237">
        <f t="shared" ca="1" si="69"/>
        <v>5.0768183195486812E-4</v>
      </c>
      <c r="CR47" s="206"/>
      <c r="CS47" s="109">
        <f t="shared" si="70"/>
        <v>0</v>
      </c>
      <c r="CT47" s="109">
        <f t="shared" ca="1" si="71"/>
        <v>0</v>
      </c>
      <c r="CU47" s="109">
        <f t="shared" ca="1" si="72"/>
        <v>0</v>
      </c>
      <c r="CV47" s="109">
        <f t="shared" si="73"/>
        <v>0</v>
      </c>
      <c r="CW47" s="109">
        <f t="shared" si="74"/>
        <v>0</v>
      </c>
      <c r="CX47" s="109">
        <f t="shared" ca="1" si="75"/>
        <v>0</v>
      </c>
      <c r="CY47" s="109">
        <f t="shared" ca="1" si="76"/>
        <v>0</v>
      </c>
      <c r="CZ47" s="109">
        <f t="shared" ca="1" si="77"/>
        <v>0</v>
      </c>
      <c r="DA47" s="109">
        <f t="shared" si="78"/>
        <v>0</v>
      </c>
      <c r="DB47" s="109">
        <f t="shared" ca="1" si="79"/>
        <v>0</v>
      </c>
      <c r="DC47" s="109">
        <f t="shared" si="80"/>
        <v>0</v>
      </c>
      <c r="DD47" s="109">
        <f t="shared" ca="1" si="81"/>
        <v>0</v>
      </c>
      <c r="DF47" s="82">
        <f t="shared" si="82"/>
        <v>0</v>
      </c>
      <c r="DG47" s="132">
        <f t="shared" si="83"/>
        <v>4.3899999999999997</v>
      </c>
      <c r="DH47" s="132">
        <f t="shared" si="84"/>
        <v>3.92</v>
      </c>
      <c r="DI47" s="132">
        <f t="shared" si="85"/>
        <v>0</v>
      </c>
      <c r="DJ47" s="132">
        <f t="shared" si="86"/>
        <v>0</v>
      </c>
      <c r="DK47" s="235">
        <f t="shared" si="87"/>
        <v>0.3871</v>
      </c>
      <c r="DL47" s="235">
        <f t="shared" si="88"/>
        <v>0.39500000000000002</v>
      </c>
      <c r="DM47" s="106">
        <f t="shared" si="89"/>
        <v>0.9738</v>
      </c>
      <c r="DN47" s="237">
        <f>IF(DF47=0,0,_xll.SPRDOPT(DG47,DH47,$AD47,$AM47,DK47,DL47,DM47,$F47,$F$19,0))</f>
        <v>0</v>
      </c>
      <c r="DO47" s="237">
        <f ca="1">IF(DG47=0,0,_xll.SPRDOPT(DG47,DH47,$AD47,$AM47,DK47,DL47,DM47,$F47,$F$19,1))</f>
        <v>1.9035745867308024E-2</v>
      </c>
      <c r="DP47" s="237">
        <f ca="1">IF(DH47=0,0,_xll.SPRDOPT(DG47,DH47,$AD47,$AM47,DK47,DL47,DM47,$F47,$F$19,2))</f>
        <v>-1.6602479376445232E-2</v>
      </c>
      <c r="DQ47" s="237">
        <f>IF(DI47=0,0,_xll.SPRDOPT(DG47,DH47,$AD47,$AM47,DK47,DL47,DM47,$F47,$F$19,3)/100)</f>
        <v>0</v>
      </c>
      <c r="DR47" s="237">
        <f>IF(DJ47=0,0,_xll.SPRDOPT(DG47,DH47,$AD47,$AM47,DK47,DL47,DM47,$F47,$F$19,4)/100)</f>
        <v>0</v>
      </c>
      <c r="DS47" s="237">
        <f ca="1">IF(DK47=0,0,_xll.SPRDOPT(DG47,DH47,$AD47,$AM47,DK47,DL47,DM47,$F47,$F$19,5)/100)</f>
        <v>1.3592481693616141E-3</v>
      </c>
      <c r="DT47" s="237">
        <f ca="1">IF(DL47=0,0,_xll.SPRDOPT(DG47,DH47,$AD47,$AM47,DK47,DL47,DM47,$F47,$F$19,6)/100)</f>
        <v>-8.2438137401951361E-4</v>
      </c>
      <c r="DU47" s="237">
        <f ca="1">IF(DM47=0,0,_xll.SPRDOPT(DG47,DH47,$AD47,$AM47,DK47,DL47,DM47,$F47,$F$19,7)/100)</f>
        <v>-2.0736077697152346E-3</v>
      </c>
      <c r="DV47" s="237">
        <f>IF(DN47=0,0,_xll.SPRDOPT(DG47,DH47,$AD47,$AM47,DK47,DL47,DM47,$F47,$F$19,9)/365)</f>
        <v>0</v>
      </c>
      <c r="DW47" s="237">
        <f t="shared" ca="1" si="90"/>
        <v>2.4332664908627913E-3</v>
      </c>
      <c r="DX47" s="237">
        <f t="shared" si="91"/>
        <v>0</v>
      </c>
      <c r="DY47" s="237">
        <f t="shared" ca="1" si="92"/>
        <v>5.0768183195486812E-4</v>
      </c>
      <c r="DZ47" s="206"/>
      <c r="EA47" s="109">
        <f t="shared" si="93"/>
        <v>0</v>
      </c>
      <c r="EB47" s="109">
        <f t="shared" ca="1" si="94"/>
        <v>0</v>
      </c>
      <c r="EC47" s="109">
        <f t="shared" ca="1" si="95"/>
        <v>0</v>
      </c>
      <c r="ED47" s="109">
        <f t="shared" si="96"/>
        <v>0</v>
      </c>
      <c r="EE47" s="109">
        <f t="shared" si="97"/>
        <v>0</v>
      </c>
      <c r="EF47" s="109">
        <f t="shared" ca="1" si="98"/>
        <v>0</v>
      </c>
      <c r="EG47" s="109">
        <f t="shared" ca="1" si="99"/>
        <v>0</v>
      </c>
      <c r="EH47" s="109">
        <f t="shared" ca="1" si="100"/>
        <v>0</v>
      </c>
      <c r="EI47" s="109">
        <f t="shared" si="101"/>
        <v>0</v>
      </c>
      <c r="EJ47" s="109">
        <f t="shared" ca="1" si="102"/>
        <v>0</v>
      </c>
      <c r="EK47" s="109">
        <f t="shared" si="103"/>
        <v>0</v>
      </c>
      <c r="EL47" s="109">
        <f t="shared" ca="1" si="104"/>
        <v>0</v>
      </c>
      <c r="EN47" s="82">
        <f t="shared" si="105"/>
        <v>0</v>
      </c>
      <c r="EO47" s="132">
        <f t="shared" si="106"/>
        <v>4.4450000000000003</v>
      </c>
      <c r="EP47" s="132">
        <f t="shared" si="107"/>
        <v>3.92</v>
      </c>
      <c r="EQ47" s="132">
        <f t="shared" si="108"/>
        <v>0</v>
      </c>
      <c r="ER47" s="132">
        <f t="shared" si="109"/>
        <v>0</v>
      </c>
      <c r="ES47" s="235">
        <f t="shared" si="110"/>
        <v>0.3871</v>
      </c>
      <c r="ET47" s="235">
        <f t="shared" si="111"/>
        <v>0.39500000000000002</v>
      </c>
      <c r="EU47" s="106">
        <f t="shared" si="112"/>
        <v>0.9738</v>
      </c>
      <c r="EV47" s="237">
        <f>IF(EN47=0,0,_xll.SPRDOPT(EO47,EP47,$AK47,$AM47,ES47,ET47,EU47,$F47,$H$19,0))</f>
        <v>0</v>
      </c>
      <c r="EW47" s="237">
        <f ca="1">IF(EO47=0,0,_xll.SPRDOPT(EO47,EP47,$AK47,$AM47,ES47,ET47,EU47,$F47,$H$19,1))</f>
        <v>-0.79436985550389172</v>
      </c>
      <c r="EX47" s="237">
        <f ca="1">IF(EP47=0,0,_xll.SPRDOPT(EO47,EP47,$AK47,$AM47,ES47,ET47,EU47,$F47,$H$19,2))</f>
        <v>0.80809616477050727</v>
      </c>
      <c r="EY47" s="237">
        <f>IF(EQ47=0,0,_xll.SPRDOPT(EO47,EP47,$AK47,$AM47,ES47,ET47,EU47,$F47,$H$19,3)/100)</f>
        <v>0</v>
      </c>
      <c r="EZ47" s="237">
        <f>IF(ER47=0,0,_xll.SPRDOPT(EO47,EP47,$AK47,$AM47,ES47,ET47,EU47,$F47,$H$19,4)/100)</f>
        <v>0</v>
      </c>
      <c r="FA47" s="237">
        <f ca="1">IF(ES47=0,0,_xll.SPRDOPT(EO47,EP47,$AK47,$AM47,ES47,ET47,EU47,$F47,$H$19,5)/100)</f>
        <v>6.1742216677790548E-3</v>
      </c>
      <c r="FB47" s="237">
        <f ca="1">IF(ET47=0,0,_xll.SPRDOPT(EO47,EP47,$AK47,$AM47,ES47,ET47,EU47,$F47,$H$19,6)/100)</f>
        <v>-3.6484310456294717E-3</v>
      </c>
      <c r="FC47" s="237">
        <f ca="1">IF(EU47=0,0,_xll.SPRDOPT(EO47,EP47,$AK47,$AM47,ES47,ET47,EU47,$F47,$H$19,7)/100)</f>
        <v>-1.1608667057147699E-2</v>
      </c>
      <c r="FD47" s="237">
        <f>IF(EV47=0,0,_xll.SPRDOPT(EO47,EP47,$AK47,$AM47,ES47,ET47,EU47,$F47,$H$19,9)/365)</f>
        <v>0</v>
      </c>
      <c r="FE47" s="237">
        <f t="shared" ca="1" si="113"/>
        <v>1.3726309266615555E-2</v>
      </c>
      <c r="FF47" s="237">
        <f t="shared" si="114"/>
        <v>0</v>
      </c>
      <c r="FG47" s="237">
        <f t="shared" ca="1" si="115"/>
        <v>2.4023061887940016E-3</v>
      </c>
      <c r="FH47" s="206"/>
      <c r="FI47" s="109">
        <f t="shared" si="116"/>
        <v>0</v>
      </c>
      <c r="FJ47" s="109">
        <f t="shared" ca="1" si="117"/>
        <v>0</v>
      </c>
      <c r="FK47" s="109">
        <f t="shared" ca="1" si="118"/>
        <v>0</v>
      </c>
      <c r="FL47" s="109">
        <f t="shared" si="119"/>
        <v>0</v>
      </c>
      <c r="FM47" s="109">
        <f t="shared" si="120"/>
        <v>0</v>
      </c>
      <c r="FN47" s="109">
        <f t="shared" ca="1" si="121"/>
        <v>0</v>
      </c>
      <c r="FO47" s="109">
        <f t="shared" ca="1" si="122"/>
        <v>0</v>
      </c>
      <c r="FP47" s="109">
        <f t="shared" ca="1" si="123"/>
        <v>0</v>
      </c>
      <c r="FQ47" s="109">
        <f t="shared" si="124"/>
        <v>0</v>
      </c>
      <c r="FR47" s="109">
        <f t="shared" ca="1" si="125"/>
        <v>0</v>
      </c>
      <c r="FS47" s="109">
        <f t="shared" si="126"/>
        <v>0</v>
      </c>
      <c r="FT47" s="109">
        <f t="shared" ca="1" si="127"/>
        <v>0</v>
      </c>
    </row>
    <row r="48" spans="1:176" x14ac:dyDescent="0.25">
      <c r="A48" s="101">
        <f t="shared" si="18"/>
        <v>37104</v>
      </c>
      <c r="B48" s="102">
        <f t="shared" si="19"/>
        <v>3.92</v>
      </c>
      <c r="C48" s="80">
        <f t="shared" si="20"/>
        <v>0.39500000000000002</v>
      </c>
      <c r="D48" s="102"/>
      <c r="E48" s="106"/>
      <c r="F48" s="105">
        <f t="shared" ca="1" si="21"/>
        <v>330</v>
      </c>
      <c r="G48" s="80"/>
      <c r="H48" s="80"/>
      <c r="I48" s="104"/>
      <c r="J48" s="234"/>
      <c r="K48" s="102">
        <f t="shared" si="22"/>
        <v>0.19</v>
      </c>
      <c r="L48" s="102">
        <f t="shared" si="23"/>
        <v>0</v>
      </c>
      <c r="M48" s="106">
        <f t="shared" si="24"/>
        <v>0.98</v>
      </c>
      <c r="N48" s="106">
        <f t="shared" si="25"/>
        <v>1</v>
      </c>
      <c r="O48" s="106">
        <f t="shared" si="26"/>
        <v>0.99</v>
      </c>
      <c r="P48" s="236">
        <f t="shared" si="27"/>
        <v>0.4</v>
      </c>
      <c r="Q48" s="106"/>
      <c r="R48" s="102">
        <f t="shared" si="4"/>
        <v>0.46</v>
      </c>
      <c r="S48" s="102">
        <f t="shared" si="5"/>
        <v>0</v>
      </c>
      <c r="T48" s="106">
        <f t="shared" si="6"/>
        <v>0.98</v>
      </c>
      <c r="U48" s="106">
        <f t="shared" si="28"/>
        <v>1</v>
      </c>
      <c r="V48" s="106">
        <f t="shared" si="29"/>
        <v>0.9738</v>
      </c>
      <c r="W48" s="236">
        <f t="shared" si="30"/>
        <v>1.6</v>
      </c>
      <c r="X48" s="106"/>
      <c r="Y48" s="102">
        <f t="shared" si="7"/>
        <v>0.46</v>
      </c>
      <c r="Z48" s="102">
        <f t="shared" si="8"/>
        <v>0</v>
      </c>
      <c r="AA48" s="106">
        <f t="shared" si="9"/>
        <v>0.98</v>
      </c>
      <c r="AB48" s="106">
        <f t="shared" si="31"/>
        <v>1</v>
      </c>
      <c r="AC48" s="106">
        <f t="shared" si="10"/>
        <v>0.9738</v>
      </c>
      <c r="AD48" s="236">
        <f t="shared" si="32"/>
        <v>1.6</v>
      </c>
      <c r="AE48" s="106"/>
      <c r="AF48" s="102">
        <f t="shared" si="11"/>
        <v>0.46</v>
      </c>
      <c r="AG48" s="102">
        <f t="shared" si="12"/>
        <v>0</v>
      </c>
      <c r="AH48" s="106">
        <f t="shared" si="13"/>
        <v>0.98</v>
      </c>
      <c r="AI48" s="106">
        <f t="shared" si="33"/>
        <v>1</v>
      </c>
      <c r="AJ48" s="106">
        <f t="shared" si="14"/>
        <v>0.9738</v>
      </c>
      <c r="AK48" s="236">
        <f t="shared" si="34"/>
        <v>1</v>
      </c>
      <c r="AM48" s="80">
        <f t="shared" si="35"/>
        <v>6.8876303277673023E-2</v>
      </c>
      <c r="AN48" s="182">
        <f t="shared" si="15"/>
        <v>31</v>
      </c>
      <c r="AP48" s="82">
        <f t="shared" si="36"/>
        <v>0</v>
      </c>
      <c r="AQ48" s="132">
        <f t="shared" si="37"/>
        <v>4.1100000000000003</v>
      </c>
      <c r="AR48" s="132">
        <f t="shared" si="38"/>
        <v>3.92</v>
      </c>
      <c r="AS48" s="132">
        <f t="shared" si="39"/>
        <v>0</v>
      </c>
      <c r="AT48" s="132">
        <f t="shared" si="40"/>
        <v>0</v>
      </c>
      <c r="AU48" s="235">
        <f t="shared" si="41"/>
        <v>0.3871</v>
      </c>
      <c r="AV48" s="235">
        <f t="shared" si="42"/>
        <v>0.39500000000000002</v>
      </c>
      <c r="AW48" s="106">
        <f t="shared" si="43"/>
        <v>0.99</v>
      </c>
      <c r="AX48" s="237">
        <f>IF(AP48=0,0,_xll.SPRDOPT(AQ48,AR48,$P48,$AM48,AU48,AV48,AW48,$F48,$B$19,0))</f>
        <v>0</v>
      </c>
      <c r="AY48" s="237">
        <f ca="1">IF(AQ48=0,0,_xll.SPRDOPT(AQ48,AR48,$P48,$AM48,AU48,AV48,AW48,$F48,$B$19,1))</f>
        <v>0.18855110261510219</v>
      </c>
      <c r="AZ48" s="237">
        <f ca="1">IF(AR48=0,0,_xll.SPRDOPT(AQ48,AR48,$P48,$AM48,AU48,AV48,AW48,$F48,$B$19,2))</f>
        <v>-0.17700557606599185</v>
      </c>
      <c r="BA48" s="237">
        <f>IF(AS48=0,0,_xll.SPRDOPT(AQ48,AR48,$P48,$AM48,AU48,AV48,AW48,$F48,$B$19,3)/100)</f>
        <v>0</v>
      </c>
      <c r="BB48" s="237">
        <f>IF(AT48=0,0,_xll.SPRDOPT(AQ48,AR48,$P48,$AM48,AU48,AV48,AW48,$F48,$B$19,4)/100)</f>
        <v>0</v>
      </c>
      <c r="BC48" s="237">
        <f ca="1">IF(AU48=0,0,_xll.SPRDOPT(AQ48,AR48,$P48,$AM48,AU48,AV48,AW48,$F48,$B$19,5)/100)</f>
        <v>4.8657353470866792E-3</v>
      </c>
      <c r="BD48" s="237">
        <f ca="1">IF(AV48=0,0,_xll.SPRDOPT(AQ48,AR48,$P48,$AM48,AU48,AV48,AW48,$F48,$B$19,6)/100)</f>
        <v>-3.219105651159872E-3</v>
      </c>
      <c r="BE48" s="237">
        <f ca="1">IF(AW48=0,0,_xll.SPRDOPT(AQ48,AR48,$P48,$AM48,AU48,AV48,AW48,$F48,$B$19,7)/100)</f>
        <v>-2.4732235926215589E-2</v>
      </c>
      <c r="BF48" s="237">
        <f>IF(AX48=0,0,_xll.SPRDOPT(AQ48,AR48,$P48,$AM48,AU48,AV48,AW48,$F48,$B$19,9)/365)</f>
        <v>0</v>
      </c>
      <c r="BG48" s="237">
        <f t="shared" ca="1" si="44"/>
        <v>1.1545526549110341E-2</v>
      </c>
      <c r="BH48" s="237">
        <f t="shared" si="45"/>
        <v>0</v>
      </c>
      <c r="BI48" s="237">
        <f t="shared" ca="1" si="46"/>
        <v>1.5493149889850735E-3</v>
      </c>
      <c r="BJ48" s="206"/>
      <c r="BK48" s="109">
        <f t="shared" si="47"/>
        <v>0</v>
      </c>
      <c r="BL48" s="109">
        <f t="shared" ca="1" si="48"/>
        <v>0</v>
      </c>
      <c r="BM48" s="109">
        <f t="shared" ca="1" si="49"/>
        <v>0</v>
      </c>
      <c r="BN48" s="109">
        <f t="shared" si="50"/>
        <v>0</v>
      </c>
      <c r="BO48" s="109">
        <f t="shared" si="51"/>
        <v>0</v>
      </c>
      <c r="BP48" s="109">
        <f t="shared" ca="1" si="52"/>
        <v>0</v>
      </c>
      <c r="BQ48" s="109">
        <f t="shared" ca="1" si="53"/>
        <v>0</v>
      </c>
      <c r="BR48" s="109">
        <f t="shared" ca="1" si="54"/>
        <v>0</v>
      </c>
      <c r="BS48" s="109">
        <f t="shared" si="55"/>
        <v>0</v>
      </c>
      <c r="BT48" s="109">
        <f t="shared" ca="1" si="56"/>
        <v>0</v>
      </c>
      <c r="BU48" s="109">
        <f t="shared" si="57"/>
        <v>0</v>
      </c>
      <c r="BV48" s="109">
        <f t="shared" ca="1" si="58"/>
        <v>0</v>
      </c>
      <c r="BX48" s="82">
        <f t="shared" si="59"/>
        <v>0</v>
      </c>
      <c r="BY48" s="132">
        <f t="shared" si="60"/>
        <v>4.3899999999999997</v>
      </c>
      <c r="BZ48" s="132">
        <f t="shared" si="61"/>
        <v>3.92</v>
      </c>
      <c r="CA48" s="132">
        <f t="shared" si="62"/>
        <v>0</v>
      </c>
      <c r="CB48" s="132">
        <f t="shared" si="63"/>
        <v>0</v>
      </c>
      <c r="CC48" s="235">
        <f t="shared" si="64"/>
        <v>0.3871</v>
      </c>
      <c r="CD48" s="235">
        <f t="shared" si="65"/>
        <v>0.39500000000000002</v>
      </c>
      <c r="CE48" s="106">
        <f t="shared" si="66"/>
        <v>0.9738</v>
      </c>
      <c r="CF48" s="237">
        <f>IF(BX48=0,0,_xll.SPRDOPT(BY48,BZ48,$W48,$AM48,CC48,CD48,CE48,$F48,$D$19,0))</f>
        <v>0</v>
      </c>
      <c r="CG48" s="237">
        <f ca="1">IF(BY48=0,0,_xll.SPRDOPT(BY48,BZ48,$W48,$AM48,CC48,CD48,CE48,$F48,$D$19,1))</f>
        <v>2.4242434306076723E-2</v>
      </c>
      <c r="CH48" s="237">
        <f ca="1">IF(BZ48=0,0,_xll.SPRDOPT(BY48,BZ48,$W48,$AM48,CC48,CD48,CE48,$F48,$D$19,2))</f>
        <v>-2.1111488097446795E-2</v>
      </c>
      <c r="CI48" s="237">
        <f>IF(CA48=0,0,_xll.SPRDOPT(BY48,BZ48,$W48,$AM48,CC48,CD48,CE48,$F48,$D$19,3)/100)</f>
        <v>0</v>
      </c>
      <c r="CJ48" s="237">
        <f>IF(CB48=0,0,_xll.SPRDOPT(BY48,BZ48,$W48,$AM48,CC48,CD48,CE48,$F48,$D$19,4)/100)</f>
        <v>0</v>
      </c>
      <c r="CK48" s="237">
        <f ca="1">IF(CC48=0,0,_xll.SPRDOPT(BY48,BZ48,$W48,$AM48,CC48,CD48,CE48,$F48,$D$19,5)/100)</f>
        <v>1.7433125692879637E-3</v>
      </c>
      <c r="CL48" s="237">
        <f ca="1">IF(CD48=0,0,_xll.SPRDOPT(BY48,BZ48,$W48,$AM48,CC48,CD48,CE48,$F48,$D$19,6)/100)</f>
        <v>-1.0557312378951206E-3</v>
      </c>
      <c r="CM48" s="237">
        <f ca="1">IF(CE48=0,0,_xll.SPRDOPT(BY48,BZ48,$W48,$AM48,CC48,CD48,CE48,$F48,$D$19,7)/100)</f>
        <v>-2.6672405804046479E-3</v>
      </c>
      <c r="CN48" s="237">
        <f>IF(CF48=0,0,_xll.SPRDOPT(BY48,BZ48,$W48,$AM48,CC48,CD48,CE48,$F48,$D$19,9)/365)</f>
        <v>0</v>
      </c>
      <c r="CO48" s="237">
        <f t="shared" ca="1" si="67"/>
        <v>3.1309462086299283E-3</v>
      </c>
      <c r="CP48" s="237">
        <f t="shared" si="68"/>
        <v>0</v>
      </c>
      <c r="CQ48" s="237">
        <f t="shared" ca="1" si="69"/>
        <v>6.5271508000708375E-4</v>
      </c>
      <c r="CR48" s="206"/>
      <c r="CS48" s="109">
        <f t="shared" si="70"/>
        <v>0</v>
      </c>
      <c r="CT48" s="109">
        <f t="shared" ca="1" si="71"/>
        <v>0</v>
      </c>
      <c r="CU48" s="109">
        <f t="shared" ca="1" si="72"/>
        <v>0</v>
      </c>
      <c r="CV48" s="109">
        <f t="shared" si="73"/>
        <v>0</v>
      </c>
      <c r="CW48" s="109">
        <f t="shared" si="74"/>
        <v>0</v>
      </c>
      <c r="CX48" s="109">
        <f t="shared" ca="1" si="75"/>
        <v>0</v>
      </c>
      <c r="CY48" s="109">
        <f t="shared" ca="1" si="76"/>
        <v>0</v>
      </c>
      <c r="CZ48" s="109">
        <f t="shared" ca="1" si="77"/>
        <v>0</v>
      </c>
      <c r="DA48" s="109">
        <f t="shared" si="78"/>
        <v>0</v>
      </c>
      <c r="DB48" s="109">
        <f t="shared" ca="1" si="79"/>
        <v>0</v>
      </c>
      <c r="DC48" s="109">
        <f t="shared" si="80"/>
        <v>0</v>
      </c>
      <c r="DD48" s="109">
        <f t="shared" ca="1" si="81"/>
        <v>0</v>
      </c>
      <c r="DF48" s="82">
        <f t="shared" si="82"/>
        <v>0</v>
      </c>
      <c r="DG48" s="132">
        <f t="shared" si="83"/>
        <v>4.3899999999999997</v>
      </c>
      <c r="DH48" s="132">
        <f t="shared" si="84"/>
        <v>3.92</v>
      </c>
      <c r="DI48" s="132">
        <f t="shared" si="85"/>
        <v>0</v>
      </c>
      <c r="DJ48" s="132">
        <f t="shared" si="86"/>
        <v>0</v>
      </c>
      <c r="DK48" s="235">
        <f t="shared" si="87"/>
        <v>0.3871</v>
      </c>
      <c r="DL48" s="235">
        <f t="shared" si="88"/>
        <v>0.39500000000000002</v>
      </c>
      <c r="DM48" s="106">
        <f t="shared" si="89"/>
        <v>0.9738</v>
      </c>
      <c r="DN48" s="237">
        <f>IF(DF48=0,0,_xll.SPRDOPT(DG48,DH48,$AD48,$AM48,DK48,DL48,DM48,$F48,$F$19,0))</f>
        <v>0</v>
      </c>
      <c r="DO48" s="237">
        <f ca="1">IF(DG48=0,0,_xll.SPRDOPT(DG48,DH48,$AD48,$AM48,DK48,DL48,DM48,$F48,$F$19,1))</f>
        <v>2.4242434306076723E-2</v>
      </c>
      <c r="DP48" s="237">
        <f ca="1">IF(DH48=0,0,_xll.SPRDOPT(DG48,DH48,$AD48,$AM48,DK48,DL48,DM48,$F48,$F$19,2))</f>
        <v>-2.1111488097446795E-2</v>
      </c>
      <c r="DQ48" s="237">
        <f>IF(DI48=0,0,_xll.SPRDOPT(DG48,DH48,$AD48,$AM48,DK48,DL48,DM48,$F48,$F$19,3)/100)</f>
        <v>0</v>
      </c>
      <c r="DR48" s="237">
        <f>IF(DJ48=0,0,_xll.SPRDOPT(DG48,DH48,$AD48,$AM48,DK48,DL48,DM48,$F48,$F$19,4)/100)</f>
        <v>0</v>
      </c>
      <c r="DS48" s="237">
        <f ca="1">IF(DK48=0,0,_xll.SPRDOPT(DG48,DH48,$AD48,$AM48,DK48,DL48,DM48,$F48,$F$19,5)/100)</f>
        <v>1.7433125692879637E-3</v>
      </c>
      <c r="DT48" s="237">
        <f ca="1">IF(DL48=0,0,_xll.SPRDOPT(DG48,DH48,$AD48,$AM48,DK48,DL48,DM48,$F48,$F$19,6)/100)</f>
        <v>-1.0557312378951206E-3</v>
      </c>
      <c r="DU48" s="237">
        <f ca="1">IF(DM48=0,0,_xll.SPRDOPT(DG48,DH48,$AD48,$AM48,DK48,DL48,DM48,$F48,$F$19,7)/100)</f>
        <v>-2.6672405804046479E-3</v>
      </c>
      <c r="DV48" s="237">
        <f>IF(DN48=0,0,_xll.SPRDOPT(DG48,DH48,$AD48,$AM48,DK48,DL48,DM48,$F48,$F$19,9)/365)</f>
        <v>0</v>
      </c>
      <c r="DW48" s="237">
        <f t="shared" ca="1" si="90"/>
        <v>3.1309462086299283E-3</v>
      </c>
      <c r="DX48" s="237">
        <f t="shared" si="91"/>
        <v>0</v>
      </c>
      <c r="DY48" s="237">
        <f t="shared" ca="1" si="92"/>
        <v>6.5271508000708375E-4</v>
      </c>
      <c r="DZ48" s="206"/>
      <c r="EA48" s="109">
        <f t="shared" si="93"/>
        <v>0</v>
      </c>
      <c r="EB48" s="109">
        <f t="shared" ca="1" si="94"/>
        <v>0</v>
      </c>
      <c r="EC48" s="109">
        <f t="shared" ca="1" si="95"/>
        <v>0</v>
      </c>
      <c r="ED48" s="109">
        <f t="shared" si="96"/>
        <v>0</v>
      </c>
      <c r="EE48" s="109">
        <f t="shared" si="97"/>
        <v>0</v>
      </c>
      <c r="EF48" s="109">
        <f t="shared" ca="1" si="98"/>
        <v>0</v>
      </c>
      <c r="EG48" s="109">
        <f t="shared" ca="1" si="99"/>
        <v>0</v>
      </c>
      <c r="EH48" s="109">
        <f t="shared" ca="1" si="100"/>
        <v>0</v>
      </c>
      <c r="EI48" s="109">
        <f t="shared" si="101"/>
        <v>0</v>
      </c>
      <c r="EJ48" s="109">
        <f t="shared" ca="1" si="102"/>
        <v>0</v>
      </c>
      <c r="EK48" s="109">
        <f t="shared" si="103"/>
        <v>0</v>
      </c>
      <c r="EL48" s="109">
        <f t="shared" ca="1" si="104"/>
        <v>0</v>
      </c>
      <c r="EN48" s="82">
        <f t="shared" si="105"/>
        <v>0</v>
      </c>
      <c r="EO48" s="132">
        <f t="shared" si="106"/>
        <v>4.4450000000000003</v>
      </c>
      <c r="EP48" s="132">
        <f t="shared" si="107"/>
        <v>3.92</v>
      </c>
      <c r="EQ48" s="132">
        <f t="shared" si="108"/>
        <v>0</v>
      </c>
      <c r="ER48" s="132">
        <f t="shared" si="109"/>
        <v>0</v>
      </c>
      <c r="ES48" s="235">
        <f t="shared" si="110"/>
        <v>0.3871</v>
      </c>
      <c r="ET48" s="235">
        <f t="shared" si="111"/>
        <v>0.39500000000000002</v>
      </c>
      <c r="EU48" s="106">
        <f t="shared" si="112"/>
        <v>0.9738</v>
      </c>
      <c r="EV48" s="237">
        <f>IF(EN48=0,0,_xll.SPRDOPT(EO48,EP48,$AK48,$AM48,ES48,ET48,EU48,$F48,$H$19,0))</f>
        <v>0</v>
      </c>
      <c r="EW48" s="237">
        <f ca="1">IF(EO48=0,0,_xll.SPRDOPT(EO48,EP48,$AK48,$AM48,ES48,ET48,EU48,$F48,$H$19,1))</f>
        <v>-0.77732311553875488</v>
      </c>
      <c r="EX48" s="237">
        <f ca="1">IF(EP48=0,0,_xll.SPRDOPT(EO48,EP48,$AK48,$AM48,ES48,ET48,EU48,$F48,$H$19,2))</f>
        <v>0.7924219564190268</v>
      </c>
      <c r="EY48" s="237">
        <f>IF(EQ48=0,0,_xll.SPRDOPT(EO48,EP48,$AK48,$AM48,ES48,ET48,EU48,$F48,$H$19,3)/100)</f>
        <v>0</v>
      </c>
      <c r="EZ48" s="237">
        <f>IF(ER48=0,0,_xll.SPRDOPT(EO48,EP48,$AK48,$AM48,ES48,ET48,EU48,$F48,$H$19,4)/100)</f>
        <v>0</v>
      </c>
      <c r="FA48" s="237">
        <f ca="1">IF(ES48=0,0,_xll.SPRDOPT(EO48,EP48,$AK48,$AM48,ES48,ET48,EU48,$F48,$H$19,5)/100)</f>
        <v>6.7684325655251757E-3</v>
      </c>
      <c r="FB48" s="237">
        <f ca="1">IF(ET48=0,0,_xll.SPRDOPT(EO48,EP48,$AK48,$AM48,ES48,ET48,EU48,$F48,$H$19,6)/100)</f>
        <v>-3.9912592172696004E-3</v>
      </c>
      <c r="FC48" s="237">
        <f ca="1">IF(EU48=0,0,_xll.SPRDOPT(EO48,EP48,$AK48,$AM48,ES48,ET48,EU48,$F48,$H$19,7)/100)</f>
        <v>-1.2765337881812304E-2</v>
      </c>
      <c r="FD48" s="237">
        <f>IF(EV48=0,0,_xll.SPRDOPT(EO48,EP48,$AK48,$AM48,ES48,ET48,EU48,$F48,$H$19,9)/365)</f>
        <v>0</v>
      </c>
      <c r="FE48" s="237">
        <f t="shared" ca="1" si="113"/>
        <v>1.5098840880271913E-2</v>
      </c>
      <c r="FF48" s="237">
        <f t="shared" si="114"/>
        <v>0</v>
      </c>
      <c r="FG48" s="237">
        <f t="shared" ca="1" si="115"/>
        <v>2.6418046969450722E-3</v>
      </c>
      <c r="FH48" s="206"/>
      <c r="FI48" s="109">
        <f t="shared" si="116"/>
        <v>0</v>
      </c>
      <c r="FJ48" s="109">
        <f t="shared" ca="1" si="117"/>
        <v>0</v>
      </c>
      <c r="FK48" s="109">
        <f t="shared" ca="1" si="118"/>
        <v>0</v>
      </c>
      <c r="FL48" s="109">
        <f t="shared" si="119"/>
        <v>0</v>
      </c>
      <c r="FM48" s="109">
        <f t="shared" si="120"/>
        <v>0</v>
      </c>
      <c r="FN48" s="109">
        <f t="shared" ca="1" si="121"/>
        <v>0</v>
      </c>
      <c r="FO48" s="109">
        <f t="shared" ca="1" si="122"/>
        <v>0</v>
      </c>
      <c r="FP48" s="109">
        <f t="shared" ca="1" si="123"/>
        <v>0</v>
      </c>
      <c r="FQ48" s="109">
        <f t="shared" si="124"/>
        <v>0</v>
      </c>
      <c r="FR48" s="109">
        <f t="shared" ca="1" si="125"/>
        <v>0</v>
      </c>
      <c r="FS48" s="109">
        <f t="shared" si="126"/>
        <v>0</v>
      </c>
      <c r="FT48" s="109">
        <f t="shared" ca="1" si="127"/>
        <v>0</v>
      </c>
    </row>
    <row r="49" spans="1:176" x14ac:dyDescent="0.25">
      <c r="A49" s="101">
        <f t="shared" si="18"/>
        <v>37135</v>
      </c>
      <c r="B49" s="102">
        <f t="shared" si="19"/>
        <v>3.9</v>
      </c>
      <c r="C49" s="80">
        <f t="shared" si="20"/>
        <v>0.39500000000000002</v>
      </c>
      <c r="D49" s="102"/>
      <c r="E49" s="106"/>
      <c r="F49" s="105">
        <f t="shared" ca="1" si="21"/>
        <v>363</v>
      </c>
      <c r="G49" s="80"/>
      <c r="H49" s="80"/>
      <c r="I49" s="104"/>
      <c r="J49" s="234"/>
      <c r="K49" s="102">
        <f t="shared" si="22"/>
        <v>0.185</v>
      </c>
      <c r="L49" s="102">
        <f t="shared" si="23"/>
        <v>0</v>
      </c>
      <c r="M49" s="106">
        <f t="shared" si="24"/>
        <v>0.98</v>
      </c>
      <c r="N49" s="106">
        <f t="shared" si="25"/>
        <v>1</v>
      </c>
      <c r="O49" s="106">
        <f t="shared" si="26"/>
        <v>0.99</v>
      </c>
      <c r="P49" s="236">
        <f t="shared" si="27"/>
        <v>0.4</v>
      </c>
      <c r="Q49" s="106"/>
      <c r="R49" s="102">
        <f t="shared" si="4"/>
        <v>0.39500000000000002</v>
      </c>
      <c r="S49" s="102">
        <f t="shared" si="5"/>
        <v>0</v>
      </c>
      <c r="T49" s="106">
        <f t="shared" si="6"/>
        <v>0.98</v>
      </c>
      <c r="U49" s="106">
        <f t="shared" si="28"/>
        <v>1</v>
      </c>
      <c r="V49" s="106">
        <f t="shared" si="29"/>
        <v>0.9738</v>
      </c>
      <c r="W49" s="236">
        <f t="shared" si="30"/>
        <v>1.6</v>
      </c>
      <c r="X49" s="106"/>
      <c r="Y49" s="102">
        <f t="shared" si="7"/>
        <v>0.39500000000000002</v>
      </c>
      <c r="Z49" s="102">
        <f t="shared" si="8"/>
        <v>0</v>
      </c>
      <c r="AA49" s="106">
        <f t="shared" si="9"/>
        <v>0.98</v>
      </c>
      <c r="AB49" s="106">
        <f t="shared" si="31"/>
        <v>1</v>
      </c>
      <c r="AC49" s="106">
        <f t="shared" si="10"/>
        <v>0.9738</v>
      </c>
      <c r="AD49" s="236">
        <f t="shared" si="32"/>
        <v>1.6</v>
      </c>
      <c r="AE49" s="106"/>
      <c r="AF49" s="102">
        <f t="shared" si="11"/>
        <v>0.39500000000000002</v>
      </c>
      <c r="AG49" s="102">
        <f t="shared" si="12"/>
        <v>0</v>
      </c>
      <c r="AH49" s="106">
        <f t="shared" si="13"/>
        <v>0.98</v>
      </c>
      <c r="AI49" s="106">
        <f t="shared" si="33"/>
        <v>1</v>
      </c>
      <c r="AJ49" s="106">
        <f t="shared" si="14"/>
        <v>0.9738</v>
      </c>
      <c r="AK49" s="236">
        <f t="shared" si="34"/>
        <v>1</v>
      </c>
      <c r="AM49" s="80">
        <f t="shared" si="35"/>
        <v>6.8888776321097023E-2</v>
      </c>
      <c r="AN49" s="182">
        <f t="shared" si="15"/>
        <v>30</v>
      </c>
      <c r="AP49" s="82">
        <f t="shared" si="36"/>
        <v>0</v>
      </c>
      <c r="AQ49" s="132">
        <f t="shared" si="37"/>
        <v>4.085</v>
      </c>
      <c r="AR49" s="132">
        <f t="shared" si="38"/>
        <v>3.9</v>
      </c>
      <c r="AS49" s="132">
        <f t="shared" si="39"/>
        <v>0</v>
      </c>
      <c r="AT49" s="132">
        <f t="shared" si="40"/>
        <v>0</v>
      </c>
      <c r="AU49" s="235">
        <f t="shared" si="41"/>
        <v>0.3871</v>
      </c>
      <c r="AV49" s="235">
        <f t="shared" si="42"/>
        <v>0.39500000000000002</v>
      </c>
      <c r="AW49" s="106">
        <f t="shared" si="43"/>
        <v>0.99</v>
      </c>
      <c r="AX49" s="237">
        <f>IF(AP49=0,0,_xll.SPRDOPT(AQ49,AR49,$P49,$AM49,AU49,AV49,AW49,$F49,$B$19,0))</f>
        <v>0</v>
      </c>
      <c r="AY49" s="237">
        <f ca="1">IF(AQ49=0,0,_xll.SPRDOPT(AQ49,AR49,$P49,$AM49,AU49,AV49,AW49,$F49,$B$19,1))</f>
        <v>0.19254954092492643</v>
      </c>
      <c r="AZ49" s="237">
        <f ca="1">IF(AR49=0,0,_xll.SPRDOPT(AQ49,AR49,$P49,$AM49,AU49,AV49,AW49,$F49,$B$19,2))</f>
        <v>-0.1803237951041971</v>
      </c>
      <c r="BA49" s="237">
        <f>IF(AS49=0,0,_xll.SPRDOPT(AQ49,AR49,$P49,$AM49,AU49,AV49,AW49,$F49,$B$19,3)/100)</f>
        <v>0</v>
      </c>
      <c r="BB49" s="237">
        <f>IF(AT49=0,0,_xll.SPRDOPT(AQ49,AR49,$P49,$AM49,AU49,AV49,AW49,$F49,$B$19,4)/100)</f>
        <v>0</v>
      </c>
      <c r="BC49" s="237">
        <f ca="1">IF(AU49=0,0,_xll.SPRDOPT(AQ49,AR49,$P49,$AM49,AU49,AV49,AW49,$F49,$B$19,5)/100)</f>
        <v>5.114496758240712E-3</v>
      </c>
      <c r="BD49" s="237">
        <f ca="1">IF(AV49=0,0,_xll.SPRDOPT(AQ49,AR49,$P49,$AM49,AU49,AV49,AW49,$F49,$B$19,6)/100)</f>
        <v>-3.3782317496958252E-3</v>
      </c>
      <c r="BE49" s="237">
        <f ca="1">IF(AW49=0,0,_xll.SPRDOPT(AQ49,AR49,$P49,$AM49,AU49,AV49,AW49,$F49,$B$19,7)/100)</f>
        <v>-2.6037992315867786E-2</v>
      </c>
      <c r="BF49" s="237">
        <f>IF(AX49=0,0,_xll.SPRDOPT(AQ49,AR49,$P49,$AM49,AU49,AV49,AW49,$F49,$B$19,9)/365)</f>
        <v>0</v>
      </c>
      <c r="BG49" s="237">
        <f t="shared" ca="1" si="44"/>
        <v>1.2225745820729328E-2</v>
      </c>
      <c r="BH49" s="237">
        <f t="shared" si="45"/>
        <v>0</v>
      </c>
      <c r="BI49" s="237">
        <f t="shared" ca="1" si="46"/>
        <v>1.6339750733800722E-3</v>
      </c>
      <c r="BJ49" s="206"/>
      <c r="BK49" s="109">
        <f t="shared" si="47"/>
        <v>0</v>
      </c>
      <c r="BL49" s="109">
        <f t="shared" ca="1" si="48"/>
        <v>0</v>
      </c>
      <c r="BM49" s="109">
        <f t="shared" ca="1" si="49"/>
        <v>0</v>
      </c>
      <c r="BN49" s="109">
        <f t="shared" si="50"/>
        <v>0</v>
      </c>
      <c r="BO49" s="109">
        <f t="shared" si="51"/>
        <v>0</v>
      </c>
      <c r="BP49" s="109">
        <f t="shared" ca="1" si="52"/>
        <v>0</v>
      </c>
      <c r="BQ49" s="109">
        <f t="shared" ca="1" si="53"/>
        <v>0</v>
      </c>
      <c r="BR49" s="109">
        <f t="shared" ca="1" si="54"/>
        <v>0</v>
      </c>
      <c r="BS49" s="109">
        <f t="shared" si="55"/>
        <v>0</v>
      </c>
      <c r="BT49" s="109">
        <f t="shared" ca="1" si="56"/>
        <v>0</v>
      </c>
      <c r="BU49" s="109">
        <f t="shared" si="57"/>
        <v>0</v>
      </c>
      <c r="BV49" s="109">
        <f t="shared" ca="1" si="58"/>
        <v>0</v>
      </c>
      <c r="BX49" s="82">
        <f t="shared" si="59"/>
        <v>0</v>
      </c>
      <c r="BY49" s="132">
        <f t="shared" si="60"/>
        <v>4.3049999999999997</v>
      </c>
      <c r="BZ49" s="132">
        <f t="shared" si="61"/>
        <v>3.9</v>
      </c>
      <c r="CA49" s="132">
        <f t="shared" si="62"/>
        <v>0</v>
      </c>
      <c r="CB49" s="132">
        <f t="shared" si="63"/>
        <v>0</v>
      </c>
      <c r="CC49" s="235">
        <f t="shared" si="64"/>
        <v>0.3871</v>
      </c>
      <c r="CD49" s="235">
        <f t="shared" si="65"/>
        <v>0.39500000000000002</v>
      </c>
      <c r="CE49" s="106">
        <f t="shared" si="66"/>
        <v>0.9738</v>
      </c>
      <c r="CF49" s="237">
        <f>IF(BX49=0,0,_xll.SPRDOPT(BY49,BZ49,$W49,$AM49,CC49,CD49,CE49,$F49,$D$19,0))</f>
        <v>0</v>
      </c>
      <c r="CG49" s="237">
        <f ca="1">IF(BY49=0,0,_xll.SPRDOPT(BY49,BZ49,$W49,$AM49,CC49,CD49,CE49,$F49,$D$19,1))</f>
        <v>2.1698978628526173E-2</v>
      </c>
      <c r="CH49" s="237">
        <f ca="1">IF(BZ49=0,0,_xll.SPRDOPT(BY49,BZ49,$W49,$AM49,CC49,CD49,CE49,$F49,$D$19,2))</f>
        <v>-1.8689386917259194E-2</v>
      </c>
      <c r="CI49" s="237">
        <f>IF(CA49=0,0,_xll.SPRDOPT(BY49,BZ49,$W49,$AM49,CC49,CD49,CE49,$F49,$D$19,3)/100)</f>
        <v>0</v>
      </c>
      <c r="CJ49" s="237">
        <f>IF(CB49=0,0,_xll.SPRDOPT(BY49,BZ49,$W49,$AM49,CC49,CD49,CE49,$F49,$D$19,4)/100)</f>
        <v>0</v>
      </c>
      <c r="CK49" s="237">
        <f ca="1">IF(CC49=0,0,_xll.SPRDOPT(BY49,BZ49,$W49,$AM49,CC49,CD49,CE49,$F49,$D$19,5)/100)</f>
        <v>1.6147448900545377E-3</v>
      </c>
      <c r="CL49" s="237">
        <f ca="1">IF(CD49=0,0,_xll.SPRDOPT(BY49,BZ49,$W49,$AM49,CC49,CD49,CE49,$F49,$D$19,6)/100)</f>
        <v>-9.7518985924162891E-4</v>
      </c>
      <c r="CM49" s="237">
        <f ca="1">IF(CE49=0,0,_xll.SPRDOPT(BY49,BZ49,$W49,$AM49,CC49,CD49,CE49,$F49,$D$19,7)/100)</f>
        <v>-2.5276841318688874E-3</v>
      </c>
      <c r="CN49" s="237">
        <f>IF(CF49=0,0,_xll.SPRDOPT(BY49,BZ49,$W49,$AM49,CC49,CD49,CE49,$F49,$D$19,9)/365)</f>
        <v>0</v>
      </c>
      <c r="CO49" s="237">
        <f t="shared" ca="1" si="67"/>
        <v>3.0095917112669783E-3</v>
      </c>
      <c r="CP49" s="237">
        <f t="shared" si="68"/>
        <v>0</v>
      </c>
      <c r="CQ49" s="237">
        <f t="shared" ca="1" si="69"/>
        <v>6.0726013301181791E-4</v>
      </c>
      <c r="CR49" s="206"/>
      <c r="CS49" s="109">
        <f t="shared" si="70"/>
        <v>0</v>
      </c>
      <c r="CT49" s="109">
        <f t="shared" ca="1" si="71"/>
        <v>0</v>
      </c>
      <c r="CU49" s="109">
        <f t="shared" ca="1" si="72"/>
        <v>0</v>
      </c>
      <c r="CV49" s="109">
        <f t="shared" si="73"/>
        <v>0</v>
      </c>
      <c r="CW49" s="109">
        <f t="shared" si="74"/>
        <v>0</v>
      </c>
      <c r="CX49" s="109">
        <f t="shared" ca="1" si="75"/>
        <v>0</v>
      </c>
      <c r="CY49" s="109">
        <f t="shared" ca="1" si="76"/>
        <v>0</v>
      </c>
      <c r="CZ49" s="109">
        <f t="shared" ca="1" si="77"/>
        <v>0</v>
      </c>
      <c r="DA49" s="109">
        <f t="shared" si="78"/>
        <v>0</v>
      </c>
      <c r="DB49" s="109">
        <f t="shared" ca="1" si="79"/>
        <v>0</v>
      </c>
      <c r="DC49" s="109">
        <f t="shared" si="80"/>
        <v>0</v>
      </c>
      <c r="DD49" s="109">
        <f t="shared" ca="1" si="81"/>
        <v>0</v>
      </c>
      <c r="DF49" s="82">
        <f t="shared" si="82"/>
        <v>0</v>
      </c>
      <c r="DG49" s="132">
        <f t="shared" si="83"/>
        <v>4.3049999999999997</v>
      </c>
      <c r="DH49" s="132">
        <f t="shared" si="84"/>
        <v>3.9</v>
      </c>
      <c r="DI49" s="132">
        <f t="shared" si="85"/>
        <v>0</v>
      </c>
      <c r="DJ49" s="132">
        <f t="shared" si="86"/>
        <v>0</v>
      </c>
      <c r="DK49" s="235">
        <f t="shared" si="87"/>
        <v>0.3871</v>
      </c>
      <c r="DL49" s="235">
        <f t="shared" si="88"/>
        <v>0.39500000000000002</v>
      </c>
      <c r="DM49" s="106">
        <f t="shared" si="89"/>
        <v>0.9738</v>
      </c>
      <c r="DN49" s="237">
        <f>IF(DF49=0,0,_xll.SPRDOPT(DG49,DH49,$AD49,$AM49,DK49,DL49,DM49,$F49,$F$19,0))</f>
        <v>0</v>
      </c>
      <c r="DO49" s="237">
        <f ca="1">IF(DG49=0,0,_xll.SPRDOPT(DG49,DH49,$AD49,$AM49,DK49,DL49,DM49,$F49,$F$19,1))</f>
        <v>2.1698978628526173E-2</v>
      </c>
      <c r="DP49" s="237">
        <f ca="1">IF(DH49=0,0,_xll.SPRDOPT(DG49,DH49,$AD49,$AM49,DK49,DL49,DM49,$F49,$F$19,2))</f>
        <v>-1.8689386917259194E-2</v>
      </c>
      <c r="DQ49" s="237">
        <f>IF(DI49=0,0,_xll.SPRDOPT(DG49,DH49,$AD49,$AM49,DK49,DL49,DM49,$F49,$F$19,3)/100)</f>
        <v>0</v>
      </c>
      <c r="DR49" s="237">
        <f>IF(DJ49=0,0,_xll.SPRDOPT(DG49,DH49,$AD49,$AM49,DK49,DL49,DM49,$F49,$F$19,4)/100)</f>
        <v>0</v>
      </c>
      <c r="DS49" s="237">
        <f ca="1">IF(DK49=0,0,_xll.SPRDOPT(DG49,DH49,$AD49,$AM49,DK49,DL49,DM49,$F49,$F$19,5)/100)</f>
        <v>1.6147448900545377E-3</v>
      </c>
      <c r="DT49" s="237">
        <f ca="1">IF(DL49=0,0,_xll.SPRDOPT(DG49,DH49,$AD49,$AM49,DK49,DL49,DM49,$F49,$F$19,6)/100)</f>
        <v>-9.7518985924162891E-4</v>
      </c>
      <c r="DU49" s="237">
        <f ca="1">IF(DM49=0,0,_xll.SPRDOPT(DG49,DH49,$AD49,$AM49,DK49,DL49,DM49,$F49,$F$19,7)/100)</f>
        <v>-2.5276841318688874E-3</v>
      </c>
      <c r="DV49" s="237">
        <f>IF(DN49=0,0,_xll.SPRDOPT(DG49,DH49,$AD49,$AM49,DK49,DL49,DM49,$F49,$F$19,9)/365)</f>
        <v>0</v>
      </c>
      <c r="DW49" s="237">
        <f t="shared" ca="1" si="90"/>
        <v>3.0095917112669783E-3</v>
      </c>
      <c r="DX49" s="237">
        <f t="shared" si="91"/>
        <v>0</v>
      </c>
      <c r="DY49" s="237">
        <f t="shared" ca="1" si="92"/>
        <v>6.0726013301181791E-4</v>
      </c>
      <c r="DZ49" s="206"/>
      <c r="EA49" s="109">
        <f t="shared" si="93"/>
        <v>0</v>
      </c>
      <c r="EB49" s="109">
        <f t="shared" ca="1" si="94"/>
        <v>0</v>
      </c>
      <c r="EC49" s="109">
        <f t="shared" ca="1" si="95"/>
        <v>0</v>
      </c>
      <c r="ED49" s="109">
        <f t="shared" si="96"/>
        <v>0</v>
      </c>
      <c r="EE49" s="109">
        <f t="shared" si="97"/>
        <v>0</v>
      </c>
      <c r="EF49" s="109">
        <f t="shared" ca="1" si="98"/>
        <v>0</v>
      </c>
      <c r="EG49" s="109">
        <f t="shared" ca="1" si="99"/>
        <v>0</v>
      </c>
      <c r="EH49" s="109">
        <f t="shared" ca="1" si="100"/>
        <v>0</v>
      </c>
      <c r="EI49" s="109">
        <f t="shared" si="101"/>
        <v>0</v>
      </c>
      <c r="EJ49" s="109">
        <f t="shared" ca="1" si="102"/>
        <v>0</v>
      </c>
      <c r="EK49" s="109">
        <f t="shared" si="103"/>
        <v>0</v>
      </c>
      <c r="EL49" s="109">
        <f t="shared" ca="1" si="104"/>
        <v>0</v>
      </c>
      <c r="EN49" s="82">
        <f t="shared" si="105"/>
        <v>0</v>
      </c>
      <c r="EO49" s="132">
        <f t="shared" si="106"/>
        <v>4.3600000000000003</v>
      </c>
      <c r="EP49" s="132">
        <f t="shared" si="107"/>
        <v>3.9</v>
      </c>
      <c r="EQ49" s="132">
        <f t="shared" si="108"/>
        <v>0</v>
      </c>
      <c r="ER49" s="132">
        <f t="shared" si="109"/>
        <v>0</v>
      </c>
      <c r="ES49" s="235">
        <f t="shared" si="110"/>
        <v>0.3871</v>
      </c>
      <c r="ET49" s="235">
        <f t="shared" si="111"/>
        <v>0.39500000000000002</v>
      </c>
      <c r="EU49" s="106">
        <f t="shared" si="112"/>
        <v>0.9738</v>
      </c>
      <c r="EV49" s="237">
        <f>IF(EN49=0,0,_xll.SPRDOPT(EO49,EP49,$AK49,$AM49,ES49,ET49,EU49,$F49,$H$19,0))</f>
        <v>0</v>
      </c>
      <c r="EW49" s="237">
        <f ca="1">IF(EO49=0,0,_xll.SPRDOPT(EO49,EP49,$AK49,$AM49,ES49,ET49,EU49,$F49,$H$19,1))</f>
        <v>-0.79487727967787869</v>
      </c>
      <c r="EX49" s="237">
        <f ca="1">IF(EP49=0,0,_xll.SPRDOPT(EO49,EP49,$AK49,$AM49,ES49,ET49,EU49,$F49,$H$19,2))</f>
        <v>0.80920606268059281</v>
      </c>
      <c r="EY49" s="237">
        <f>IF(EQ49=0,0,_xll.SPRDOPT(EO49,EP49,$AK49,$AM49,ES49,ET49,EU49,$F49,$H$19,3)/100)</f>
        <v>0</v>
      </c>
      <c r="EZ49" s="237">
        <f>IF(ER49=0,0,_xll.SPRDOPT(EO49,EP49,$AK49,$AM49,ES49,ET49,EU49,$F49,$H$19,4)/100)</f>
        <v>0</v>
      </c>
      <c r="FA49" s="237">
        <f ca="1">IF(ES49=0,0,_xll.SPRDOPT(EO49,EP49,$AK49,$AM49,ES49,ET49,EU49,$F49,$H$19,5)/100)</f>
        <v>6.1981623512413165E-3</v>
      </c>
      <c r="FB49" s="237">
        <f ca="1">IF(ET49=0,0,_xll.SPRDOPT(EO49,EP49,$AK49,$AM49,ES49,ET49,EU49,$F49,$H$19,6)/100)</f>
        <v>-3.635448931441979E-3</v>
      </c>
      <c r="FC49" s="237">
        <f ca="1">IF(EU49=0,0,_xll.SPRDOPT(EO49,EP49,$AK49,$AM49,ES49,ET49,EU49,$F49,$H$19,7)/100)</f>
        <v>-1.1949000665824806E-2</v>
      </c>
      <c r="FD49" s="237">
        <f>IF(EV49=0,0,_xll.SPRDOPT(EO49,EP49,$AK49,$AM49,ES49,ET49,EU49,$F49,$H$19,9)/365)</f>
        <v>0</v>
      </c>
      <c r="FE49" s="237">
        <f t="shared" ca="1" si="113"/>
        <v>1.4328783002714118E-2</v>
      </c>
      <c r="FF49" s="237">
        <f t="shared" si="114"/>
        <v>0</v>
      </c>
      <c r="FG49" s="237">
        <f t="shared" ca="1" si="115"/>
        <v>2.4387501727745112E-3</v>
      </c>
      <c r="FH49" s="206"/>
      <c r="FI49" s="109">
        <f t="shared" si="116"/>
        <v>0</v>
      </c>
      <c r="FJ49" s="109">
        <f t="shared" ca="1" si="117"/>
        <v>0</v>
      </c>
      <c r="FK49" s="109">
        <f t="shared" ca="1" si="118"/>
        <v>0</v>
      </c>
      <c r="FL49" s="109">
        <f t="shared" si="119"/>
        <v>0</v>
      </c>
      <c r="FM49" s="109">
        <f t="shared" si="120"/>
        <v>0</v>
      </c>
      <c r="FN49" s="109">
        <f t="shared" ca="1" si="121"/>
        <v>0</v>
      </c>
      <c r="FO49" s="109">
        <f t="shared" ca="1" si="122"/>
        <v>0</v>
      </c>
      <c r="FP49" s="109">
        <f t="shared" ca="1" si="123"/>
        <v>0</v>
      </c>
      <c r="FQ49" s="109">
        <f t="shared" si="124"/>
        <v>0</v>
      </c>
      <c r="FR49" s="109">
        <f t="shared" ca="1" si="125"/>
        <v>0</v>
      </c>
      <c r="FS49" s="109">
        <f t="shared" si="126"/>
        <v>0</v>
      </c>
      <c r="FT49" s="109">
        <f t="shared" ca="1" si="127"/>
        <v>0</v>
      </c>
    </row>
    <row r="50" spans="1:176" x14ac:dyDescent="0.25">
      <c r="A50" s="101">
        <f t="shared" si="18"/>
        <v>37165</v>
      </c>
      <c r="B50" s="102">
        <f t="shared" si="19"/>
        <v>3.8849999999999998</v>
      </c>
      <c r="C50" s="80">
        <f t="shared" si="20"/>
        <v>0.39750000000000002</v>
      </c>
      <c r="D50" s="102"/>
      <c r="E50" s="106"/>
      <c r="F50" s="105">
        <f t="shared" ca="1" si="21"/>
        <v>391</v>
      </c>
      <c r="G50" s="80"/>
      <c r="H50" s="80"/>
      <c r="I50" s="104"/>
      <c r="J50" s="234"/>
      <c r="K50" s="102">
        <f t="shared" si="22"/>
        <v>0.19</v>
      </c>
      <c r="L50" s="102">
        <f t="shared" si="23"/>
        <v>0</v>
      </c>
      <c r="M50" s="106">
        <f t="shared" si="24"/>
        <v>0.98</v>
      </c>
      <c r="N50" s="106">
        <f t="shared" si="25"/>
        <v>1</v>
      </c>
      <c r="O50" s="106">
        <f t="shared" si="26"/>
        <v>0.99</v>
      </c>
      <c r="P50" s="236">
        <f t="shared" si="27"/>
        <v>0.4</v>
      </c>
      <c r="Q50" s="106"/>
      <c r="R50" s="102">
        <f t="shared" si="4"/>
        <v>0.46100000000000002</v>
      </c>
      <c r="S50" s="102">
        <f t="shared" si="5"/>
        <v>0</v>
      </c>
      <c r="T50" s="106">
        <f t="shared" si="6"/>
        <v>0.98</v>
      </c>
      <c r="U50" s="106">
        <f t="shared" si="28"/>
        <v>1</v>
      </c>
      <c r="V50" s="106">
        <f t="shared" si="29"/>
        <v>0.9738</v>
      </c>
      <c r="W50" s="236">
        <f t="shared" si="30"/>
        <v>1.6</v>
      </c>
      <c r="X50" s="106"/>
      <c r="Y50" s="102">
        <f t="shared" si="7"/>
        <v>0.46100000000000002</v>
      </c>
      <c r="Z50" s="102">
        <f t="shared" si="8"/>
        <v>0</v>
      </c>
      <c r="AA50" s="106">
        <f t="shared" si="9"/>
        <v>0.98</v>
      </c>
      <c r="AB50" s="106">
        <f t="shared" si="31"/>
        <v>1</v>
      </c>
      <c r="AC50" s="106">
        <f t="shared" si="10"/>
        <v>0.9738</v>
      </c>
      <c r="AD50" s="236">
        <f t="shared" si="32"/>
        <v>1.6</v>
      </c>
      <c r="AE50" s="106"/>
      <c r="AF50" s="102">
        <f t="shared" si="11"/>
        <v>0.46100000000000002</v>
      </c>
      <c r="AG50" s="102">
        <f t="shared" si="12"/>
        <v>0</v>
      </c>
      <c r="AH50" s="106">
        <f t="shared" si="13"/>
        <v>0.98</v>
      </c>
      <c r="AI50" s="106">
        <f t="shared" si="33"/>
        <v>1</v>
      </c>
      <c r="AJ50" s="106">
        <f t="shared" si="14"/>
        <v>0.9738</v>
      </c>
      <c r="AK50" s="236">
        <f t="shared" si="34"/>
        <v>1</v>
      </c>
      <c r="AM50" s="80">
        <f t="shared" si="35"/>
        <v>6.890251912361102E-2</v>
      </c>
      <c r="AN50" s="182">
        <f t="shared" si="15"/>
        <v>31</v>
      </c>
      <c r="AP50" s="82">
        <f t="shared" si="36"/>
        <v>0</v>
      </c>
      <c r="AQ50" s="132">
        <f t="shared" si="37"/>
        <v>4.0750000000000002</v>
      </c>
      <c r="AR50" s="132">
        <f t="shared" si="38"/>
        <v>3.8849999999999998</v>
      </c>
      <c r="AS50" s="132">
        <f t="shared" si="39"/>
        <v>0</v>
      </c>
      <c r="AT50" s="132">
        <f t="shared" si="40"/>
        <v>0</v>
      </c>
      <c r="AU50" s="235">
        <f t="shared" si="41"/>
        <v>0.38955000000000001</v>
      </c>
      <c r="AV50" s="235">
        <f t="shared" si="42"/>
        <v>0.39750000000000002</v>
      </c>
      <c r="AW50" s="106">
        <f t="shared" si="43"/>
        <v>0.99</v>
      </c>
      <c r="AX50" s="237">
        <f>IF(AP50=0,0,_xll.SPRDOPT(AQ50,AR50,$P50,$AM50,AU50,AV50,AW50,$F50,$B$19,0))</f>
        <v>0</v>
      </c>
      <c r="AY50" s="237">
        <f ca="1">IF(AQ50=0,0,_xll.SPRDOPT(AQ50,AR50,$P50,$AM50,AU50,AV50,AW50,$F50,$B$19,1))</f>
        <v>0.20700272187609461</v>
      </c>
      <c r="AZ50" s="237">
        <f ca="1">IF(AR50=0,0,_xll.SPRDOPT(AQ50,AR50,$P50,$AM50,AU50,AV50,AW50,$F50,$B$19,2))</f>
        <v>-0.19372253624457153</v>
      </c>
      <c r="BA50" s="237">
        <f>IF(AS50=0,0,_xll.SPRDOPT(AQ50,AR50,$P50,$AM50,AU50,AV50,AW50,$F50,$B$19,3)/100)</f>
        <v>0</v>
      </c>
      <c r="BB50" s="237">
        <f>IF(AT50=0,0,_xll.SPRDOPT(AQ50,AR50,$P50,$AM50,AU50,AV50,AW50,$F50,$B$19,4)/100)</f>
        <v>0</v>
      </c>
      <c r="BC50" s="237">
        <f ca="1">IF(AU50=0,0,_xll.SPRDOPT(AQ50,AR50,$P50,$AM50,AU50,AV50,AW50,$F50,$B$19,5)/100)</f>
        <v>5.5197229010732077E-3</v>
      </c>
      <c r="BD50" s="237">
        <f ca="1">IF(AV50=0,0,_xll.SPRDOPT(AQ50,AR50,$P50,$AM50,AU50,AV50,AW50,$F50,$B$19,6)/100)</f>
        <v>-3.6444066640297667E-3</v>
      </c>
      <c r="BE50" s="237">
        <f ca="1">IF(AW50=0,0,_xll.SPRDOPT(AQ50,AR50,$P50,$AM50,AU50,AV50,AW50,$F50,$B$19,7)/100)</f>
        <v>-2.8198809506425407E-2</v>
      </c>
      <c r="BF50" s="237">
        <f>IF(AX50=0,0,_xll.SPRDOPT(AQ50,AR50,$P50,$AM50,AU50,AV50,AW50,$F50,$B$19,9)/365)</f>
        <v>0</v>
      </c>
      <c r="BG50" s="237">
        <f t="shared" ca="1" si="44"/>
        <v>1.3280185631523084E-2</v>
      </c>
      <c r="BH50" s="237">
        <f t="shared" si="45"/>
        <v>0</v>
      </c>
      <c r="BI50" s="237">
        <f t="shared" ca="1" si="46"/>
        <v>1.7649217790219767E-3</v>
      </c>
      <c r="BJ50" s="206"/>
      <c r="BK50" s="109">
        <f t="shared" si="47"/>
        <v>0</v>
      </c>
      <c r="BL50" s="109">
        <f t="shared" ca="1" si="48"/>
        <v>0</v>
      </c>
      <c r="BM50" s="109">
        <f t="shared" ca="1" si="49"/>
        <v>0</v>
      </c>
      <c r="BN50" s="109">
        <f t="shared" si="50"/>
        <v>0</v>
      </c>
      <c r="BO50" s="109">
        <f t="shared" si="51"/>
        <v>0</v>
      </c>
      <c r="BP50" s="109">
        <f t="shared" ca="1" si="52"/>
        <v>0</v>
      </c>
      <c r="BQ50" s="109">
        <f t="shared" ca="1" si="53"/>
        <v>0</v>
      </c>
      <c r="BR50" s="109">
        <f t="shared" ca="1" si="54"/>
        <v>0</v>
      </c>
      <c r="BS50" s="109">
        <f t="shared" si="55"/>
        <v>0</v>
      </c>
      <c r="BT50" s="109">
        <f t="shared" ca="1" si="56"/>
        <v>0</v>
      </c>
      <c r="BU50" s="109">
        <f t="shared" si="57"/>
        <v>0</v>
      </c>
      <c r="BV50" s="109">
        <f t="shared" ca="1" si="58"/>
        <v>0</v>
      </c>
      <c r="BX50" s="82">
        <f t="shared" si="59"/>
        <v>0</v>
      </c>
      <c r="BY50" s="132">
        <f t="shared" si="60"/>
        <v>4.3559999999999999</v>
      </c>
      <c r="BZ50" s="132">
        <f t="shared" si="61"/>
        <v>3.8849999999999998</v>
      </c>
      <c r="CA50" s="132">
        <f t="shared" si="62"/>
        <v>0</v>
      </c>
      <c r="CB50" s="132">
        <f t="shared" si="63"/>
        <v>0</v>
      </c>
      <c r="CC50" s="235">
        <f t="shared" si="64"/>
        <v>0.38955000000000001</v>
      </c>
      <c r="CD50" s="235">
        <f t="shared" si="65"/>
        <v>0.39750000000000002</v>
      </c>
      <c r="CE50" s="106">
        <f t="shared" si="66"/>
        <v>0.9738</v>
      </c>
      <c r="CF50" s="237">
        <f>IF(BX50=0,0,_xll.SPRDOPT(BY50,BZ50,$W50,$AM50,CC50,CD50,CE50,$F50,$D$19,0))</f>
        <v>0</v>
      </c>
      <c r="CG50" s="237">
        <f ca="1">IF(BY50=0,0,_xll.SPRDOPT(BY50,BZ50,$W50,$AM50,CC50,CD50,CE50,$F50,$D$19,1))</f>
        <v>3.605818549727776E-2</v>
      </c>
      <c r="CH50" s="237">
        <f ca="1">IF(BZ50=0,0,_xll.SPRDOPT(BY50,BZ50,$W50,$AM50,CC50,CD50,CE50,$F50,$D$19,2))</f>
        <v>-3.1303910328437823E-2</v>
      </c>
      <c r="CI50" s="237">
        <f>IF(CA50=0,0,_xll.SPRDOPT(BY50,BZ50,$W50,$AM50,CC50,CD50,CE50,$F50,$D$19,3)/100)</f>
        <v>0</v>
      </c>
      <c r="CJ50" s="237">
        <f>IF(CB50=0,0,_xll.SPRDOPT(BY50,BZ50,$W50,$AM50,CC50,CD50,CE50,$F50,$D$19,4)/100)</f>
        <v>0</v>
      </c>
      <c r="CK50" s="237">
        <f ca="1">IF(CC50=0,0,_xll.SPRDOPT(BY50,BZ50,$W50,$AM50,CC50,CD50,CE50,$F50,$D$19,5)/100)</f>
        <v>2.6059570778457957E-3</v>
      </c>
      <c r="CL50" s="237">
        <f ca="1">IF(CD50=0,0,_xll.SPRDOPT(BY50,BZ50,$W50,$AM50,CC50,CD50,CE50,$F50,$D$19,6)/100)</f>
        <v>-1.5735365025290398E-3</v>
      </c>
      <c r="CM50" s="237">
        <f ca="1">IF(CE50=0,0,_xll.SPRDOPT(BY50,BZ50,$W50,$AM50,CC50,CD50,CE50,$F50,$D$19,7)/100)</f>
        <v>-4.0150009733613892E-3</v>
      </c>
      <c r="CN50" s="237">
        <f>IF(CF50=0,0,_xll.SPRDOPT(BY50,BZ50,$W50,$AM50,CC50,CD50,CE50,$F50,$D$19,9)/365)</f>
        <v>0</v>
      </c>
      <c r="CO50" s="237">
        <f t="shared" ca="1" si="67"/>
        <v>4.7542751688399373E-3</v>
      </c>
      <c r="CP50" s="237">
        <f t="shared" si="68"/>
        <v>0</v>
      </c>
      <c r="CQ50" s="237">
        <f t="shared" ca="1" si="69"/>
        <v>9.8030143375983972E-4</v>
      </c>
      <c r="CR50" s="206"/>
      <c r="CS50" s="109">
        <f t="shared" si="70"/>
        <v>0</v>
      </c>
      <c r="CT50" s="109">
        <f t="shared" ca="1" si="71"/>
        <v>0</v>
      </c>
      <c r="CU50" s="109">
        <f t="shared" ca="1" si="72"/>
        <v>0</v>
      </c>
      <c r="CV50" s="109">
        <f t="shared" si="73"/>
        <v>0</v>
      </c>
      <c r="CW50" s="109">
        <f t="shared" si="74"/>
        <v>0</v>
      </c>
      <c r="CX50" s="109">
        <f t="shared" ca="1" si="75"/>
        <v>0</v>
      </c>
      <c r="CY50" s="109">
        <f t="shared" ca="1" si="76"/>
        <v>0</v>
      </c>
      <c r="CZ50" s="109">
        <f t="shared" ca="1" si="77"/>
        <v>0</v>
      </c>
      <c r="DA50" s="109">
        <f t="shared" si="78"/>
        <v>0</v>
      </c>
      <c r="DB50" s="109">
        <f t="shared" ca="1" si="79"/>
        <v>0</v>
      </c>
      <c r="DC50" s="109">
        <f t="shared" si="80"/>
        <v>0</v>
      </c>
      <c r="DD50" s="109">
        <f t="shared" ca="1" si="81"/>
        <v>0</v>
      </c>
      <c r="DF50" s="82">
        <f t="shared" si="82"/>
        <v>0</v>
      </c>
      <c r="DG50" s="132">
        <f t="shared" si="83"/>
        <v>4.3559999999999999</v>
      </c>
      <c r="DH50" s="132">
        <f t="shared" si="84"/>
        <v>3.8849999999999998</v>
      </c>
      <c r="DI50" s="132">
        <f t="shared" si="85"/>
        <v>0</v>
      </c>
      <c r="DJ50" s="132">
        <f t="shared" si="86"/>
        <v>0</v>
      </c>
      <c r="DK50" s="235">
        <f t="shared" si="87"/>
        <v>0.38955000000000001</v>
      </c>
      <c r="DL50" s="235">
        <f t="shared" si="88"/>
        <v>0.39750000000000002</v>
      </c>
      <c r="DM50" s="106">
        <f t="shared" si="89"/>
        <v>0.9738</v>
      </c>
      <c r="DN50" s="237">
        <f>IF(DF50=0,0,_xll.SPRDOPT(DG50,DH50,$AD50,$AM50,DK50,DL50,DM50,$F50,$F$19,0))</f>
        <v>0</v>
      </c>
      <c r="DO50" s="237">
        <f ca="1">IF(DG50=0,0,_xll.SPRDOPT(DG50,DH50,$AD50,$AM50,DK50,DL50,DM50,$F50,$F$19,1))</f>
        <v>3.605818549727776E-2</v>
      </c>
      <c r="DP50" s="237">
        <f ca="1">IF(DH50=0,0,_xll.SPRDOPT(DG50,DH50,$AD50,$AM50,DK50,DL50,DM50,$F50,$F$19,2))</f>
        <v>-3.1303910328437823E-2</v>
      </c>
      <c r="DQ50" s="237">
        <f>IF(DI50=0,0,_xll.SPRDOPT(DG50,DH50,$AD50,$AM50,DK50,DL50,DM50,$F50,$F$19,3)/100)</f>
        <v>0</v>
      </c>
      <c r="DR50" s="237">
        <f>IF(DJ50=0,0,_xll.SPRDOPT(DG50,DH50,$AD50,$AM50,DK50,DL50,DM50,$F50,$F$19,4)/100)</f>
        <v>0</v>
      </c>
      <c r="DS50" s="237">
        <f ca="1">IF(DK50=0,0,_xll.SPRDOPT(DG50,DH50,$AD50,$AM50,DK50,DL50,DM50,$F50,$F$19,5)/100)</f>
        <v>2.6059570778457957E-3</v>
      </c>
      <c r="DT50" s="237">
        <f ca="1">IF(DL50=0,0,_xll.SPRDOPT(DG50,DH50,$AD50,$AM50,DK50,DL50,DM50,$F50,$F$19,6)/100)</f>
        <v>-1.5735365025290398E-3</v>
      </c>
      <c r="DU50" s="237">
        <f ca="1">IF(DM50=0,0,_xll.SPRDOPT(DG50,DH50,$AD50,$AM50,DK50,DL50,DM50,$F50,$F$19,7)/100)</f>
        <v>-4.0150009733613892E-3</v>
      </c>
      <c r="DV50" s="237">
        <f>IF(DN50=0,0,_xll.SPRDOPT(DG50,DH50,$AD50,$AM50,DK50,DL50,DM50,$F50,$F$19,9)/365)</f>
        <v>0</v>
      </c>
      <c r="DW50" s="237">
        <f t="shared" ca="1" si="90"/>
        <v>4.7542751688399373E-3</v>
      </c>
      <c r="DX50" s="237">
        <f t="shared" si="91"/>
        <v>0</v>
      </c>
      <c r="DY50" s="237">
        <f t="shared" ca="1" si="92"/>
        <v>9.8030143375983972E-4</v>
      </c>
      <c r="DZ50" s="206"/>
      <c r="EA50" s="109">
        <f t="shared" si="93"/>
        <v>0</v>
      </c>
      <c r="EB50" s="109">
        <f t="shared" ca="1" si="94"/>
        <v>0</v>
      </c>
      <c r="EC50" s="109">
        <f t="shared" ca="1" si="95"/>
        <v>0</v>
      </c>
      <c r="ED50" s="109">
        <f t="shared" si="96"/>
        <v>0</v>
      </c>
      <c r="EE50" s="109">
        <f t="shared" si="97"/>
        <v>0</v>
      </c>
      <c r="EF50" s="109">
        <f t="shared" ca="1" si="98"/>
        <v>0</v>
      </c>
      <c r="EG50" s="109">
        <f t="shared" ca="1" si="99"/>
        <v>0</v>
      </c>
      <c r="EH50" s="109">
        <f t="shared" ca="1" si="100"/>
        <v>0</v>
      </c>
      <c r="EI50" s="109">
        <f t="shared" si="101"/>
        <v>0</v>
      </c>
      <c r="EJ50" s="109">
        <f t="shared" ca="1" si="102"/>
        <v>0</v>
      </c>
      <c r="EK50" s="109">
        <f t="shared" si="103"/>
        <v>0</v>
      </c>
      <c r="EL50" s="109">
        <f t="shared" ca="1" si="104"/>
        <v>0</v>
      </c>
      <c r="EN50" s="82">
        <f t="shared" si="105"/>
        <v>0</v>
      </c>
      <c r="EO50" s="132">
        <f t="shared" si="106"/>
        <v>4.4110000000000005</v>
      </c>
      <c r="EP50" s="132">
        <f t="shared" si="107"/>
        <v>3.8849999999999998</v>
      </c>
      <c r="EQ50" s="132">
        <f t="shared" si="108"/>
        <v>0</v>
      </c>
      <c r="ER50" s="132">
        <f t="shared" si="109"/>
        <v>0</v>
      </c>
      <c r="ES50" s="235">
        <f t="shared" si="110"/>
        <v>0.38955000000000001</v>
      </c>
      <c r="ET50" s="235">
        <f t="shared" si="111"/>
        <v>0.39750000000000002</v>
      </c>
      <c r="EU50" s="106">
        <f t="shared" si="112"/>
        <v>0.9738</v>
      </c>
      <c r="EV50" s="237">
        <f>IF(EN50=0,0,_xll.SPRDOPT(EO50,EP50,$AK50,$AM50,ES50,ET50,EU50,$F50,$H$19,0))</f>
        <v>0</v>
      </c>
      <c r="EW50" s="237">
        <f ca="1">IF(EO50=0,0,_xll.SPRDOPT(EO50,EP50,$AK50,$AM50,ES50,ET50,EU50,$F50,$H$19,1))</f>
        <v>-0.74495571205277733</v>
      </c>
      <c r="EX50" s="237">
        <f ca="1">IF(EP50=0,0,_xll.SPRDOPT(EO50,EP50,$AK50,$AM50,ES50,ET50,EU50,$F50,$H$19,2))</f>
        <v>0.76274995035244186</v>
      </c>
      <c r="EY50" s="237">
        <f>IF(EQ50=0,0,_xll.SPRDOPT(EO50,EP50,$AK50,$AM50,ES50,ET50,EU50,$F50,$H$19,3)/100)</f>
        <v>0</v>
      </c>
      <c r="EZ50" s="237">
        <f>IF(ER50=0,0,_xll.SPRDOPT(EO50,EP50,$AK50,$AM50,ES50,ET50,EU50,$F50,$H$19,4)/100)</f>
        <v>0</v>
      </c>
      <c r="FA50" s="237">
        <f ca="1">IF(ES50=0,0,_xll.SPRDOPT(EO50,EP50,$AK50,$AM50,ES50,ET50,EU50,$F50,$H$19,5)/100)</f>
        <v>7.8600279690788383E-3</v>
      </c>
      <c r="FB50" s="237">
        <f ca="1">IF(ET50=0,0,_xll.SPRDOPT(EO50,EP50,$AK50,$AM50,ES50,ET50,EU50,$F50,$H$19,6)/100)</f>
        <v>-4.6196741244610958E-3</v>
      </c>
      <c r="FC50" s="237">
        <f ca="1">IF(EU50=0,0,_xll.SPRDOPT(EO50,EP50,$AK50,$AM50,ES50,ET50,EU50,$F50,$H$19,7)/100)</f>
        <v>-1.4915405512167681E-2</v>
      </c>
      <c r="FD50" s="237">
        <f>IF(EV50=0,0,_xll.SPRDOPT(EO50,EP50,$AK50,$AM50,ES50,ET50,EU50,$F50,$H$19,9)/365)</f>
        <v>0</v>
      </c>
      <c r="FE50" s="237">
        <f t="shared" ca="1" si="113"/>
        <v>1.7794238299664533E-2</v>
      </c>
      <c r="FF50" s="237">
        <f t="shared" si="114"/>
        <v>0</v>
      </c>
      <c r="FG50" s="237">
        <f t="shared" ca="1" si="115"/>
        <v>3.0831532852361654E-3</v>
      </c>
      <c r="FH50" s="206"/>
      <c r="FI50" s="109">
        <f t="shared" si="116"/>
        <v>0</v>
      </c>
      <c r="FJ50" s="109">
        <f t="shared" ca="1" si="117"/>
        <v>0</v>
      </c>
      <c r="FK50" s="109">
        <f t="shared" ca="1" si="118"/>
        <v>0</v>
      </c>
      <c r="FL50" s="109">
        <f t="shared" si="119"/>
        <v>0</v>
      </c>
      <c r="FM50" s="109">
        <f t="shared" si="120"/>
        <v>0</v>
      </c>
      <c r="FN50" s="109">
        <f t="shared" ca="1" si="121"/>
        <v>0</v>
      </c>
      <c r="FO50" s="109">
        <f t="shared" ca="1" si="122"/>
        <v>0</v>
      </c>
      <c r="FP50" s="109">
        <f t="shared" ca="1" si="123"/>
        <v>0</v>
      </c>
      <c r="FQ50" s="109">
        <f t="shared" si="124"/>
        <v>0</v>
      </c>
      <c r="FR50" s="109">
        <f t="shared" ca="1" si="125"/>
        <v>0</v>
      </c>
      <c r="FS50" s="109">
        <f t="shared" si="126"/>
        <v>0</v>
      </c>
      <c r="FT50" s="109">
        <f t="shared" ca="1" si="127"/>
        <v>0</v>
      </c>
    </row>
    <row r="51" spans="1:176" x14ac:dyDescent="0.25">
      <c r="A51" s="101">
        <f t="shared" si="18"/>
        <v>37196</v>
      </c>
      <c r="B51" s="102">
        <f t="shared" si="19"/>
        <v>3.99</v>
      </c>
      <c r="C51" s="80">
        <f t="shared" si="20"/>
        <v>0.40749999999999997</v>
      </c>
      <c r="D51" s="102"/>
      <c r="E51" s="106"/>
      <c r="F51" s="105">
        <f t="shared" ca="1" si="21"/>
        <v>424</v>
      </c>
      <c r="G51" s="80"/>
      <c r="H51" s="80"/>
      <c r="I51" s="104"/>
      <c r="J51" s="234"/>
      <c r="K51" s="102">
        <f t="shared" si="22"/>
        <v>0.26750000000000002</v>
      </c>
      <c r="L51" s="102">
        <f t="shared" si="23"/>
        <v>0</v>
      </c>
      <c r="M51" s="106">
        <f t="shared" si="24"/>
        <v>1</v>
      </c>
      <c r="N51" s="106">
        <f t="shared" si="25"/>
        <v>1</v>
      </c>
      <c r="O51" s="106">
        <f t="shared" si="26"/>
        <v>0.99</v>
      </c>
      <c r="P51" s="236">
        <f t="shared" si="27"/>
        <v>0.4</v>
      </c>
      <c r="Q51" s="106"/>
      <c r="R51" s="102">
        <f t="shared" si="4"/>
        <v>0.93</v>
      </c>
      <c r="S51" s="102">
        <f t="shared" si="5"/>
        <v>0</v>
      </c>
      <c r="T51" s="106">
        <f t="shared" si="6"/>
        <v>1.1000000000000001</v>
      </c>
      <c r="U51" s="106">
        <f t="shared" si="28"/>
        <v>1</v>
      </c>
      <c r="V51" s="106">
        <f t="shared" si="29"/>
        <v>0.95</v>
      </c>
      <c r="W51" s="236">
        <f t="shared" si="30"/>
        <v>1.6</v>
      </c>
      <c r="X51" s="106"/>
      <c r="Y51" s="102">
        <f t="shared" si="7"/>
        <v>0.93</v>
      </c>
      <c r="Z51" s="102">
        <f t="shared" si="8"/>
        <v>0</v>
      </c>
      <c r="AA51" s="106">
        <f t="shared" si="9"/>
        <v>1.1000000000000001</v>
      </c>
      <c r="AB51" s="106">
        <f t="shared" si="31"/>
        <v>1</v>
      </c>
      <c r="AC51" s="106">
        <f t="shared" si="10"/>
        <v>0.95</v>
      </c>
      <c r="AD51" s="236">
        <f t="shared" si="32"/>
        <v>1.6</v>
      </c>
      <c r="AE51" s="106"/>
      <c r="AF51" s="102">
        <f t="shared" si="11"/>
        <v>0.93</v>
      </c>
      <c r="AG51" s="102">
        <f t="shared" si="12"/>
        <v>0</v>
      </c>
      <c r="AH51" s="106">
        <f t="shared" si="13"/>
        <v>1.1000000000000001</v>
      </c>
      <c r="AI51" s="106">
        <f t="shared" si="33"/>
        <v>1</v>
      </c>
      <c r="AJ51" s="106">
        <f t="shared" si="14"/>
        <v>0.95</v>
      </c>
      <c r="AK51" s="236">
        <f t="shared" si="34"/>
        <v>1</v>
      </c>
      <c r="AM51" s="80">
        <f t="shared" si="35"/>
        <v>6.8919453955852014E-2</v>
      </c>
      <c r="AN51" s="182">
        <f t="shared" si="15"/>
        <v>30</v>
      </c>
      <c r="AP51" s="82">
        <f t="shared" si="36"/>
        <v>0</v>
      </c>
      <c r="AQ51" s="132">
        <f t="shared" si="37"/>
        <v>4.2575000000000003</v>
      </c>
      <c r="AR51" s="132">
        <f t="shared" si="38"/>
        <v>3.99</v>
      </c>
      <c r="AS51" s="132">
        <f t="shared" si="39"/>
        <v>0</v>
      </c>
      <c r="AT51" s="132">
        <f t="shared" si="40"/>
        <v>0</v>
      </c>
      <c r="AU51" s="235">
        <f t="shared" si="41"/>
        <v>0.40749999999999997</v>
      </c>
      <c r="AV51" s="235">
        <f t="shared" si="42"/>
        <v>0.40749999999999997</v>
      </c>
      <c r="AW51" s="106">
        <f t="shared" si="43"/>
        <v>0.99</v>
      </c>
      <c r="AX51" s="237">
        <f>IF(AP51=0,0,_xll.SPRDOPT(AQ51,AR51,$P51,$AM51,AU51,AV51,AW51,$F51,$B$19,0))</f>
        <v>0</v>
      </c>
      <c r="AY51" s="237">
        <f ca="1">IF(AQ51=0,0,_xll.SPRDOPT(AQ51,AR51,$P51,$AM51,AU51,AV51,AW51,$F51,$B$19,1))</f>
        <v>0.32741961799206615</v>
      </c>
      <c r="AZ51" s="237">
        <f ca="1">IF(AR51=0,0,_xll.SPRDOPT(AQ51,AR51,$P51,$AM51,AU51,AV51,AW51,$F51,$B$19,2))</f>
        <v>-0.3093174368854078</v>
      </c>
      <c r="BA51" s="237">
        <f>IF(AS51=0,0,_xll.SPRDOPT(AQ51,AR51,$P51,$AM51,AU51,AV51,AW51,$F51,$B$19,3)/100)</f>
        <v>0</v>
      </c>
      <c r="BB51" s="237">
        <f>IF(AT51=0,0,_xll.SPRDOPT(AQ51,AR51,$P51,$AM51,AU51,AV51,AW51,$F51,$B$19,4)/100)</f>
        <v>0</v>
      </c>
      <c r="BC51" s="237">
        <f ca="1">IF(AU51=0,0,_xll.SPRDOPT(AQ51,AR51,$P51,$AM51,AU51,AV51,AW51,$F51,$B$19,5)/100)</f>
        <v>8.9030674219384397E-3</v>
      </c>
      <c r="BD51" s="237">
        <f ca="1">IF(AV51=0,0,_xll.SPRDOPT(AQ51,AR51,$P51,$AM51,AU51,AV51,AW51,$F51,$B$19,6)/100)</f>
        <v>-6.3582064560357429E-3</v>
      </c>
      <c r="BE51" s="237">
        <f ca="1">IF(AW51=0,0,_xll.SPRDOPT(AQ51,AR51,$P51,$AM51,AU51,AV51,AW51,$F51,$B$19,7)/100)</f>
        <v>-3.7254463005508331E-2</v>
      </c>
      <c r="BF51" s="237">
        <f>IF(AX51=0,0,_xll.SPRDOPT(AQ51,AR51,$P51,$AM51,AU51,AV51,AW51,$F51,$B$19,9)/365)</f>
        <v>0</v>
      </c>
      <c r="BG51" s="237">
        <f t="shared" ca="1" si="44"/>
        <v>1.8102181106658344E-2</v>
      </c>
      <c r="BH51" s="237">
        <f t="shared" si="45"/>
        <v>0</v>
      </c>
      <c r="BI51" s="237">
        <f t="shared" ca="1" si="46"/>
        <v>2.5448609659026967E-3</v>
      </c>
      <c r="BJ51" s="206"/>
      <c r="BK51" s="109">
        <f t="shared" si="47"/>
        <v>0</v>
      </c>
      <c r="BL51" s="109">
        <f t="shared" ca="1" si="48"/>
        <v>0</v>
      </c>
      <c r="BM51" s="109">
        <f t="shared" ca="1" si="49"/>
        <v>0</v>
      </c>
      <c r="BN51" s="109">
        <f t="shared" si="50"/>
        <v>0</v>
      </c>
      <c r="BO51" s="109">
        <f t="shared" si="51"/>
        <v>0</v>
      </c>
      <c r="BP51" s="109">
        <f t="shared" ca="1" si="52"/>
        <v>0</v>
      </c>
      <c r="BQ51" s="109">
        <f t="shared" ca="1" si="53"/>
        <v>0</v>
      </c>
      <c r="BR51" s="109">
        <f t="shared" ca="1" si="54"/>
        <v>0</v>
      </c>
      <c r="BS51" s="109">
        <f t="shared" si="55"/>
        <v>0</v>
      </c>
      <c r="BT51" s="109">
        <f t="shared" ca="1" si="56"/>
        <v>0</v>
      </c>
      <c r="BU51" s="109">
        <f t="shared" si="57"/>
        <v>0</v>
      </c>
      <c r="BV51" s="109">
        <f t="shared" ca="1" si="58"/>
        <v>0</v>
      </c>
      <c r="BX51" s="82">
        <f t="shared" si="59"/>
        <v>0</v>
      </c>
      <c r="BY51" s="132">
        <f t="shared" si="60"/>
        <v>4.93</v>
      </c>
      <c r="BZ51" s="132">
        <f t="shared" si="61"/>
        <v>3.99</v>
      </c>
      <c r="CA51" s="132">
        <f t="shared" si="62"/>
        <v>0</v>
      </c>
      <c r="CB51" s="132">
        <f t="shared" si="63"/>
        <v>0</v>
      </c>
      <c r="CC51" s="235">
        <f t="shared" si="64"/>
        <v>0.44824999999999998</v>
      </c>
      <c r="CD51" s="235">
        <f t="shared" si="65"/>
        <v>0.40749999999999997</v>
      </c>
      <c r="CE51" s="106">
        <f t="shared" si="66"/>
        <v>0.95</v>
      </c>
      <c r="CF51" s="237">
        <f>IF(BX51=0,0,_xll.SPRDOPT(BY51,BZ51,$W51,$AM51,CC51,CD51,CE51,$F51,$D$19,0))</f>
        <v>0</v>
      </c>
      <c r="CG51" s="237">
        <f ca="1">IF(BY51=0,0,_xll.SPRDOPT(BY51,BZ51,$W51,$AM51,CC51,CD51,CE51,$F51,$D$19,1))</f>
        <v>0.29238930878909308</v>
      </c>
      <c r="CH51" s="237">
        <f ca="1">IF(BZ51=0,0,_xll.SPRDOPT(BY51,BZ51,$W51,$AM51,CC51,CD51,CE51,$F51,$D$19,2))</f>
        <v>-0.25148785965207476</v>
      </c>
      <c r="CI51" s="237">
        <f>IF(CA51=0,0,_xll.SPRDOPT(BY51,BZ51,$W51,$AM51,CC51,CD51,CE51,$F51,$D$19,3)/100)</f>
        <v>0</v>
      </c>
      <c r="CJ51" s="237">
        <f>IF(CB51=0,0,_xll.SPRDOPT(BY51,BZ51,$W51,$AM51,CC51,CD51,CE51,$F51,$D$19,4)/100)</f>
        <v>0</v>
      </c>
      <c r="CK51" s="237">
        <f ca="1">IF(CC51=0,0,_xll.SPRDOPT(BY51,BZ51,$W51,$AM51,CC51,CD51,CE51,$F51,$D$19,5)/100)</f>
        <v>1.4753636506373562E-2</v>
      </c>
      <c r="CL51" s="237">
        <f ca="1">IF(CD51=0,0,_xll.SPRDOPT(BY51,BZ51,$W51,$AM51,CC51,CD51,CE51,$F51,$D$19,6)/100)</f>
        <v>-8.3200243800769461E-3</v>
      </c>
      <c r="CM51" s="237">
        <f ca="1">IF(CE51=0,0,_xll.SPRDOPT(BY51,BZ51,$W51,$AM51,CC51,CD51,CE51,$F51,$D$19,7)/100)</f>
        <v>-1.3285949514977621E-2</v>
      </c>
      <c r="CN51" s="237">
        <f>IF(CF51=0,0,_xll.SPRDOPT(BY51,BZ51,$W51,$AM51,CC51,CD51,CE51,$F51,$D$19,9)/365)</f>
        <v>0</v>
      </c>
      <c r="CO51" s="237">
        <f t="shared" ca="1" si="67"/>
        <v>4.090144913701832E-2</v>
      </c>
      <c r="CP51" s="237">
        <f t="shared" si="68"/>
        <v>0</v>
      </c>
      <c r="CQ51" s="237">
        <f t="shared" ca="1" si="69"/>
        <v>7.9089757769339724E-3</v>
      </c>
      <c r="CR51" s="206"/>
      <c r="CS51" s="109">
        <f t="shared" si="70"/>
        <v>0</v>
      </c>
      <c r="CT51" s="109">
        <f t="shared" ca="1" si="71"/>
        <v>0</v>
      </c>
      <c r="CU51" s="109">
        <f t="shared" ca="1" si="72"/>
        <v>0</v>
      </c>
      <c r="CV51" s="109">
        <f t="shared" si="73"/>
        <v>0</v>
      </c>
      <c r="CW51" s="109">
        <f t="shared" si="74"/>
        <v>0</v>
      </c>
      <c r="CX51" s="109">
        <f t="shared" ca="1" si="75"/>
        <v>0</v>
      </c>
      <c r="CY51" s="109">
        <f t="shared" ca="1" si="76"/>
        <v>0</v>
      </c>
      <c r="CZ51" s="109">
        <f t="shared" ca="1" si="77"/>
        <v>0</v>
      </c>
      <c r="DA51" s="109">
        <f t="shared" si="78"/>
        <v>0</v>
      </c>
      <c r="DB51" s="109">
        <f t="shared" ca="1" si="79"/>
        <v>0</v>
      </c>
      <c r="DC51" s="109">
        <f t="shared" si="80"/>
        <v>0</v>
      </c>
      <c r="DD51" s="109">
        <f t="shared" ca="1" si="81"/>
        <v>0</v>
      </c>
      <c r="DF51" s="82">
        <f t="shared" si="82"/>
        <v>0</v>
      </c>
      <c r="DG51" s="132">
        <f t="shared" si="83"/>
        <v>4.93</v>
      </c>
      <c r="DH51" s="132">
        <f t="shared" si="84"/>
        <v>3.99</v>
      </c>
      <c r="DI51" s="132">
        <f t="shared" si="85"/>
        <v>0</v>
      </c>
      <c r="DJ51" s="132">
        <f t="shared" si="86"/>
        <v>0</v>
      </c>
      <c r="DK51" s="235">
        <f t="shared" si="87"/>
        <v>0.44824999999999998</v>
      </c>
      <c r="DL51" s="235">
        <f t="shared" si="88"/>
        <v>0.40749999999999997</v>
      </c>
      <c r="DM51" s="106">
        <f t="shared" si="89"/>
        <v>0.95</v>
      </c>
      <c r="DN51" s="237">
        <f>IF(DF51=0,0,_xll.SPRDOPT(DG51,DH51,$AD51,$AM51,DK51,DL51,DM51,$F51,$F$19,0))</f>
        <v>0</v>
      </c>
      <c r="DO51" s="237">
        <f ca="1">IF(DG51=0,0,_xll.SPRDOPT(DG51,DH51,$AD51,$AM51,DK51,DL51,DM51,$F51,$F$19,1))</f>
        <v>0.29238930878909308</v>
      </c>
      <c r="DP51" s="237">
        <f ca="1">IF(DH51=0,0,_xll.SPRDOPT(DG51,DH51,$AD51,$AM51,DK51,DL51,DM51,$F51,$F$19,2))</f>
        <v>-0.25148785965207476</v>
      </c>
      <c r="DQ51" s="237">
        <f>IF(DI51=0,0,_xll.SPRDOPT(DG51,DH51,$AD51,$AM51,DK51,DL51,DM51,$F51,$F$19,3)/100)</f>
        <v>0</v>
      </c>
      <c r="DR51" s="237">
        <f>IF(DJ51=0,0,_xll.SPRDOPT(DG51,DH51,$AD51,$AM51,DK51,DL51,DM51,$F51,$F$19,4)/100)</f>
        <v>0</v>
      </c>
      <c r="DS51" s="237">
        <f ca="1">IF(DK51=0,0,_xll.SPRDOPT(DG51,DH51,$AD51,$AM51,DK51,DL51,DM51,$F51,$F$19,5)/100)</f>
        <v>1.4753636506373562E-2</v>
      </c>
      <c r="DT51" s="237">
        <f ca="1">IF(DL51=0,0,_xll.SPRDOPT(DG51,DH51,$AD51,$AM51,DK51,DL51,DM51,$F51,$F$19,6)/100)</f>
        <v>-8.3200243800769461E-3</v>
      </c>
      <c r="DU51" s="237">
        <f ca="1">IF(DM51=0,0,_xll.SPRDOPT(DG51,DH51,$AD51,$AM51,DK51,DL51,DM51,$F51,$F$19,7)/100)</f>
        <v>-1.3285949514977621E-2</v>
      </c>
      <c r="DV51" s="237">
        <f>IF(DN51=0,0,_xll.SPRDOPT(DG51,DH51,$AD51,$AM51,DK51,DL51,DM51,$F51,$F$19,9)/365)</f>
        <v>0</v>
      </c>
      <c r="DW51" s="237">
        <f t="shared" ca="1" si="90"/>
        <v>4.090144913701832E-2</v>
      </c>
      <c r="DX51" s="237">
        <f t="shared" si="91"/>
        <v>0</v>
      </c>
      <c r="DY51" s="237">
        <f t="shared" ca="1" si="92"/>
        <v>7.9089757769339724E-3</v>
      </c>
      <c r="DZ51" s="206"/>
      <c r="EA51" s="109">
        <f t="shared" si="93"/>
        <v>0</v>
      </c>
      <c r="EB51" s="109">
        <f t="shared" ca="1" si="94"/>
        <v>0</v>
      </c>
      <c r="EC51" s="109">
        <f t="shared" ca="1" si="95"/>
        <v>0</v>
      </c>
      <c r="ED51" s="109">
        <f t="shared" si="96"/>
        <v>0</v>
      </c>
      <c r="EE51" s="109">
        <f t="shared" si="97"/>
        <v>0</v>
      </c>
      <c r="EF51" s="109">
        <f t="shared" ca="1" si="98"/>
        <v>0</v>
      </c>
      <c r="EG51" s="109">
        <f t="shared" ca="1" si="99"/>
        <v>0</v>
      </c>
      <c r="EH51" s="109">
        <f t="shared" ca="1" si="100"/>
        <v>0</v>
      </c>
      <c r="EI51" s="109">
        <f t="shared" si="101"/>
        <v>0</v>
      </c>
      <c r="EJ51" s="109">
        <f t="shared" ca="1" si="102"/>
        <v>0</v>
      </c>
      <c r="EK51" s="109">
        <f t="shared" si="103"/>
        <v>0</v>
      </c>
      <c r="EL51" s="109">
        <f t="shared" ca="1" si="104"/>
        <v>0</v>
      </c>
      <c r="EN51" s="82">
        <f t="shared" si="105"/>
        <v>0</v>
      </c>
      <c r="EO51" s="132">
        <f t="shared" si="106"/>
        <v>4.9850000000000003</v>
      </c>
      <c r="EP51" s="132">
        <f t="shared" si="107"/>
        <v>3.99</v>
      </c>
      <c r="EQ51" s="132">
        <f t="shared" si="108"/>
        <v>0</v>
      </c>
      <c r="ER51" s="132">
        <f t="shared" si="109"/>
        <v>0</v>
      </c>
      <c r="ES51" s="235">
        <f t="shared" si="110"/>
        <v>0.44824999999999998</v>
      </c>
      <c r="ET51" s="235">
        <f t="shared" si="111"/>
        <v>0.40749999999999997</v>
      </c>
      <c r="EU51" s="106">
        <f t="shared" si="112"/>
        <v>0.95</v>
      </c>
      <c r="EV51" s="237">
        <f>IF(EN51=0,0,_xll.SPRDOPT(EO51,EP51,$AK51,$AM51,ES51,ET51,EU51,$F51,$H$19,0))</f>
        <v>0</v>
      </c>
      <c r="EW51" s="237">
        <f ca="1">IF(EO51=0,0,_xll.SPRDOPT(EO51,EP51,$AK51,$AM51,ES51,ET51,EU51,$F51,$H$19,1))</f>
        <v>-0.41949263780094437</v>
      </c>
      <c r="EX51" s="237">
        <f ca="1">IF(EP51=0,0,_xll.SPRDOPT(EO51,EP51,$AK51,$AM51,ES51,ET51,EU51,$F51,$H$19,2))</f>
        <v>0.46927127436154542</v>
      </c>
      <c r="EY51" s="237">
        <f>IF(EQ51=0,0,_xll.SPRDOPT(EO51,EP51,$AK51,$AM51,ES51,ET51,EU51,$F51,$H$19,3)/100)</f>
        <v>0</v>
      </c>
      <c r="EZ51" s="237">
        <f>IF(ER51=0,0,_xll.SPRDOPT(EO51,EP51,$AK51,$AM51,ES51,ET51,EU51,$F51,$H$19,4)/100)</f>
        <v>0</v>
      </c>
      <c r="FA51" s="237">
        <f ca="1">IF(ES51=0,0,_xll.SPRDOPT(EO51,EP51,$AK51,$AM51,ES51,ET51,EU51,$F51,$H$19,5)/100)</f>
        <v>1.5572061907691101E-2</v>
      </c>
      <c r="FB51" s="237">
        <f ca="1">IF(ET51=0,0,_xll.SPRDOPT(EO51,EP51,$AK51,$AM51,ES51,ET51,EU51,$F51,$H$19,6)/100)</f>
        <v>-8.8300135880212995E-3</v>
      </c>
      <c r="FC51" s="237">
        <f ca="1">IF(EU51=0,0,_xll.SPRDOPT(EO51,EP51,$AK51,$AM51,ES51,ET51,EU51,$F51,$H$19,7)/100)</f>
        <v>-1.7073920630970851E-2</v>
      </c>
      <c r="FD51" s="237">
        <f>IF(EV51=0,0,_xll.SPRDOPT(EO51,EP51,$AK51,$AM51,ES51,ET51,EU51,$F51,$H$19,9)/365)</f>
        <v>0</v>
      </c>
      <c r="FE51" s="237">
        <f t="shared" ca="1" si="113"/>
        <v>4.9778636560601053E-2</v>
      </c>
      <c r="FF51" s="237">
        <f t="shared" si="114"/>
        <v>0</v>
      </c>
      <c r="FG51" s="237">
        <f t="shared" ca="1" si="115"/>
        <v>8.2992545104389123E-3</v>
      </c>
      <c r="FH51" s="206"/>
      <c r="FI51" s="109">
        <f t="shared" si="116"/>
        <v>0</v>
      </c>
      <c r="FJ51" s="109">
        <f t="shared" ca="1" si="117"/>
        <v>0</v>
      </c>
      <c r="FK51" s="109">
        <f t="shared" ca="1" si="118"/>
        <v>0</v>
      </c>
      <c r="FL51" s="109">
        <f t="shared" si="119"/>
        <v>0</v>
      </c>
      <c r="FM51" s="109">
        <f t="shared" si="120"/>
        <v>0</v>
      </c>
      <c r="FN51" s="109">
        <f t="shared" ca="1" si="121"/>
        <v>0</v>
      </c>
      <c r="FO51" s="109">
        <f t="shared" ca="1" si="122"/>
        <v>0</v>
      </c>
      <c r="FP51" s="109">
        <f t="shared" ca="1" si="123"/>
        <v>0</v>
      </c>
      <c r="FQ51" s="109">
        <f t="shared" si="124"/>
        <v>0</v>
      </c>
      <c r="FR51" s="109">
        <f t="shared" ca="1" si="125"/>
        <v>0</v>
      </c>
      <c r="FS51" s="109">
        <f t="shared" si="126"/>
        <v>0</v>
      </c>
      <c r="FT51" s="109">
        <f t="shared" ca="1" si="127"/>
        <v>0</v>
      </c>
    </row>
    <row r="52" spans="1:176" x14ac:dyDescent="0.25">
      <c r="A52" s="101">
        <f t="shared" si="18"/>
        <v>37226</v>
      </c>
      <c r="B52" s="102">
        <f t="shared" si="19"/>
        <v>4.0750000000000002</v>
      </c>
      <c r="C52" s="80">
        <f t="shared" si="20"/>
        <v>0.41249999999999998</v>
      </c>
      <c r="D52" s="102"/>
      <c r="E52" s="106"/>
      <c r="F52" s="105">
        <f t="shared" ca="1" si="21"/>
        <v>454</v>
      </c>
      <c r="G52" s="80"/>
      <c r="H52" s="80"/>
      <c r="I52" s="104"/>
      <c r="J52" s="234"/>
      <c r="K52" s="102">
        <f t="shared" si="22"/>
        <v>0.30249999999999999</v>
      </c>
      <c r="L52" s="102">
        <f t="shared" si="23"/>
        <v>0</v>
      </c>
      <c r="M52" s="106">
        <f t="shared" si="24"/>
        <v>1</v>
      </c>
      <c r="N52" s="106">
        <f t="shared" si="25"/>
        <v>1</v>
      </c>
      <c r="O52" s="106">
        <f t="shared" si="26"/>
        <v>0.99</v>
      </c>
      <c r="P52" s="236">
        <f t="shared" si="27"/>
        <v>0.4</v>
      </c>
      <c r="Q52" s="106"/>
      <c r="R52" s="102">
        <f t="shared" si="4"/>
        <v>1.35</v>
      </c>
      <c r="S52" s="102">
        <f t="shared" si="5"/>
        <v>0</v>
      </c>
      <c r="T52" s="106">
        <f t="shared" si="6"/>
        <v>1.1000000000000001</v>
      </c>
      <c r="U52" s="106">
        <f t="shared" si="28"/>
        <v>1</v>
      </c>
      <c r="V52" s="106">
        <f t="shared" si="29"/>
        <v>0.95</v>
      </c>
      <c r="W52" s="236">
        <f t="shared" si="30"/>
        <v>1.6</v>
      </c>
      <c r="X52" s="106"/>
      <c r="Y52" s="102">
        <f t="shared" si="7"/>
        <v>1.35</v>
      </c>
      <c r="Z52" s="102">
        <f t="shared" si="8"/>
        <v>0</v>
      </c>
      <c r="AA52" s="106">
        <f t="shared" si="9"/>
        <v>1.1000000000000001</v>
      </c>
      <c r="AB52" s="106">
        <f t="shared" si="31"/>
        <v>1</v>
      </c>
      <c r="AC52" s="106">
        <f t="shared" si="10"/>
        <v>0.95</v>
      </c>
      <c r="AD52" s="236">
        <f t="shared" si="32"/>
        <v>1.6</v>
      </c>
      <c r="AE52" s="106"/>
      <c r="AF52" s="102">
        <f t="shared" si="11"/>
        <v>1.35</v>
      </c>
      <c r="AG52" s="102">
        <f t="shared" si="12"/>
        <v>0</v>
      </c>
      <c r="AH52" s="106">
        <f t="shared" si="13"/>
        <v>1.1000000000000001</v>
      </c>
      <c r="AI52" s="106">
        <f t="shared" si="33"/>
        <v>1</v>
      </c>
      <c r="AJ52" s="106">
        <f t="shared" si="14"/>
        <v>0.95</v>
      </c>
      <c r="AK52" s="236">
        <f t="shared" si="34"/>
        <v>1</v>
      </c>
      <c r="AM52" s="80">
        <f t="shared" si="35"/>
        <v>6.8935842503271005E-2</v>
      </c>
      <c r="AN52" s="182">
        <f t="shared" si="15"/>
        <v>31</v>
      </c>
      <c r="AP52" s="82">
        <f t="shared" si="36"/>
        <v>0</v>
      </c>
      <c r="AQ52" s="132">
        <f t="shared" si="37"/>
        <v>4.3775000000000004</v>
      </c>
      <c r="AR52" s="132">
        <f t="shared" si="38"/>
        <v>4.0750000000000002</v>
      </c>
      <c r="AS52" s="132">
        <f t="shared" si="39"/>
        <v>0</v>
      </c>
      <c r="AT52" s="132">
        <f t="shared" si="40"/>
        <v>0</v>
      </c>
      <c r="AU52" s="235">
        <f t="shared" si="41"/>
        <v>0.41249999999999998</v>
      </c>
      <c r="AV52" s="235">
        <f t="shared" si="42"/>
        <v>0.41249999999999998</v>
      </c>
      <c r="AW52" s="106">
        <f t="shared" si="43"/>
        <v>0.99</v>
      </c>
      <c r="AX52" s="237">
        <f>IF(AP52=0,0,_xll.SPRDOPT(AQ52,AR52,$P52,$AM52,AU52,AV52,AW52,$F52,$B$19,0))</f>
        <v>0</v>
      </c>
      <c r="AY52" s="237">
        <f ca="1">IF(AQ52=0,0,_xll.SPRDOPT(AQ52,AR52,$P52,$AM52,AU52,AV52,AW52,$F52,$B$19,1))</f>
        <v>0.37373932217648398</v>
      </c>
      <c r="AZ52" s="237">
        <f ca="1">IF(AR52=0,0,_xll.SPRDOPT(AQ52,AR52,$P52,$AM52,AU52,AV52,AW52,$F52,$B$19,2))</f>
        <v>-0.35401344006921137</v>
      </c>
      <c r="BA52" s="237">
        <f>IF(AS52=0,0,_xll.SPRDOPT(AQ52,AR52,$P52,$AM52,AU52,AV52,AW52,$F52,$B$19,3)/100)</f>
        <v>0</v>
      </c>
      <c r="BB52" s="237">
        <f>IF(AT52=0,0,_xll.SPRDOPT(AQ52,AR52,$P52,$AM52,AU52,AV52,AW52,$F52,$B$19,4)/100)</f>
        <v>0</v>
      </c>
      <c r="BC52" s="237">
        <f ca="1">IF(AU52=0,0,_xll.SPRDOPT(AQ52,AR52,$P52,$AM52,AU52,AV52,AW52,$F52,$B$19,5)/100)</f>
        <v>9.8036626177527841E-3</v>
      </c>
      <c r="BD52" s="237">
        <f ca="1">IF(AV52=0,0,_xll.SPRDOPT(AQ52,AR52,$P52,$AM52,AU52,AV52,AW52,$F52,$B$19,6)/100)</f>
        <v>-6.9902141257487923E-3</v>
      </c>
      <c r="BE52" s="237">
        <f ca="1">IF(AW52=0,0,_xll.SPRDOPT(AQ52,AR52,$P52,$AM52,AU52,AV52,AW52,$F52,$B$19,7)/100)</f>
        <v>-4.1598900634158227E-2</v>
      </c>
      <c r="BF52" s="237">
        <f>IF(AX52=0,0,_xll.SPRDOPT(AQ52,AR52,$P52,$AM52,AU52,AV52,AW52,$F52,$B$19,9)/365)</f>
        <v>0</v>
      </c>
      <c r="BG52" s="237">
        <f t="shared" ca="1" si="44"/>
        <v>1.9725882107272608E-2</v>
      </c>
      <c r="BH52" s="237">
        <f t="shared" si="45"/>
        <v>0</v>
      </c>
      <c r="BI52" s="237">
        <f t="shared" ca="1" si="46"/>
        <v>2.8134484920039919E-3</v>
      </c>
      <c r="BJ52" s="206"/>
      <c r="BK52" s="109">
        <f t="shared" si="47"/>
        <v>0</v>
      </c>
      <c r="BL52" s="109">
        <f t="shared" ca="1" si="48"/>
        <v>0</v>
      </c>
      <c r="BM52" s="109">
        <f t="shared" ca="1" si="49"/>
        <v>0</v>
      </c>
      <c r="BN52" s="109">
        <f t="shared" si="50"/>
        <v>0</v>
      </c>
      <c r="BO52" s="109">
        <f t="shared" si="51"/>
        <v>0</v>
      </c>
      <c r="BP52" s="109">
        <f t="shared" ca="1" si="52"/>
        <v>0</v>
      </c>
      <c r="BQ52" s="109">
        <f t="shared" ca="1" si="53"/>
        <v>0</v>
      </c>
      <c r="BR52" s="109">
        <f t="shared" ca="1" si="54"/>
        <v>0</v>
      </c>
      <c r="BS52" s="109">
        <f t="shared" si="55"/>
        <v>0</v>
      </c>
      <c r="BT52" s="109">
        <f t="shared" ca="1" si="56"/>
        <v>0</v>
      </c>
      <c r="BU52" s="109">
        <f t="shared" si="57"/>
        <v>0</v>
      </c>
      <c r="BV52" s="109">
        <f t="shared" ca="1" si="58"/>
        <v>0</v>
      </c>
      <c r="BX52" s="82">
        <f t="shared" si="59"/>
        <v>0</v>
      </c>
      <c r="BY52" s="132">
        <f t="shared" si="60"/>
        <v>5.4350000000000005</v>
      </c>
      <c r="BZ52" s="132">
        <f t="shared" si="61"/>
        <v>4.0750000000000002</v>
      </c>
      <c r="CA52" s="132">
        <f t="shared" si="62"/>
        <v>0</v>
      </c>
      <c r="CB52" s="132">
        <f t="shared" si="63"/>
        <v>0</v>
      </c>
      <c r="CC52" s="235">
        <f t="shared" si="64"/>
        <v>0.45374999999999999</v>
      </c>
      <c r="CD52" s="235">
        <f t="shared" si="65"/>
        <v>0.41249999999999998</v>
      </c>
      <c r="CE52" s="106">
        <f t="shared" si="66"/>
        <v>0.95</v>
      </c>
      <c r="CF52" s="237">
        <f>IF(BX52=0,0,_xll.SPRDOPT(BY52,BZ52,$W52,$AM52,CC52,CD52,CE52,$F52,$D$19,0))</f>
        <v>0</v>
      </c>
      <c r="CG52" s="237">
        <f ca="1">IF(BY52=0,0,_xll.SPRDOPT(BY52,BZ52,$W52,$AM52,CC52,CD52,CE52,$F52,$D$19,1))</f>
        <v>0.44066689176782686</v>
      </c>
      <c r="CH52" s="237">
        <f ca="1">IF(BZ52=0,0,_xll.SPRDOPT(BY52,BZ52,$W52,$AM52,CC52,CD52,CE52,$F52,$D$19,2))</f>
        <v>-0.3925095237761479</v>
      </c>
      <c r="CI52" s="237">
        <f>IF(CA52=0,0,_xll.SPRDOPT(BY52,BZ52,$W52,$AM52,CC52,CD52,CE52,$F52,$D$19,3)/100)</f>
        <v>0</v>
      </c>
      <c r="CJ52" s="237">
        <f>IF(CB52=0,0,_xll.SPRDOPT(BY52,BZ52,$W52,$AM52,CC52,CD52,CE52,$F52,$D$19,4)/100)</f>
        <v>0</v>
      </c>
      <c r="CK52" s="237">
        <f ca="1">IF(CC52=0,0,_xll.SPRDOPT(BY52,BZ52,$W52,$AM52,CC52,CD52,CE52,$F52,$D$19,5)/100)</f>
        <v>1.9024979205956683E-2</v>
      </c>
      <c r="CL52" s="237">
        <f ca="1">IF(CD52=0,0,_xll.SPRDOPT(BY52,BZ52,$W52,$AM52,CC52,CD52,CE52,$F52,$D$19,6)/100)</f>
        <v>-1.0639888178317349E-2</v>
      </c>
      <c r="CM52" s="237">
        <f ca="1">IF(CE52=0,0,_xll.SPRDOPT(BY52,BZ52,$W52,$AM52,CC52,CD52,CE52,$F52,$D$19,7)/100)</f>
        <v>-1.6343110498057319E-2</v>
      </c>
      <c r="CN52" s="237">
        <f>IF(CF52=0,0,_xll.SPRDOPT(BY52,BZ52,$W52,$AM52,CC52,CD52,CE52,$F52,$D$19,9)/365)</f>
        <v>0</v>
      </c>
      <c r="CO52" s="237">
        <f t="shared" ca="1" si="67"/>
        <v>4.8157367991678968E-2</v>
      </c>
      <c r="CP52" s="237">
        <f t="shared" si="68"/>
        <v>0</v>
      </c>
      <c r="CQ52" s="237">
        <f t="shared" ca="1" si="69"/>
        <v>1.0287588948235003E-2</v>
      </c>
      <c r="CR52" s="206"/>
      <c r="CS52" s="109">
        <f t="shared" si="70"/>
        <v>0</v>
      </c>
      <c r="CT52" s="109">
        <f t="shared" ca="1" si="71"/>
        <v>0</v>
      </c>
      <c r="CU52" s="109">
        <f t="shared" ca="1" si="72"/>
        <v>0</v>
      </c>
      <c r="CV52" s="109">
        <f t="shared" si="73"/>
        <v>0</v>
      </c>
      <c r="CW52" s="109">
        <f t="shared" si="74"/>
        <v>0</v>
      </c>
      <c r="CX52" s="109">
        <f t="shared" ca="1" si="75"/>
        <v>0</v>
      </c>
      <c r="CY52" s="109">
        <f t="shared" ca="1" si="76"/>
        <v>0</v>
      </c>
      <c r="CZ52" s="109">
        <f t="shared" ca="1" si="77"/>
        <v>0</v>
      </c>
      <c r="DA52" s="109">
        <f t="shared" si="78"/>
        <v>0</v>
      </c>
      <c r="DB52" s="109">
        <f t="shared" ca="1" si="79"/>
        <v>0</v>
      </c>
      <c r="DC52" s="109">
        <f t="shared" si="80"/>
        <v>0</v>
      </c>
      <c r="DD52" s="109">
        <f t="shared" ca="1" si="81"/>
        <v>0</v>
      </c>
      <c r="DF52" s="82">
        <f t="shared" si="82"/>
        <v>0</v>
      </c>
      <c r="DG52" s="132">
        <f t="shared" si="83"/>
        <v>5.4350000000000005</v>
      </c>
      <c r="DH52" s="132">
        <f t="shared" si="84"/>
        <v>4.0750000000000002</v>
      </c>
      <c r="DI52" s="132">
        <f t="shared" si="85"/>
        <v>0</v>
      </c>
      <c r="DJ52" s="132">
        <f t="shared" si="86"/>
        <v>0</v>
      </c>
      <c r="DK52" s="235">
        <f t="shared" si="87"/>
        <v>0.45374999999999999</v>
      </c>
      <c r="DL52" s="235">
        <f t="shared" si="88"/>
        <v>0.41249999999999998</v>
      </c>
      <c r="DM52" s="106">
        <f t="shared" si="89"/>
        <v>0.95</v>
      </c>
      <c r="DN52" s="237">
        <f>IF(DF52=0,0,_xll.SPRDOPT(DG52,DH52,$AD52,$AM52,DK52,DL52,DM52,$F52,$F$19,0))</f>
        <v>0</v>
      </c>
      <c r="DO52" s="237">
        <f ca="1">IF(DG52=0,0,_xll.SPRDOPT(DG52,DH52,$AD52,$AM52,DK52,DL52,DM52,$F52,$F$19,1))</f>
        <v>0.44066689176782686</v>
      </c>
      <c r="DP52" s="237">
        <f ca="1">IF(DH52=0,0,_xll.SPRDOPT(DG52,DH52,$AD52,$AM52,DK52,DL52,DM52,$F52,$F$19,2))</f>
        <v>-0.3925095237761479</v>
      </c>
      <c r="DQ52" s="237">
        <f>IF(DI52=0,0,_xll.SPRDOPT(DG52,DH52,$AD52,$AM52,DK52,DL52,DM52,$F52,$F$19,3)/100)</f>
        <v>0</v>
      </c>
      <c r="DR52" s="237">
        <f>IF(DJ52=0,0,_xll.SPRDOPT(DG52,DH52,$AD52,$AM52,DK52,DL52,DM52,$F52,$F$19,4)/100)</f>
        <v>0</v>
      </c>
      <c r="DS52" s="237">
        <f ca="1">IF(DK52=0,0,_xll.SPRDOPT(DG52,DH52,$AD52,$AM52,DK52,DL52,DM52,$F52,$F$19,5)/100)</f>
        <v>1.9024979205956683E-2</v>
      </c>
      <c r="DT52" s="237">
        <f ca="1">IF(DL52=0,0,_xll.SPRDOPT(DG52,DH52,$AD52,$AM52,DK52,DL52,DM52,$F52,$F$19,6)/100)</f>
        <v>-1.0639888178317349E-2</v>
      </c>
      <c r="DU52" s="237">
        <f ca="1">IF(DM52=0,0,_xll.SPRDOPT(DG52,DH52,$AD52,$AM52,DK52,DL52,DM52,$F52,$F$19,7)/100)</f>
        <v>-1.6343110498057319E-2</v>
      </c>
      <c r="DV52" s="237">
        <f>IF(DN52=0,0,_xll.SPRDOPT(DG52,DH52,$AD52,$AM52,DK52,DL52,DM52,$F52,$F$19,9)/365)</f>
        <v>0</v>
      </c>
      <c r="DW52" s="237">
        <f t="shared" ca="1" si="90"/>
        <v>4.8157367991678968E-2</v>
      </c>
      <c r="DX52" s="237">
        <f t="shared" si="91"/>
        <v>0</v>
      </c>
      <c r="DY52" s="237">
        <f t="shared" ca="1" si="92"/>
        <v>1.0287588948235003E-2</v>
      </c>
      <c r="DZ52" s="206"/>
      <c r="EA52" s="109">
        <f t="shared" si="93"/>
        <v>0</v>
      </c>
      <c r="EB52" s="109">
        <f t="shared" ca="1" si="94"/>
        <v>0</v>
      </c>
      <c r="EC52" s="109">
        <f t="shared" ca="1" si="95"/>
        <v>0</v>
      </c>
      <c r="ED52" s="109">
        <f t="shared" si="96"/>
        <v>0</v>
      </c>
      <c r="EE52" s="109">
        <f t="shared" si="97"/>
        <v>0</v>
      </c>
      <c r="EF52" s="109">
        <f t="shared" ca="1" si="98"/>
        <v>0</v>
      </c>
      <c r="EG52" s="109">
        <f t="shared" ca="1" si="99"/>
        <v>0</v>
      </c>
      <c r="EH52" s="109">
        <f t="shared" ca="1" si="100"/>
        <v>0</v>
      </c>
      <c r="EI52" s="109">
        <f t="shared" si="101"/>
        <v>0</v>
      </c>
      <c r="EJ52" s="109">
        <f t="shared" ca="1" si="102"/>
        <v>0</v>
      </c>
      <c r="EK52" s="109">
        <f t="shared" si="103"/>
        <v>0</v>
      </c>
      <c r="EL52" s="109">
        <f t="shared" ca="1" si="104"/>
        <v>0</v>
      </c>
      <c r="EN52" s="82">
        <f t="shared" si="105"/>
        <v>0</v>
      </c>
      <c r="EO52" s="132">
        <f t="shared" si="106"/>
        <v>5.4900000000000011</v>
      </c>
      <c r="EP52" s="132">
        <f t="shared" si="107"/>
        <v>4.0750000000000002</v>
      </c>
      <c r="EQ52" s="132">
        <f t="shared" si="108"/>
        <v>0</v>
      </c>
      <c r="ER52" s="132">
        <f t="shared" si="109"/>
        <v>0</v>
      </c>
      <c r="ES52" s="235">
        <f t="shared" si="110"/>
        <v>0.45374999999999999</v>
      </c>
      <c r="ET52" s="235">
        <f t="shared" si="111"/>
        <v>0.41249999999999998</v>
      </c>
      <c r="EU52" s="106">
        <f t="shared" si="112"/>
        <v>0.95</v>
      </c>
      <c r="EV52" s="237">
        <f>IF(EN52=0,0,_xll.SPRDOPT(EO52,EP52,$AK52,$AM52,ES52,ET52,EU52,$F52,$H$19,0))</f>
        <v>0</v>
      </c>
      <c r="EW52" s="237">
        <f ca="1">IF(EO52=0,0,_xll.SPRDOPT(EO52,EP52,$AK52,$AM52,ES52,ET52,EU52,$F52,$H$19,1))</f>
        <v>-0.27322782708451721</v>
      </c>
      <c r="EX52" s="237">
        <f ca="1">IF(EP52=0,0,_xll.SPRDOPT(EO52,EP52,$AK52,$AM52,ES52,ET52,EU52,$F52,$H$19,2))</f>
        <v>0.31929981696337117</v>
      </c>
      <c r="EY52" s="237">
        <f>IF(EQ52=0,0,_xll.SPRDOPT(EO52,EP52,$AK52,$AM52,ES52,ET52,EU52,$F52,$H$19,3)/100)</f>
        <v>0</v>
      </c>
      <c r="EZ52" s="237">
        <f>IF(ER52=0,0,_xll.SPRDOPT(EO52,EP52,$AK52,$AM52,ES52,ET52,EU52,$F52,$H$19,4)/100)</f>
        <v>0</v>
      </c>
      <c r="FA52" s="237">
        <f ca="1">IF(ES52=0,0,_xll.SPRDOPT(EO52,EP52,$AK52,$AM52,ES52,ET52,EU52,$F52,$H$19,5)/100)</f>
        <v>1.5706412409416198E-2</v>
      </c>
      <c r="FB52" s="237">
        <f ca="1">IF(ET52=0,0,_xll.SPRDOPT(EO52,EP52,$AK52,$AM52,ES52,ET52,EU52,$F52,$H$19,6)/100)</f>
        <v>-8.8902887443860351E-3</v>
      </c>
      <c r="FC52" s="237">
        <f ca="1">IF(EU52=0,0,_xll.SPRDOPT(EO52,EP52,$AK52,$AM52,ES52,ET52,EU52,$F52,$H$19,7)/100)</f>
        <v>-1.6550326978955036E-2</v>
      </c>
      <c r="FD52" s="237">
        <f>IF(EV52=0,0,_xll.SPRDOPT(EO52,EP52,$AK52,$AM52,ES52,ET52,EU52,$F52,$H$19,9)/365)</f>
        <v>0</v>
      </c>
      <c r="FE52" s="237">
        <f t="shared" ca="1" si="113"/>
        <v>4.6071989878853969E-2</v>
      </c>
      <c r="FF52" s="237">
        <f t="shared" si="114"/>
        <v>0</v>
      </c>
      <c r="FG52" s="237">
        <f t="shared" ca="1" si="115"/>
        <v>8.3867649059717851E-3</v>
      </c>
      <c r="FH52" s="206"/>
      <c r="FI52" s="109">
        <f t="shared" si="116"/>
        <v>0</v>
      </c>
      <c r="FJ52" s="109">
        <f t="shared" ca="1" si="117"/>
        <v>0</v>
      </c>
      <c r="FK52" s="109">
        <f t="shared" ca="1" si="118"/>
        <v>0</v>
      </c>
      <c r="FL52" s="109">
        <f t="shared" si="119"/>
        <v>0</v>
      </c>
      <c r="FM52" s="109">
        <f t="shared" si="120"/>
        <v>0</v>
      </c>
      <c r="FN52" s="109">
        <f t="shared" ca="1" si="121"/>
        <v>0</v>
      </c>
      <c r="FO52" s="109">
        <f t="shared" ca="1" si="122"/>
        <v>0</v>
      </c>
      <c r="FP52" s="109">
        <f t="shared" ca="1" si="123"/>
        <v>0</v>
      </c>
      <c r="FQ52" s="109">
        <f t="shared" si="124"/>
        <v>0</v>
      </c>
      <c r="FR52" s="109">
        <f t="shared" ca="1" si="125"/>
        <v>0</v>
      </c>
      <c r="FS52" s="109">
        <f t="shared" si="126"/>
        <v>0</v>
      </c>
      <c r="FT52" s="109">
        <f t="shared" ca="1" si="127"/>
        <v>0</v>
      </c>
    </row>
    <row r="53" spans="1:176" x14ac:dyDescent="0.25">
      <c r="A53" s="101">
        <f t="shared" si="18"/>
        <v>37257</v>
      </c>
      <c r="B53" s="102">
        <f t="shared" si="19"/>
        <v>4.0449999999999999</v>
      </c>
      <c r="C53" s="80">
        <f t="shared" si="20"/>
        <v>0.41749999999999998</v>
      </c>
      <c r="D53" s="102"/>
      <c r="E53" s="106"/>
      <c r="F53" s="105">
        <f t="shared" ca="1" si="21"/>
        <v>483</v>
      </c>
      <c r="G53" s="80"/>
      <c r="H53" s="80"/>
      <c r="I53" s="104"/>
      <c r="J53" s="234"/>
      <c r="K53" s="102">
        <f t="shared" si="22"/>
        <v>0.3075</v>
      </c>
      <c r="L53" s="102">
        <f t="shared" si="23"/>
        <v>0</v>
      </c>
      <c r="M53" s="106">
        <f t="shared" si="24"/>
        <v>1</v>
      </c>
      <c r="N53" s="106">
        <f t="shared" si="25"/>
        <v>1</v>
      </c>
      <c r="O53" s="106">
        <f t="shared" si="26"/>
        <v>0.99</v>
      </c>
      <c r="P53" s="236">
        <f t="shared" si="27"/>
        <v>0.4</v>
      </c>
      <c r="Q53" s="106"/>
      <c r="R53" s="102">
        <f t="shared" si="4"/>
        <v>1.61</v>
      </c>
      <c r="S53" s="102">
        <f t="shared" si="5"/>
        <v>0</v>
      </c>
      <c r="T53" s="106">
        <f t="shared" si="6"/>
        <v>1.1000000000000001</v>
      </c>
      <c r="U53" s="106">
        <f t="shared" si="28"/>
        <v>1</v>
      </c>
      <c r="V53" s="106">
        <f t="shared" si="29"/>
        <v>0.95</v>
      </c>
      <c r="W53" s="236">
        <f t="shared" si="30"/>
        <v>1.6</v>
      </c>
      <c r="X53" s="106"/>
      <c r="Y53" s="102">
        <f t="shared" si="7"/>
        <v>1.61</v>
      </c>
      <c r="Z53" s="102">
        <f t="shared" si="8"/>
        <v>0</v>
      </c>
      <c r="AA53" s="106">
        <f t="shared" si="9"/>
        <v>1.1000000000000001</v>
      </c>
      <c r="AB53" s="106">
        <f t="shared" si="31"/>
        <v>1</v>
      </c>
      <c r="AC53" s="106">
        <f t="shared" si="10"/>
        <v>0.95</v>
      </c>
      <c r="AD53" s="236">
        <f t="shared" si="32"/>
        <v>1.6</v>
      </c>
      <c r="AE53" s="106"/>
      <c r="AF53" s="102">
        <f t="shared" si="11"/>
        <v>1.61</v>
      </c>
      <c r="AG53" s="102">
        <f t="shared" si="12"/>
        <v>0</v>
      </c>
      <c r="AH53" s="106">
        <f t="shared" si="13"/>
        <v>1.1000000000000001</v>
      </c>
      <c r="AI53" s="106">
        <f t="shared" si="33"/>
        <v>1</v>
      </c>
      <c r="AJ53" s="106">
        <f t="shared" si="14"/>
        <v>0.95</v>
      </c>
      <c r="AK53" s="236">
        <f t="shared" si="34"/>
        <v>1</v>
      </c>
      <c r="AM53" s="80">
        <f t="shared" si="35"/>
        <v>6.896655729440701E-2</v>
      </c>
      <c r="AN53" s="182">
        <f t="shared" si="15"/>
        <v>31</v>
      </c>
      <c r="AP53" s="82">
        <f t="shared" si="36"/>
        <v>0</v>
      </c>
      <c r="AQ53" s="132">
        <f t="shared" si="37"/>
        <v>4.3525</v>
      </c>
      <c r="AR53" s="132">
        <f t="shared" si="38"/>
        <v>4.0449999999999999</v>
      </c>
      <c r="AS53" s="132">
        <f t="shared" si="39"/>
        <v>0</v>
      </c>
      <c r="AT53" s="132">
        <f t="shared" si="40"/>
        <v>0</v>
      </c>
      <c r="AU53" s="235">
        <f t="shared" si="41"/>
        <v>0.41749999999999998</v>
      </c>
      <c r="AV53" s="235">
        <f t="shared" si="42"/>
        <v>0.41749999999999998</v>
      </c>
      <c r="AW53" s="106">
        <f t="shared" si="43"/>
        <v>0.99</v>
      </c>
      <c r="AX53" s="237">
        <f>IF(AP53=0,0,_xll.SPRDOPT(AQ53,AR53,$P53,$AM53,AU53,AV53,AW53,$F53,$B$19,0))</f>
        <v>0</v>
      </c>
      <c r="AY53" s="237">
        <f ca="1">IF(AQ53=0,0,_xll.SPRDOPT(AQ53,AR53,$P53,$AM53,AU53,AV53,AW53,$F53,$B$19,1))</f>
        <v>0.3821335895379423</v>
      </c>
      <c r="AZ53" s="237">
        <f ca="1">IF(AR53=0,0,_xll.SPRDOPT(AQ53,AR53,$P53,$AM53,AU53,AV53,AW53,$F53,$B$19,2))</f>
        <v>-0.36154212399233687</v>
      </c>
      <c r="BA53" s="237">
        <f>IF(AS53=0,0,_xll.SPRDOPT(AQ53,AR53,$P53,$AM53,AU53,AV53,AW53,$F53,$B$19,3)/100)</f>
        <v>0</v>
      </c>
      <c r="BB53" s="237">
        <f>IF(AT53=0,0,_xll.SPRDOPT(AQ53,AR53,$P53,$AM53,AU53,AV53,AW53,$F53,$B$19,4)/100)</f>
        <v>0</v>
      </c>
      <c r="BC53" s="237">
        <f ca="1">IF(AU53=0,0,_xll.SPRDOPT(AQ53,AR53,$P53,$AM53,AU53,AV53,AW53,$F53,$B$19,5)/100)</f>
        <v>1.0087326511992728E-2</v>
      </c>
      <c r="BD53" s="237">
        <f ca="1">IF(AV53=0,0,_xll.SPRDOPT(AQ53,AR53,$P53,$AM53,AU53,AV53,AW53,$F53,$B$19,6)/100)</f>
        <v>-7.1893807392310102E-3</v>
      </c>
      <c r="BE53" s="237">
        <f ca="1">IF(AW53=0,0,_xll.SPRDOPT(AQ53,AR53,$P53,$AM53,AU53,AV53,AW53,$F53,$B$19,7)/100)</f>
        <v>-4.3138163847637891E-2</v>
      </c>
      <c r="BF53" s="237">
        <f>IF(AX53=0,0,_xll.SPRDOPT(AQ53,AR53,$P53,$AM53,AU53,AV53,AW53,$F53,$B$19,9)/365)</f>
        <v>0</v>
      </c>
      <c r="BG53" s="237">
        <f t="shared" ca="1" si="44"/>
        <v>2.0591465545605425E-2</v>
      </c>
      <c r="BH53" s="237">
        <f t="shared" si="45"/>
        <v>0</v>
      </c>
      <c r="BI53" s="237">
        <f t="shared" ca="1" si="46"/>
        <v>2.8979457727617182E-3</v>
      </c>
      <c r="BJ53" s="206"/>
      <c r="BK53" s="109">
        <f t="shared" si="47"/>
        <v>0</v>
      </c>
      <c r="BL53" s="109">
        <f t="shared" ca="1" si="48"/>
        <v>0</v>
      </c>
      <c r="BM53" s="109">
        <f t="shared" ca="1" si="49"/>
        <v>0</v>
      </c>
      <c r="BN53" s="109">
        <f t="shared" si="50"/>
        <v>0</v>
      </c>
      <c r="BO53" s="109">
        <f t="shared" si="51"/>
        <v>0</v>
      </c>
      <c r="BP53" s="109">
        <f t="shared" ca="1" si="52"/>
        <v>0</v>
      </c>
      <c r="BQ53" s="109">
        <f t="shared" ca="1" si="53"/>
        <v>0</v>
      </c>
      <c r="BR53" s="109">
        <f t="shared" ca="1" si="54"/>
        <v>0</v>
      </c>
      <c r="BS53" s="109">
        <f t="shared" si="55"/>
        <v>0</v>
      </c>
      <c r="BT53" s="109">
        <f t="shared" ca="1" si="56"/>
        <v>0</v>
      </c>
      <c r="BU53" s="109">
        <f t="shared" si="57"/>
        <v>0</v>
      </c>
      <c r="BV53" s="109">
        <f t="shared" ca="1" si="58"/>
        <v>0</v>
      </c>
      <c r="BX53" s="82">
        <f t="shared" si="59"/>
        <v>0</v>
      </c>
      <c r="BY53" s="132">
        <f t="shared" si="60"/>
        <v>5.665</v>
      </c>
      <c r="BZ53" s="132">
        <f t="shared" si="61"/>
        <v>4.0449999999999999</v>
      </c>
      <c r="CA53" s="132">
        <f t="shared" si="62"/>
        <v>0</v>
      </c>
      <c r="CB53" s="132">
        <f t="shared" si="63"/>
        <v>0</v>
      </c>
      <c r="CC53" s="235">
        <f t="shared" si="64"/>
        <v>0.45924999999999999</v>
      </c>
      <c r="CD53" s="235">
        <f t="shared" si="65"/>
        <v>0.41749999999999998</v>
      </c>
      <c r="CE53" s="106">
        <f t="shared" si="66"/>
        <v>0.95</v>
      </c>
      <c r="CF53" s="237">
        <f>IF(BX53=0,0,_xll.SPRDOPT(BY53,BZ53,$W53,$AM53,CC53,CD53,CE53,$F53,$D$19,0))</f>
        <v>0</v>
      </c>
      <c r="CG53" s="237">
        <f ca="1">IF(BY53=0,0,_xll.SPRDOPT(BY53,BZ53,$W53,$AM53,CC53,CD53,CE53,$F53,$D$19,1))</f>
        <v>0.52035323746067796</v>
      </c>
      <c r="CH53" s="237">
        <f ca="1">IF(BZ53=0,0,_xll.SPRDOPT(BY53,BZ53,$W53,$AM53,CC53,CD53,CE53,$F53,$D$19,2))</f>
        <v>-0.47100206205472966</v>
      </c>
      <c r="CI53" s="237">
        <f>IF(CA53=0,0,_xll.SPRDOPT(BY53,BZ53,$W53,$AM53,CC53,CD53,CE53,$F53,$D$19,3)/100)</f>
        <v>0</v>
      </c>
      <c r="CJ53" s="237">
        <f>IF(CB53=0,0,_xll.SPRDOPT(BY53,BZ53,$W53,$AM53,CC53,CD53,CE53,$F53,$D$19,4)/100)</f>
        <v>0</v>
      </c>
      <c r="CK53" s="237">
        <f ca="1">IF(CC53=0,0,_xll.SPRDOPT(BY53,BZ53,$W53,$AM53,CC53,CD53,CE53,$F53,$D$19,5)/100)</f>
        <v>2.0289167490156905E-2</v>
      </c>
      <c r="CL53" s="237">
        <f ca="1">IF(CD53=0,0,_xll.SPRDOPT(BY53,BZ53,$W53,$AM53,CC53,CD53,CE53,$F53,$D$19,6)/100)</f>
        <v>-1.1253443773256688E-2</v>
      </c>
      <c r="CM53" s="237">
        <f ca="1">IF(CE53=0,0,_xll.SPRDOPT(BY53,BZ53,$W53,$AM53,CC53,CD53,CE53,$F53,$D$19,7)/100)</f>
        <v>-1.6815743335874905E-2</v>
      </c>
      <c r="CN53" s="237">
        <f>IF(CF53=0,0,_xll.SPRDOPT(BY53,BZ53,$W53,$AM53,CC53,CD53,CE53,$F53,$D$19,9)/365)</f>
        <v>0</v>
      </c>
      <c r="CO53" s="237">
        <f t="shared" ca="1" si="67"/>
        <v>4.93511754059483E-2</v>
      </c>
      <c r="CP53" s="237">
        <f t="shared" si="68"/>
        <v>0</v>
      </c>
      <c r="CQ53" s="237">
        <f t="shared" ca="1" si="69"/>
        <v>1.1064640465915909E-2</v>
      </c>
      <c r="CR53" s="206"/>
      <c r="CS53" s="109">
        <f t="shared" si="70"/>
        <v>0</v>
      </c>
      <c r="CT53" s="109">
        <f t="shared" ca="1" si="71"/>
        <v>0</v>
      </c>
      <c r="CU53" s="109">
        <f t="shared" ca="1" si="72"/>
        <v>0</v>
      </c>
      <c r="CV53" s="109">
        <f t="shared" si="73"/>
        <v>0</v>
      </c>
      <c r="CW53" s="109">
        <f t="shared" si="74"/>
        <v>0</v>
      </c>
      <c r="CX53" s="109">
        <f t="shared" ca="1" si="75"/>
        <v>0</v>
      </c>
      <c r="CY53" s="109">
        <f t="shared" ca="1" si="76"/>
        <v>0</v>
      </c>
      <c r="CZ53" s="109">
        <f t="shared" ca="1" si="77"/>
        <v>0</v>
      </c>
      <c r="DA53" s="109">
        <f t="shared" si="78"/>
        <v>0</v>
      </c>
      <c r="DB53" s="109">
        <f t="shared" ca="1" si="79"/>
        <v>0</v>
      </c>
      <c r="DC53" s="109">
        <f t="shared" si="80"/>
        <v>0</v>
      </c>
      <c r="DD53" s="109">
        <f t="shared" ca="1" si="81"/>
        <v>0</v>
      </c>
      <c r="DF53" s="82">
        <f t="shared" si="82"/>
        <v>0</v>
      </c>
      <c r="DG53" s="132">
        <f t="shared" si="83"/>
        <v>5.665</v>
      </c>
      <c r="DH53" s="132">
        <f t="shared" si="84"/>
        <v>4.0449999999999999</v>
      </c>
      <c r="DI53" s="132">
        <f t="shared" si="85"/>
        <v>0</v>
      </c>
      <c r="DJ53" s="132">
        <f t="shared" si="86"/>
        <v>0</v>
      </c>
      <c r="DK53" s="235">
        <f t="shared" si="87"/>
        <v>0.45924999999999999</v>
      </c>
      <c r="DL53" s="235">
        <f t="shared" si="88"/>
        <v>0.41749999999999998</v>
      </c>
      <c r="DM53" s="106">
        <f t="shared" si="89"/>
        <v>0.95</v>
      </c>
      <c r="DN53" s="237">
        <f>IF(DF53=0,0,_xll.SPRDOPT(DG53,DH53,$AD53,$AM53,DK53,DL53,DM53,$F53,$F$19,0))</f>
        <v>0</v>
      </c>
      <c r="DO53" s="237">
        <f ca="1">IF(DG53=0,0,_xll.SPRDOPT(DG53,DH53,$AD53,$AM53,DK53,DL53,DM53,$F53,$F$19,1))</f>
        <v>0.52035323746067796</v>
      </c>
      <c r="DP53" s="237">
        <f ca="1">IF(DH53=0,0,_xll.SPRDOPT(DG53,DH53,$AD53,$AM53,DK53,DL53,DM53,$F53,$F$19,2))</f>
        <v>-0.47100206205472966</v>
      </c>
      <c r="DQ53" s="237">
        <f>IF(DI53=0,0,_xll.SPRDOPT(DG53,DH53,$AD53,$AM53,DK53,DL53,DM53,$F53,$F$19,3)/100)</f>
        <v>0</v>
      </c>
      <c r="DR53" s="237">
        <f>IF(DJ53=0,0,_xll.SPRDOPT(DG53,DH53,$AD53,$AM53,DK53,DL53,DM53,$F53,$F$19,4)/100)</f>
        <v>0</v>
      </c>
      <c r="DS53" s="237">
        <f ca="1">IF(DK53=0,0,_xll.SPRDOPT(DG53,DH53,$AD53,$AM53,DK53,DL53,DM53,$F53,$F$19,5)/100)</f>
        <v>2.0289167490156905E-2</v>
      </c>
      <c r="DT53" s="237">
        <f ca="1">IF(DL53=0,0,_xll.SPRDOPT(DG53,DH53,$AD53,$AM53,DK53,DL53,DM53,$F53,$F$19,6)/100)</f>
        <v>-1.1253443773256688E-2</v>
      </c>
      <c r="DU53" s="237">
        <f ca="1">IF(DM53=0,0,_xll.SPRDOPT(DG53,DH53,$AD53,$AM53,DK53,DL53,DM53,$F53,$F$19,7)/100)</f>
        <v>-1.6815743335874905E-2</v>
      </c>
      <c r="DV53" s="237">
        <f>IF(DN53=0,0,_xll.SPRDOPT(DG53,DH53,$AD53,$AM53,DK53,DL53,DM53,$F53,$F$19,9)/365)</f>
        <v>0</v>
      </c>
      <c r="DW53" s="237">
        <f t="shared" ca="1" si="90"/>
        <v>4.93511754059483E-2</v>
      </c>
      <c r="DX53" s="237">
        <f t="shared" si="91"/>
        <v>0</v>
      </c>
      <c r="DY53" s="237">
        <f t="shared" ca="1" si="92"/>
        <v>1.1064640465915909E-2</v>
      </c>
      <c r="DZ53" s="206"/>
      <c r="EA53" s="109">
        <f t="shared" si="93"/>
        <v>0</v>
      </c>
      <c r="EB53" s="109">
        <f t="shared" ca="1" si="94"/>
        <v>0</v>
      </c>
      <c r="EC53" s="109">
        <f t="shared" ca="1" si="95"/>
        <v>0</v>
      </c>
      <c r="ED53" s="109">
        <f t="shared" si="96"/>
        <v>0</v>
      </c>
      <c r="EE53" s="109">
        <f t="shared" si="97"/>
        <v>0</v>
      </c>
      <c r="EF53" s="109">
        <f t="shared" ca="1" si="98"/>
        <v>0</v>
      </c>
      <c r="EG53" s="109">
        <f t="shared" ca="1" si="99"/>
        <v>0</v>
      </c>
      <c r="EH53" s="109">
        <f t="shared" ca="1" si="100"/>
        <v>0</v>
      </c>
      <c r="EI53" s="109">
        <f t="shared" si="101"/>
        <v>0</v>
      </c>
      <c r="EJ53" s="109">
        <f t="shared" ca="1" si="102"/>
        <v>0</v>
      </c>
      <c r="EK53" s="109">
        <f t="shared" si="103"/>
        <v>0</v>
      </c>
      <c r="EL53" s="109">
        <f t="shared" ca="1" si="104"/>
        <v>0</v>
      </c>
      <c r="EN53" s="82">
        <f t="shared" si="105"/>
        <v>0</v>
      </c>
      <c r="EO53" s="132">
        <f t="shared" si="106"/>
        <v>5.7200000000000006</v>
      </c>
      <c r="EP53" s="132">
        <f t="shared" si="107"/>
        <v>4.0449999999999999</v>
      </c>
      <c r="EQ53" s="132">
        <f t="shared" si="108"/>
        <v>0</v>
      </c>
      <c r="ER53" s="132">
        <f t="shared" si="109"/>
        <v>0</v>
      </c>
      <c r="ES53" s="235">
        <f t="shared" si="110"/>
        <v>0.45924999999999999</v>
      </c>
      <c r="ET53" s="235">
        <f t="shared" si="111"/>
        <v>0.41749999999999998</v>
      </c>
      <c r="EU53" s="106">
        <f t="shared" si="112"/>
        <v>0.95</v>
      </c>
      <c r="EV53" s="237">
        <f>IF(EN53=0,0,_xll.SPRDOPT(EO53,EP53,$AK53,$AM53,ES53,ET53,EU53,$F53,$H$19,0))</f>
        <v>0</v>
      </c>
      <c r="EW53" s="237">
        <f ca="1">IF(EO53=0,0,_xll.SPRDOPT(EO53,EP53,$AK53,$AM53,ES53,ET53,EU53,$F53,$H$19,1))</f>
        <v>-0.20747548890126066</v>
      </c>
      <c r="EX53" s="237">
        <f ca="1">IF(EP53=0,0,_xll.SPRDOPT(EO53,EP53,$AK53,$AM53,ES53,ET53,EU53,$F53,$H$19,2))</f>
        <v>0.24934000641737952</v>
      </c>
      <c r="EY53" s="237">
        <f>IF(EQ53=0,0,_xll.SPRDOPT(EO53,EP53,$AK53,$AM53,ES53,ET53,EU53,$F53,$H$19,3)/100)</f>
        <v>0</v>
      </c>
      <c r="EZ53" s="237">
        <f>IF(ER53=0,0,_xll.SPRDOPT(EO53,EP53,$AK53,$AM53,ES53,ET53,EU53,$F53,$H$19,4)/100)</f>
        <v>0</v>
      </c>
      <c r="FA53" s="237">
        <f ca="1">IF(ES53=0,0,_xll.SPRDOPT(EO53,EP53,$AK53,$AM53,ES53,ET53,EU53,$F53,$H$19,5)/100)</f>
        <v>1.4828662047472628E-2</v>
      </c>
      <c r="FB53" s="237">
        <f ca="1">IF(ET53=0,0,_xll.SPRDOPT(EO53,EP53,$AK53,$AM53,ES53,ET53,EU53,$F53,$H$19,6)/100)</f>
        <v>-8.3680233921061067E-3</v>
      </c>
      <c r="FC53" s="237">
        <f ca="1">IF(EU53=0,0,_xll.SPRDOPT(EO53,EP53,$AK53,$AM53,ES53,ET53,EU53,$F53,$H$19,7)/100)</f>
        <v>-1.5124451062654925E-2</v>
      </c>
      <c r="FD53" s="237">
        <f>IF(EV53=0,0,_xll.SPRDOPT(EO53,EP53,$AK53,$AM53,ES53,ET53,EU53,$F53,$H$19,9)/365)</f>
        <v>0</v>
      </c>
      <c r="FE53" s="237">
        <f t="shared" ca="1" si="113"/>
        <v>4.186451751611886E-2</v>
      </c>
      <c r="FF53" s="237">
        <f t="shared" si="114"/>
        <v>0</v>
      </c>
      <c r="FG53" s="237">
        <f t="shared" ca="1" si="115"/>
        <v>7.9435048601137863E-3</v>
      </c>
      <c r="FH53" s="206"/>
      <c r="FI53" s="109">
        <f t="shared" si="116"/>
        <v>0</v>
      </c>
      <c r="FJ53" s="109">
        <f t="shared" ca="1" si="117"/>
        <v>0</v>
      </c>
      <c r="FK53" s="109">
        <f t="shared" ca="1" si="118"/>
        <v>0</v>
      </c>
      <c r="FL53" s="109">
        <f t="shared" si="119"/>
        <v>0</v>
      </c>
      <c r="FM53" s="109">
        <f t="shared" si="120"/>
        <v>0</v>
      </c>
      <c r="FN53" s="109">
        <f t="shared" ca="1" si="121"/>
        <v>0</v>
      </c>
      <c r="FO53" s="109">
        <f t="shared" ca="1" si="122"/>
        <v>0</v>
      </c>
      <c r="FP53" s="109">
        <f t="shared" ca="1" si="123"/>
        <v>0</v>
      </c>
      <c r="FQ53" s="109">
        <f t="shared" si="124"/>
        <v>0</v>
      </c>
      <c r="FR53" s="109">
        <f t="shared" ca="1" si="125"/>
        <v>0</v>
      </c>
      <c r="FS53" s="109">
        <f t="shared" si="126"/>
        <v>0</v>
      </c>
      <c r="FT53" s="109">
        <f t="shared" ca="1" si="127"/>
        <v>0</v>
      </c>
    </row>
    <row r="54" spans="1:176" x14ac:dyDescent="0.25">
      <c r="A54" s="101">
        <f t="shared" si="18"/>
        <v>37288</v>
      </c>
      <c r="B54" s="102">
        <f t="shared" si="19"/>
        <v>3.8740000000000006</v>
      </c>
      <c r="C54" s="80">
        <f t="shared" si="20"/>
        <v>0.4</v>
      </c>
      <c r="D54" s="102"/>
      <c r="E54" s="106"/>
      <c r="F54" s="105">
        <f t="shared" ca="1" si="21"/>
        <v>516</v>
      </c>
      <c r="G54" s="80"/>
      <c r="H54" s="80"/>
      <c r="I54" s="104"/>
      <c r="J54" s="234"/>
      <c r="K54" s="102">
        <f t="shared" si="22"/>
        <v>0.3075</v>
      </c>
      <c r="L54" s="102">
        <f t="shared" si="23"/>
        <v>0</v>
      </c>
      <c r="M54" s="106">
        <f t="shared" si="24"/>
        <v>1</v>
      </c>
      <c r="N54" s="106">
        <f t="shared" si="25"/>
        <v>1</v>
      </c>
      <c r="O54" s="106">
        <f t="shared" si="26"/>
        <v>0.99</v>
      </c>
      <c r="P54" s="236">
        <f t="shared" si="27"/>
        <v>0.4</v>
      </c>
      <c r="Q54" s="106"/>
      <c r="R54" s="102">
        <f t="shared" si="4"/>
        <v>1.6</v>
      </c>
      <c r="S54" s="102">
        <f t="shared" si="5"/>
        <v>0</v>
      </c>
      <c r="T54" s="106">
        <f t="shared" si="6"/>
        <v>1.1000000000000001</v>
      </c>
      <c r="U54" s="106">
        <f t="shared" si="28"/>
        <v>1</v>
      </c>
      <c r="V54" s="106">
        <f t="shared" si="29"/>
        <v>0.95</v>
      </c>
      <c r="W54" s="236">
        <f t="shared" si="30"/>
        <v>1.6</v>
      </c>
      <c r="X54" s="106"/>
      <c r="Y54" s="102">
        <f t="shared" si="7"/>
        <v>1.6</v>
      </c>
      <c r="Z54" s="102">
        <f t="shared" si="8"/>
        <v>0</v>
      </c>
      <c r="AA54" s="106">
        <f t="shared" si="9"/>
        <v>1.1000000000000001</v>
      </c>
      <c r="AB54" s="106">
        <f t="shared" si="31"/>
        <v>1</v>
      </c>
      <c r="AC54" s="106">
        <f t="shared" si="10"/>
        <v>0.95</v>
      </c>
      <c r="AD54" s="236">
        <f t="shared" si="32"/>
        <v>1.6</v>
      </c>
      <c r="AE54" s="106"/>
      <c r="AF54" s="102">
        <f t="shared" si="11"/>
        <v>1.6</v>
      </c>
      <c r="AG54" s="102">
        <f t="shared" si="12"/>
        <v>0</v>
      </c>
      <c r="AH54" s="106">
        <f t="shared" si="13"/>
        <v>1.1000000000000001</v>
      </c>
      <c r="AI54" s="106">
        <f t="shared" si="33"/>
        <v>1</v>
      </c>
      <c r="AJ54" s="106">
        <f t="shared" si="14"/>
        <v>0.95</v>
      </c>
      <c r="AK54" s="236">
        <f t="shared" si="34"/>
        <v>1</v>
      </c>
      <c r="AM54" s="80">
        <f t="shared" si="35"/>
        <v>6.9016352028977018E-2</v>
      </c>
      <c r="AN54" s="182">
        <f t="shared" si="15"/>
        <v>28</v>
      </c>
      <c r="AP54" s="82">
        <f t="shared" si="36"/>
        <v>0</v>
      </c>
      <c r="AQ54" s="132">
        <f t="shared" si="37"/>
        <v>4.1815000000000007</v>
      </c>
      <c r="AR54" s="132">
        <f t="shared" si="38"/>
        <v>3.8740000000000006</v>
      </c>
      <c r="AS54" s="132">
        <f t="shared" si="39"/>
        <v>0</v>
      </c>
      <c r="AT54" s="132">
        <f t="shared" si="40"/>
        <v>0</v>
      </c>
      <c r="AU54" s="235">
        <f t="shared" si="41"/>
        <v>0.4</v>
      </c>
      <c r="AV54" s="235">
        <f t="shared" si="42"/>
        <v>0.4</v>
      </c>
      <c r="AW54" s="106">
        <f t="shared" si="43"/>
        <v>0.99</v>
      </c>
      <c r="AX54" s="237">
        <f>IF(AP54=0,0,_xll.SPRDOPT(AQ54,AR54,$P54,$AM54,AU54,AV54,AW54,$F54,$B$19,0))</f>
        <v>0</v>
      </c>
      <c r="AY54" s="237">
        <f ca="1">IF(AQ54=0,0,_xll.SPRDOPT(AQ54,AR54,$P54,$AM54,AU54,AV54,AW54,$F54,$B$19,1))</f>
        <v>0.3765430922032465</v>
      </c>
      <c r="AZ54" s="237">
        <f ca="1">IF(AR54=0,0,_xll.SPRDOPT(AQ54,AR54,$P54,$AM54,AU54,AV54,AW54,$F54,$B$19,2))</f>
        <v>-0.35651802276275346</v>
      </c>
      <c r="BA54" s="237">
        <f>IF(AS54=0,0,_xll.SPRDOPT(AQ54,AR54,$P54,$AM54,AU54,AV54,AW54,$F54,$B$19,3)/100)</f>
        <v>0</v>
      </c>
      <c r="BB54" s="237">
        <f>IF(AT54=0,0,_xll.SPRDOPT(AQ54,AR54,$P54,$AM54,AU54,AV54,AW54,$F54,$B$19,4)/100)</f>
        <v>0</v>
      </c>
      <c r="BC54" s="237">
        <f ca="1">IF(AU54=0,0,_xll.SPRDOPT(AQ54,AR54,$P54,$AM54,AU54,AV54,AW54,$F54,$B$19,5)/100)</f>
        <v>1.0169956914054416E-2</v>
      </c>
      <c r="BD54" s="237">
        <f ca="1">IF(AV54=0,0,_xll.SPRDOPT(AQ54,AR54,$P54,$AM54,AU54,AV54,AW54,$F54,$B$19,6)/100)</f>
        <v>-7.2906685937606085E-3</v>
      </c>
      <c r="BE54" s="237">
        <f ca="1">IF(AW54=0,0,_xll.SPRDOPT(AQ54,AR54,$P54,$AM54,AU54,AV54,AW54,$F54,$B$19,7)/100)</f>
        <v>-4.0238057740394767E-2</v>
      </c>
      <c r="BF54" s="237">
        <f>IF(AX54=0,0,_xll.SPRDOPT(AQ54,AR54,$P54,$AM54,AU54,AV54,AW54,$F54,$B$19,9)/365)</f>
        <v>0</v>
      </c>
      <c r="BG54" s="237">
        <f t="shared" ca="1" si="44"/>
        <v>2.0025069440493037E-2</v>
      </c>
      <c r="BH54" s="237">
        <f t="shared" si="45"/>
        <v>0</v>
      </c>
      <c r="BI54" s="237">
        <f t="shared" ca="1" si="46"/>
        <v>2.8792883202938078E-3</v>
      </c>
      <c r="BJ54" s="206"/>
      <c r="BK54" s="109">
        <f t="shared" si="47"/>
        <v>0</v>
      </c>
      <c r="BL54" s="109">
        <f t="shared" ca="1" si="48"/>
        <v>0</v>
      </c>
      <c r="BM54" s="109">
        <f t="shared" ca="1" si="49"/>
        <v>0</v>
      </c>
      <c r="BN54" s="109">
        <f t="shared" si="50"/>
        <v>0</v>
      </c>
      <c r="BO54" s="109">
        <f t="shared" si="51"/>
        <v>0</v>
      </c>
      <c r="BP54" s="109">
        <f t="shared" ca="1" si="52"/>
        <v>0</v>
      </c>
      <c r="BQ54" s="109">
        <f t="shared" ca="1" si="53"/>
        <v>0</v>
      </c>
      <c r="BR54" s="109">
        <f t="shared" ca="1" si="54"/>
        <v>0</v>
      </c>
      <c r="BS54" s="109">
        <f t="shared" si="55"/>
        <v>0</v>
      </c>
      <c r="BT54" s="109">
        <f t="shared" ca="1" si="56"/>
        <v>0</v>
      </c>
      <c r="BU54" s="109">
        <f t="shared" si="57"/>
        <v>0</v>
      </c>
      <c r="BV54" s="109">
        <f t="shared" ca="1" si="58"/>
        <v>0</v>
      </c>
      <c r="BX54" s="82">
        <f t="shared" si="59"/>
        <v>0</v>
      </c>
      <c r="BY54" s="132">
        <f t="shared" si="60"/>
        <v>5.484</v>
      </c>
      <c r="BZ54" s="132">
        <f t="shared" si="61"/>
        <v>3.8740000000000006</v>
      </c>
      <c r="CA54" s="132">
        <f t="shared" si="62"/>
        <v>0</v>
      </c>
      <c r="CB54" s="132">
        <f t="shared" si="63"/>
        <v>0</v>
      </c>
      <c r="CC54" s="235">
        <f t="shared" si="64"/>
        <v>0.44000000000000006</v>
      </c>
      <c r="CD54" s="235">
        <f t="shared" si="65"/>
        <v>0.4</v>
      </c>
      <c r="CE54" s="106">
        <f t="shared" si="66"/>
        <v>0.95</v>
      </c>
      <c r="CF54" s="237">
        <f>IF(BX54=0,0,_xll.SPRDOPT(BY54,BZ54,$W54,$AM54,CC54,CD54,CE54,$F54,$D$19,0))</f>
        <v>0</v>
      </c>
      <c r="CG54" s="237">
        <f ca="1">IF(BY54=0,0,_xll.SPRDOPT(BY54,BZ54,$W54,$AM54,CC54,CD54,CE54,$F54,$D$19,1))</f>
        <v>0.51488640617470083</v>
      </c>
      <c r="CH54" s="237">
        <f ca="1">IF(BZ54=0,0,_xll.SPRDOPT(BY54,BZ54,$W54,$AM54,CC54,CD54,CE54,$F54,$D$19,2))</f>
        <v>-0.46673884444611002</v>
      </c>
      <c r="CI54" s="237">
        <f>IF(CA54=0,0,_xll.SPRDOPT(BY54,BZ54,$W54,$AM54,CC54,CD54,CE54,$F54,$D$19,3)/100)</f>
        <v>0</v>
      </c>
      <c r="CJ54" s="237">
        <f>IF(CB54=0,0,_xll.SPRDOPT(BY54,BZ54,$W54,$AM54,CC54,CD54,CE54,$F54,$D$19,4)/100)</f>
        <v>0</v>
      </c>
      <c r="CK54" s="237">
        <f ca="1">IF(CC54=0,0,_xll.SPRDOPT(BY54,BZ54,$W54,$AM54,CC54,CD54,CE54,$F54,$D$19,5)/100)</f>
        <v>2.0345999089311121E-2</v>
      </c>
      <c r="CL54" s="237">
        <f ca="1">IF(CD54=0,0,_xll.SPRDOPT(BY54,BZ54,$W54,$AM54,CC54,CD54,CE54,$F54,$D$19,6)/100)</f>
        <v>-1.1236969002906449E-2</v>
      </c>
      <c r="CM54" s="237">
        <f ca="1">IF(CE54=0,0,_xll.SPRDOPT(BY54,BZ54,$W54,$AM54,CC54,CD54,CE54,$F54,$D$19,7)/100)</f>
        <v>-1.5661689068871026E-2</v>
      </c>
      <c r="CN54" s="237">
        <f>IF(CF54=0,0,_xll.SPRDOPT(BY54,BZ54,$W54,$AM54,CC54,CD54,CE54,$F54,$D$19,9)/365)</f>
        <v>0</v>
      </c>
      <c r="CO54" s="237">
        <f t="shared" ca="1" si="67"/>
        <v>4.8147561728590804E-2</v>
      </c>
      <c r="CP54" s="237">
        <f t="shared" si="68"/>
        <v>0</v>
      </c>
      <c r="CQ54" s="237">
        <f t="shared" ca="1" si="69"/>
        <v>1.1143629995335785E-2</v>
      </c>
      <c r="CR54" s="206"/>
      <c r="CS54" s="109">
        <f t="shared" si="70"/>
        <v>0</v>
      </c>
      <c r="CT54" s="109">
        <f t="shared" ca="1" si="71"/>
        <v>0</v>
      </c>
      <c r="CU54" s="109">
        <f t="shared" ca="1" si="72"/>
        <v>0</v>
      </c>
      <c r="CV54" s="109">
        <f t="shared" si="73"/>
        <v>0</v>
      </c>
      <c r="CW54" s="109">
        <f t="shared" si="74"/>
        <v>0</v>
      </c>
      <c r="CX54" s="109">
        <f t="shared" ca="1" si="75"/>
        <v>0</v>
      </c>
      <c r="CY54" s="109">
        <f t="shared" ca="1" si="76"/>
        <v>0</v>
      </c>
      <c r="CZ54" s="109">
        <f t="shared" ca="1" si="77"/>
        <v>0</v>
      </c>
      <c r="DA54" s="109">
        <f t="shared" si="78"/>
        <v>0</v>
      </c>
      <c r="DB54" s="109">
        <f t="shared" ca="1" si="79"/>
        <v>0</v>
      </c>
      <c r="DC54" s="109">
        <f t="shared" si="80"/>
        <v>0</v>
      </c>
      <c r="DD54" s="109">
        <f t="shared" ca="1" si="81"/>
        <v>0</v>
      </c>
      <c r="DF54" s="82">
        <f t="shared" si="82"/>
        <v>0</v>
      </c>
      <c r="DG54" s="132">
        <f t="shared" si="83"/>
        <v>5.484</v>
      </c>
      <c r="DH54" s="132">
        <f t="shared" si="84"/>
        <v>3.8740000000000006</v>
      </c>
      <c r="DI54" s="132">
        <f t="shared" si="85"/>
        <v>0</v>
      </c>
      <c r="DJ54" s="132">
        <f t="shared" si="86"/>
        <v>0</v>
      </c>
      <c r="DK54" s="235">
        <f t="shared" si="87"/>
        <v>0.44000000000000006</v>
      </c>
      <c r="DL54" s="235">
        <f t="shared" si="88"/>
        <v>0.4</v>
      </c>
      <c r="DM54" s="106">
        <f t="shared" si="89"/>
        <v>0.95</v>
      </c>
      <c r="DN54" s="237">
        <f>IF(DF54=0,0,_xll.SPRDOPT(DG54,DH54,$AD54,$AM54,DK54,DL54,DM54,$F54,$F$19,0))</f>
        <v>0</v>
      </c>
      <c r="DO54" s="237">
        <f ca="1">IF(DG54=0,0,_xll.SPRDOPT(DG54,DH54,$AD54,$AM54,DK54,DL54,DM54,$F54,$F$19,1))</f>
        <v>0.51488640617470083</v>
      </c>
      <c r="DP54" s="237">
        <f ca="1">IF(DH54=0,0,_xll.SPRDOPT(DG54,DH54,$AD54,$AM54,DK54,DL54,DM54,$F54,$F$19,2))</f>
        <v>-0.46673884444611002</v>
      </c>
      <c r="DQ54" s="237">
        <f>IF(DI54=0,0,_xll.SPRDOPT(DG54,DH54,$AD54,$AM54,DK54,DL54,DM54,$F54,$F$19,3)/100)</f>
        <v>0</v>
      </c>
      <c r="DR54" s="237">
        <f>IF(DJ54=0,0,_xll.SPRDOPT(DG54,DH54,$AD54,$AM54,DK54,DL54,DM54,$F54,$F$19,4)/100)</f>
        <v>0</v>
      </c>
      <c r="DS54" s="237">
        <f ca="1">IF(DK54=0,0,_xll.SPRDOPT(DG54,DH54,$AD54,$AM54,DK54,DL54,DM54,$F54,$F$19,5)/100)</f>
        <v>2.0345999089311121E-2</v>
      </c>
      <c r="DT54" s="237">
        <f ca="1">IF(DL54=0,0,_xll.SPRDOPT(DG54,DH54,$AD54,$AM54,DK54,DL54,DM54,$F54,$F$19,6)/100)</f>
        <v>-1.1236969002906449E-2</v>
      </c>
      <c r="DU54" s="237">
        <f ca="1">IF(DM54=0,0,_xll.SPRDOPT(DG54,DH54,$AD54,$AM54,DK54,DL54,DM54,$F54,$F$19,7)/100)</f>
        <v>-1.5661689068871026E-2</v>
      </c>
      <c r="DV54" s="237">
        <f>IF(DN54=0,0,_xll.SPRDOPT(DG54,DH54,$AD54,$AM54,DK54,DL54,DM54,$F54,$F$19,9)/365)</f>
        <v>0</v>
      </c>
      <c r="DW54" s="237">
        <f t="shared" ca="1" si="90"/>
        <v>4.8147561728590804E-2</v>
      </c>
      <c r="DX54" s="237">
        <f t="shared" si="91"/>
        <v>0</v>
      </c>
      <c r="DY54" s="237">
        <f t="shared" ca="1" si="92"/>
        <v>1.1143629995335785E-2</v>
      </c>
      <c r="DZ54" s="206"/>
      <c r="EA54" s="109">
        <f t="shared" si="93"/>
        <v>0</v>
      </c>
      <c r="EB54" s="109">
        <f t="shared" ca="1" si="94"/>
        <v>0</v>
      </c>
      <c r="EC54" s="109">
        <f t="shared" ca="1" si="95"/>
        <v>0</v>
      </c>
      <c r="ED54" s="109">
        <f t="shared" si="96"/>
        <v>0</v>
      </c>
      <c r="EE54" s="109">
        <f t="shared" si="97"/>
        <v>0</v>
      </c>
      <c r="EF54" s="109">
        <f t="shared" ca="1" si="98"/>
        <v>0</v>
      </c>
      <c r="EG54" s="109">
        <f t="shared" ca="1" si="99"/>
        <v>0</v>
      </c>
      <c r="EH54" s="109">
        <f t="shared" ca="1" si="100"/>
        <v>0</v>
      </c>
      <c r="EI54" s="109">
        <f t="shared" si="101"/>
        <v>0</v>
      </c>
      <c r="EJ54" s="109">
        <f t="shared" ca="1" si="102"/>
        <v>0</v>
      </c>
      <c r="EK54" s="109">
        <f t="shared" si="103"/>
        <v>0</v>
      </c>
      <c r="EL54" s="109">
        <f t="shared" ca="1" si="104"/>
        <v>0</v>
      </c>
      <c r="EN54" s="82">
        <f t="shared" si="105"/>
        <v>0</v>
      </c>
      <c r="EO54" s="132">
        <f t="shared" si="106"/>
        <v>5.5390000000000006</v>
      </c>
      <c r="EP54" s="132">
        <f t="shared" si="107"/>
        <v>3.8740000000000006</v>
      </c>
      <c r="EQ54" s="132">
        <f t="shared" si="108"/>
        <v>0</v>
      </c>
      <c r="ER54" s="132">
        <f t="shared" si="109"/>
        <v>0</v>
      </c>
      <c r="ES54" s="235">
        <f t="shared" si="110"/>
        <v>0.44000000000000006</v>
      </c>
      <c r="ET54" s="235">
        <f t="shared" si="111"/>
        <v>0.4</v>
      </c>
      <c r="EU54" s="106">
        <f t="shared" si="112"/>
        <v>0.95</v>
      </c>
      <c r="EV54" s="237">
        <f>IF(EN54=0,0,_xll.SPRDOPT(EO54,EP54,$AK54,$AM54,ES54,ET54,EU54,$F54,$H$19,0))</f>
        <v>0</v>
      </c>
      <c r="EW54" s="237">
        <f ca="1">IF(EO54=0,0,_xll.SPRDOPT(EO54,EP54,$AK54,$AM54,ES54,ET54,EU54,$F54,$H$19,1))</f>
        <v>-0.2028035140659008</v>
      </c>
      <c r="EX54" s="237">
        <f ca="1">IF(EP54=0,0,_xll.SPRDOPT(EO54,EP54,$AK54,$AM54,ES54,ET54,EU54,$F54,$H$19,2))</f>
        <v>0.24326926663135884</v>
      </c>
      <c r="EY54" s="237">
        <f>IF(EQ54=0,0,_xll.SPRDOPT(EO54,EP54,$AK54,$AM54,ES54,ET54,EU54,$F54,$H$19,3)/100)</f>
        <v>0</v>
      </c>
      <c r="EZ54" s="237">
        <f>IF(ER54=0,0,_xll.SPRDOPT(EO54,EP54,$AK54,$AM54,ES54,ET54,EU54,$F54,$H$19,4)/100)</f>
        <v>0</v>
      </c>
      <c r="FA54" s="237">
        <f ca="1">IF(ES54=0,0,_xll.SPRDOPT(EO54,EP54,$AK54,$AM54,ES54,ET54,EU54,$F54,$H$19,5)/100)</f>
        <v>1.4765850240768737E-2</v>
      </c>
      <c r="FB54" s="237">
        <f ca="1">IF(ET54=0,0,_xll.SPRDOPT(EO54,EP54,$AK54,$AM54,ES54,ET54,EU54,$F54,$H$19,6)/100)</f>
        <v>-8.3239121742308669E-3</v>
      </c>
      <c r="FC54" s="237">
        <f ca="1">IF(EU54=0,0,_xll.SPRDOPT(EO54,EP54,$AK54,$AM54,ES54,ET54,EU54,$F54,$H$19,7)/100)</f>
        <v>-1.3964815438614855E-2</v>
      </c>
      <c r="FD54" s="237">
        <f>IF(EV54=0,0,_xll.SPRDOPT(EO54,EP54,$AK54,$AM54,ES54,ET54,EU54,$F54,$H$19,9)/365)</f>
        <v>0</v>
      </c>
      <c r="FE54" s="237">
        <f t="shared" ca="1" si="113"/>
        <v>4.0465752565458035E-2</v>
      </c>
      <c r="FF54" s="237">
        <f t="shared" si="114"/>
        <v>0</v>
      </c>
      <c r="FG54" s="237">
        <f t="shared" ca="1" si="115"/>
        <v>7.9185230906147468E-3</v>
      </c>
      <c r="FH54" s="206"/>
      <c r="FI54" s="109">
        <f t="shared" si="116"/>
        <v>0</v>
      </c>
      <c r="FJ54" s="109">
        <f t="shared" ca="1" si="117"/>
        <v>0</v>
      </c>
      <c r="FK54" s="109">
        <f t="shared" ca="1" si="118"/>
        <v>0</v>
      </c>
      <c r="FL54" s="109">
        <f t="shared" si="119"/>
        <v>0</v>
      </c>
      <c r="FM54" s="109">
        <f t="shared" si="120"/>
        <v>0</v>
      </c>
      <c r="FN54" s="109">
        <f t="shared" ca="1" si="121"/>
        <v>0</v>
      </c>
      <c r="FO54" s="109">
        <f t="shared" ca="1" si="122"/>
        <v>0</v>
      </c>
      <c r="FP54" s="109">
        <f t="shared" ca="1" si="123"/>
        <v>0</v>
      </c>
      <c r="FQ54" s="109">
        <f t="shared" si="124"/>
        <v>0</v>
      </c>
      <c r="FR54" s="109">
        <f t="shared" ca="1" si="125"/>
        <v>0</v>
      </c>
      <c r="FS54" s="109">
        <f t="shared" si="126"/>
        <v>0</v>
      </c>
      <c r="FT54" s="109">
        <f t="shared" ca="1" si="127"/>
        <v>0</v>
      </c>
    </row>
    <row r="55" spans="1:176" x14ac:dyDescent="0.25">
      <c r="A55" s="101">
        <f t="shared" si="18"/>
        <v>37316</v>
      </c>
      <c r="B55" s="102">
        <f t="shared" si="19"/>
        <v>3.7090000000000005</v>
      </c>
      <c r="C55" s="80">
        <f t="shared" si="20"/>
        <v>0.36749999999999999</v>
      </c>
      <c r="D55" s="102"/>
      <c r="E55" s="106"/>
      <c r="F55" s="105">
        <f t="shared" ca="1" si="21"/>
        <v>544</v>
      </c>
      <c r="G55" s="80"/>
      <c r="H55" s="80"/>
      <c r="I55" s="104"/>
      <c r="J55" s="234"/>
      <c r="K55" s="102">
        <f t="shared" si="22"/>
        <v>0.26650000000000001</v>
      </c>
      <c r="L55" s="102">
        <f t="shared" si="23"/>
        <v>0</v>
      </c>
      <c r="M55" s="106">
        <f t="shared" si="24"/>
        <v>1</v>
      </c>
      <c r="N55" s="106">
        <f t="shared" si="25"/>
        <v>1</v>
      </c>
      <c r="O55" s="106">
        <f t="shared" si="26"/>
        <v>0.99</v>
      </c>
      <c r="P55" s="236">
        <f t="shared" si="27"/>
        <v>0.4</v>
      </c>
      <c r="Q55" s="106"/>
      <c r="R55" s="102">
        <f t="shared" si="4"/>
        <v>1.03</v>
      </c>
      <c r="S55" s="102">
        <f t="shared" si="5"/>
        <v>0</v>
      </c>
      <c r="T55" s="106">
        <f t="shared" si="6"/>
        <v>1.1000000000000001</v>
      </c>
      <c r="U55" s="106">
        <f t="shared" si="28"/>
        <v>1</v>
      </c>
      <c r="V55" s="106">
        <f t="shared" si="29"/>
        <v>0.95</v>
      </c>
      <c r="W55" s="236">
        <f t="shared" si="30"/>
        <v>1.6</v>
      </c>
      <c r="X55" s="106"/>
      <c r="Y55" s="102">
        <f t="shared" si="7"/>
        <v>1.03</v>
      </c>
      <c r="Z55" s="102">
        <f t="shared" si="8"/>
        <v>0</v>
      </c>
      <c r="AA55" s="106">
        <f t="shared" si="9"/>
        <v>1.1000000000000001</v>
      </c>
      <c r="AB55" s="106">
        <f t="shared" si="31"/>
        <v>1</v>
      </c>
      <c r="AC55" s="106">
        <f t="shared" si="10"/>
        <v>0.95</v>
      </c>
      <c r="AD55" s="236">
        <f t="shared" si="32"/>
        <v>1.6</v>
      </c>
      <c r="AE55" s="106"/>
      <c r="AF55" s="102">
        <f t="shared" si="11"/>
        <v>1.03</v>
      </c>
      <c r="AG55" s="102">
        <f t="shared" si="12"/>
        <v>0</v>
      </c>
      <c r="AH55" s="106">
        <f t="shared" si="13"/>
        <v>1.1000000000000001</v>
      </c>
      <c r="AI55" s="106">
        <f t="shared" si="33"/>
        <v>1</v>
      </c>
      <c r="AJ55" s="106">
        <f t="shared" si="14"/>
        <v>0.95</v>
      </c>
      <c r="AK55" s="236">
        <f t="shared" si="34"/>
        <v>1</v>
      </c>
      <c r="AM55" s="80">
        <f t="shared" si="35"/>
        <v>6.9061327918971016E-2</v>
      </c>
      <c r="AN55" s="182">
        <f t="shared" si="15"/>
        <v>31</v>
      </c>
      <c r="AP55" s="82">
        <f t="shared" si="36"/>
        <v>0</v>
      </c>
      <c r="AQ55" s="132">
        <f t="shared" si="37"/>
        <v>3.9755000000000007</v>
      </c>
      <c r="AR55" s="132">
        <f t="shared" si="38"/>
        <v>3.7090000000000005</v>
      </c>
      <c r="AS55" s="132">
        <f t="shared" si="39"/>
        <v>0</v>
      </c>
      <c r="AT55" s="132">
        <f t="shared" si="40"/>
        <v>0</v>
      </c>
      <c r="AU55" s="235">
        <f t="shared" si="41"/>
        <v>0.36749999999999999</v>
      </c>
      <c r="AV55" s="235">
        <f t="shared" si="42"/>
        <v>0.36749999999999999</v>
      </c>
      <c r="AW55" s="106">
        <f t="shared" si="43"/>
        <v>0.99</v>
      </c>
      <c r="AX55" s="237">
        <f>IF(AP55=0,0,_xll.SPRDOPT(AQ55,AR55,$P55,$AM55,AU55,AV55,AW55,$F55,$B$19,0))</f>
        <v>0</v>
      </c>
      <c r="AY55" s="237">
        <f ca="1">IF(AQ55=0,0,_xll.SPRDOPT(AQ55,AR55,$P55,$AM55,AU55,AV55,AW55,$F55,$B$19,1))</f>
        <v>0.31637411328017939</v>
      </c>
      <c r="AZ55" s="237">
        <f ca="1">IF(AR55=0,0,_xll.SPRDOPT(AQ55,AR55,$P55,$AM55,AU55,AV55,AW55,$F55,$B$19,2))</f>
        <v>-0.2986534225454664</v>
      </c>
      <c r="BA55" s="237">
        <f>IF(AS55=0,0,_xll.SPRDOPT(AQ55,AR55,$P55,$AM55,AU55,AV55,AW55,$F55,$B$19,3)/100)</f>
        <v>0</v>
      </c>
      <c r="BB55" s="237">
        <f>IF(AT55=0,0,_xll.SPRDOPT(AQ55,AR55,$P55,$AM55,AU55,AV55,AW55,$F55,$B$19,4)/100)</f>
        <v>0</v>
      </c>
      <c r="BC55" s="237">
        <f ca="1">IF(AU55=0,0,_xll.SPRDOPT(AQ55,AR55,$P55,$AM55,AU55,AV55,AW55,$F55,$B$19,5)/100)</f>
        <v>9.4913972490407485E-3</v>
      </c>
      <c r="BD55" s="237">
        <f ca="1">IF(AV55=0,0,_xll.SPRDOPT(AQ55,AR55,$P55,$AM55,AU55,AV55,AW55,$F55,$B$19,6)/100)</f>
        <v>-6.8318138783508633E-3</v>
      </c>
      <c r="BE55" s="237">
        <f ca="1">IF(AW55=0,0,_xll.SPRDOPT(AQ55,AR55,$P55,$AM55,AU55,AV55,AW55,$F55,$B$19,7)/100)</f>
        <v>-3.397266506626704E-2</v>
      </c>
      <c r="BF55" s="237">
        <f>IF(AX55=0,0,_xll.SPRDOPT(AQ55,AR55,$P55,$AM55,AU55,AV55,AW55,$F55,$B$19,9)/365)</f>
        <v>0</v>
      </c>
      <c r="BG55" s="237">
        <f t="shared" ca="1" si="44"/>
        <v>1.7720690734712996E-2</v>
      </c>
      <c r="BH55" s="237">
        <f t="shared" si="45"/>
        <v>0</v>
      </c>
      <c r="BI55" s="237">
        <f t="shared" ca="1" si="46"/>
        <v>2.6595833706898851E-3</v>
      </c>
      <c r="BJ55" s="206"/>
      <c r="BK55" s="109">
        <f t="shared" si="47"/>
        <v>0</v>
      </c>
      <c r="BL55" s="109">
        <f t="shared" ca="1" si="48"/>
        <v>0</v>
      </c>
      <c r="BM55" s="109">
        <f t="shared" ca="1" si="49"/>
        <v>0</v>
      </c>
      <c r="BN55" s="109">
        <f t="shared" si="50"/>
        <v>0</v>
      </c>
      <c r="BO55" s="109">
        <f t="shared" si="51"/>
        <v>0</v>
      </c>
      <c r="BP55" s="109">
        <f t="shared" ca="1" si="52"/>
        <v>0</v>
      </c>
      <c r="BQ55" s="109">
        <f t="shared" ca="1" si="53"/>
        <v>0</v>
      </c>
      <c r="BR55" s="109">
        <f t="shared" ca="1" si="54"/>
        <v>0</v>
      </c>
      <c r="BS55" s="109">
        <f t="shared" si="55"/>
        <v>0</v>
      </c>
      <c r="BT55" s="109">
        <f t="shared" ca="1" si="56"/>
        <v>0</v>
      </c>
      <c r="BU55" s="109">
        <f t="shared" si="57"/>
        <v>0</v>
      </c>
      <c r="BV55" s="109">
        <f t="shared" ca="1" si="58"/>
        <v>0</v>
      </c>
      <c r="BX55" s="82">
        <f t="shared" si="59"/>
        <v>0</v>
      </c>
      <c r="BY55" s="132">
        <f t="shared" si="60"/>
        <v>4.7490000000000006</v>
      </c>
      <c r="BZ55" s="132">
        <f t="shared" si="61"/>
        <v>3.7090000000000005</v>
      </c>
      <c r="CA55" s="132">
        <f t="shared" si="62"/>
        <v>0</v>
      </c>
      <c r="CB55" s="132">
        <f t="shared" si="63"/>
        <v>0</v>
      </c>
      <c r="CC55" s="235">
        <f t="shared" si="64"/>
        <v>0.40425</v>
      </c>
      <c r="CD55" s="235">
        <f t="shared" si="65"/>
        <v>0.36749999999999999</v>
      </c>
      <c r="CE55" s="106">
        <f t="shared" si="66"/>
        <v>0.95</v>
      </c>
      <c r="CF55" s="237">
        <f>IF(BX55=0,0,_xll.SPRDOPT(BY55,BZ55,$W55,$AM55,CC55,CD55,CE55,$F55,$D$19,0))</f>
        <v>0</v>
      </c>
      <c r="CG55" s="237">
        <f ca="1">IF(BY55=0,0,_xll.SPRDOPT(BY55,BZ55,$W55,$AM55,CC55,CD55,CE55,$F55,$D$19,1))</f>
        <v>0.31933848097760215</v>
      </c>
      <c r="CH55" s="237">
        <f ca="1">IF(BZ55=0,0,_xll.SPRDOPT(BY55,BZ55,$W55,$AM55,CC55,CD55,CE55,$F55,$D$19,2))</f>
        <v>-0.27716510387260151</v>
      </c>
      <c r="CI55" s="237">
        <f>IF(CA55=0,0,_xll.SPRDOPT(BY55,BZ55,$W55,$AM55,CC55,CD55,CE55,$F55,$D$19,3)/100)</f>
        <v>0</v>
      </c>
      <c r="CJ55" s="237">
        <f>IF(CB55=0,0,_xll.SPRDOPT(BY55,BZ55,$W55,$AM55,CC55,CD55,CE55,$F55,$D$19,4)/100)</f>
        <v>0</v>
      </c>
      <c r="CK55" s="237">
        <f ca="1">IF(CC55=0,0,_xll.SPRDOPT(BY55,BZ55,$W55,$AM55,CC55,CD55,CE55,$F55,$D$19,5)/100)</f>
        <v>1.67119847247124E-2</v>
      </c>
      <c r="CL55" s="237">
        <f ca="1">IF(CD55=0,0,_xll.SPRDOPT(BY55,BZ55,$W55,$AM55,CC55,CD55,CE55,$F55,$D$19,6)/100)</f>
        <v>-9.355921365586611E-3</v>
      </c>
      <c r="CM55" s="237">
        <f ca="1">IF(CE55=0,0,_xll.SPRDOPT(BY55,BZ55,$W55,$AM55,CC55,CD55,CE55,$F55,$D$19,7)/100)</f>
        <v>-1.2751952833684124E-2</v>
      </c>
      <c r="CN55" s="237">
        <f>IF(CF55=0,0,_xll.SPRDOPT(BY55,BZ55,$W55,$AM55,CC55,CD55,CE55,$F55,$D$19,9)/365)</f>
        <v>0</v>
      </c>
      <c r="CO55" s="237">
        <f t="shared" ca="1" si="67"/>
        <v>4.2173377105000631E-2</v>
      </c>
      <c r="CP55" s="237">
        <f t="shared" si="68"/>
        <v>0</v>
      </c>
      <c r="CQ55" s="237">
        <f t="shared" ca="1" si="69"/>
        <v>9.0272618315970308E-3</v>
      </c>
      <c r="CR55" s="206"/>
      <c r="CS55" s="109">
        <f t="shared" si="70"/>
        <v>0</v>
      </c>
      <c r="CT55" s="109">
        <f t="shared" ca="1" si="71"/>
        <v>0</v>
      </c>
      <c r="CU55" s="109">
        <f t="shared" ca="1" si="72"/>
        <v>0</v>
      </c>
      <c r="CV55" s="109">
        <f t="shared" si="73"/>
        <v>0</v>
      </c>
      <c r="CW55" s="109">
        <f t="shared" si="74"/>
        <v>0</v>
      </c>
      <c r="CX55" s="109">
        <f t="shared" ca="1" si="75"/>
        <v>0</v>
      </c>
      <c r="CY55" s="109">
        <f t="shared" ca="1" si="76"/>
        <v>0</v>
      </c>
      <c r="CZ55" s="109">
        <f t="shared" ca="1" si="77"/>
        <v>0</v>
      </c>
      <c r="DA55" s="109">
        <f t="shared" si="78"/>
        <v>0</v>
      </c>
      <c r="DB55" s="109">
        <f t="shared" ca="1" si="79"/>
        <v>0</v>
      </c>
      <c r="DC55" s="109">
        <f t="shared" si="80"/>
        <v>0</v>
      </c>
      <c r="DD55" s="109">
        <f t="shared" ca="1" si="81"/>
        <v>0</v>
      </c>
      <c r="DF55" s="82">
        <f t="shared" si="82"/>
        <v>0</v>
      </c>
      <c r="DG55" s="132">
        <f t="shared" si="83"/>
        <v>4.7490000000000006</v>
      </c>
      <c r="DH55" s="132">
        <f t="shared" si="84"/>
        <v>3.7090000000000005</v>
      </c>
      <c r="DI55" s="132">
        <f t="shared" si="85"/>
        <v>0</v>
      </c>
      <c r="DJ55" s="132">
        <f t="shared" si="86"/>
        <v>0</v>
      </c>
      <c r="DK55" s="235">
        <f t="shared" si="87"/>
        <v>0.40425</v>
      </c>
      <c r="DL55" s="235">
        <f t="shared" si="88"/>
        <v>0.36749999999999999</v>
      </c>
      <c r="DM55" s="106">
        <f t="shared" si="89"/>
        <v>0.95</v>
      </c>
      <c r="DN55" s="237">
        <f>IF(DF55=0,0,_xll.SPRDOPT(DG55,DH55,$AD55,$AM55,DK55,DL55,DM55,$F55,$F$19,0))</f>
        <v>0</v>
      </c>
      <c r="DO55" s="237">
        <f ca="1">IF(DG55=0,0,_xll.SPRDOPT(DG55,DH55,$AD55,$AM55,DK55,DL55,DM55,$F55,$F$19,1))</f>
        <v>0.31933848097760215</v>
      </c>
      <c r="DP55" s="237">
        <f ca="1">IF(DH55=0,0,_xll.SPRDOPT(DG55,DH55,$AD55,$AM55,DK55,DL55,DM55,$F55,$F$19,2))</f>
        <v>-0.27716510387260151</v>
      </c>
      <c r="DQ55" s="237">
        <f>IF(DI55=0,0,_xll.SPRDOPT(DG55,DH55,$AD55,$AM55,DK55,DL55,DM55,$F55,$F$19,3)/100)</f>
        <v>0</v>
      </c>
      <c r="DR55" s="237">
        <f>IF(DJ55=0,0,_xll.SPRDOPT(DG55,DH55,$AD55,$AM55,DK55,DL55,DM55,$F55,$F$19,4)/100)</f>
        <v>0</v>
      </c>
      <c r="DS55" s="237">
        <f ca="1">IF(DK55=0,0,_xll.SPRDOPT(DG55,DH55,$AD55,$AM55,DK55,DL55,DM55,$F55,$F$19,5)/100)</f>
        <v>1.67119847247124E-2</v>
      </c>
      <c r="DT55" s="237">
        <f ca="1">IF(DL55=0,0,_xll.SPRDOPT(DG55,DH55,$AD55,$AM55,DK55,DL55,DM55,$F55,$F$19,6)/100)</f>
        <v>-9.355921365586611E-3</v>
      </c>
      <c r="DU55" s="237">
        <f ca="1">IF(DM55=0,0,_xll.SPRDOPT(DG55,DH55,$AD55,$AM55,DK55,DL55,DM55,$F55,$F$19,7)/100)</f>
        <v>-1.2751952833684124E-2</v>
      </c>
      <c r="DV55" s="237">
        <f>IF(DN55=0,0,_xll.SPRDOPT(DG55,DH55,$AD55,$AM55,DK55,DL55,DM55,$F55,$F$19,9)/365)</f>
        <v>0</v>
      </c>
      <c r="DW55" s="237">
        <f t="shared" ca="1" si="90"/>
        <v>4.2173377105000631E-2</v>
      </c>
      <c r="DX55" s="237">
        <f t="shared" si="91"/>
        <v>0</v>
      </c>
      <c r="DY55" s="237">
        <f t="shared" ca="1" si="92"/>
        <v>9.0272618315970308E-3</v>
      </c>
      <c r="DZ55" s="206"/>
      <c r="EA55" s="109">
        <f t="shared" si="93"/>
        <v>0</v>
      </c>
      <c r="EB55" s="109">
        <f t="shared" ca="1" si="94"/>
        <v>0</v>
      </c>
      <c r="EC55" s="109">
        <f t="shared" ca="1" si="95"/>
        <v>0</v>
      </c>
      <c r="ED55" s="109">
        <f t="shared" si="96"/>
        <v>0</v>
      </c>
      <c r="EE55" s="109">
        <f t="shared" si="97"/>
        <v>0</v>
      </c>
      <c r="EF55" s="109">
        <f t="shared" ca="1" si="98"/>
        <v>0</v>
      </c>
      <c r="EG55" s="109">
        <f t="shared" ca="1" si="99"/>
        <v>0</v>
      </c>
      <c r="EH55" s="109">
        <f t="shared" ca="1" si="100"/>
        <v>0</v>
      </c>
      <c r="EI55" s="109">
        <f t="shared" si="101"/>
        <v>0</v>
      </c>
      <c r="EJ55" s="109">
        <f t="shared" ca="1" si="102"/>
        <v>0</v>
      </c>
      <c r="EK55" s="109">
        <f t="shared" si="103"/>
        <v>0</v>
      </c>
      <c r="EL55" s="109">
        <f t="shared" ca="1" si="104"/>
        <v>0</v>
      </c>
      <c r="EN55" s="82">
        <f t="shared" si="105"/>
        <v>0</v>
      </c>
      <c r="EO55" s="132">
        <f t="shared" si="106"/>
        <v>4.8040000000000012</v>
      </c>
      <c r="EP55" s="132">
        <f t="shared" si="107"/>
        <v>3.7090000000000005</v>
      </c>
      <c r="EQ55" s="132">
        <f t="shared" si="108"/>
        <v>0</v>
      </c>
      <c r="ER55" s="132">
        <f t="shared" si="109"/>
        <v>0</v>
      </c>
      <c r="ES55" s="235">
        <f t="shared" si="110"/>
        <v>0.40425</v>
      </c>
      <c r="ET55" s="235">
        <f t="shared" si="111"/>
        <v>0.36749999999999999</v>
      </c>
      <c r="EU55" s="106">
        <f t="shared" si="112"/>
        <v>0.95</v>
      </c>
      <c r="EV55" s="237">
        <f>IF(EN55=0,0,_xll.SPRDOPT(EO55,EP55,$AK55,$AM55,ES55,ET55,EU55,$F55,$H$19,0))</f>
        <v>0</v>
      </c>
      <c r="EW55" s="237">
        <f ca="1">IF(EO55=0,0,_xll.SPRDOPT(EO55,EP55,$AK55,$AM55,ES55,ET55,EU55,$F55,$H$19,1))</f>
        <v>-0.36863297851009846</v>
      </c>
      <c r="EX55" s="237">
        <f ca="1">IF(EP55=0,0,_xll.SPRDOPT(EO55,EP55,$AK55,$AM55,ES55,ET55,EU55,$F55,$H$19,2))</f>
        <v>0.41697101646584595</v>
      </c>
      <c r="EY55" s="237">
        <f>IF(EQ55=0,0,_xll.SPRDOPT(EO55,EP55,$AK55,$AM55,ES55,ET55,EU55,$F55,$H$19,3)/100)</f>
        <v>0</v>
      </c>
      <c r="EZ55" s="237">
        <f>IF(ER55=0,0,_xll.SPRDOPT(EO55,EP55,$AK55,$AM55,ES55,ET55,EU55,$F55,$H$19,4)/100)</f>
        <v>0</v>
      </c>
      <c r="FA55" s="237">
        <f ca="1">IF(ES55=0,0,_xll.SPRDOPT(EO55,EP55,$AK55,$AM55,ES55,ET55,EU55,$F55,$H$19,5)/100)</f>
        <v>1.6644766961015914E-2</v>
      </c>
      <c r="FB55" s="237">
        <f ca="1">IF(ET55=0,0,_xll.SPRDOPT(EO55,EP55,$AK55,$AM55,ES55,ET55,EU55,$F55,$H$19,6)/100)</f>
        <v>-9.4337679318348029E-3</v>
      </c>
      <c r="FC55" s="237">
        <f ca="1">IF(EU55=0,0,_xll.SPRDOPT(EO55,EP55,$AK55,$AM55,ES55,ET55,EU55,$F55,$H$19,7)/100)</f>
        <v>-1.5459388764733916E-2</v>
      </c>
      <c r="FD55" s="237">
        <f>IF(EV55=0,0,_xll.SPRDOPT(EO55,EP55,$AK55,$AM55,ES55,ET55,EU55,$F55,$H$19,9)/365)</f>
        <v>0</v>
      </c>
      <c r="FE55" s="237">
        <f t="shared" ca="1" si="113"/>
        <v>4.8338037955747482E-2</v>
      </c>
      <c r="FF55" s="237">
        <f t="shared" si="114"/>
        <v>0</v>
      </c>
      <c r="FG55" s="237">
        <f t="shared" ca="1" si="115"/>
        <v>8.8754757252827061E-3</v>
      </c>
      <c r="FH55" s="206"/>
      <c r="FI55" s="109">
        <f t="shared" si="116"/>
        <v>0</v>
      </c>
      <c r="FJ55" s="109">
        <f t="shared" ca="1" si="117"/>
        <v>0</v>
      </c>
      <c r="FK55" s="109">
        <f t="shared" ca="1" si="118"/>
        <v>0</v>
      </c>
      <c r="FL55" s="109">
        <f t="shared" si="119"/>
        <v>0</v>
      </c>
      <c r="FM55" s="109">
        <f t="shared" si="120"/>
        <v>0</v>
      </c>
      <c r="FN55" s="109">
        <f t="shared" ca="1" si="121"/>
        <v>0</v>
      </c>
      <c r="FO55" s="109">
        <f t="shared" ca="1" si="122"/>
        <v>0</v>
      </c>
      <c r="FP55" s="109">
        <f t="shared" ca="1" si="123"/>
        <v>0</v>
      </c>
      <c r="FQ55" s="109">
        <f t="shared" si="124"/>
        <v>0</v>
      </c>
      <c r="FR55" s="109">
        <f t="shared" ca="1" si="125"/>
        <v>0</v>
      </c>
      <c r="FS55" s="109">
        <f t="shared" si="126"/>
        <v>0</v>
      </c>
      <c r="FT55" s="109">
        <f t="shared" ca="1" si="127"/>
        <v>0</v>
      </c>
    </row>
    <row r="56" spans="1:176" x14ac:dyDescent="0.25">
      <c r="A56" s="101">
        <f t="shared" si="18"/>
        <v>37347</v>
      </c>
      <c r="B56" s="102">
        <f t="shared" si="19"/>
        <v>3.532</v>
      </c>
      <c r="C56" s="80">
        <f t="shared" si="20"/>
        <v>0.30249999999999999</v>
      </c>
      <c r="D56" s="102"/>
      <c r="E56" s="106"/>
      <c r="F56" s="105">
        <f t="shared" ca="1" si="21"/>
        <v>572</v>
      </c>
      <c r="G56" s="80"/>
      <c r="H56" s="80"/>
      <c r="I56" s="104"/>
      <c r="J56" s="234"/>
      <c r="K56" s="102">
        <f t="shared" si="22"/>
        <v>0.19500000000000001</v>
      </c>
      <c r="L56" s="102">
        <f t="shared" si="23"/>
        <v>0</v>
      </c>
      <c r="M56" s="106">
        <f t="shared" si="24"/>
        <v>0.98</v>
      </c>
      <c r="N56" s="106">
        <f t="shared" si="25"/>
        <v>1</v>
      </c>
      <c r="O56" s="106">
        <f t="shared" si="26"/>
        <v>0.99</v>
      </c>
      <c r="P56" s="236">
        <f t="shared" si="27"/>
        <v>0.4</v>
      </c>
      <c r="Q56" s="106"/>
      <c r="R56" s="102">
        <f t="shared" si="4"/>
        <v>0.45</v>
      </c>
      <c r="S56" s="102">
        <f t="shared" si="5"/>
        <v>0</v>
      </c>
      <c r="T56" s="106">
        <f t="shared" si="6"/>
        <v>0.98</v>
      </c>
      <c r="U56" s="106">
        <f t="shared" si="28"/>
        <v>1</v>
      </c>
      <c r="V56" s="106">
        <f t="shared" si="29"/>
        <v>0.98042074975743199</v>
      </c>
      <c r="W56" s="236">
        <f t="shared" si="30"/>
        <v>1.6</v>
      </c>
      <c r="X56" s="106"/>
      <c r="Y56" s="102">
        <f t="shared" si="7"/>
        <v>0.45</v>
      </c>
      <c r="Z56" s="102">
        <f t="shared" si="8"/>
        <v>0</v>
      </c>
      <c r="AA56" s="106">
        <f t="shared" si="9"/>
        <v>0.98</v>
      </c>
      <c r="AB56" s="106">
        <f t="shared" si="31"/>
        <v>1</v>
      </c>
      <c r="AC56" s="106">
        <f t="shared" si="10"/>
        <v>0.98042074975743199</v>
      </c>
      <c r="AD56" s="236">
        <f t="shared" si="32"/>
        <v>1.6</v>
      </c>
      <c r="AE56" s="106"/>
      <c r="AF56" s="102">
        <f t="shared" si="11"/>
        <v>0.45</v>
      </c>
      <c r="AG56" s="102">
        <f t="shared" si="12"/>
        <v>0</v>
      </c>
      <c r="AH56" s="106">
        <f t="shared" si="13"/>
        <v>0.98</v>
      </c>
      <c r="AI56" s="106">
        <f t="shared" si="33"/>
        <v>1</v>
      </c>
      <c r="AJ56" s="106">
        <f t="shared" si="14"/>
        <v>0.98042074975743199</v>
      </c>
      <c r="AK56" s="236">
        <f t="shared" si="34"/>
        <v>1</v>
      </c>
      <c r="AM56" s="80">
        <f t="shared" si="35"/>
        <v>6.9092023437082997E-2</v>
      </c>
      <c r="AN56" s="182">
        <f t="shared" si="15"/>
        <v>30</v>
      </c>
      <c r="AP56" s="82">
        <f t="shared" si="36"/>
        <v>0</v>
      </c>
      <c r="AQ56" s="132">
        <f t="shared" si="37"/>
        <v>3.7269999999999999</v>
      </c>
      <c r="AR56" s="132">
        <f t="shared" si="38"/>
        <v>3.532</v>
      </c>
      <c r="AS56" s="132">
        <f t="shared" si="39"/>
        <v>0</v>
      </c>
      <c r="AT56" s="132">
        <f t="shared" si="40"/>
        <v>0</v>
      </c>
      <c r="AU56" s="235">
        <f t="shared" si="41"/>
        <v>0.29644999999999999</v>
      </c>
      <c r="AV56" s="235">
        <f t="shared" si="42"/>
        <v>0.30249999999999999</v>
      </c>
      <c r="AW56" s="106">
        <f t="shared" si="43"/>
        <v>0.99</v>
      </c>
      <c r="AX56" s="237">
        <f>IF(AP56=0,0,_xll.SPRDOPT(AQ56,AR56,$P56,$AM56,AU56,AV56,AW56,$F56,$B$19,0))</f>
        <v>0</v>
      </c>
      <c r="AY56" s="237">
        <f ca="1">IF(AQ56=0,0,_xll.SPRDOPT(AQ56,AR56,$P56,$AM56,AU56,AV56,AW56,$F56,$B$19,1))</f>
        <v>0.17171139378452271</v>
      </c>
      <c r="AZ56" s="237">
        <f ca="1">IF(AR56=0,0,_xll.SPRDOPT(AQ56,AR56,$P56,$AM56,AU56,AV56,AW56,$F56,$B$19,2))</f>
        <v>-0.16119296323091747</v>
      </c>
      <c r="BA56" s="237">
        <f>IF(AS56=0,0,_xll.SPRDOPT(AQ56,AR56,$P56,$AM56,AU56,AV56,AW56,$F56,$B$19,3)/100)</f>
        <v>0</v>
      </c>
      <c r="BB56" s="237">
        <f>IF(AT56=0,0,_xll.SPRDOPT(AQ56,AR56,$P56,$AM56,AU56,AV56,AW56,$F56,$B$19,4)/100)</f>
        <v>0</v>
      </c>
      <c r="BC56" s="237">
        <f ca="1">IF(AU56=0,0,_xll.SPRDOPT(AQ56,AR56,$P56,$AM56,AU56,AV56,AW56,$F56,$B$19,5)/100)</f>
        <v>5.7780660496586393E-3</v>
      </c>
      <c r="BD56" s="237">
        <f ca="1">IF(AV56=0,0,_xll.SPRDOPT(AQ56,AR56,$P56,$AM56,AU56,AV56,AW56,$F56,$B$19,6)/100)</f>
        <v>-3.9162803603925087E-3</v>
      </c>
      <c r="BE56" s="237">
        <f ca="1">IF(AW56=0,0,_xll.SPRDOPT(AQ56,AR56,$P56,$AM56,AU56,AV56,AW56,$F56,$B$19,7)/100)</f>
        <v>-2.0514276034626459E-2</v>
      </c>
      <c r="BF56" s="237">
        <f>IF(AX56=0,0,_xll.SPRDOPT(AQ56,AR56,$P56,$AM56,AU56,AV56,AW56,$F56,$B$19,9)/365)</f>
        <v>0</v>
      </c>
      <c r="BG56" s="237">
        <f t="shared" ca="1" si="44"/>
        <v>1.051843055360524E-2</v>
      </c>
      <c r="BH56" s="237">
        <f t="shared" si="45"/>
        <v>0</v>
      </c>
      <c r="BI56" s="237">
        <f t="shared" ca="1" si="46"/>
        <v>1.7462243682729575E-3</v>
      </c>
      <c r="BJ56" s="206"/>
      <c r="BK56" s="109">
        <f t="shared" si="47"/>
        <v>0</v>
      </c>
      <c r="BL56" s="109">
        <f t="shared" ca="1" si="48"/>
        <v>0</v>
      </c>
      <c r="BM56" s="109">
        <f t="shared" ca="1" si="49"/>
        <v>0</v>
      </c>
      <c r="BN56" s="109">
        <f t="shared" si="50"/>
        <v>0</v>
      </c>
      <c r="BO56" s="109">
        <f t="shared" si="51"/>
        <v>0</v>
      </c>
      <c r="BP56" s="109">
        <f t="shared" ca="1" si="52"/>
        <v>0</v>
      </c>
      <c r="BQ56" s="109">
        <f t="shared" ca="1" si="53"/>
        <v>0</v>
      </c>
      <c r="BR56" s="109">
        <f t="shared" ca="1" si="54"/>
        <v>0</v>
      </c>
      <c r="BS56" s="109">
        <f t="shared" si="55"/>
        <v>0</v>
      </c>
      <c r="BT56" s="109">
        <f t="shared" ca="1" si="56"/>
        <v>0</v>
      </c>
      <c r="BU56" s="109">
        <f t="shared" si="57"/>
        <v>0</v>
      </c>
      <c r="BV56" s="109">
        <f t="shared" ca="1" si="58"/>
        <v>0</v>
      </c>
      <c r="BX56" s="82">
        <f t="shared" si="59"/>
        <v>0</v>
      </c>
      <c r="BY56" s="132">
        <f t="shared" si="60"/>
        <v>3.992</v>
      </c>
      <c r="BZ56" s="132">
        <f t="shared" si="61"/>
        <v>3.532</v>
      </c>
      <c r="CA56" s="132">
        <f t="shared" si="62"/>
        <v>0</v>
      </c>
      <c r="CB56" s="132">
        <f t="shared" si="63"/>
        <v>0</v>
      </c>
      <c r="CC56" s="235">
        <f t="shared" si="64"/>
        <v>0.29644999999999999</v>
      </c>
      <c r="CD56" s="235">
        <f t="shared" si="65"/>
        <v>0.30249999999999999</v>
      </c>
      <c r="CE56" s="106">
        <f t="shared" si="66"/>
        <v>0.98042074975743199</v>
      </c>
      <c r="CF56" s="237">
        <f>IF(BX56=0,0,_xll.SPRDOPT(BY56,BZ56,$W56,$AM56,CC56,CD56,CE56,$F56,$D$19,0))</f>
        <v>0</v>
      </c>
      <c r="CG56" s="237">
        <f ca="1">IF(BY56=0,0,_xll.SPRDOPT(BY56,BZ56,$W56,$AM56,CC56,CD56,CE56,$F56,$D$19,1))</f>
        <v>1.2393391402886901E-2</v>
      </c>
      <c r="CH56" s="237">
        <f ca="1">IF(BZ56=0,0,_xll.SPRDOPT(BY56,BZ56,$W56,$AM56,CC56,CD56,CE56,$F56,$D$19,2))</f>
        <v>-1.0985050827391424E-2</v>
      </c>
      <c r="CI56" s="237">
        <f>IF(CA56=0,0,_xll.SPRDOPT(BY56,BZ56,$W56,$AM56,CC56,CD56,CE56,$F56,$D$19,3)/100)</f>
        <v>0</v>
      </c>
      <c r="CJ56" s="237">
        <f>IF(CB56=0,0,_xll.SPRDOPT(BY56,BZ56,$W56,$AM56,CC56,CD56,CE56,$F56,$D$19,4)/100)</f>
        <v>0</v>
      </c>
      <c r="CK56" s="237">
        <f ca="1">IF(CC56=0,0,_xll.SPRDOPT(BY56,BZ56,$W56,$AM56,CC56,CD56,CE56,$F56,$D$19,5)/100)</f>
        <v>1.223900626988256E-3</v>
      </c>
      <c r="CL56" s="237">
        <f ca="1">IF(CD56=0,0,_xll.SPRDOPT(BY56,BZ56,$W56,$AM56,CC56,CD56,CE56,$F56,$D$19,6)/100)</f>
        <v>-7.9475814873686853E-4</v>
      </c>
      <c r="CM56" s="237">
        <f ca="1">IF(CE56=0,0,_xll.SPRDOPT(BY56,BZ56,$W56,$AM56,CC56,CD56,CE56,$F56,$D$19,7)/100)</f>
        <v>-1.4943249279247403E-3</v>
      </c>
      <c r="CN56" s="237">
        <f>IF(CF56=0,0,_xll.SPRDOPT(BY56,BZ56,$W56,$AM56,CC56,CD56,CE56,$F56,$D$19,9)/365)</f>
        <v>0</v>
      </c>
      <c r="CO56" s="237">
        <f t="shared" ca="1" si="67"/>
        <v>1.4083405754954769E-3</v>
      </c>
      <c r="CP56" s="237">
        <f t="shared" si="68"/>
        <v>0</v>
      </c>
      <c r="CQ56" s="237">
        <f t="shared" ca="1" si="69"/>
        <v>4.0466446571162237E-4</v>
      </c>
      <c r="CR56" s="206"/>
      <c r="CS56" s="109">
        <f t="shared" si="70"/>
        <v>0</v>
      </c>
      <c r="CT56" s="109">
        <f t="shared" ca="1" si="71"/>
        <v>0</v>
      </c>
      <c r="CU56" s="109">
        <f t="shared" ca="1" si="72"/>
        <v>0</v>
      </c>
      <c r="CV56" s="109">
        <f t="shared" si="73"/>
        <v>0</v>
      </c>
      <c r="CW56" s="109">
        <f t="shared" si="74"/>
        <v>0</v>
      </c>
      <c r="CX56" s="109">
        <f t="shared" ca="1" si="75"/>
        <v>0</v>
      </c>
      <c r="CY56" s="109">
        <f t="shared" ca="1" si="76"/>
        <v>0</v>
      </c>
      <c r="CZ56" s="109">
        <f t="shared" ca="1" si="77"/>
        <v>0</v>
      </c>
      <c r="DA56" s="109">
        <f t="shared" si="78"/>
        <v>0</v>
      </c>
      <c r="DB56" s="109">
        <f t="shared" ca="1" si="79"/>
        <v>0</v>
      </c>
      <c r="DC56" s="109">
        <f t="shared" si="80"/>
        <v>0</v>
      </c>
      <c r="DD56" s="109">
        <f t="shared" ca="1" si="81"/>
        <v>0</v>
      </c>
      <c r="DF56" s="82">
        <f t="shared" si="82"/>
        <v>0</v>
      </c>
      <c r="DG56" s="132">
        <f t="shared" si="83"/>
        <v>3.992</v>
      </c>
      <c r="DH56" s="132">
        <f t="shared" si="84"/>
        <v>3.532</v>
      </c>
      <c r="DI56" s="132">
        <f t="shared" si="85"/>
        <v>0</v>
      </c>
      <c r="DJ56" s="132">
        <f t="shared" si="86"/>
        <v>0</v>
      </c>
      <c r="DK56" s="235">
        <f t="shared" si="87"/>
        <v>0.29644999999999999</v>
      </c>
      <c r="DL56" s="235">
        <f t="shared" si="88"/>
        <v>0.30249999999999999</v>
      </c>
      <c r="DM56" s="106">
        <f t="shared" si="89"/>
        <v>0.98042074975743199</v>
      </c>
      <c r="DN56" s="237">
        <f>IF(DF56=0,0,_xll.SPRDOPT(DG56,DH56,$AD56,$AM56,DK56,DL56,DM56,$F56,$F$19,0))</f>
        <v>0</v>
      </c>
      <c r="DO56" s="237">
        <f ca="1">IF(DG56=0,0,_xll.SPRDOPT(DG56,DH56,$AD56,$AM56,DK56,DL56,DM56,$F56,$F$19,1))</f>
        <v>1.2393391402886901E-2</v>
      </c>
      <c r="DP56" s="237">
        <f ca="1">IF(DH56=0,0,_xll.SPRDOPT(DG56,DH56,$AD56,$AM56,DK56,DL56,DM56,$F56,$F$19,2))</f>
        <v>-1.0985050827391424E-2</v>
      </c>
      <c r="DQ56" s="237">
        <f>IF(DI56=0,0,_xll.SPRDOPT(DG56,DH56,$AD56,$AM56,DK56,DL56,DM56,$F56,$F$19,3)/100)</f>
        <v>0</v>
      </c>
      <c r="DR56" s="237">
        <f>IF(DJ56=0,0,_xll.SPRDOPT(DG56,DH56,$AD56,$AM56,DK56,DL56,DM56,$F56,$F$19,4)/100)</f>
        <v>0</v>
      </c>
      <c r="DS56" s="237">
        <f ca="1">IF(DK56=0,0,_xll.SPRDOPT(DG56,DH56,$AD56,$AM56,DK56,DL56,DM56,$F56,$F$19,5)/100)</f>
        <v>1.223900626988256E-3</v>
      </c>
      <c r="DT56" s="237">
        <f ca="1">IF(DL56=0,0,_xll.SPRDOPT(DG56,DH56,$AD56,$AM56,DK56,DL56,DM56,$F56,$F$19,6)/100)</f>
        <v>-7.9475814873686853E-4</v>
      </c>
      <c r="DU56" s="237">
        <f ca="1">IF(DM56=0,0,_xll.SPRDOPT(DG56,DH56,$AD56,$AM56,DK56,DL56,DM56,$F56,$F$19,7)/100)</f>
        <v>-1.4943249279247403E-3</v>
      </c>
      <c r="DV56" s="237">
        <f>IF(DN56=0,0,_xll.SPRDOPT(DG56,DH56,$AD56,$AM56,DK56,DL56,DM56,$F56,$F$19,9)/365)</f>
        <v>0</v>
      </c>
      <c r="DW56" s="237">
        <f t="shared" ca="1" si="90"/>
        <v>1.4083405754954769E-3</v>
      </c>
      <c r="DX56" s="237">
        <f t="shared" si="91"/>
        <v>0</v>
      </c>
      <c r="DY56" s="237">
        <f t="shared" ca="1" si="92"/>
        <v>4.0466446571162237E-4</v>
      </c>
      <c r="DZ56" s="206"/>
      <c r="EA56" s="109">
        <f t="shared" si="93"/>
        <v>0</v>
      </c>
      <c r="EB56" s="109">
        <f t="shared" ca="1" si="94"/>
        <v>0</v>
      </c>
      <c r="EC56" s="109">
        <f t="shared" ca="1" si="95"/>
        <v>0</v>
      </c>
      <c r="ED56" s="109">
        <f t="shared" si="96"/>
        <v>0</v>
      </c>
      <c r="EE56" s="109">
        <f t="shared" si="97"/>
        <v>0</v>
      </c>
      <c r="EF56" s="109">
        <f t="shared" ca="1" si="98"/>
        <v>0</v>
      </c>
      <c r="EG56" s="109">
        <f t="shared" ca="1" si="99"/>
        <v>0</v>
      </c>
      <c r="EH56" s="109">
        <f t="shared" ca="1" si="100"/>
        <v>0</v>
      </c>
      <c r="EI56" s="109">
        <f t="shared" si="101"/>
        <v>0</v>
      </c>
      <c r="EJ56" s="109">
        <f t="shared" ca="1" si="102"/>
        <v>0</v>
      </c>
      <c r="EK56" s="109">
        <f t="shared" si="103"/>
        <v>0</v>
      </c>
      <c r="EL56" s="109">
        <f t="shared" ca="1" si="104"/>
        <v>0</v>
      </c>
      <c r="EN56" s="82">
        <f t="shared" si="105"/>
        <v>0</v>
      </c>
      <c r="EO56" s="132">
        <f t="shared" si="106"/>
        <v>4.0470000000000006</v>
      </c>
      <c r="EP56" s="132">
        <f t="shared" si="107"/>
        <v>3.532</v>
      </c>
      <c r="EQ56" s="132">
        <f t="shared" si="108"/>
        <v>0</v>
      </c>
      <c r="ER56" s="132">
        <f t="shared" si="109"/>
        <v>0</v>
      </c>
      <c r="ES56" s="235">
        <f t="shared" si="110"/>
        <v>0.29644999999999999</v>
      </c>
      <c r="ET56" s="235">
        <f t="shared" si="111"/>
        <v>0.30249999999999999</v>
      </c>
      <c r="EU56" s="106">
        <f t="shared" si="112"/>
        <v>0.98042074975743199</v>
      </c>
      <c r="EV56" s="237">
        <f>IF(EN56=0,0,_xll.SPRDOPT(EO56,EP56,$AK56,$AM56,ES56,ET56,EU56,$F56,$H$19,0))</f>
        <v>0</v>
      </c>
      <c r="EW56" s="237">
        <f ca="1">IF(EO56=0,0,_xll.SPRDOPT(EO56,EP56,$AK56,$AM56,ES56,ET56,EU56,$F56,$H$19,1))</f>
        <v>-0.77679653657511416</v>
      </c>
      <c r="EX56" s="237">
        <f ca="1">IF(EP56=0,0,_xll.SPRDOPT(EO56,EP56,$AK56,$AM56,ES56,ET56,EU56,$F56,$H$19,2))</f>
        <v>0.78652956713878686</v>
      </c>
      <c r="EY56" s="237">
        <f>IF(EQ56=0,0,_xll.SPRDOPT(EO56,EP56,$AK56,$AM56,ES56,ET56,EU56,$F56,$H$19,3)/100)</f>
        <v>0</v>
      </c>
      <c r="EZ56" s="237">
        <f>IF(ER56=0,0,_xll.SPRDOPT(EO56,EP56,$AK56,$AM56,ES56,ET56,EU56,$F56,$H$19,4)/100)</f>
        <v>0</v>
      </c>
      <c r="FA56" s="237">
        <f ca="1">IF(ES56=0,0,_xll.SPRDOPT(EO56,EP56,$AK56,$AM56,ES56,ET56,EU56,$F56,$H$19,5)/100)</f>
        <v>7.0526843741310343E-3</v>
      </c>
      <c r="FB56" s="237">
        <f ca="1">IF(ET56=0,0,_xll.SPRDOPT(EO56,EP56,$AK56,$AM56,ES56,ET56,EU56,$F56,$H$19,6)/100)</f>
        <v>-4.5453078020294821E-3</v>
      </c>
      <c r="FC56" s="237">
        <f ca="1">IF(EU56=0,0,_xll.SPRDOPT(EO56,EP56,$AK56,$AM56,ES56,ET56,EU56,$F56,$H$19,7)/100)</f>
        <v>-1.0232458552651766E-2</v>
      </c>
      <c r="FD56" s="237">
        <f>IF(EV56=0,0,_xll.SPRDOPT(EO56,EP56,$AK56,$AM56,ES56,ET56,EU56,$F56,$H$19,9)/365)</f>
        <v>0</v>
      </c>
      <c r="FE56" s="237">
        <f t="shared" ca="1" si="113"/>
        <v>9.7330305636726955E-3</v>
      </c>
      <c r="FF56" s="237">
        <f t="shared" si="114"/>
        <v>0</v>
      </c>
      <c r="FG56" s="237">
        <f t="shared" ca="1" si="115"/>
        <v>2.3663228846189316E-3</v>
      </c>
      <c r="FH56" s="206"/>
      <c r="FI56" s="109">
        <f t="shared" si="116"/>
        <v>0</v>
      </c>
      <c r="FJ56" s="109">
        <f t="shared" ca="1" si="117"/>
        <v>0</v>
      </c>
      <c r="FK56" s="109">
        <f t="shared" ca="1" si="118"/>
        <v>0</v>
      </c>
      <c r="FL56" s="109">
        <f t="shared" si="119"/>
        <v>0</v>
      </c>
      <c r="FM56" s="109">
        <f t="shared" si="120"/>
        <v>0</v>
      </c>
      <c r="FN56" s="109">
        <f t="shared" ca="1" si="121"/>
        <v>0</v>
      </c>
      <c r="FO56" s="109">
        <f t="shared" ca="1" si="122"/>
        <v>0</v>
      </c>
      <c r="FP56" s="109">
        <f t="shared" ca="1" si="123"/>
        <v>0</v>
      </c>
      <c r="FQ56" s="109">
        <f t="shared" si="124"/>
        <v>0</v>
      </c>
      <c r="FR56" s="109">
        <f t="shared" ca="1" si="125"/>
        <v>0</v>
      </c>
      <c r="FS56" s="109">
        <f t="shared" si="126"/>
        <v>0</v>
      </c>
      <c r="FT56" s="109">
        <f t="shared" ca="1" si="127"/>
        <v>0</v>
      </c>
    </row>
    <row r="57" spans="1:176" x14ac:dyDescent="0.25">
      <c r="A57" s="101">
        <f t="shared" si="18"/>
        <v>37377</v>
      </c>
      <c r="B57" s="102">
        <f t="shared" si="19"/>
        <v>3.4470000000000001</v>
      </c>
      <c r="C57" s="80">
        <f t="shared" si="20"/>
        <v>0.28749999999999998</v>
      </c>
      <c r="D57" s="102"/>
      <c r="E57" s="106"/>
      <c r="F57" s="105">
        <f t="shared" ca="1" si="21"/>
        <v>603</v>
      </c>
      <c r="G57" s="80"/>
      <c r="H57" s="80"/>
      <c r="I57" s="104"/>
      <c r="J57" s="234"/>
      <c r="K57" s="102">
        <f t="shared" si="22"/>
        <v>0.1825</v>
      </c>
      <c r="L57" s="102">
        <f t="shared" si="23"/>
        <v>0</v>
      </c>
      <c r="M57" s="106">
        <f t="shared" si="24"/>
        <v>0.98</v>
      </c>
      <c r="N57" s="106">
        <f t="shared" si="25"/>
        <v>1</v>
      </c>
      <c r="O57" s="106">
        <f t="shared" si="26"/>
        <v>0.99</v>
      </c>
      <c r="P57" s="236">
        <f t="shared" si="27"/>
        <v>0.4</v>
      </c>
      <c r="Q57" s="106"/>
      <c r="R57" s="102">
        <f t="shared" si="4"/>
        <v>0.40500000000000003</v>
      </c>
      <c r="S57" s="102">
        <f t="shared" si="5"/>
        <v>0</v>
      </c>
      <c r="T57" s="106">
        <f t="shared" si="6"/>
        <v>0.98</v>
      </c>
      <c r="U57" s="106">
        <f t="shared" si="28"/>
        <v>1</v>
      </c>
      <c r="V57" s="106">
        <f t="shared" si="29"/>
        <v>0.98042074975743199</v>
      </c>
      <c r="W57" s="236">
        <f t="shared" si="30"/>
        <v>1.6</v>
      </c>
      <c r="X57" s="106"/>
      <c r="Y57" s="102">
        <f t="shared" si="7"/>
        <v>0.40500000000000003</v>
      </c>
      <c r="Z57" s="102">
        <f t="shared" si="8"/>
        <v>0</v>
      </c>
      <c r="AA57" s="106">
        <f t="shared" si="9"/>
        <v>0.98</v>
      </c>
      <c r="AB57" s="106">
        <f t="shared" si="31"/>
        <v>1</v>
      </c>
      <c r="AC57" s="106">
        <f t="shared" si="10"/>
        <v>0.98042074975743199</v>
      </c>
      <c r="AD57" s="236">
        <f t="shared" si="32"/>
        <v>1.6</v>
      </c>
      <c r="AE57" s="106"/>
      <c r="AF57" s="102">
        <f t="shared" si="11"/>
        <v>0.40500000000000003</v>
      </c>
      <c r="AG57" s="102">
        <f t="shared" si="12"/>
        <v>0</v>
      </c>
      <c r="AH57" s="106">
        <f t="shared" si="13"/>
        <v>0.98</v>
      </c>
      <c r="AI57" s="106">
        <f t="shared" si="33"/>
        <v>1</v>
      </c>
      <c r="AJ57" s="106">
        <f t="shared" si="14"/>
        <v>0.98042074975743199</v>
      </c>
      <c r="AK57" s="236">
        <f t="shared" si="34"/>
        <v>1</v>
      </c>
      <c r="AM57" s="80">
        <f t="shared" si="35"/>
        <v>6.909369805104501E-2</v>
      </c>
      <c r="AN57" s="182">
        <f t="shared" si="15"/>
        <v>31</v>
      </c>
      <c r="AP57" s="82">
        <f t="shared" si="36"/>
        <v>0</v>
      </c>
      <c r="AQ57" s="132">
        <f t="shared" si="37"/>
        <v>3.6295000000000002</v>
      </c>
      <c r="AR57" s="132">
        <f t="shared" si="38"/>
        <v>3.4470000000000001</v>
      </c>
      <c r="AS57" s="132">
        <f t="shared" si="39"/>
        <v>0</v>
      </c>
      <c r="AT57" s="132">
        <f t="shared" si="40"/>
        <v>0</v>
      </c>
      <c r="AU57" s="235">
        <f t="shared" si="41"/>
        <v>0.28175</v>
      </c>
      <c r="AV57" s="235">
        <f t="shared" si="42"/>
        <v>0.28749999999999998</v>
      </c>
      <c r="AW57" s="106">
        <f t="shared" si="43"/>
        <v>0.99</v>
      </c>
      <c r="AX57" s="237">
        <f>IF(AP57=0,0,_xll.SPRDOPT(AQ57,AR57,$P57,$AM57,AU57,AV57,AW57,$F57,$B$19,0))</f>
        <v>0</v>
      </c>
      <c r="AY57" s="237">
        <f ca="1">IF(AQ57=0,0,_xll.SPRDOPT(AQ57,AR57,$P57,$AM57,AU57,AV57,AW57,$F57,$B$19,1))</f>
        <v>0.14721003357530443</v>
      </c>
      <c r="AZ57" s="237">
        <f ca="1">IF(AR57=0,0,_xll.SPRDOPT(AQ57,AR57,$P57,$AM57,AU57,AV57,AW57,$F57,$B$19,2))</f>
        <v>-0.13796786811842454</v>
      </c>
      <c r="BA57" s="237">
        <f>IF(AS57=0,0,_xll.SPRDOPT(AQ57,AR57,$P57,$AM57,AU57,AV57,AW57,$F57,$B$19,3)/100)</f>
        <v>0</v>
      </c>
      <c r="BB57" s="237">
        <f>IF(AT57=0,0,_xll.SPRDOPT(AQ57,AR57,$P57,$AM57,AU57,AV57,AW57,$F57,$B$19,4)/100)</f>
        <v>0</v>
      </c>
      <c r="BC57" s="237">
        <f ca="1">IF(AU57=0,0,_xll.SPRDOPT(AQ57,AR57,$P57,$AM57,AU57,AV57,AW57,$F57,$B$19,5)/100)</f>
        <v>5.2871428676603697E-3</v>
      </c>
      <c r="BD57" s="237">
        <f ca="1">IF(AV57=0,0,_xll.SPRDOPT(AQ57,AR57,$P57,$AM57,AU57,AV57,AW57,$F57,$B$19,6)/100)</f>
        <v>-3.5979197264545894E-3</v>
      </c>
      <c r="BE57" s="237">
        <f ca="1">IF(AW57=0,0,_xll.SPRDOPT(AQ57,AR57,$P57,$AM57,AU57,AV57,AW57,$F57,$B$19,7)/100)</f>
        <v>-1.7593285521880365E-2</v>
      </c>
      <c r="BF57" s="237">
        <f>IF(AX57=0,0,_xll.SPRDOPT(AQ57,AR57,$P57,$AM57,AU57,AV57,AW57,$F57,$B$19,9)/365)</f>
        <v>0</v>
      </c>
      <c r="BG57" s="237">
        <f t="shared" ca="1" si="44"/>
        <v>9.2421654568798917E-3</v>
      </c>
      <c r="BH57" s="237">
        <f t="shared" si="45"/>
        <v>0</v>
      </c>
      <c r="BI57" s="237">
        <f t="shared" ca="1" si="46"/>
        <v>1.5834802838525738E-3</v>
      </c>
      <c r="BJ57" s="206"/>
      <c r="BK57" s="109">
        <f t="shared" si="47"/>
        <v>0</v>
      </c>
      <c r="BL57" s="109">
        <f t="shared" ca="1" si="48"/>
        <v>0</v>
      </c>
      <c r="BM57" s="109">
        <f t="shared" ca="1" si="49"/>
        <v>0</v>
      </c>
      <c r="BN57" s="109">
        <f t="shared" si="50"/>
        <v>0</v>
      </c>
      <c r="BO57" s="109">
        <f t="shared" si="51"/>
        <v>0</v>
      </c>
      <c r="BP57" s="109">
        <f t="shared" ca="1" si="52"/>
        <v>0</v>
      </c>
      <c r="BQ57" s="109">
        <f t="shared" ca="1" si="53"/>
        <v>0</v>
      </c>
      <c r="BR57" s="109">
        <f t="shared" ca="1" si="54"/>
        <v>0</v>
      </c>
      <c r="BS57" s="109">
        <f t="shared" si="55"/>
        <v>0</v>
      </c>
      <c r="BT57" s="109">
        <f t="shared" ca="1" si="56"/>
        <v>0</v>
      </c>
      <c r="BU57" s="109">
        <f t="shared" si="57"/>
        <v>0</v>
      </c>
      <c r="BV57" s="109">
        <f t="shared" ca="1" si="58"/>
        <v>0</v>
      </c>
      <c r="BX57" s="82">
        <f t="shared" si="59"/>
        <v>0</v>
      </c>
      <c r="BY57" s="132">
        <f t="shared" si="60"/>
        <v>3.8620000000000001</v>
      </c>
      <c r="BZ57" s="132">
        <f t="shared" si="61"/>
        <v>3.4470000000000001</v>
      </c>
      <c r="CA57" s="132">
        <f t="shared" si="62"/>
        <v>0</v>
      </c>
      <c r="CB57" s="132">
        <f t="shared" si="63"/>
        <v>0</v>
      </c>
      <c r="CC57" s="235">
        <f t="shared" si="64"/>
        <v>0.28175</v>
      </c>
      <c r="CD57" s="235">
        <f t="shared" si="65"/>
        <v>0.28749999999999998</v>
      </c>
      <c r="CE57" s="106">
        <f t="shared" si="66"/>
        <v>0.98042074975743199</v>
      </c>
      <c r="CF57" s="237">
        <f>IF(BX57=0,0,_xll.SPRDOPT(BY57,BZ57,$W57,$AM57,CC57,CD57,CE57,$F57,$D$19,0))</f>
        <v>0</v>
      </c>
      <c r="CG57" s="237">
        <f ca="1">IF(BY57=0,0,_xll.SPRDOPT(BY57,BZ57,$W57,$AM57,CC57,CD57,CE57,$F57,$D$19,1))</f>
        <v>7.1380971249426139E-3</v>
      </c>
      <c r="CH57" s="237">
        <f ca="1">IF(BZ57=0,0,_xll.SPRDOPT(BY57,BZ57,$W57,$AM57,CC57,CD57,CE57,$F57,$D$19,2))</f>
        <v>-6.2889995028609274E-3</v>
      </c>
      <c r="CI57" s="237">
        <f>IF(CA57=0,0,_xll.SPRDOPT(BY57,BZ57,$W57,$AM57,CC57,CD57,CE57,$F57,$D$19,3)/100)</f>
        <v>0</v>
      </c>
      <c r="CJ57" s="237">
        <f>IF(CB57=0,0,_xll.SPRDOPT(BY57,BZ57,$W57,$AM57,CC57,CD57,CE57,$F57,$D$19,4)/100)</f>
        <v>0</v>
      </c>
      <c r="CK57" s="237">
        <f ca="1">IF(CC57=0,0,_xll.SPRDOPT(BY57,BZ57,$W57,$AM57,CC57,CD57,CE57,$F57,$D$19,5)/100)</f>
        <v>7.4963124288036378E-4</v>
      </c>
      <c r="CL57" s="237">
        <f ca="1">IF(CD57=0,0,_xll.SPRDOPT(BY57,BZ57,$W57,$AM57,CC57,CD57,CE57,$F57,$D$19,6)/100)</f>
        <v>-4.8715694818657703E-4</v>
      </c>
      <c r="CM57" s="237">
        <f ca="1">IF(CE57=0,0,_xll.SPRDOPT(BY57,BZ57,$W57,$AM57,CC57,CD57,CE57,$F57,$D$19,7)/100)</f>
        <v>-8.7492726961538498E-4</v>
      </c>
      <c r="CN57" s="237">
        <f>IF(CF57=0,0,_xll.SPRDOPT(BY57,BZ57,$W57,$AM57,CC57,CD57,CE57,$F57,$D$19,9)/365)</f>
        <v>0</v>
      </c>
      <c r="CO57" s="237">
        <f t="shared" ca="1" si="67"/>
        <v>8.4909762208168656E-4</v>
      </c>
      <c r="CP57" s="237">
        <f t="shared" si="68"/>
        <v>0</v>
      </c>
      <c r="CQ57" s="237">
        <f t="shared" ca="1" si="69"/>
        <v>2.4748166983617955E-4</v>
      </c>
      <c r="CR57" s="206"/>
      <c r="CS57" s="109">
        <f t="shared" si="70"/>
        <v>0</v>
      </c>
      <c r="CT57" s="109">
        <f t="shared" ca="1" si="71"/>
        <v>0</v>
      </c>
      <c r="CU57" s="109">
        <f t="shared" ca="1" si="72"/>
        <v>0</v>
      </c>
      <c r="CV57" s="109">
        <f t="shared" si="73"/>
        <v>0</v>
      </c>
      <c r="CW57" s="109">
        <f t="shared" si="74"/>
        <v>0</v>
      </c>
      <c r="CX57" s="109">
        <f t="shared" ca="1" si="75"/>
        <v>0</v>
      </c>
      <c r="CY57" s="109">
        <f t="shared" ca="1" si="76"/>
        <v>0</v>
      </c>
      <c r="CZ57" s="109">
        <f t="shared" ca="1" si="77"/>
        <v>0</v>
      </c>
      <c r="DA57" s="109">
        <f t="shared" si="78"/>
        <v>0</v>
      </c>
      <c r="DB57" s="109">
        <f t="shared" ca="1" si="79"/>
        <v>0</v>
      </c>
      <c r="DC57" s="109">
        <f t="shared" si="80"/>
        <v>0</v>
      </c>
      <c r="DD57" s="109">
        <f t="shared" ca="1" si="81"/>
        <v>0</v>
      </c>
      <c r="DF57" s="82">
        <f t="shared" si="82"/>
        <v>0</v>
      </c>
      <c r="DG57" s="132">
        <f t="shared" si="83"/>
        <v>3.8620000000000001</v>
      </c>
      <c r="DH57" s="132">
        <f t="shared" si="84"/>
        <v>3.4470000000000001</v>
      </c>
      <c r="DI57" s="132">
        <f t="shared" si="85"/>
        <v>0</v>
      </c>
      <c r="DJ57" s="132">
        <f t="shared" si="86"/>
        <v>0</v>
      </c>
      <c r="DK57" s="235">
        <f t="shared" si="87"/>
        <v>0.28175</v>
      </c>
      <c r="DL57" s="235">
        <f t="shared" si="88"/>
        <v>0.28749999999999998</v>
      </c>
      <c r="DM57" s="106">
        <f t="shared" si="89"/>
        <v>0.98042074975743199</v>
      </c>
      <c r="DN57" s="237">
        <f>IF(DF57=0,0,_xll.SPRDOPT(DG57,DH57,$AD57,$AM57,DK57,DL57,DM57,$F57,$F$19,0))</f>
        <v>0</v>
      </c>
      <c r="DO57" s="237">
        <f ca="1">IF(DG57=0,0,_xll.SPRDOPT(DG57,DH57,$AD57,$AM57,DK57,DL57,DM57,$F57,$F$19,1))</f>
        <v>7.1380971249426139E-3</v>
      </c>
      <c r="DP57" s="237">
        <f ca="1">IF(DH57=0,0,_xll.SPRDOPT(DG57,DH57,$AD57,$AM57,DK57,DL57,DM57,$F57,$F$19,2))</f>
        <v>-6.2889995028609274E-3</v>
      </c>
      <c r="DQ57" s="237">
        <f>IF(DI57=0,0,_xll.SPRDOPT(DG57,DH57,$AD57,$AM57,DK57,DL57,DM57,$F57,$F$19,3)/100)</f>
        <v>0</v>
      </c>
      <c r="DR57" s="237">
        <f>IF(DJ57=0,0,_xll.SPRDOPT(DG57,DH57,$AD57,$AM57,DK57,DL57,DM57,$F57,$F$19,4)/100)</f>
        <v>0</v>
      </c>
      <c r="DS57" s="237">
        <f ca="1">IF(DK57=0,0,_xll.SPRDOPT(DG57,DH57,$AD57,$AM57,DK57,DL57,DM57,$F57,$F$19,5)/100)</f>
        <v>7.4963124288036378E-4</v>
      </c>
      <c r="DT57" s="237">
        <f ca="1">IF(DL57=0,0,_xll.SPRDOPT(DG57,DH57,$AD57,$AM57,DK57,DL57,DM57,$F57,$F$19,6)/100)</f>
        <v>-4.8715694818657703E-4</v>
      </c>
      <c r="DU57" s="237">
        <f ca="1">IF(DM57=0,0,_xll.SPRDOPT(DG57,DH57,$AD57,$AM57,DK57,DL57,DM57,$F57,$F$19,7)/100)</f>
        <v>-8.7492726961538498E-4</v>
      </c>
      <c r="DV57" s="237">
        <f>IF(DN57=0,0,_xll.SPRDOPT(DG57,DH57,$AD57,$AM57,DK57,DL57,DM57,$F57,$F$19,9)/365)</f>
        <v>0</v>
      </c>
      <c r="DW57" s="237">
        <f t="shared" ca="1" si="90"/>
        <v>8.4909762208168656E-4</v>
      </c>
      <c r="DX57" s="237">
        <f t="shared" si="91"/>
        <v>0</v>
      </c>
      <c r="DY57" s="237">
        <f t="shared" ca="1" si="92"/>
        <v>2.4748166983617955E-4</v>
      </c>
      <c r="DZ57" s="206"/>
      <c r="EA57" s="109">
        <f t="shared" si="93"/>
        <v>0</v>
      </c>
      <c r="EB57" s="109">
        <f t="shared" ca="1" si="94"/>
        <v>0</v>
      </c>
      <c r="EC57" s="109">
        <f t="shared" ca="1" si="95"/>
        <v>0</v>
      </c>
      <c r="ED57" s="109">
        <f t="shared" si="96"/>
        <v>0</v>
      </c>
      <c r="EE57" s="109">
        <f t="shared" si="97"/>
        <v>0</v>
      </c>
      <c r="EF57" s="109">
        <f t="shared" ca="1" si="98"/>
        <v>0</v>
      </c>
      <c r="EG57" s="109">
        <f t="shared" ca="1" si="99"/>
        <v>0</v>
      </c>
      <c r="EH57" s="109">
        <f t="shared" ca="1" si="100"/>
        <v>0</v>
      </c>
      <c r="EI57" s="109">
        <f t="shared" si="101"/>
        <v>0</v>
      </c>
      <c r="EJ57" s="109">
        <f t="shared" ca="1" si="102"/>
        <v>0</v>
      </c>
      <c r="EK57" s="109">
        <f t="shared" si="103"/>
        <v>0</v>
      </c>
      <c r="EL57" s="109">
        <f t="shared" ca="1" si="104"/>
        <v>0</v>
      </c>
      <c r="EN57" s="82">
        <f t="shared" si="105"/>
        <v>0</v>
      </c>
      <c r="EO57" s="132">
        <f t="shared" si="106"/>
        <v>3.9170000000000003</v>
      </c>
      <c r="EP57" s="132">
        <f t="shared" si="107"/>
        <v>3.4470000000000001</v>
      </c>
      <c r="EQ57" s="132">
        <f t="shared" si="108"/>
        <v>0</v>
      </c>
      <c r="ER57" s="132">
        <f t="shared" si="109"/>
        <v>0</v>
      </c>
      <c r="ES57" s="235">
        <f t="shared" si="110"/>
        <v>0.28175</v>
      </c>
      <c r="ET57" s="235">
        <f t="shared" si="111"/>
        <v>0.28749999999999998</v>
      </c>
      <c r="EU57" s="106">
        <f t="shared" si="112"/>
        <v>0.98042074975743199</v>
      </c>
      <c r="EV57" s="237">
        <f>IF(EN57=0,0,_xll.SPRDOPT(EO57,EP57,$AK57,$AM57,ES57,ET57,EU57,$F57,$H$19,0))</f>
        <v>0</v>
      </c>
      <c r="EW57" s="237">
        <f ca="1">IF(EO57=0,0,_xll.SPRDOPT(EO57,EP57,$AK57,$AM57,ES57,ET57,EU57,$F57,$H$19,1))</f>
        <v>-0.80288511448159439</v>
      </c>
      <c r="EX57" s="237">
        <f ca="1">IF(EP57=0,0,_xll.SPRDOPT(EO57,EP57,$AK57,$AM57,ES57,ET57,EU57,$F57,$H$19,2))</f>
        <v>0.81052860332326537</v>
      </c>
      <c r="EY57" s="237">
        <f>IF(EQ57=0,0,_xll.SPRDOPT(EO57,EP57,$AK57,$AM57,ES57,ET57,EU57,$F57,$H$19,3)/100)</f>
        <v>0</v>
      </c>
      <c r="EZ57" s="237">
        <f>IF(ER57=0,0,_xll.SPRDOPT(EO57,EP57,$AK57,$AM57,ES57,ET57,EU57,$F57,$H$19,4)/100)</f>
        <v>0</v>
      </c>
      <c r="FA57" s="237">
        <f ca="1">IF(ES57=0,0,_xll.SPRDOPT(EO57,EP57,$AK57,$AM57,ES57,ET57,EU57,$F57,$H$19,5)/100)</f>
        <v>5.6463047398478926E-3</v>
      </c>
      <c r="FB57" s="237">
        <f ca="1">IF(ET57=0,0,_xll.SPRDOPT(EO57,EP57,$AK57,$AM57,ES57,ET57,EU57,$F57,$H$19,6)/100)</f>
        <v>-3.6415404407039468E-3</v>
      </c>
      <c r="FC57" s="237">
        <f ca="1">IF(EU57=0,0,_xll.SPRDOPT(EO57,EP57,$AK57,$AM57,ES57,ET57,EU57,$F57,$H$19,7)/100)</f>
        <v>-7.8082771048416984E-3</v>
      </c>
      <c r="FD57" s="237">
        <f>IF(EV57=0,0,_xll.SPRDOPT(EO57,EP57,$AK57,$AM57,ES57,ET57,EU57,$F57,$H$19,9)/365)</f>
        <v>0</v>
      </c>
      <c r="FE57" s="237">
        <f t="shared" ca="1" si="113"/>
        <v>7.6434888416709867E-3</v>
      </c>
      <c r="FF57" s="237">
        <f t="shared" si="114"/>
        <v>0</v>
      </c>
      <c r="FG57" s="237">
        <f t="shared" ca="1" si="115"/>
        <v>1.8918382043469888E-3</v>
      </c>
      <c r="FH57" s="206"/>
      <c r="FI57" s="109">
        <f t="shared" si="116"/>
        <v>0</v>
      </c>
      <c r="FJ57" s="109">
        <f t="shared" ca="1" si="117"/>
        <v>0</v>
      </c>
      <c r="FK57" s="109">
        <f t="shared" ca="1" si="118"/>
        <v>0</v>
      </c>
      <c r="FL57" s="109">
        <f t="shared" si="119"/>
        <v>0</v>
      </c>
      <c r="FM57" s="109">
        <f t="shared" si="120"/>
        <v>0</v>
      </c>
      <c r="FN57" s="109">
        <f t="shared" ca="1" si="121"/>
        <v>0</v>
      </c>
      <c r="FO57" s="109">
        <f t="shared" ca="1" si="122"/>
        <v>0</v>
      </c>
      <c r="FP57" s="109">
        <f t="shared" ca="1" si="123"/>
        <v>0</v>
      </c>
      <c r="FQ57" s="109">
        <f t="shared" si="124"/>
        <v>0</v>
      </c>
      <c r="FR57" s="109">
        <f t="shared" ca="1" si="125"/>
        <v>0</v>
      </c>
      <c r="FS57" s="109">
        <f t="shared" si="126"/>
        <v>0</v>
      </c>
      <c r="FT57" s="109">
        <f t="shared" ca="1" si="127"/>
        <v>0</v>
      </c>
    </row>
    <row r="58" spans="1:176" x14ac:dyDescent="0.25">
      <c r="A58" s="101">
        <f t="shared" si="18"/>
        <v>37408</v>
      </c>
      <c r="B58" s="102">
        <f t="shared" si="19"/>
        <v>3.427</v>
      </c>
      <c r="C58" s="80">
        <f t="shared" si="20"/>
        <v>0.28499999999999998</v>
      </c>
      <c r="D58" s="102"/>
      <c r="E58" s="106"/>
      <c r="F58" s="105">
        <f t="shared" ca="1" si="21"/>
        <v>636</v>
      </c>
      <c r="G58" s="80"/>
      <c r="H58" s="80"/>
      <c r="I58" s="104"/>
      <c r="J58" s="234"/>
      <c r="K58" s="102">
        <f t="shared" si="22"/>
        <v>0.1825</v>
      </c>
      <c r="L58" s="102">
        <f t="shared" si="23"/>
        <v>0</v>
      </c>
      <c r="M58" s="106">
        <f t="shared" si="24"/>
        <v>0.98</v>
      </c>
      <c r="N58" s="106">
        <f t="shared" si="25"/>
        <v>1</v>
      </c>
      <c r="O58" s="106">
        <f t="shared" si="26"/>
        <v>0.99</v>
      </c>
      <c r="P58" s="236">
        <f t="shared" si="27"/>
        <v>0.4</v>
      </c>
      <c r="Q58" s="106"/>
      <c r="R58" s="102">
        <f t="shared" si="4"/>
        <v>0.39500000000000002</v>
      </c>
      <c r="S58" s="102">
        <f t="shared" si="5"/>
        <v>0</v>
      </c>
      <c r="T58" s="106">
        <f t="shared" si="6"/>
        <v>0.98</v>
      </c>
      <c r="U58" s="106">
        <f t="shared" si="28"/>
        <v>1</v>
      </c>
      <c r="V58" s="106">
        <f t="shared" si="29"/>
        <v>0.98042074975743199</v>
      </c>
      <c r="W58" s="236">
        <f t="shared" si="30"/>
        <v>1.6</v>
      </c>
      <c r="X58" s="106"/>
      <c r="Y58" s="102">
        <f t="shared" si="7"/>
        <v>0.39500000000000002</v>
      </c>
      <c r="Z58" s="102">
        <f t="shared" si="8"/>
        <v>0</v>
      </c>
      <c r="AA58" s="106">
        <f t="shared" si="9"/>
        <v>0.98</v>
      </c>
      <c r="AB58" s="106">
        <f t="shared" si="31"/>
        <v>1</v>
      </c>
      <c r="AC58" s="106">
        <f t="shared" si="10"/>
        <v>0.98042074975743199</v>
      </c>
      <c r="AD58" s="236">
        <f t="shared" si="32"/>
        <v>1.6</v>
      </c>
      <c r="AE58" s="106"/>
      <c r="AF58" s="102">
        <f t="shared" si="11"/>
        <v>0.39500000000000002</v>
      </c>
      <c r="AG58" s="102">
        <f t="shared" si="12"/>
        <v>0</v>
      </c>
      <c r="AH58" s="106">
        <f t="shared" si="13"/>
        <v>0.98</v>
      </c>
      <c r="AI58" s="106">
        <f t="shared" si="33"/>
        <v>1</v>
      </c>
      <c r="AJ58" s="106">
        <f t="shared" si="14"/>
        <v>0.98042074975743199</v>
      </c>
      <c r="AK58" s="236">
        <f t="shared" si="34"/>
        <v>1</v>
      </c>
      <c r="AM58" s="80">
        <f t="shared" si="35"/>
        <v>6.9095428485473995E-2</v>
      </c>
      <c r="AN58" s="182">
        <f t="shared" si="15"/>
        <v>30</v>
      </c>
      <c r="AP58" s="82">
        <f t="shared" si="36"/>
        <v>0</v>
      </c>
      <c r="AQ58" s="132">
        <f t="shared" si="37"/>
        <v>3.6095000000000002</v>
      </c>
      <c r="AR58" s="132">
        <f t="shared" si="38"/>
        <v>3.427</v>
      </c>
      <c r="AS58" s="132">
        <f t="shared" si="39"/>
        <v>0</v>
      </c>
      <c r="AT58" s="132">
        <f t="shared" si="40"/>
        <v>0</v>
      </c>
      <c r="AU58" s="235">
        <f t="shared" si="41"/>
        <v>0.27929999999999999</v>
      </c>
      <c r="AV58" s="235">
        <f t="shared" si="42"/>
        <v>0.28499999999999998</v>
      </c>
      <c r="AW58" s="106">
        <f t="shared" si="43"/>
        <v>0.99</v>
      </c>
      <c r="AX58" s="237">
        <f>IF(AP58=0,0,_xll.SPRDOPT(AQ58,AR58,$P58,$AM58,AU58,AV58,AW58,$F58,$B$19,0))</f>
        <v>0</v>
      </c>
      <c r="AY58" s="237">
        <f ca="1">IF(AQ58=0,0,_xll.SPRDOPT(AQ58,AR58,$P58,$AM58,AU58,AV58,AW58,$F58,$B$19,1))</f>
        <v>0.14967701434509925</v>
      </c>
      <c r="AZ58" s="237">
        <f ca="1">IF(AR58=0,0,_xll.SPRDOPT(AQ58,AR58,$P58,$AM58,AU58,AV58,AW58,$F58,$B$19,2))</f>
        <v>-0.14019952598392443</v>
      </c>
      <c r="BA58" s="237">
        <f>IF(AS58=0,0,_xll.SPRDOPT(AQ58,AR58,$P58,$AM58,AU58,AV58,AW58,$F58,$B$19,3)/100)</f>
        <v>0</v>
      </c>
      <c r="BB58" s="237">
        <f>IF(AT58=0,0,_xll.SPRDOPT(AQ58,AR58,$P58,$AM58,AU58,AV58,AW58,$F58,$B$19,4)/100)</f>
        <v>0</v>
      </c>
      <c r="BC58" s="237">
        <f ca="1">IF(AU58=0,0,_xll.SPRDOPT(AQ58,AR58,$P58,$AM58,AU58,AV58,AW58,$F58,$B$19,5)/100)</f>
        <v>5.4595088844301247E-3</v>
      </c>
      <c r="BD58" s="237">
        <f ca="1">IF(AV58=0,0,_xll.SPRDOPT(AQ58,AR58,$P58,$AM58,AU58,AV58,AW58,$F58,$B$19,6)/100)</f>
        <v>-3.7168274603994762E-3</v>
      </c>
      <c r="BE58" s="237">
        <f ca="1">IF(AW58=0,0,_xll.SPRDOPT(AQ58,AR58,$P58,$AM58,AU58,AV58,AW58,$F58,$B$19,7)/100)</f>
        <v>-1.794411679745923E-2</v>
      </c>
      <c r="BF58" s="237">
        <f>IF(AX58=0,0,_xll.SPRDOPT(AQ58,AR58,$P58,$AM58,AU58,AV58,AW58,$F58,$B$19,9)/365)</f>
        <v>0</v>
      </c>
      <c r="BG58" s="237">
        <f t="shared" ca="1" si="44"/>
        <v>9.4774883611748184E-3</v>
      </c>
      <c r="BH58" s="237">
        <f t="shared" si="45"/>
        <v>0</v>
      </c>
      <c r="BI58" s="237">
        <f t="shared" ca="1" si="46"/>
        <v>1.6334912463420465E-3</v>
      </c>
      <c r="BJ58" s="206"/>
      <c r="BK58" s="109">
        <f t="shared" si="47"/>
        <v>0</v>
      </c>
      <c r="BL58" s="109">
        <f t="shared" ca="1" si="48"/>
        <v>0</v>
      </c>
      <c r="BM58" s="109">
        <f t="shared" ca="1" si="49"/>
        <v>0</v>
      </c>
      <c r="BN58" s="109">
        <f t="shared" si="50"/>
        <v>0</v>
      </c>
      <c r="BO58" s="109">
        <f t="shared" si="51"/>
        <v>0</v>
      </c>
      <c r="BP58" s="109">
        <f t="shared" ca="1" si="52"/>
        <v>0</v>
      </c>
      <c r="BQ58" s="109">
        <f t="shared" ca="1" si="53"/>
        <v>0</v>
      </c>
      <c r="BR58" s="109">
        <f t="shared" ca="1" si="54"/>
        <v>0</v>
      </c>
      <c r="BS58" s="109">
        <f t="shared" si="55"/>
        <v>0</v>
      </c>
      <c r="BT58" s="109">
        <f t="shared" ca="1" si="56"/>
        <v>0</v>
      </c>
      <c r="BU58" s="109">
        <f t="shared" si="57"/>
        <v>0</v>
      </c>
      <c r="BV58" s="109">
        <f t="shared" ca="1" si="58"/>
        <v>0</v>
      </c>
      <c r="BX58" s="82">
        <f t="shared" si="59"/>
        <v>0</v>
      </c>
      <c r="BY58" s="132">
        <f t="shared" si="60"/>
        <v>3.8319999999999999</v>
      </c>
      <c r="BZ58" s="132">
        <f t="shared" si="61"/>
        <v>3.427</v>
      </c>
      <c r="CA58" s="132">
        <f t="shared" si="62"/>
        <v>0</v>
      </c>
      <c r="CB58" s="132">
        <f t="shared" si="63"/>
        <v>0</v>
      </c>
      <c r="CC58" s="235">
        <f t="shared" si="64"/>
        <v>0.27929999999999999</v>
      </c>
      <c r="CD58" s="235">
        <f t="shared" si="65"/>
        <v>0.28499999999999998</v>
      </c>
      <c r="CE58" s="106">
        <f t="shared" si="66"/>
        <v>0.98042074975743199</v>
      </c>
      <c r="CF58" s="237">
        <f>IF(BX58=0,0,_xll.SPRDOPT(BY58,BZ58,$W58,$AM58,CC58,CD58,CE58,$F58,$D$19,0))</f>
        <v>0</v>
      </c>
      <c r="CG58" s="237">
        <f ca="1">IF(BY58=0,0,_xll.SPRDOPT(BY58,BZ58,$W58,$AM58,CC58,CD58,CE58,$F58,$D$19,1))</f>
        <v>7.3554545260311006E-3</v>
      </c>
      <c r="CH58" s="237">
        <f ca="1">IF(BZ58=0,0,_xll.SPRDOPT(BY58,BZ58,$W58,$AM58,CC58,CD58,CE58,$F58,$D$19,2))</f>
        <v>-6.4678802008668202E-3</v>
      </c>
      <c r="CI58" s="237">
        <f>IF(CA58=0,0,_xll.SPRDOPT(BY58,BZ58,$W58,$AM58,CC58,CD58,CE58,$F58,$D$19,3)/100)</f>
        <v>0</v>
      </c>
      <c r="CJ58" s="237">
        <f>IF(CB58=0,0,_xll.SPRDOPT(BY58,BZ58,$W58,$AM58,CC58,CD58,CE58,$F58,$D$19,4)/100)</f>
        <v>0</v>
      </c>
      <c r="CK58" s="237">
        <f ca="1">IF(CC58=0,0,_xll.SPRDOPT(BY58,BZ58,$W58,$AM58,CC58,CD58,CE58,$F58,$D$19,5)/100)</f>
        <v>7.8278680992045465E-4</v>
      </c>
      <c r="CL58" s="237">
        <f ca="1">IF(CD58=0,0,_xll.SPRDOPT(BY58,BZ58,$W58,$AM58,CC58,CD58,CE58,$F58,$D$19,6)/100)</f>
        <v>-5.0850745464536254E-4</v>
      </c>
      <c r="CM58" s="237">
        <f ca="1">IF(CE58=0,0,_xll.SPRDOPT(BY58,BZ58,$W58,$AM58,CC58,CD58,CE58,$F58,$D$19,7)/100)</f>
        <v>-9.0807372902357254E-4</v>
      </c>
      <c r="CN58" s="237">
        <f>IF(CF58=0,0,_xll.SPRDOPT(BY58,BZ58,$W58,$AM58,CC58,CD58,CE58,$F58,$D$19,9)/365)</f>
        <v>0</v>
      </c>
      <c r="CO58" s="237">
        <f t="shared" ca="1" si="67"/>
        <v>8.875743251642804E-4</v>
      </c>
      <c r="CP58" s="237">
        <f t="shared" si="68"/>
        <v>0</v>
      </c>
      <c r="CQ58" s="237">
        <f t="shared" ca="1" si="69"/>
        <v>2.5862361907668307E-4</v>
      </c>
      <c r="CR58" s="206"/>
      <c r="CS58" s="109">
        <f t="shared" si="70"/>
        <v>0</v>
      </c>
      <c r="CT58" s="109">
        <f t="shared" ca="1" si="71"/>
        <v>0</v>
      </c>
      <c r="CU58" s="109">
        <f t="shared" ca="1" si="72"/>
        <v>0</v>
      </c>
      <c r="CV58" s="109">
        <f t="shared" si="73"/>
        <v>0</v>
      </c>
      <c r="CW58" s="109">
        <f t="shared" si="74"/>
        <v>0</v>
      </c>
      <c r="CX58" s="109">
        <f t="shared" ca="1" si="75"/>
        <v>0</v>
      </c>
      <c r="CY58" s="109">
        <f t="shared" ca="1" si="76"/>
        <v>0</v>
      </c>
      <c r="CZ58" s="109">
        <f t="shared" ca="1" si="77"/>
        <v>0</v>
      </c>
      <c r="DA58" s="109">
        <f t="shared" si="78"/>
        <v>0</v>
      </c>
      <c r="DB58" s="109">
        <f t="shared" ca="1" si="79"/>
        <v>0</v>
      </c>
      <c r="DC58" s="109">
        <f t="shared" si="80"/>
        <v>0</v>
      </c>
      <c r="DD58" s="109">
        <f t="shared" ca="1" si="81"/>
        <v>0</v>
      </c>
      <c r="DF58" s="82">
        <f t="shared" si="82"/>
        <v>0</v>
      </c>
      <c r="DG58" s="132">
        <f t="shared" si="83"/>
        <v>3.8319999999999999</v>
      </c>
      <c r="DH58" s="132">
        <f t="shared" si="84"/>
        <v>3.427</v>
      </c>
      <c r="DI58" s="132">
        <f t="shared" si="85"/>
        <v>0</v>
      </c>
      <c r="DJ58" s="132">
        <f t="shared" si="86"/>
        <v>0</v>
      </c>
      <c r="DK58" s="235">
        <f t="shared" si="87"/>
        <v>0.27929999999999999</v>
      </c>
      <c r="DL58" s="235">
        <f t="shared" si="88"/>
        <v>0.28499999999999998</v>
      </c>
      <c r="DM58" s="106">
        <f t="shared" si="89"/>
        <v>0.98042074975743199</v>
      </c>
      <c r="DN58" s="237">
        <f>IF(DF58=0,0,_xll.SPRDOPT(DG58,DH58,$AD58,$AM58,DK58,DL58,DM58,$F58,$F$19,0))</f>
        <v>0</v>
      </c>
      <c r="DO58" s="237">
        <f ca="1">IF(DG58=0,0,_xll.SPRDOPT(DG58,DH58,$AD58,$AM58,DK58,DL58,DM58,$F58,$F$19,1))</f>
        <v>7.3554545260311006E-3</v>
      </c>
      <c r="DP58" s="237">
        <f ca="1">IF(DH58=0,0,_xll.SPRDOPT(DG58,DH58,$AD58,$AM58,DK58,DL58,DM58,$F58,$F$19,2))</f>
        <v>-6.4678802008668202E-3</v>
      </c>
      <c r="DQ58" s="237">
        <f>IF(DI58=0,0,_xll.SPRDOPT(DG58,DH58,$AD58,$AM58,DK58,DL58,DM58,$F58,$F$19,3)/100)</f>
        <v>0</v>
      </c>
      <c r="DR58" s="237">
        <f>IF(DJ58=0,0,_xll.SPRDOPT(DG58,DH58,$AD58,$AM58,DK58,DL58,DM58,$F58,$F$19,4)/100)</f>
        <v>0</v>
      </c>
      <c r="DS58" s="237">
        <f ca="1">IF(DK58=0,0,_xll.SPRDOPT(DG58,DH58,$AD58,$AM58,DK58,DL58,DM58,$F58,$F$19,5)/100)</f>
        <v>7.8278680992045465E-4</v>
      </c>
      <c r="DT58" s="237">
        <f ca="1">IF(DL58=0,0,_xll.SPRDOPT(DG58,DH58,$AD58,$AM58,DK58,DL58,DM58,$F58,$F$19,6)/100)</f>
        <v>-5.0850745464536254E-4</v>
      </c>
      <c r="DU58" s="237">
        <f ca="1">IF(DM58=0,0,_xll.SPRDOPT(DG58,DH58,$AD58,$AM58,DK58,DL58,DM58,$F58,$F$19,7)/100)</f>
        <v>-9.0807372902357254E-4</v>
      </c>
      <c r="DV58" s="237">
        <f>IF(DN58=0,0,_xll.SPRDOPT(DG58,DH58,$AD58,$AM58,DK58,DL58,DM58,$F58,$F$19,9)/365)</f>
        <v>0</v>
      </c>
      <c r="DW58" s="237">
        <f t="shared" ca="1" si="90"/>
        <v>8.875743251642804E-4</v>
      </c>
      <c r="DX58" s="237">
        <f t="shared" si="91"/>
        <v>0</v>
      </c>
      <c r="DY58" s="237">
        <f t="shared" ca="1" si="92"/>
        <v>2.5862361907668307E-4</v>
      </c>
      <c r="DZ58" s="206"/>
      <c r="EA58" s="109">
        <f t="shared" si="93"/>
        <v>0</v>
      </c>
      <c r="EB58" s="109">
        <f t="shared" ca="1" si="94"/>
        <v>0</v>
      </c>
      <c r="EC58" s="109">
        <f t="shared" ca="1" si="95"/>
        <v>0</v>
      </c>
      <c r="ED58" s="109">
        <f t="shared" si="96"/>
        <v>0</v>
      </c>
      <c r="EE58" s="109">
        <f t="shared" si="97"/>
        <v>0</v>
      </c>
      <c r="EF58" s="109">
        <f t="shared" ca="1" si="98"/>
        <v>0</v>
      </c>
      <c r="EG58" s="109">
        <f t="shared" ca="1" si="99"/>
        <v>0</v>
      </c>
      <c r="EH58" s="109">
        <f t="shared" ca="1" si="100"/>
        <v>0</v>
      </c>
      <c r="EI58" s="109">
        <f t="shared" si="101"/>
        <v>0</v>
      </c>
      <c r="EJ58" s="109">
        <f t="shared" ca="1" si="102"/>
        <v>0</v>
      </c>
      <c r="EK58" s="109">
        <f t="shared" si="103"/>
        <v>0</v>
      </c>
      <c r="EL58" s="109">
        <f t="shared" ca="1" si="104"/>
        <v>0</v>
      </c>
      <c r="EN58" s="82">
        <f t="shared" si="105"/>
        <v>0</v>
      </c>
      <c r="EO58" s="132">
        <f t="shared" si="106"/>
        <v>3.887</v>
      </c>
      <c r="EP58" s="132">
        <f t="shared" si="107"/>
        <v>3.427</v>
      </c>
      <c r="EQ58" s="132">
        <f t="shared" si="108"/>
        <v>0</v>
      </c>
      <c r="ER58" s="132">
        <f t="shared" si="109"/>
        <v>0</v>
      </c>
      <c r="ES58" s="235">
        <f t="shared" si="110"/>
        <v>0.27929999999999999</v>
      </c>
      <c r="ET58" s="235">
        <f t="shared" si="111"/>
        <v>0.28499999999999998</v>
      </c>
      <c r="EU58" s="106">
        <f t="shared" si="112"/>
        <v>0.98042074975743199</v>
      </c>
      <c r="EV58" s="237">
        <f>IF(EN58=0,0,_xll.SPRDOPT(EO58,EP58,$AK58,$AM58,ES58,ET58,EU58,$F58,$H$19,0))</f>
        <v>0</v>
      </c>
      <c r="EW58" s="237">
        <f ca="1">IF(EO58=0,0,_xll.SPRDOPT(EO58,EP58,$AK58,$AM58,ES58,ET58,EU58,$F58,$H$19,1))</f>
        <v>-0.79890351600532672</v>
      </c>
      <c r="EX58" s="237">
        <f ca="1">IF(EP58=0,0,_xll.SPRDOPT(EO58,EP58,$AK58,$AM58,ES58,ET58,EU58,$F58,$H$19,2))</f>
        <v>0.8065740053674606</v>
      </c>
      <c r="EY58" s="237">
        <f>IF(EQ58=0,0,_xll.SPRDOPT(EO58,EP58,$AK58,$AM58,ES58,ET58,EU58,$F58,$H$19,3)/100)</f>
        <v>0</v>
      </c>
      <c r="EZ58" s="237">
        <f>IF(ER58=0,0,_xll.SPRDOPT(EO58,EP58,$AK58,$AM58,ES58,ET58,EU58,$F58,$H$19,4)/100)</f>
        <v>0</v>
      </c>
      <c r="FA58" s="237">
        <f ca="1">IF(ES58=0,0,_xll.SPRDOPT(EO58,EP58,$AK58,$AM58,ES58,ET58,EU58,$F58,$H$19,5)/100)</f>
        <v>5.6638615141611399E-3</v>
      </c>
      <c r="FB58" s="237">
        <f ca="1">IF(ET58=0,0,_xll.SPRDOPT(EO58,EP58,$AK58,$AM58,ES58,ET58,EU58,$F58,$H$19,6)/100)</f>
        <v>-3.6507108463338989E-3</v>
      </c>
      <c r="FC58" s="237">
        <f ca="1">IF(EU58=0,0,_xll.SPRDOPT(EO58,EP58,$AK58,$AM58,ES58,ET58,EU58,$F58,$H$19,7)/100)</f>
        <v>-7.781244215359113E-3</v>
      </c>
      <c r="FD58" s="237">
        <f>IF(EV58=0,0,_xll.SPRDOPT(EO58,EP58,$AK58,$AM58,ES58,ET58,EU58,$F58,$H$19,9)/365)</f>
        <v>0</v>
      </c>
      <c r="FE58" s="237">
        <f t="shared" ca="1" si="113"/>
        <v>7.670489362133881E-3</v>
      </c>
      <c r="FF58" s="237">
        <f t="shared" si="114"/>
        <v>0</v>
      </c>
      <c r="FG58" s="237">
        <f t="shared" ca="1" si="115"/>
        <v>1.8998734375440187E-3</v>
      </c>
      <c r="FH58" s="206"/>
      <c r="FI58" s="109">
        <f t="shared" si="116"/>
        <v>0</v>
      </c>
      <c r="FJ58" s="109">
        <f t="shared" ca="1" si="117"/>
        <v>0</v>
      </c>
      <c r="FK58" s="109">
        <f t="shared" ca="1" si="118"/>
        <v>0</v>
      </c>
      <c r="FL58" s="109">
        <f t="shared" si="119"/>
        <v>0</v>
      </c>
      <c r="FM58" s="109">
        <f t="shared" si="120"/>
        <v>0</v>
      </c>
      <c r="FN58" s="109">
        <f t="shared" ca="1" si="121"/>
        <v>0</v>
      </c>
      <c r="FO58" s="109">
        <f t="shared" ca="1" si="122"/>
        <v>0</v>
      </c>
      <c r="FP58" s="109">
        <f t="shared" ca="1" si="123"/>
        <v>0</v>
      </c>
      <c r="FQ58" s="109">
        <f t="shared" si="124"/>
        <v>0</v>
      </c>
      <c r="FR58" s="109">
        <f t="shared" ca="1" si="125"/>
        <v>0</v>
      </c>
      <c r="FS58" s="109">
        <f t="shared" si="126"/>
        <v>0</v>
      </c>
      <c r="FT58" s="109">
        <f t="shared" ca="1" si="127"/>
        <v>0</v>
      </c>
    </row>
    <row r="59" spans="1:176" x14ac:dyDescent="0.25">
      <c r="A59" s="101">
        <f t="shared" si="18"/>
        <v>37438</v>
      </c>
      <c r="B59" s="102">
        <f t="shared" si="19"/>
        <v>3.42</v>
      </c>
      <c r="C59" s="80">
        <f t="shared" si="20"/>
        <v>0.28499999999999998</v>
      </c>
      <c r="D59" s="102"/>
      <c r="E59" s="106"/>
      <c r="F59" s="105">
        <f t="shared" ca="1" si="21"/>
        <v>664</v>
      </c>
      <c r="G59" s="80"/>
      <c r="H59" s="80"/>
      <c r="I59" s="104"/>
      <c r="J59" s="234"/>
      <c r="K59" s="102">
        <f t="shared" si="22"/>
        <v>0.1825</v>
      </c>
      <c r="L59" s="102">
        <f t="shared" si="23"/>
        <v>0</v>
      </c>
      <c r="M59" s="106">
        <f t="shared" si="24"/>
        <v>0.98</v>
      </c>
      <c r="N59" s="106">
        <f t="shared" si="25"/>
        <v>1</v>
      </c>
      <c r="O59" s="106">
        <f t="shared" si="26"/>
        <v>0.99</v>
      </c>
      <c r="P59" s="236">
        <f t="shared" si="27"/>
        <v>0.4</v>
      </c>
      <c r="Q59" s="106"/>
      <c r="R59" s="102">
        <f t="shared" si="4"/>
        <v>0.43</v>
      </c>
      <c r="S59" s="102">
        <f t="shared" si="5"/>
        <v>0</v>
      </c>
      <c r="T59" s="106">
        <f t="shared" si="6"/>
        <v>0.98</v>
      </c>
      <c r="U59" s="106">
        <f t="shared" si="28"/>
        <v>1</v>
      </c>
      <c r="V59" s="106">
        <f t="shared" si="29"/>
        <v>0.98042074975743199</v>
      </c>
      <c r="W59" s="236">
        <f t="shared" si="30"/>
        <v>1.6</v>
      </c>
      <c r="X59" s="106"/>
      <c r="Y59" s="102">
        <f t="shared" si="7"/>
        <v>0.43</v>
      </c>
      <c r="Z59" s="102">
        <f t="shared" si="8"/>
        <v>0</v>
      </c>
      <c r="AA59" s="106">
        <f t="shared" si="9"/>
        <v>0.98</v>
      </c>
      <c r="AB59" s="106">
        <f t="shared" si="31"/>
        <v>1</v>
      </c>
      <c r="AC59" s="106">
        <f t="shared" si="10"/>
        <v>0.98042074975743199</v>
      </c>
      <c r="AD59" s="236">
        <f t="shared" si="32"/>
        <v>1.6</v>
      </c>
      <c r="AE59" s="106"/>
      <c r="AF59" s="102">
        <f t="shared" si="11"/>
        <v>0.43</v>
      </c>
      <c r="AG59" s="102">
        <f t="shared" si="12"/>
        <v>0</v>
      </c>
      <c r="AH59" s="106">
        <f t="shared" si="13"/>
        <v>0.98</v>
      </c>
      <c r="AI59" s="106">
        <f t="shared" si="33"/>
        <v>1</v>
      </c>
      <c r="AJ59" s="106">
        <f t="shared" si="14"/>
        <v>0.98042074975743199</v>
      </c>
      <c r="AK59" s="236">
        <f t="shared" si="34"/>
        <v>1</v>
      </c>
      <c r="AM59" s="80">
        <f t="shared" si="35"/>
        <v>6.9097118524442017E-2</v>
      </c>
      <c r="AN59" s="182">
        <f t="shared" si="15"/>
        <v>31</v>
      </c>
      <c r="AP59" s="82">
        <f t="shared" si="36"/>
        <v>0</v>
      </c>
      <c r="AQ59" s="132">
        <f t="shared" si="37"/>
        <v>3.6025</v>
      </c>
      <c r="AR59" s="132">
        <f t="shared" si="38"/>
        <v>3.42</v>
      </c>
      <c r="AS59" s="132">
        <f t="shared" si="39"/>
        <v>0</v>
      </c>
      <c r="AT59" s="132">
        <f t="shared" si="40"/>
        <v>0</v>
      </c>
      <c r="AU59" s="235">
        <f t="shared" si="41"/>
        <v>0.27929999999999999</v>
      </c>
      <c r="AV59" s="235">
        <f t="shared" si="42"/>
        <v>0.28499999999999998</v>
      </c>
      <c r="AW59" s="106">
        <f t="shared" si="43"/>
        <v>0.99</v>
      </c>
      <c r="AX59" s="237">
        <f>IF(AP59=0,0,_xll.SPRDOPT(AQ59,AR59,$P59,$AM59,AU59,AV59,AW59,$F59,$B$19,0))</f>
        <v>0</v>
      </c>
      <c r="AY59" s="237">
        <f ca="1">IF(AQ59=0,0,_xll.SPRDOPT(AQ59,AR59,$P59,$AM59,AU59,AV59,AW59,$F59,$B$19,1))</f>
        <v>0.15368370741647935</v>
      </c>
      <c r="AZ59" s="237">
        <f ca="1">IF(AR59=0,0,_xll.SPRDOPT(AQ59,AR59,$P59,$AM59,AU59,AV59,AW59,$F59,$B$19,2))</f>
        <v>-0.14385572183463405</v>
      </c>
      <c r="BA59" s="237">
        <f>IF(AS59=0,0,_xll.SPRDOPT(AQ59,AR59,$P59,$AM59,AU59,AV59,AW59,$F59,$B$19,3)/100)</f>
        <v>0</v>
      </c>
      <c r="BB59" s="237">
        <f>IF(AT59=0,0,_xll.SPRDOPT(AQ59,AR59,$P59,$AM59,AU59,AV59,AW59,$F59,$B$19,4)/100)</f>
        <v>0</v>
      </c>
      <c r="BC59" s="237">
        <f ca="1">IF(AU59=0,0,_xll.SPRDOPT(AQ59,AR59,$P59,$AM59,AU59,AV59,AW59,$F59,$B$19,5)/100)</f>
        <v>5.6509254526643489E-3</v>
      </c>
      <c r="BD59" s="237">
        <f ca="1">IF(AV59=0,0,_xll.SPRDOPT(AQ59,AR59,$P59,$AM59,AU59,AV59,AW59,$F59,$B$19,6)/100)</f>
        <v>-3.8453173676358259E-3</v>
      </c>
      <c r="BE59" s="237">
        <f ca="1">IF(AW59=0,0,_xll.SPRDOPT(AQ59,AR59,$P59,$AM59,AU59,AV59,AW59,$F59,$B$19,7)/100)</f>
        <v>-1.8570319069743123E-2</v>
      </c>
      <c r="BF59" s="237">
        <f>IF(AX59=0,0,_xll.SPRDOPT(AQ59,AR59,$P59,$AM59,AU59,AV59,AW59,$F59,$B$19,9)/365)</f>
        <v>0</v>
      </c>
      <c r="BG59" s="237">
        <f t="shared" ca="1" si="44"/>
        <v>9.8279855818453055E-3</v>
      </c>
      <c r="BH59" s="237">
        <f t="shared" si="45"/>
        <v>0</v>
      </c>
      <c r="BI59" s="237">
        <f t="shared" ca="1" si="46"/>
        <v>1.6925895759752362E-3</v>
      </c>
      <c r="BJ59" s="206"/>
      <c r="BK59" s="109">
        <f t="shared" si="47"/>
        <v>0</v>
      </c>
      <c r="BL59" s="109">
        <f t="shared" ca="1" si="48"/>
        <v>0</v>
      </c>
      <c r="BM59" s="109">
        <f t="shared" ca="1" si="49"/>
        <v>0</v>
      </c>
      <c r="BN59" s="109">
        <f t="shared" si="50"/>
        <v>0</v>
      </c>
      <c r="BO59" s="109">
        <f t="shared" si="51"/>
        <v>0</v>
      </c>
      <c r="BP59" s="109">
        <f t="shared" ca="1" si="52"/>
        <v>0</v>
      </c>
      <c r="BQ59" s="109">
        <f t="shared" ca="1" si="53"/>
        <v>0</v>
      </c>
      <c r="BR59" s="109">
        <f t="shared" ca="1" si="54"/>
        <v>0</v>
      </c>
      <c r="BS59" s="109">
        <f t="shared" si="55"/>
        <v>0</v>
      </c>
      <c r="BT59" s="109">
        <f t="shared" ca="1" si="56"/>
        <v>0</v>
      </c>
      <c r="BU59" s="109">
        <f t="shared" si="57"/>
        <v>0</v>
      </c>
      <c r="BV59" s="109">
        <f t="shared" ca="1" si="58"/>
        <v>0</v>
      </c>
      <c r="BX59" s="82">
        <f t="shared" si="59"/>
        <v>0</v>
      </c>
      <c r="BY59" s="132">
        <f t="shared" si="60"/>
        <v>3.86</v>
      </c>
      <c r="BZ59" s="132">
        <f t="shared" si="61"/>
        <v>3.42</v>
      </c>
      <c r="CA59" s="132">
        <f t="shared" si="62"/>
        <v>0</v>
      </c>
      <c r="CB59" s="132">
        <f t="shared" si="63"/>
        <v>0</v>
      </c>
      <c r="CC59" s="235">
        <f t="shared" si="64"/>
        <v>0.27929999999999999</v>
      </c>
      <c r="CD59" s="235">
        <f t="shared" si="65"/>
        <v>0.28499999999999998</v>
      </c>
      <c r="CE59" s="106">
        <f t="shared" si="66"/>
        <v>0.98042074975743199</v>
      </c>
      <c r="CF59" s="237">
        <f>IF(BX59=0,0,_xll.SPRDOPT(BY59,BZ59,$W59,$AM59,CC59,CD59,CE59,$F59,$D$19,0))</f>
        <v>0</v>
      </c>
      <c r="CG59" s="237">
        <f ca="1">IF(BY59=0,0,_xll.SPRDOPT(BY59,BZ59,$W59,$AM59,CC59,CD59,CE59,$F59,$D$19,1))</f>
        <v>1.0847527603397288E-2</v>
      </c>
      <c r="CH59" s="237">
        <f ca="1">IF(BZ59=0,0,_xll.SPRDOPT(BY59,BZ59,$W59,$AM59,CC59,CD59,CE59,$F59,$D$19,2))</f>
        <v>-9.5846973607249877E-3</v>
      </c>
      <c r="CI59" s="237">
        <f>IF(CA59=0,0,_xll.SPRDOPT(BY59,BZ59,$W59,$AM59,CC59,CD59,CE59,$F59,$D$19,3)/100)</f>
        <v>0</v>
      </c>
      <c r="CJ59" s="237">
        <f>IF(CB59=0,0,_xll.SPRDOPT(BY59,BZ59,$W59,$AM59,CC59,CD59,CE59,$F59,$D$19,4)/100)</f>
        <v>0</v>
      </c>
      <c r="CK59" s="237">
        <f ca="1">IF(CC59=0,0,_xll.SPRDOPT(BY59,BZ59,$W59,$AM59,CC59,CD59,CE59,$F59,$D$19,5)/100)</f>
        <v>1.137335914586041E-3</v>
      </c>
      <c r="CL59" s="237">
        <f ca="1">IF(CD59=0,0,_xll.SPRDOPT(BY59,BZ59,$W59,$AM59,CC59,CD59,CE59,$F59,$D$19,6)/100)</f>
        <v>-7.3833379694237091E-4</v>
      </c>
      <c r="CM59" s="237">
        <f ca="1">IF(CE59=0,0,_xll.SPRDOPT(BY59,BZ59,$W59,$AM59,CC59,CD59,CE59,$F59,$D$19,7)/100)</f>
        <v>-1.2975378505380125E-3</v>
      </c>
      <c r="CN59" s="237">
        <f>IF(CF59=0,0,_xll.SPRDOPT(BY59,BZ59,$W59,$AM59,CC59,CD59,CE59,$F59,$D$19,9)/365)</f>
        <v>0</v>
      </c>
      <c r="CO59" s="237">
        <f t="shared" ca="1" si="67"/>
        <v>1.2628302426723002E-3</v>
      </c>
      <c r="CP59" s="237">
        <f t="shared" si="68"/>
        <v>0</v>
      </c>
      <c r="CQ59" s="237">
        <f t="shared" ca="1" si="69"/>
        <v>3.7625539935194933E-4</v>
      </c>
      <c r="CR59" s="206"/>
      <c r="CS59" s="109">
        <f t="shared" si="70"/>
        <v>0</v>
      </c>
      <c r="CT59" s="109">
        <f t="shared" ca="1" si="71"/>
        <v>0</v>
      </c>
      <c r="CU59" s="109">
        <f t="shared" ca="1" si="72"/>
        <v>0</v>
      </c>
      <c r="CV59" s="109">
        <f t="shared" si="73"/>
        <v>0</v>
      </c>
      <c r="CW59" s="109">
        <f t="shared" si="74"/>
        <v>0</v>
      </c>
      <c r="CX59" s="109">
        <f t="shared" ca="1" si="75"/>
        <v>0</v>
      </c>
      <c r="CY59" s="109">
        <f t="shared" ca="1" si="76"/>
        <v>0</v>
      </c>
      <c r="CZ59" s="109">
        <f t="shared" ca="1" si="77"/>
        <v>0</v>
      </c>
      <c r="DA59" s="109">
        <f t="shared" si="78"/>
        <v>0</v>
      </c>
      <c r="DB59" s="109">
        <f t="shared" ca="1" si="79"/>
        <v>0</v>
      </c>
      <c r="DC59" s="109">
        <f t="shared" si="80"/>
        <v>0</v>
      </c>
      <c r="DD59" s="109">
        <f t="shared" ca="1" si="81"/>
        <v>0</v>
      </c>
      <c r="DF59" s="82">
        <f t="shared" si="82"/>
        <v>0</v>
      </c>
      <c r="DG59" s="132">
        <f t="shared" si="83"/>
        <v>3.86</v>
      </c>
      <c r="DH59" s="132">
        <f t="shared" si="84"/>
        <v>3.42</v>
      </c>
      <c r="DI59" s="132">
        <f t="shared" si="85"/>
        <v>0</v>
      </c>
      <c r="DJ59" s="132">
        <f t="shared" si="86"/>
        <v>0</v>
      </c>
      <c r="DK59" s="235">
        <f t="shared" si="87"/>
        <v>0.27929999999999999</v>
      </c>
      <c r="DL59" s="235">
        <f t="shared" si="88"/>
        <v>0.28499999999999998</v>
      </c>
      <c r="DM59" s="106">
        <f t="shared" si="89"/>
        <v>0.98042074975743199</v>
      </c>
      <c r="DN59" s="237">
        <f>IF(DF59=0,0,_xll.SPRDOPT(DG59,DH59,$AD59,$AM59,DK59,DL59,DM59,$F59,$F$19,0))</f>
        <v>0</v>
      </c>
      <c r="DO59" s="237">
        <f ca="1">IF(DG59=0,0,_xll.SPRDOPT(DG59,DH59,$AD59,$AM59,DK59,DL59,DM59,$F59,$F$19,1))</f>
        <v>1.0847527603397288E-2</v>
      </c>
      <c r="DP59" s="237">
        <f ca="1">IF(DH59=0,0,_xll.SPRDOPT(DG59,DH59,$AD59,$AM59,DK59,DL59,DM59,$F59,$F$19,2))</f>
        <v>-9.5846973607249877E-3</v>
      </c>
      <c r="DQ59" s="237">
        <f>IF(DI59=0,0,_xll.SPRDOPT(DG59,DH59,$AD59,$AM59,DK59,DL59,DM59,$F59,$F$19,3)/100)</f>
        <v>0</v>
      </c>
      <c r="DR59" s="237">
        <f>IF(DJ59=0,0,_xll.SPRDOPT(DG59,DH59,$AD59,$AM59,DK59,DL59,DM59,$F59,$F$19,4)/100)</f>
        <v>0</v>
      </c>
      <c r="DS59" s="237">
        <f ca="1">IF(DK59=0,0,_xll.SPRDOPT(DG59,DH59,$AD59,$AM59,DK59,DL59,DM59,$F59,$F$19,5)/100)</f>
        <v>1.137335914586041E-3</v>
      </c>
      <c r="DT59" s="237">
        <f ca="1">IF(DL59=0,0,_xll.SPRDOPT(DG59,DH59,$AD59,$AM59,DK59,DL59,DM59,$F59,$F$19,6)/100)</f>
        <v>-7.3833379694237091E-4</v>
      </c>
      <c r="DU59" s="237">
        <f ca="1">IF(DM59=0,0,_xll.SPRDOPT(DG59,DH59,$AD59,$AM59,DK59,DL59,DM59,$F59,$F$19,7)/100)</f>
        <v>-1.2975378505380125E-3</v>
      </c>
      <c r="DV59" s="237">
        <f>IF(DN59=0,0,_xll.SPRDOPT(DG59,DH59,$AD59,$AM59,DK59,DL59,DM59,$F59,$F$19,9)/365)</f>
        <v>0</v>
      </c>
      <c r="DW59" s="237">
        <f t="shared" ca="1" si="90"/>
        <v>1.2628302426723002E-3</v>
      </c>
      <c r="DX59" s="237">
        <f t="shared" si="91"/>
        <v>0</v>
      </c>
      <c r="DY59" s="237">
        <f t="shared" ca="1" si="92"/>
        <v>3.7625539935194933E-4</v>
      </c>
      <c r="DZ59" s="206"/>
      <c r="EA59" s="109">
        <f t="shared" si="93"/>
        <v>0</v>
      </c>
      <c r="EB59" s="109">
        <f t="shared" ca="1" si="94"/>
        <v>0</v>
      </c>
      <c r="EC59" s="109">
        <f t="shared" ca="1" si="95"/>
        <v>0</v>
      </c>
      <c r="ED59" s="109">
        <f t="shared" si="96"/>
        <v>0</v>
      </c>
      <c r="EE59" s="109">
        <f t="shared" si="97"/>
        <v>0</v>
      </c>
      <c r="EF59" s="109">
        <f t="shared" ca="1" si="98"/>
        <v>0</v>
      </c>
      <c r="EG59" s="109">
        <f t="shared" ca="1" si="99"/>
        <v>0</v>
      </c>
      <c r="EH59" s="109">
        <f t="shared" ca="1" si="100"/>
        <v>0</v>
      </c>
      <c r="EI59" s="109">
        <f t="shared" si="101"/>
        <v>0</v>
      </c>
      <c r="EJ59" s="109">
        <f t="shared" ca="1" si="102"/>
        <v>0</v>
      </c>
      <c r="EK59" s="109">
        <f t="shared" si="103"/>
        <v>0</v>
      </c>
      <c r="EL59" s="109">
        <f t="shared" ca="1" si="104"/>
        <v>0</v>
      </c>
      <c r="EN59" s="82">
        <f t="shared" si="105"/>
        <v>0</v>
      </c>
      <c r="EO59" s="132">
        <f t="shared" si="106"/>
        <v>3.915</v>
      </c>
      <c r="EP59" s="132">
        <f t="shared" si="107"/>
        <v>3.42</v>
      </c>
      <c r="EQ59" s="132">
        <f t="shared" si="108"/>
        <v>0</v>
      </c>
      <c r="ER59" s="132">
        <f t="shared" si="109"/>
        <v>0</v>
      </c>
      <c r="ES59" s="235">
        <f t="shared" si="110"/>
        <v>0.27929999999999999</v>
      </c>
      <c r="ET59" s="235">
        <f t="shared" si="111"/>
        <v>0.28499999999999998</v>
      </c>
      <c r="EU59" s="106">
        <f t="shared" si="112"/>
        <v>0.98042074975743199</v>
      </c>
      <c r="EV59" s="237">
        <f>IF(EN59=0,0,_xll.SPRDOPT(EO59,EP59,$AK59,$AM59,ES59,ET59,EU59,$F59,$H$19,0))</f>
        <v>0</v>
      </c>
      <c r="EW59" s="237">
        <f ca="1">IF(EO59=0,0,_xll.SPRDOPT(EO59,EP59,$AK59,$AM59,ES59,ET59,EU59,$F59,$H$19,1))</f>
        <v>-0.77317921606519158</v>
      </c>
      <c r="EX59" s="237">
        <f ca="1">IF(EP59=0,0,_xll.SPRDOPT(EO59,EP59,$AK59,$AM59,ES59,ET59,EU59,$F59,$H$19,2))</f>
        <v>0.78225188622727859</v>
      </c>
      <c r="EY59" s="237">
        <f>IF(EQ59=0,0,_xll.SPRDOPT(EO59,EP59,$AK59,$AM59,ES59,ET59,EU59,$F59,$H$19,3)/100)</f>
        <v>0</v>
      </c>
      <c r="EZ59" s="237">
        <f>IF(ER59=0,0,_xll.SPRDOPT(EO59,EP59,$AK59,$AM59,ES59,ET59,EU59,$F59,$H$19,4)/100)</f>
        <v>0</v>
      </c>
      <c r="FA59" s="237">
        <f ca="1">IF(ES59=0,0,_xll.SPRDOPT(EO59,EP59,$AK59,$AM59,ES59,ET59,EU59,$F59,$H$19,5)/100)</f>
        <v>6.8450056717798587E-3</v>
      </c>
      <c r="FB59" s="237">
        <f ca="1">IF(ET59=0,0,_xll.SPRDOPT(EO59,EP59,$AK59,$AM59,ES59,ET59,EU59,$F59,$H$19,6)/100)</f>
        <v>-4.4138561082172831E-3</v>
      </c>
      <c r="FC59" s="237">
        <f ca="1">IF(EU59=0,0,_xll.SPRDOPT(EO59,EP59,$AK59,$AM59,ES59,ET59,EU59,$F59,$H$19,7)/100)</f>
        <v>-9.2410728101745814E-3</v>
      </c>
      <c r="FD59" s="237">
        <f>IF(EV59=0,0,_xll.SPRDOPT(EO59,EP59,$AK59,$AM59,ES59,ET59,EU59,$F59,$H$19,9)/365)</f>
        <v>0</v>
      </c>
      <c r="FE59" s="237">
        <f t="shared" ca="1" si="113"/>
        <v>9.0726701620870154E-3</v>
      </c>
      <c r="FF59" s="237">
        <f t="shared" si="114"/>
        <v>0</v>
      </c>
      <c r="FG59" s="237">
        <f t="shared" ca="1" si="115"/>
        <v>2.294249450126979E-3</v>
      </c>
      <c r="FH59" s="206"/>
      <c r="FI59" s="109">
        <f t="shared" si="116"/>
        <v>0</v>
      </c>
      <c r="FJ59" s="109">
        <f t="shared" ca="1" si="117"/>
        <v>0</v>
      </c>
      <c r="FK59" s="109">
        <f t="shared" ca="1" si="118"/>
        <v>0</v>
      </c>
      <c r="FL59" s="109">
        <f t="shared" si="119"/>
        <v>0</v>
      </c>
      <c r="FM59" s="109">
        <f t="shared" si="120"/>
        <v>0</v>
      </c>
      <c r="FN59" s="109">
        <f t="shared" ca="1" si="121"/>
        <v>0</v>
      </c>
      <c r="FO59" s="109">
        <f t="shared" ca="1" si="122"/>
        <v>0</v>
      </c>
      <c r="FP59" s="109">
        <f t="shared" ca="1" si="123"/>
        <v>0</v>
      </c>
      <c r="FQ59" s="109">
        <f t="shared" si="124"/>
        <v>0</v>
      </c>
      <c r="FR59" s="109">
        <f t="shared" ca="1" si="125"/>
        <v>0</v>
      </c>
      <c r="FS59" s="109">
        <f t="shared" si="126"/>
        <v>0</v>
      </c>
      <c r="FT59" s="109">
        <f t="shared" ca="1" si="127"/>
        <v>0</v>
      </c>
    </row>
    <row r="60" spans="1:176" x14ac:dyDescent="0.25">
      <c r="A60" s="101">
        <f t="shared" si="18"/>
        <v>37469</v>
      </c>
      <c r="B60" s="102">
        <f t="shared" si="19"/>
        <v>3.4249999999999998</v>
      </c>
      <c r="C60" s="80">
        <f t="shared" si="20"/>
        <v>0.28499999999999998</v>
      </c>
      <c r="D60" s="102"/>
      <c r="E60" s="106"/>
      <c r="F60" s="105">
        <f t="shared" ca="1" si="21"/>
        <v>697</v>
      </c>
      <c r="G60" s="80"/>
      <c r="H60" s="80"/>
      <c r="I60" s="104"/>
      <c r="J60" s="234"/>
      <c r="K60" s="102">
        <f t="shared" si="22"/>
        <v>0.1825</v>
      </c>
      <c r="L60" s="102">
        <f t="shared" si="23"/>
        <v>0</v>
      </c>
      <c r="M60" s="106">
        <f t="shared" si="24"/>
        <v>0.98</v>
      </c>
      <c r="N60" s="106">
        <f t="shared" si="25"/>
        <v>1</v>
      </c>
      <c r="O60" s="106">
        <f t="shared" si="26"/>
        <v>0.99</v>
      </c>
      <c r="P60" s="236">
        <f t="shared" si="27"/>
        <v>0.4</v>
      </c>
      <c r="Q60" s="106"/>
      <c r="R60" s="102">
        <f t="shared" si="4"/>
        <v>0.495</v>
      </c>
      <c r="S60" s="102">
        <f t="shared" si="5"/>
        <v>0</v>
      </c>
      <c r="T60" s="106">
        <f t="shared" si="6"/>
        <v>0.98</v>
      </c>
      <c r="U60" s="106">
        <f t="shared" si="28"/>
        <v>1</v>
      </c>
      <c r="V60" s="106">
        <f t="shared" si="29"/>
        <v>0.98042074975743199</v>
      </c>
      <c r="W60" s="236">
        <f t="shared" si="30"/>
        <v>1.6</v>
      </c>
      <c r="X60" s="106"/>
      <c r="Y60" s="102">
        <f t="shared" si="7"/>
        <v>0.495</v>
      </c>
      <c r="Z60" s="102">
        <f t="shared" si="8"/>
        <v>0</v>
      </c>
      <c r="AA60" s="106">
        <f t="shared" si="9"/>
        <v>0.98</v>
      </c>
      <c r="AB60" s="106">
        <f t="shared" si="31"/>
        <v>1</v>
      </c>
      <c r="AC60" s="106">
        <f t="shared" si="10"/>
        <v>0.98042074975743199</v>
      </c>
      <c r="AD60" s="236">
        <f t="shared" si="32"/>
        <v>1.6</v>
      </c>
      <c r="AE60" s="106"/>
      <c r="AF60" s="102">
        <f t="shared" si="11"/>
        <v>0.495</v>
      </c>
      <c r="AG60" s="102">
        <f t="shared" si="12"/>
        <v>0</v>
      </c>
      <c r="AH60" s="106">
        <f t="shared" si="13"/>
        <v>0.98</v>
      </c>
      <c r="AI60" s="106">
        <f t="shared" si="33"/>
        <v>1</v>
      </c>
      <c r="AJ60" s="106">
        <f t="shared" si="14"/>
        <v>0.98042074975743199</v>
      </c>
      <c r="AK60" s="236">
        <f t="shared" si="34"/>
        <v>1</v>
      </c>
      <c r="AM60" s="80">
        <f t="shared" si="35"/>
        <v>6.9098892085220007E-2</v>
      </c>
      <c r="AN60" s="182">
        <f t="shared" si="15"/>
        <v>31</v>
      </c>
      <c r="AP60" s="82">
        <f t="shared" si="36"/>
        <v>0</v>
      </c>
      <c r="AQ60" s="132">
        <f t="shared" si="37"/>
        <v>3.6074999999999999</v>
      </c>
      <c r="AR60" s="132">
        <f t="shared" si="38"/>
        <v>3.4249999999999998</v>
      </c>
      <c r="AS60" s="132">
        <f t="shared" si="39"/>
        <v>0</v>
      </c>
      <c r="AT60" s="132">
        <f t="shared" si="40"/>
        <v>0</v>
      </c>
      <c r="AU60" s="235">
        <f t="shared" si="41"/>
        <v>0.27929999999999999</v>
      </c>
      <c r="AV60" s="235">
        <f t="shared" si="42"/>
        <v>0.28499999999999998</v>
      </c>
      <c r="AW60" s="106">
        <f t="shared" si="43"/>
        <v>0.99</v>
      </c>
      <c r="AX60" s="237">
        <f>IF(AP60=0,0,_xll.SPRDOPT(AQ60,AR60,$P60,$AM60,AU60,AV60,AW60,$F60,$B$19,0))</f>
        <v>0</v>
      </c>
      <c r="AY60" s="237">
        <f ca="1">IF(AQ60=0,0,_xll.SPRDOPT(AQ60,AR60,$P60,$AM60,AU60,AV60,AW60,$F60,$B$19,1))</f>
        <v>0.15865666229289307</v>
      </c>
      <c r="AZ60" s="237">
        <f ca="1">IF(AR60=0,0,_xll.SPRDOPT(AQ60,AR60,$P60,$AM60,AU60,AV60,AW60,$F60,$B$19,2))</f>
        <v>-0.14839851958546249</v>
      </c>
      <c r="BA60" s="237">
        <f>IF(AS60=0,0,_xll.SPRDOPT(AQ60,AR60,$P60,$AM60,AU60,AV60,AW60,$F60,$B$19,3)/100)</f>
        <v>0</v>
      </c>
      <c r="BB60" s="237">
        <f>IF(AT60=0,0,_xll.SPRDOPT(AQ60,AR60,$P60,$AM60,AU60,AV60,AW60,$F60,$B$19,4)/100)</f>
        <v>0</v>
      </c>
      <c r="BC60" s="237">
        <f ca="1">IF(AU60=0,0,_xll.SPRDOPT(AQ60,AR60,$P60,$AM60,AU60,AV60,AW60,$F60,$B$19,5)/100)</f>
        <v>5.8871763199145975E-3</v>
      </c>
      <c r="BD60" s="237">
        <f ca="1">IF(AV60=0,0,_xll.SPRDOPT(AQ60,AR60,$P60,$AM60,AU60,AV60,AW60,$F60,$B$19,6)/100)</f>
        <v>-4.0008435643613107E-3</v>
      </c>
      <c r="BE60" s="237">
        <f ca="1">IF(AW60=0,0,_xll.SPRDOPT(AQ60,AR60,$P60,$AM60,AU60,AV60,AW60,$F60,$B$19,7)/100)</f>
        <v>-1.9405120905761939E-2</v>
      </c>
      <c r="BF60" s="237">
        <f>IF(AX60=0,0,_xll.SPRDOPT(AQ60,AR60,$P60,$AM60,AU60,AV60,AW60,$F60,$B$19,9)/365)</f>
        <v>0</v>
      </c>
      <c r="BG60" s="237">
        <f t="shared" ca="1" si="44"/>
        <v>1.0258142707430584E-2</v>
      </c>
      <c r="BH60" s="237">
        <f t="shared" si="45"/>
        <v>0</v>
      </c>
      <c r="BI60" s="237">
        <f t="shared" ca="1" si="46"/>
        <v>1.7685892291549954E-3</v>
      </c>
      <c r="BJ60" s="206"/>
      <c r="BK60" s="109">
        <f t="shared" si="47"/>
        <v>0</v>
      </c>
      <c r="BL60" s="109">
        <f t="shared" ca="1" si="48"/>
        <v>0</v>
      </c>
      <c r="BM60" s="109">
        <f t="shared" ca="1" si="49"/>
        <v>0</v>
      </c>
      <c r="BN60" s="109">
        <f t="shared" si="50"/>
        <v>0</v>
      </c>
      <c r="BO60" s="109">
        <f t="shared" si="51"/>
        <v>0</v>
      </c>
      <c r="BP60" s="109">
        <f t="shared" ca="1" si="52"/>
        <v>0</v>
      </c>
      <c r="BQ60" s="109">
        <f t="shared" ca="1" si="53"/>
        <v>0</v>
      </c>
      <c r="BR60" s="109">
        <f t="shared" ca="1" si="54"/>
        <v>0</v>
      </c>
      <c r="BS60" s="109">
        <f t="shared" si="55"/>
        <v>0</v>
      </c>
      <c r="BT60" s="109">
        <f t="shared" ca="1" si="56"/>
        <v>0</v>
      </c>
      <c r="BU60" s="109">
        <f t="shared" si="57"/>
        <v>0</v>
      </c>
      <c r="BV60" s="109">
        <f t="shared" ca="1" si="58"/>
        <v>0</v>
      </c>
      <c r="BX60" s="82">
        <f t="shared" si="59"/>
        <v>0</v>
      </c>
      <c r="BY60" s="132">
        <f t="shared" si="60"/>
        <v>3.9299999999999997</v>
      </c>
      <c r="BZ60" s="132">
        <f t="shared" si="61"/>
        <v>3.4249999999999998</v>
      </c>
      <c r="CA60" s="132">
        <f t="shared" si="62"/>
        <v>0</v>
      </c>
      <c r="CB60" s="132">
        <f t="shared" si="63"/>
        <v>0</v>
      </c>
      <c r="CC60" s="235">
        <f t="shared" si="64"/>
        <v>0.27929999999999999</v>
      </c>
      <c r="CD60" s="235">
        <f t="shared" si="65"/>
        <v>0.28499999999999998</v>
      </c>
      <c r="CE60" s="106">
        <f t="shared" si="66"/>
        <v>0.98042074975743199</v>
      </c>
      <c r="CF60" s="237">
        <f>IF(BX60=0,0,_xll.SPRDOPT(BY60,BZ60,$W60,$AM60,CC60,CD60,CE60,$F60,$D$19,0))</f>
        <v>0</v>
      </c>
      <c r="CG60" s="237">
        <f ca="1">IF(BY60=0,0,_xll.SPRDOPT(BY60,BZ60,$W60,$AM60,CC60,CD60,CE60,$F60,$D$19,1))</f>
        <v>1.9003372542511304E-2</v>
      </c>
      <c r="CH60" s="237">
        <f ca="1">IF(BZ60=0,0,_xll.SPRDOPT(BY60,BZ60,$W60,$AM60,CC60,CD60,CE60,$F60,$D$19,2))</f>
        <v>-1.6940783012364454E-2</v>
      </c>
      <c r="CI60" s="237">
        <f>IF(CA60=0,0,_xll.SPRDOPT(BY60,BZ60,$W60,$AM60,CC60,CD60,CE60,$F60,$D$19,3)/100)</f>
        <v>0</v>
      </c>
      <c r="CJ60" s="237">
        <f>IF(CB60=0,0,_xll.SPRDOPT(BY60,BZ60,$W60,$AM60,CC60,CD60,CE60,$F60,$D$19,4)/100)</f>
        <v>0</v>
      </c>
      <c r="CK60" s="237">
        <f ca="1">IF(CC60=0,0,_xll.SPRDOPT(BY60,BZ60,$W60,$AM60,CC60,CD60,CE60,$F60,$D$19,5)/100)</f>
        <v>1.9369821565359082E-3</v>
      </c>
      <c r="CL60" s="237">
        <f ca="1">IF(CD60=0,0,_xll.SPRDOPT(BY60,BZ60,$W60,$AM60,CC60,CD60,CE60,$F60,$D$19,6)/100)</f>
        <v>-1.2560061137747236E-3</v>
      </c>
      <c r="CM60" s="237">
        <f ca="1">IF(CE60=0,0,_xll.SPRDOPT(BY60,BZ60,$W60,$AM60,CC60,CD60,CE60,$F60,$D$19,7)/100)</f>
        <v>-2.146358347554216E-3</v>
      </c>
      <c r="CN60" s="237">
        <f>IF(CF60=0,0,_xll.SPRDOPT(BY60,BZ60,$W60,$AM60,CC60,CD60,CE60,$F60,$D$19,9)/365)</f>
        <v>0</v>
      </c>
      <c r="CO60" s="237">
        <f t="shared" ca="1" si="67"/>
        <v>2.0625895301468501E-3</v>
      </c>
      <c r="CP60" s="237">
        <f t="shared" si="68"/>
        <v>0</v>
      </c>
      <c r="CQ60" s="237">
        <f t="shared" ca="1" si="69"/>
        <v>6.4223639963046654E-4</v>
      </c>
      <c r="CR60" s="206"/>
      <c r="CS60" s="109">
        <f t="shared" si="70"/>
        <v>0</v>
      </c>
      <c r="CT60" s="109">
        <f t="shared" ca="1" si="71"/>
        <v>0</v>
      </c>
      <c r="CU60" s="109">
        <f t="shared" ca="1" si="72"/>
        <v>0</v>
      </c>
      <c r="CV60" s="109">
        <f t="shared" si="73"/>
        <v>0</v>
      </c>
      <c r="CW60" s="109">
        <f t="shared" si="74"/>
        <v>0</v>
      </c>
      <c r="CX60" s="109">
        <f t="shared" ca="1" si="75"/>
        <v>0</v>
      </c>
      <c r="CY60" s="109">
        <f t="shared" ca="1" si="76"/>
        <v>0</v>
      </c>
      <c r="CZ60" s="109">
        <f t="shared" ca="1" si="77"/>
        <v>0</v>
      </c>
      <c r="DA60" s="109">
        <f t="shared" si="78"/>
        <v>0</v>
      </c>
      <c r="DB60" s="109">
        <f t="shared" ca="1" si="79"/>
        <v>0</v>
      </c>
      <c r="DC60" s="109">
        <f t="shared" si="80"/>
        <v>0</v>
      </c>
      <c r="DD60" s="109">
        <f t="shared" ca="1" si="81"/>
        <v>0</v>
      </c>
      <c r="DF60" s="82">
        <f t="shared" si="82"/>
        <v>0</v>
      </c>
      <c r="DG60" s="132">
        <f t="shared" si="83"/>
        <v>3.9299999999999997</v>
      </c>
      <c r="DH60" s="132">
        <f t="shared" si="84"/>
        <v>3.4249999999999998</v>
      </c>
      <c r="DI60" s="132">
        <f t="shared" si="85"/>
        <v>0</v>
      </c>
      <c r="DJ60" s="132">
        <f t="shared" si="86"/>
        <v>0</v>
      </c>
      <c r="DK60" s="235">
        <f t="shared" si="87"/>
        <v>0.27929999999999999</v>
      </c>
      <c r="DL60" s="235">
        <f t="shared" si="88"/>
        <v>0.28499999999999998</v>
      </c>
      <c r="DM60" s="106">
        <f t="shared" si="89"/>
        <v>0.98042074975743199</v>
      </c>
      <c r="DN60" s="237">
        <f>IF(DF60=0,0,_xll.SPRDOPT(DG60,DH60,$AD60,$AM60,DK60,DL60,DM60,$F60,$F$19,0))</f>
        <v>0</v>
      </c>
      <c r="DO60" s="237">
        <f ca="1">IF(DG60=0,0,_xll.SPRDOPT(DG60,DH60,$AD60,$AM60,DK60,DL60,DM60,$F60,$F$19,1))</f>
        <v>1.9003372542511304E-2</v>
      </c>
      <c r="DP60" s="237">
        <f ca="1">IF(DH60=0,0,_xll.SPRDOPT(DG60,DH60,$AD60,$AM60,DK60,DL60,DM60,$F60,$F$19,2))</f>
        <v>-1.6940783012364454E-2</v>
      </c>
      <c r="DQ60" s="237">
        <f>IF(DI60=0,0,_xll.SPRDOPT(DG60,DH60,$AD60,$AM60,DK60,DL60,DM60,$F60,$F$19,3)/100)</f>
        <v>0</v>
      </c>
      <c r="DR60" s="237">
        <f>IF(DJ60=0,0,_xll.SPRDOPT(DG60,DH60,$AD60,$AM60,DK60,DL60,DM60,$F60,$F$19,4)/100)</f>
        <v>0</v>
      </c>
      <c r="DS60" s="237">
        <f ca="1">IF(DK60=0,0,_xll.SPRDOPT(DG60,DH60,$AD60,$AM60,DK60,DL60,DM60,$F60,$F$19,5)/100)</f>
        <v>1.9369821565359082E-3</v>
      </c>
      <c r="DT60" s="237">
        <f ca="1">IF(DL60=0,0,_xll.SPRDOPT(DG60,DH60,$AD60,$AM60,DK60,DL60,DM60,$F60,$F$19,6)/100)</f>
        <v>-1.2560061137747236E-3</v>
      </c>
      <c r="DU60" s="237">
        <f ca="1">IF(DM60=0,0,_xll.SPRDOPT(DG60,DH60,$AD60,$AM60,DK60,DL60,DM60,$F60,$F$19,7)/100)</f>
        <v>-2.146358347554216E-3</v>
      </c>
      <c r="DV60" s="237">
        <f>IF(DN60=0,0,_xll.SPRDOPT(DG60,DH60,$AD60,$AM60,DK60,DL60,DM60,$F60,$F$19,9)/365)</f>
        <v>0</v>
      </c>
      <c r="DW60" s="237">
        <f t="shared" ca="1" si="90"/>
        <v>2.0625895301468501E-3</v>
      </c>
      <c r="DX60" s="237">
        <f t="shared" si="91"/>
        <v>0</v>
      </c>
      <c r="DY60" s="237">
        <f t="shared" ca="1" si="92"/>
        <v>6.4223639963046654E-4</v>
      </c>
      <c r="DZ60" s="206"/>
      <c r="EA60" s="109">
        <f t="shared" si="93"/>
        <v>0</v>
      </c>
      <c r="EB60" s="109">
        <f t="shared" ca="1" si="94"/>
        <v>0</v>
      </c>
      <c r="EC60" s="109">
        <f t="shared" ca="1" si="95"/>
        <v>0</v>
      </c>
      <c r="ED60" s="109">
        <f t="shared" si="96"/>
        <v>0</v>
      </c>
      <c r="EE60" s="109">
        <f t="shared" si="97"/>
        <v>0</v>
      </c>
      <c r="EF60" s="109">
        <f t="shared" ca="1" si="98"/>
        <v>0</v>
      </c>
      <c r="EG60" s="109">
        <f t="shared" ca="1" si="99"/>
        <v>0</v>
      </c>
      <c r="EH60" s="109">
        <f t="shared" ca="1" si="100"/>
        <v>0</v>
      </c>
      <c r="EI60" s="109">
        <f t="shared" si="101"/>
        <v>0</v>
      </c>
      <c r="EJ60" s="109">
        <f t="shared" ca="1" si="102"/>
        <v>0</v>
      </c>
      <c r="EK60" s="109">
        <f t="shared" si="103"/>
        <v>0</v>
      </c>
      <c r="EL60" s="109">
        <f t="shared" ca="1" si="104"/>
        <v>0</v>
      </c>
      <c r="EN60" s="82">
        <f t="shared" si="105"/>
        <v>0</v>
      </c>
      <c r="EO60" s="132">
        <f t="shared" si="106"/>
        <v>3.9849999999999999</v>
      </c>
      <c r="EP60" s="132">
        <f t="shared" si="107"/>
        <v>3.4249999999999998</v>
      </c>
      <c r="EQ60" s="132">
        <f t="shared" si="108"/>
        <v>0</v>
      </c>
      <c r="ER60" s="132">
        <f t="shared" si="109"/>
        <v>0</v>
      </c>
      <c r="ES60" s="235">
        <f t="shared" si="110"/>
        <v>0.27929999999999999</v>
      </c>
      <c r="ET60" s="235">
        <f t="shared" si="111"/>
        <v>0.28499999999999998</v>
      </c>
      <c r="EU60" s="106">
        <f t="shared" si="112"/>
        <v>0.98042074975743199</v>
      </c>
      <c r="EV60" s="237">
        <f>IF(EN60=0,0,_xll.SPRDOPT(EO60,EP60,$AK60,$AM60,ES60,ET60,EU60,$F60,$H$19,0))</f>
        <v>0</v>
      </c>
      <c r="EW60" s="237">
        <f ca="1">IF(EO60=0,0,_xll.SPRDOPT(EO60,EP60,$AK60,$AM60,ES60,ET60,EU60,$F60,$H$19,1))</f>
        <v>-0.72654290610209982</v>
      </c>
      <c r="EX60" s="237">
        <f ca="1">IF(EP60=0,0,_xll.SPRDOPT(EO60,EP60,$AK60,$AM60,ES60,ET60,EU60,$F60,$H$19,2))</f>
        <v>0.73792693001510257</v>
      </c>
      <c r="EY60" s="237">
        <f>IF(EQ60=0,0,_xll.SPRDOPT(EO60,EP60,$AK60,$AM60,ES60,ET60,EU60,$F60,$H$19,3)/100)</f>
        <v>0</v>
      </c>
      <c r="EZ60" s="237">
        <f>IF(ER60=0,0,_xll.SPRDOPT(EO60,EP60,$AK60,$AM60,ES60,ET60,EU60,$F60,$H$19,4)/100)</f>
        <v>0</v>
      </c>
      <c r="FA60" s="237">
        <f ca="1">IF(ES60=0,0,_xll.SPRDOPT(EO60,EP60,$AK60,$AM60,ES60,ET60,EU60,$F60,$H$19,5)/100)</f>
        <v>8.9606807235044668E-3</v>
      </c>
      <c r="FB60" s="237">
        <f ca="1">IF(ET60=0,0,_xll.SPRDOPT(EO60,EP60,$AK60,$AM60,ES60,ET60,EU60,$F60,$H$19,6)/100)</f>
        <v>-5.7821381632724329E-3</v>
      </c>
      <c r="FC60" s="237">
        <f ca="1">IF(EU60=0,0,_xll.SPRDOPT(EO60,EP60,$AK60,$AM60,ES60,ET60,EU60,$F60,$H$19,7)/100)</f>
        <v>-1.1738045838267191E-2</v>
      </c>
      <c r="FD60" s="237">
        <f>IF(EV60=0,0,_xll.SPRDOPT(EO60,EP60,$AK60,$AM60,ES60,ET60,EU60,$F60,$H$19,9)/365)</f>
        <v>0</v>
      </c>
      <c r="FE60" s="237">
        <f t="shared" ca="1" si="113"/>
        <v>1.138402391300275E-2</v>
      </c>
      <c r="FF60" s="237">
        <f t="shared" si="114"/>
        <v>0</v>
      </c>
      <c r="FG60" s="237">
        <f t="shared" ca="1" si="115"/>
        <v>2.9993289457619452E-3</v>
      </c>
      <c r="FH60" s="206"/>
      <c r="FI60" s="109">
        <f t="shared" si="116"/>
        <v>0</v>
      </c>
      <c r="FJ60" s="109">
        <f t="shared" ca="1" si="117"/>
        <v>0</v>
      </c>
      <c r="FK60" s="109">
        <f t="shared" ca="1" si="118"/>
        <v>0</v>
      </c>
      <c r="FL60" s="109">
        <f t="shared" si="119"/>
        <v>0</v>
      </c>
      <c r="FM60" s="109">
        <f t="shared" si="120"/>
        <v>0</v>
      </c>
      <c r="FN60" s="109">
        <f t="shared" ca="1" si="121"/>
        <v>0</v>
      </c>
      <c r="FO60" s="109">
        <f t="shared" ca="1" si="122"/>
        <v>0</v>
      </c>
      <c r="FP60" s="109">
        <f t="shared" ca="1" si="123"/>
        <v>0</v>
      </c>
      <c r="FQ60" s="109">
        <f t="shared" si="124"/>
        <v>0</v>
      </c>
      <c r="FR60" s="109">
        <f t="shared" ca="1" si="125"/>
        <v>0</v>
      </c>
      <c r="FS60" s="109">
        <f t="shared" si="126"/>
        <v>0</v>
      </c>
      <c r="FT60" s="109">
        <f t="shared" ca="1" si="127"/>
        <v>0</v>
      </c>
    </row>
    <row r="61" spans="1:176" x14ac:dyDescent="0.25">
      <c r="A61" s="101">
        <f t="shared" si="18"/>
        <v>37500</v>
      </c>
      <c r="B61" s="102">
        <f t="shared" si="19"/>
        <v>3.42</v>
      </c>
      <c r="C61" s="80">
        <f t="shared" si="20"/>
        <v>0.28499999999999998</v>
      </c>
      <c r="D61" s="102"/>
      <c r="E61" s="106"/>
      <c r="F61" s="105">
        <f t="shared" ca="1" si="21"/>
        <v>727</v>
      </c>
      <c r="G61" s="80"/>
      <c r="H61" s="80"/>
      <c r="I61" s="104"/>
      <c r="J61" s="234"/>
      <c r="K61" s="102">
        <f t="shared" si="22"/>
        <v>0.1825</v>
      </c>
      <c r="L61" s="102">
        <f t="shared" si="23"/>
        <v>0</v>
      </c>
      <c r="M61" s="106">
        <f t="shared" si="24"/>
        <v>0.98</v>
      </c>
      <c r="N61" s="106">
        <f t="shared" si="25"/>
        <v>1</v>
      </c>
      <c r="O61" s="106">
        <f t="shared" si="26"/>
        <v>0.99</v>
      </c>
      <c r="P61" s="236">
        <f t="shared" si="27"/>
        <v>0.4</v>
      </c>
      <c r="Q61" s="106"/>
      <c r="R61" s="102">
        <f t="shared" si="4"/>
        <v>0.39500000000000002</v>
      </c>
      <c r="S61" s="102">
        <f t="shared" si="5"/>
        <v>0</v>
      </c>
      <c r="T61" s="106">
        <f t="shared" si="6"/>
        <v>0.98</v>
      </c>
      <c r="U61" s="106">
        <f t="shared" si="28"/>
        <v>1</v>
      </c>
      <c r="V61" s="106">
        <f t="shared" si="29"/>
        <v>0.98042074975743199</v>
      </c>
      <c r="W61" s="236">
        <f t="shared" si="30"/>
        <v>1.6</v>
      </c>
      <c r="X61" s="106"/>
      <c r="Y61" s="102">
        <f t="shared" si="7"/>
        <v>0.39500000000000002</v>
      </c>
      <c r="Z61" s="102">
        <f t="shared" si="8"/>
        <v>0</v>
      </c>
      <c r="AA61" s="106">
        <f t="shared" si="9"/>
        <v>0.98</v>
      </c>
      <c r="AB61" s="106">
        <f t="shared" si="31"/>
        <v>1</v>
      </c>
      <c r="AC61" s="106">
        <f t="shared" si="10"/>
        <v>0.98042074975743199</v>
      </c>
      <c r="AD61" s="236">
        <f t="shared" si="32"/>
        <v>1.6</v>
      </c>
      <c r="AE61" s="106"/>
      <c r="AF61" s="102">
        <f t="shared" si="11"/>
        <v>0.39500000000000002</v>
      </c>
      <c r="AG61" s="102">
        <f t="shared" si="12"/>
        <v>0</v>
      </c>
      <c r="AH61" s="106">
        <f t="shared" si="13"/>
        <v>0.98</v>
      </c>
      <c r="AI61" s="106">
        <f t="shared" si="33"/>
        <v>1</v>
      </c>
      <c r="AJ61" s="106">
        <f t="shared" si="14"/>
        <v>0.98042074975743199</v>
      </c>
      <c r="AK61" s="236">
        <f t="shared" si="34"/>
        <v>1</v>
      </c>
      <c r="AM61" s="80">
        <f t="shared" si="35"/>
        <v>6.9100665646000009E-2</v>
      </c>
      <c r="AN61" s="182">
        <f t="shared" si="15"/>
        <v>30</v>
      </c>
      <c r="AP61" s="82">
        <f t="shared" si="36"/>
        <v>0</v>
      </c>
      <c r="AQ61" s="132">
        <f t="shared" si="37"/>
        <v>3.6025</v>
      </c>
      <c r="AR61" s="132">
        <f t="shared" si="38"/>
        <v>3.42</v>
      </c>
      <c r="AS61" s="132">
        <f t="shared" si="39"/>
        <v>0</v>
      </c>
      <c r="AT61" s="132">
        <f t="shared" si="40"/>
        <v>0</v>
      </c>
      <c r="AU61" s="235">
        <f t="shared" si="41"/>
        <v>0.27929999999999999</v>
      </c>
      <c r="AV61" s="235">
        <f t="shared" si="42"/>
        <v>0.28499999999999998</v>
      </c>
      <c r="AW61" s="106">
        <f t="shared" si="43"/>
        <v>0.99</v>
      </c>
      <c r="AX61" s="237">
        <f>IF(AP61=0,0,_xll.SPRDOPT(AQ61,AR61,$P61,$AM61,AU61,AV61,AW61,$F61,$B$19,0))</f>
        <v>0</v>
      </c>
      <c r="AY61" s="237">
        <f ca="1">IF(AQ61=0,0,_xll.SPRDOPT(AQ61,AR61,$P61,$AM61,AU61,AV61,AW61,$F61,$B$19,1))</f>
        <v>0.16249035662569228</v>
      </c>
      <c r="AZ61" s="237">
        <f ca="1">IF(AR61=0,0,_xll.SPRDOPT(AQ61,AR61,$P61,$AM61,AU61,AV61,AW61,$F61,$B$19,2))</f>
        <v>-0.15187967106626785</v>
      </c>
      <c r="BA61" s="237">
        <f>IF(AS61=0,0,_xll.SPRDOPT(AQ61,AR61,$P61,$AM61,AU61,AV61,AW61,$F61,$B$19,3)/100)</f>
        <v>0</v>
      </c>
      <c r="BB61" s="237">
        <f>IF(AT61=0,0,_xll.SPRDOPT(AQ61,AR61,$P61,$AM61,AU61,AV61,AW61,$F61,$B$19,4)/100)</f>
        <v>0</v>
      </c>
      <c r="BC61" s="237">
        <f ca="1">IF(AU61=0,0,_xll.SPRDOPT(AQ61,AR61,$P61,$AM61,AU61,AV61,AW61,$F61,$B$19,5)/100)</f>
        <v>6.0777932123959807E-3</v>
      </c>
      <c r="BD61" s="237">
        <f ca="1">IF(AV61=0,0,_xll.SPRDOPT(AQ61,AR61,$P61,$AM61,AU61,AV61,AW61,$F61,$B$19,6)/100)</f>
        <v>-4.1277137461255995E-3</v>
      </c>
      <c r="BE61" s="237">
        <f ca="1">IF(AW61=0,0,_xll.SPRDOPT(AQ61,AR61,$P61,$AM61,AU61,AV61,AW61,$F61,$B$19,7)/100)</f>
        <v>-2.0042046622272634E-2</v>
      </c>
      <c r="BF61" s="237">
        <f>IF(AX61=0,0,_xll.SPRDOPT(AQ61,AR61,$P61,$AM61,AU61,AV61,AW61,$F61,$B$19,9)/365)</f>
        <v>0</v>
      </c>
      <c r="BG61" s="237">
        <f t="shared" ca="1" si="44"/>
        <v>1.0610685559424432E-2</v>
      </c>
      <c r="BH61" s="237">
        <f t="shared" si="45"/>
        <v>0</v>
      </c>
      <c r="BI61" s="237">
        <f t="shared" ca="1" si="46"/>
        <v>1.8285236020224626E-3</v>
      </c>
      <c r="BJ61" s="206"/>
      <c r="BK61" s="109">
        <f t="shared" si="47"/>
        <v>0</v>
      </c>
      <c r="BL61" s="109">
        <f t="shared" ca="1" si="48"/>
        <v>0</v>
      </c>
      <c r="BM61" s="109">
        <f t="shared" ca="1" si="49"/>
        <v>0</v>
      </c>
      <c r="BN61" s="109">
        <f t="shared" si="50"/>
        <v>0</v>
      </c>
      <c r="BO61" s="109">
        <f t="shared" si="51"/>
        <v>0</v>
      </c>
      <c r="BP61" s="109">
        <f t="shared" ca="1" si="52"/>
        <v>0</v>
      </c>
      <c r="BQ61" s="109">
        <f t="shared" ca="1" si="53"/>
        <v>0</v>
      </c>
      <c r="BR61" s="109">
        <f t="shared" ca="1" si="54"/>
        <v>0</v>
      </c>
      <c r="BS61" s="109">
        <f t="shared" si="55"/>
        <v>0</v>
      </c>
      <c r="BT61" s="109">
        <f t="shared" ca="1" si="56"/>
        <v>0</v>
      </c>
      <c r="BU61" s="109">
        <f t="shared" si="57"/>
        <v>0</v>
      </c>
      <c r="BV61" s="109">
        <f t="shared" ca="1" si="58"/>
        <v>0</v>
      </c>
      <c r="BX61" s="82">
        <f t="shared" si="59"/>
        <v>0</v>
      </c>
      <c r="BY61" s="132">
        <f t="shared" si="60"/>
        <v>3.8249999999999997</v>
      </c>
      <c r="BZ61" s="132">
        <f t="shared" si="61"/>
        <v>3.42</v>
      </c>
      <c r="CA61" s="132">
        <f t="shared" si="62"/>
        <v>0</v>
      </c>
      <c r="CB61" s="132">
        <f t="shared" si="63"/>
        <v>0</v>
      </c>
      <c r="CC61" s="235">
        <f t="shared" si="64"/>
        <v>0.27929999999999999</v>
      </c>
      <c r="CD61" s="235">
        <f t="shared" si="65"/>
        <v>0.28499999999999998</v>
      </c>
      <c r="CE61" s="106">
        <f t="shared" si="66"/>
        <v>0.98042074975743199</v>
      </c>
      <c r="CF61" s="237">
        <f>IF(BX61=0,0,_xll.SPRDOPT(BY61,BZ61,$W61,$AM61,CC61,CD61,CE61,$F61,$D$19,0))</f>
        <v>0</v>
      </c>
      <c r="CG61" s="237">
        <f ca="1">IF(BY61=0,0,_xll.SPRDOPT(BY61,BZ61,$W61,$AM61,CC61,CD61,CE61,$F61,$D$19,1))</f>
        <v>1.1265388386723755E-2</v>
      </c>
      <c r="CH61" s="237">
        <f ca="1">IF(BZ61=0,0,_xll.SPRDOPT(BY61,BZ61,$W61,$AM61,CC61,CD61,CE61,$F61,$D$19,2))</f>
        <v>-9.8893997102965595E-3</v>
      </c>
      <c r="CI61" s="237">
        <f>IF(CA61=0,0,_xll.SPRDOPT(BY61,BZ61,$W61,$AM61,CC61,CD61,CE61,$F61,$D$19,3)/100)</f>
        <v>0</v>
      </c>
      <c r="CJ61" s="237">
        <f>IF(CB61=0,0,_xll.SPRDOPT(BY61,BZ61,$W61,$AM61,CC61,CD61,CE61,$F61,$D$19,4)/100)</f>
        <v>0</v>
      </c>
      <c r="CK61" s="237">
        <f ca="1">IF(CC61=0,0,_xll.SPRDOPT(BY61,BZ61,$W61,$AM61,CC61,CD61,CE61,$F61,$D$19,5)/100)</f>
        <v>1.206476142976405E-3</v>
      </c>
      <c r="CL61" s="237">
        <f ca="1">IF(CD61=0,0,_xll.SPRDOPT(BY61,BZ61,$W61,$AM61,CC61,CD61,CE61,$F61,$D$19,6)/100)</f>
        <v>-7.8239613201077545E-4</v>
      </c>
      <c r="CM61" s="237">
        <f ca="1">IF(CE61=0,0,_xll.SPRDOPT(BY61,BZ61,$W61,$AM61,CC61,CD61,CE61,$F61,$D$19,7)/100)</f>
        <v>-1.4042976906902009E-3</v>
      </c>
      <c r="CN61" s="237">
        <f>IF(CF61=0,0,_xll.SPRDOPT(BY61,BZ61,$W61,$AM61,CC61,CD61,CE61,$F61,$D$19,9)/365)</f>
        <v>0</v>
      </c>
      <c r="CO61" s="237">
        <f t="shared" ca="1" si="67"/>
        <v>1.3759886764271954E-3</v>
      </c>
      <c r="CP61" s="237">
        <f t="shared" si="68"/>
        <v>0</v>
      </c>
      <c r="CQ61" s="237">
        <f t="shared" ca="1" si="69"/>
        <v>3.9995048810610159E-4</v>
      </c>
      <c r="CR61" s="206"/>
      <c r="CS61" s="109">
        <f t="shared" si="70"/>
        <v>0</v>
      </c>
      <c r="CT61" s="109">
        <f t="shared" ca="1" si="71"/>
        <v>0</v>
      </c>
      <c r="CU61" s="109">
        <f t="shared" ca="1" si="72"/>
        <v>0</v>
      </c>
      <c r="CV61" s="109">
        <f t="shared" si="73"/>
        <v>0</v>
      </c>
      <c r="CW61" s="109">
        <f t="shared" si="74"/>
        <v>0</v>
      </c>
      <c r="CX61" s="109">
        <f t="shared" ca="1" si="75"/>
        <v>0</v>
      </c>
      <c r="CY61" s="109">
        <f t="shared" ca="1" si="76"/>
        <v>0</v>
      </c>
      <c r="CZ61" s="109">
        <f t="shared" ca="1" si="77"/>
        <v>0</v>
      </c>
      <c r="DA61" s="109">
        <f t="shared" si="78"/>
        <v>0</v>
      </c>
      <c r="DB61" s="109">
        <f t="shared" ca="1" si="79"/>
        <v>0</v>
      </c>
      <c r="DC61" s="109">
        <f t="shared" si="80"/>
        <v>0</v>
      </c>
      <c r="DD61" s="109">
        <f t="shared" ca="1" si="81"/>
        <v>0</v>
      </c>
      <c r="DF61" s="82">
        <f t="shared" si="82"/>
        <v>0</v>
      </c>
      <c r="DG61" s="132">
        <f t="shared" si="83"/>
        <v>3.8249999999999997</v>
      </c>
      <c r="DH61" s="132">
        <f t="shared" si="84"/>
        <v>3.42</v>
      </c>
      <c r="DI61" s="132">
        <f t="shared" si="85"/>
        <v>0</v>
      </c>
      <c r="DJ61" s="132">
        <f t="shared" si="86"/>
        <v>0</v>
      </c>
      <c r="DK61" s="235">
        <f t="shared" si="87"/>
        <v>0.27929999999999999</v>
      </c>
      <c r="DL61" s="235">
        <f t="shared" si="88"/>
        <v>0.28499999999999998</v>
      </c>
      <c r="DM61" s="106">
        <f t="shared" si="89"/>
        <v>0.98042074975743199</v>
      </c>
      <c r="DN61" s="237">
        <f>IF(DF61=0,0,_xll.SPRDOPT(DG61,DH61,$AD61,$AM61,DK61,DL61,DM61,$F61,$F$19,0))</f>
        <v>0</v>
      </c>
      <c r="DO61" s="237">
        <f ca="1">IF(DG61=0,0,_xll.SPRDOPT(DG61,DH61,$AD61,$AM61,DK61,DL61,DM61,$F61,$F$19,1))</f>
        <v>1.1265388386723755E-2</v>
      </c>
      <c r="DP61" s="237">
        <f ca="1">IF(DH61=0,0,_xll.SPRDOPT(DG61,DH61,$AD61,$AM61,DK61,DL61,DM61,$F61,$F$19,2))</f>
        <v>-9.8893997102965595E-3</v>
      </c>
      <c r="DQ61" s="237">
        <f>IF(DI61=0,0,_xll.SPRDOPT(DG61,DH61,$AD61,$AM61,DK61,DL61,DM61,$F61,$F$19,3)/100)</f>
        <v>0</v>
      </c>
      <c r="DR61" s="237">
        <f>IF(DJ61=0,0,_xll.SPRDOPT(DG61,DH61,$AD61,$AM61,DK61,DL61,DM61,$F61,$F$19,4)/100)</f>
        <v>0</v>
      </c>
      <c r="DS61" s="237">
        <f ca="1">IF(DK61=0,0,_xll.SPRDOPT(DG61,DH61,$AD61,$AM61,DK61,DL61,DM61,$F61,$F$19,5)/100)</f>
        <v>1.206476142976405E-3</v>
      </c>
      <c r="DT61" s="237">
        <f ca="1">IF(DL61=0,0,_xll.SPRDOPT(DG61,DH61,$AD61,$AM61,DK61,DL61,DM61,$F61,$F$19,6)/100)</f>
        <v>-7.8239613201077545E-4</v>
      </c>
      <c r="DU61" s="237">
        <f ca="1">IF(DM61=0,0,_xll.SPRDOPT(DG61,DH61,$AD61,$AM61,DK61,DL61,DM61,$F61,$F$19,7)/100)</f>
        <v>-1.4042976906902009E-3</v>
      </c>
      <c r="DV61" s="237">
        <f>IF(DN61=0,0,_xll.SPRDOPT(DG61,DH61,$AD61,$AM61,DK61,DL61,DM61,$F61,$F$19,9)/365)</f>
        <v>0</v>
      </c>
      <c r="DW61" s="237">
        <f t="shared" ca="1" si="90"/>
        <v>1.3759886764271954E-3</v>
      </c>
      <c r="DX61" s="237">
        <f t="shared" si="91"/>
        <v>0</v>
      </c>
      <c r="DY61" s="237">
        <f t="shared" ca="1" si="92"/>
        <v>3.9995048810610159E-4</v>
      </c>
      <c r="DZ61" s="206"/>
      <c r="EA61" s="109">
        <f t="shared" si="93"/>
        <v>0</v>
      </c>
      <c r="EB61" s="109">
        <f t="shared" ca="1" si="94"/>
        <v>0</v>
      </c>
      <c r="EC61" s="109">
        <f t="shared" ca="1" si="95"/>
        <v>0</v>
      </c>
      <c r="ED61" s="109">
        <f t="shared" si="96"/>
        <v>0</v>
      </c>
      <c r="EE61" s="109">
        <f t="shared" si="97"/>
        <v>0</v>
      </c>
      <c r="EF61" s="109">
        <f t="shared" ca="1" si="98"/>
        <v>0</v>
      </c>
      <c r="EG61" s="109">
        <f t="shared" ca="1" si="99"/>
        <v>0</v>
      </c>
      <c r="EH61" s="109">
        <f t="shared" ca="1" si="100"/>
        <v>0</v>
      </c>
      <c r="EI61" s="109">
        <f t="shared" si="101"/>
        <v>0</v>
      </c>
      <c r="EJ61" s="109">
        <f t="shared" ca="1" si="102"/>
        <v>0</v>
      </c>
      <c r="EK61" s="109">
        <f t="shared" si="103"/>
        <v>0</v>
      </c>
      <c r="EL61" s="109">
        <f t="shared" ca="1" si="104"/>
        <v>0</v>
      </c>
      <c r="EN61" s="82">
        <f t="shared" si="105"/>
        <v>0</v>
      </c>
      <c r="EO61" s="132">
        <f t="shared" si="106"/>
        <v>3.88</v>
      </c>
      <c r="EP61" s="132">
        <f t="shared" si="107"/>
        <v>3.42</v>
      </c>
      <c r="EQ61" s="132">
        <f t="shared" si="108"/>
        <v>0</v>
      </c>
      <c r="ER61" s="132">
        <f t="shared" si="109"/>
        <v>0</v>
      </c>
      <c r="ES61" s="235">
        <f t="shared" si="110"/>
        <v>0.27929999999999999</v>
      </c>
      <c r="ET61" s="235">
        <f t="shared" si="111"/>
        <v>0.28499999999999998</v>
      </c>
      <c r="EU61" s="106">
        <f t="shared" si="112"/>
        <v>0.98042074975743199</v>
      </c>
      <c r="EV61" s="237">
        <f>IF(EN61=0,0,_xll.SPRDOPT(EO61,EP61,$AK61,$AM61,ES61,ET61,EU61,$F61,$H$19,0))</f>
        <v>0</v>
      </c>
      <c r="EW61" s="237">
        <f ca="1">IF(EO61=0,0,_xll.SPRDOPT(EO61,EP61,$AK61,$AM61,ES61,ET61,EU61,$F61,$H$19,1))</f>
        <v>-0.77010705102311616</v>
      </c>
      <c r="EX61" s="237">
        <f ca="1">IF(EP61=0,0,_xll.SPRDOPT(EO61,EP61,$AK61,$AM61,ES61,ET61,EU61,$F61,$H$19,2))</f>
        <v>0.77918309808908615</v>
      </c>
      <c r="EY61" s="237">
        <f>IF(EQ61=0,0,_xll.SPRDOPT(EO61,EP61,$AK61,$AM61,ES61,ET61,EU61,$F61,$H$19,3)/100)</f>
        <v>0</v>
      </c>
      <c r="EZ61" s="237">
        <f>IF(ER61=0,0,_xll.SPRDOPT(EO61,EP61,$AK61,$AM61,ES61,ET61,EU61,$F61,$H$19,4)/100)</f>
        <v>0</v>
      </c>
      <c r="FA61" s="237">
        <f ca="1">IF(ES61=0,0,_xll.SPRDOPT(EO61,EP61,$AK61,$AM61,ES61,ET61,EU61,$F61,$H$19,5)/100)</f>
        <v>6.6604988976240401E-3</v>
      </c>
      <c r="FB61" s="237">
        <f ca="1">IF(ET61=0,0,_xll.SPRDOPT(EO61,EP61,$AK61,$AM61,ES61,ET61,EU61,$F61,$H$19,6)/100)</f>
        <v>-4.2834621894051661E-3</v>
      </c>
      <c r="FC61" s="237">
        <f ca="1">IF(EU61=0,0,_xll.SPRDOPT(EO61,EP61,$AK61,$AM61,ES61,ET61,EU61,$F61,$H$19,7)/100)</f>
        <v>-9.184666267997273E-3</v>
      </c>
      <c r="FD61" s="237">
        <f>IF(EV61=0,0,_xll.SPRDOPT(EO61,EP61,$AK61,$AM61,ES61,ET61,EU61,$F61,$H$19,9)/365)</f>
        <v>0</v>
      </c>
      <c r="FE61" s="237">
        <f t="shared" ca="1" si="113"/>
        <v>9.0760470659699832E-3</v>
      </c>
      <c r="FF61" s="237">
        <f t="shared" si="114"/>
        <v>0</v>
      </c>
      <c r="FG61" s="237">
        <f t="shared" ca="1" si="115"/>
        <v>2.2438267302663942E-3</v>
      </c>
      <c r="FH61" s="206"/>
      <c r="FI61" s="109">
        <f t="shared" si="116"/>
        <v>0</v>
      </c>
      <c r="FJ61" s="109">
        <f t="shared" ca="1" si="117"/>
        <v>0</v>
      </c>
      <c r="FK61" s="109">
        <f t="shared" ca="1" si="118"/>
        <v>0</v>
      </c>
      <c r="FL61" s="109">
        <f t="shared" si="119"/>
        <v>0</v>
      </c>
      <c r="FM61" s="109">
        <f t="shared" si="120"/>
        <v>0</v>
      </c>
      <c r="FN61" s="109">
        <f t="shared" ca="1" si="121"/>
        <v>0</v>
      </c>
      <c r="FO61" s="109">
        <f t="shared" ca="1" si="122"/>
        <v>0</v>
      </c>
      <c r="FP61" s="109">
        <f t="shared" ca="1" si="123"/>
        <v>0</v>
      </c>
      <c r="FQ61" s="109">
        <f t="shared" si="124"/>
        <v>0</v>
      </c>
      <c r="FR61" s="109">
        <f t="shared" ca="1" si="125"/>
        <v>0</v>
      </c>
      <c r="FS61" s="109">
        <f t="shared" si="126"/>
        <v>0</v>
      </c>
      <c r="FT61" s="109">
        <f t="shared" ca="1" si="127"/>
        <v>0</v>
      </c>
    </row>
    <row r="62" spans="1:176" x14ac:dyDescent="0.25">
      <c r="A62" s="101">
        <f t="shared" si="18"/>
        <v>37530</v>
      </c>
      <c r="B62" s="102"/>
      <c r="C62" s="80"/>
      <c r="D62" s="102"/>
      <c r="E62" s="106"/>
      <c r="F62" s="105"/>
      <c r="G62" s="80"/>
      <c r="H62" s="80"/>
      <c r="I62" s="104"/>
      <c r="J62" s="234"/>
      <c r="K62" s="102"/>
      <c r="L62" s="102"/>
      <c r="M62" s="106"/>
      <c r="N62" s="106"/>
      <c r="O62" s="106"/>
      <c r="P62" s="106"/>
      <c r="Q62" s="106"/>
      <c r="R62" s="102"/>
      <c r="S62" s="102"/>
      <c r="T62" s="106"/>
      <c r="U62" s="106"/>
      <c r="V62" s="106"/>
      <c r="W62" s="106"/>
      <c r="X62" s="106"/>
      <c r="Y62" s="102"/>
      <c r="Z62" s="102"/>
      <c r="AA62" s="106"/>
      <c r="AB62" s="106"/>
      <c r="AC62" s="106"/>
      <c r="AD62" s="106"/>
      <c r="AE62" s="106"/>
      <c r="AF62" s="102"/>
      <c r="AG62" s="102"/>
      <c r="AH62" s="106"/>
      <c r="AI62" s="106"/>
      <c r="AJ62" s="106"/>
      <c r="AK62" s="106"/>
      <c r="AM62" s="80"/>
      <c r="AN62" s="182"/>
    </row>
    <row r="63" spans="1:176" x14ac:dyDescent="0.25">
      <c r="A63" s="101"/>
      <c r="B63" s="102"/>
      <c r="C63" s="80"/>
      <c r="D63" s="102"/>
      <c r="E63" s="106"/>
      <c r="F63" s="105"/>
      <c r="G63" s="80"/>
      <c r="H63" s="80"/>
      <c r="I63" s="104"/>
      <c r="J63" s="234"/>
      <c r="K63" s="102"/>
      <c r="L63" s="102"/>
      <c r="M63" s="106"/>
      <c r="N63" s="106"/>
      <c r="O63" s="106"/>
      <c r="P63" s="106"/>
      <c r="Q63" s="106"/>
      <c r="R63" s="102"/>
      <c r="S63" s="102"/>
      <c r="T63" s="106"/>
      <c r="U63" s="106"/>
      <c r="V63" s="106"/>
      <c r="W63" s="106"/>
      <c r="X63" s="106"/>
      <c r="Y63" s="102"/>
      <c r="Z63" s="102"/>
      <c r="AA63" s="106"/>
      <c r="AB63" s="106"/>
      <c r="AC63" s="106"/>
      <c r="AD63" s="106"/>
      <c r="AE63" s="106"/>
      <c r="AF63" s="102"/>
      <c r="AG63" s="102"/>
      <c r="AH63" s="106"/>
      <c r="AI63" s="106"/>
      <c r="AJ63" s="106"/>
      <c r="AK63" s="106"/>
      <c r="AM63" s="80"/>
      <c r="AN63" s="182"/>
    </row>
    <row r="64" spans="1:176" x14ac:dyDescent="0.25">
      <c r="A64" s="101"/>
      <c r="B64" s="102"/>
      <c r="C64" s="80"/>
      <c r="D64" s="102"/>
      <c r="E64" s="106"/>
      <c r="F64" s="105"/>
      <c r="G64" s="80"/>
      <c r="H64" s="80"/>
      <c r="I64" s="104"/>
      <c r="J64" s="234"/>
      <c r="K64" s="102"/>
      <c r="L64" s="102"/>
      <c r="M64" s="106"/>
      <c r="N64" s="106"/>
      <c r="O64" s="106"/>
      <c r="P64" s="106"/>
      <c r="Q64" s="106"/>
      <c r="R64" s="102"/>
      <c r="S64" s="102"/>
      <c r="T64" s="106"/>
      <c r="U64" s="106"/>
      <c r="V64" s="106"/>
      <c r="W64" s="106"/>
      <c r="X64" s="106"/>
      <c r="Y64" s="102"/>
      <c r="Z64" s="102"/>
      <c r="AA64" s="106"/>
      <c r="AB64" s="106"/>
      <c r="AC64" s="106"/>
      <c r="AD64" s="106"/>
      <c r="AE64" s="106"/>
      <c r="AF64" s="102"/>
      <c r="AG64" s="102"/>
      <c r="AH64" s="106"/>
      <c r="AI64" s="106"/>
      <c r="AJ64" s="106"/>
      <c r="AK64" s="106"/>
      <c r="AM64" s="80"/>
      <c r="AN64" s="182"/>
    </row>
    <row r="65" spans="1:40" x14ac:dyDescent="0.25">
      <c r="A65" s="101"/>
      <c r="B65" s="102"/>
      <c r="C65" s="80"/>
      <c r="D65" s="102"/>
      <c r="E65" s="106"/>
      <c r="F65" s="105"/>
      <c r="G65" s="80"/>
      <c r="H65" s="80"/>
      <c r="I65" s="104"/>
      <c r="J65" s="234"/>
      <c r="K65" s="102"/>
      <c r="L65" s="102"/>
      <c r="M65" s="106"/>
      <c r="N65" s="106"/>
      <c r="O65" s="106"/>
      <c r="P65" s="106"/>
      <c r="Q65" s="106"/>
      <c r="R65" s="102"/>
      <c r="S65" s="102"/>
      <c r="T65" s="106"/>
      <c r="U65" s="106"/>
      <c r="V65" s="106"/>
      <c r="W65" s="106"/>
      <c r="X65" s="106"/>
      <c r="Y65" s="102"/>
      <c r="Z65" s="102"/>
      <c r="AA65" s="106"/>
      <c r="AB65" s="106"/>
      <c r="AC65" s="106"/>
      <c r="AD65" s="106"/>
      <c r="AE65" s="106"/>
      <c r="AF65" s="102"/>
      <c r="AG65" s="102"/>
      <c r="AH65" s="106"/>
      <c r="AI65" s="106"/>
      <c r="AJ65" s="106"/>
      <c r="AK65" s="106"/>
      <c r="AM65" s="80"/>
      <c r="AN65" s="182"/>
    </row>
    <row r="66" spans="1:40" x14ac:dyDescent="0.25">
      <c r="A66" s="101"/>
      <c r="B66" s="102"/>
      <c r="C66" s="80"/>
      <c r="D66" s="102"/>
      <c r="E66" s="106"/>
      <c r="F66" s="105"/>
      <c r="G66" s="80"/>
      <c r="H66" s="80"/>
      <c r="I66" s="104"/>
      <c r="J66" s="234"/>
      <c r="K66" s="102"/>
      <c r="L66" s="102"/>
      <c r="M66" s="106"/>
      <c r="N66" s="106"/>
      <c r="O66" s="106"/>
      <c r="P66" s="106"/>
      <c r="Q66" s="106"/>
      <c r="R66" s="102"/>
      <c r="S66" s="102"/>
      <c r="T66" s="106"/>
      <c r="U66" s="106"/>
      <c r="V66" s="106"/>
      <c r="W66" s="106"/>
      <c r="X66" s="106"/>
      <c r="Y66" s="102"/>
      <c r="Z66" s="102"/>
      <c r="AA66" s="106"/>
      <c r="AB66" s="106"/>
      <c r="AC66" s="106"/>
      <c r="AD66" s="106"/>
      <c r="AE66" s="106"/>
      <c r="AF66" s="102"/>
      <c r="AG66" s="102"/>
      <c r="AH66" s="106"/>
      <c r="AI66" s="106"/>
      <c r="AJ66" s="106"/>
      <c r="AK66" s="106"/>
      <c r="AM66" s="80"/>
      <c r="AN66" s="182"/>
    </row>
    <row r="67" spans="1:40" x14ac:dyDescent="0.25">
      <c r="A67" s="101"/>
      <c r="B67" s="102"/>
      <c r="C67" s="80"/>
      <c r="D67" s="102"/>
      <c r="E67" s="106"/>
      <c r="F67" s="105"/>
      <c r="G67" s="80"/>
      <c r="H67" s="80"/>
      <c r="I67" s="104"/>
      <c r="J67" s="234"/>
      <c r="K67" s="102"/>
      <c r="L67" s="102"/>
      <c r="M67" s="106"/>
      <c r="N67" s="106"/>
      <c r="O67" s="106"/>
      <c r="P67" s="106"/>
      <c r="Q67" s="106"/>
      <c r="R67" s="102"/>
      <c r="S67" s="102"/>
      <c r="T67" s="106"/>
      <c r="U67" s="106"/>
      <c r="V67" s="106"/>
      <c r="W67" s="106"/>
      <c r="X67" s="106"/>
      <c r="Y67" s="102"/>
      <c r="Z67" s="102"/>
      <c r="AA67" s="106"/>
      <c r="AB67" s="106"/>
      <c r="AC67" s="106"/>
      <c r="AD67" s="106"/>
      <c r="AE67" s="106"/>
      <c r="AF67" s="102"/>
      <c r="AG67" s="102"/>
      <c r="AH67" s="106"/>
      <c r="AI67" s="106"/>
      <c r="AJ67" s="106"/>
      <c r="AK67" s="106"/>
      <c r="AM67" s="80"/>
      <c r="AN67" s="182"/>
    </row>
    <row r="68" spans="1:40" x14ac:dyDescent="0.25">
      <c r="A68" s="101"/>
      <c r="B68" s="102"/>
      <c r="C68" s="80"/>
      <c r="D68" s="102"/>
      <c r="E68" s="106"/>
      <c r="F68" s="105"/>
      <c r="G68" s="80"/>
      <c r="H68" s="80"/>
      <c r="I68" s="104"/>
      <c r="J68" s="234"/>
      <c r="K68" s="102"/>
      <c r="L68" s="102"/>
      <c r="M68" s="106"/>
      <c r="N68" s="106"/>
      <c r="O68" s="106"/>
      <c r="P68" s="106"/>
      <c r="Q68" s="106"/>
      <c r="R68" s="102"/>
      <c r="S68" s="102"/>
      <c r="T68" s="106"/>
      <c r="U68" s="106"/>
      <c r="V68" s="106"/>
      <c r="W68" s="106"/>
      <c r="X68" s="106"/>
      <c r="Y68" s="102"/>
      <c r="Z68" s="102"/>
      <c r="AA68" s="106"/>
      <c r="AB68" s="106"/>
      <c r="AC68" s="106"/>
      <c r="AD68" s="106"/>
      <c r="AE68" s="106"/>
      <c r="AF68" s="102"/>
      <c r="AG68" s="102"/>
      <c r="AH68" s="106"/>
      <c r="AI68" s="106"/>
      <c r="AJ68" s="106"/>
      <c r="AK68" s="106"/>
      <c r="AM68" s="80"/>
      <c r="AN68" s="182"/>
    </row>
    <row r="69" spans="1:40" x14ac:dyDescent="0.25">
      <c r="A69" s="101"/>
      <c r="B69" s="102"/>
      <c r="C69" s="80"/>
      <c r="D69" s="102"/>
      <c r="E69" s="106"/>
      <c r="F69" s="105"/>
      <c r="G69" s="80"/>
      <c r="H69" s="80"/>
      <c r="I69" s="104"/>
      <c r="J69" s="234"/>
      <c r="K69" s="102"/>
      <c r="L69" s="102"/>
      <c r="M69" s="106"/>
      <c r="N69" s="106"/>
      <c r="O69" s="106"/>
      <c r="P69" s="106"/>
      <c r="Q69" s="106"/>
      <c r="R69" s="102"/>
      <c r="S69" s="102"/>
      <c r="T69" s="106"/>
      <c r="U69" s="106"/>
      <c r="V69" s="106"/>
      <c r="W69" s="106"/>
      <c r="X69" s="106"/>
      <c r="Y69" s="102"/>
      <c r="Z69" s="102"/>
      <c r="AA69" s="106"/>
      <c r="AB69" s="106"/>
      <c r="AC69" s="106"/>
      <c r="AD69" s="106"/>
      <c r="AE69" s="106"/>
      <c r="AF69" s="102"/>
      <c r="AG69" s="102"/>
      <c r="AH69" s="106"/>
      <c r="AI69" s="106"/>
      <c r="AJ69" s="106"/>
      <c r="AK69" s="106"/>
      <c r="AM69" s="80"/>
      <c r="AN69" s="182"/>
    </row>
    <row r="70" spans="1:40" x14ac:dyDescent="0.25">
      <c r="A70" s="101"/>
      <c r="B70" s="102"/>
      <c r="C70" s="80"/>
      <c r="D70" s="102"/>
      <c r="E70" s="106"/>
      <c r="F70" s="105"/>
      <c r="G70" s="80"/>
      <c r="H70" s="80"/>
      <c r="I70" s="104"/>
      <c r="J70" s="234"/>
      <c r="K70" s="102"/>
      <c r="L70" s="102"/>
      <c r="M70" s="106"/>
      <c r="N70" s="106"/>
      <c r="O70" s="106"/>
      <c r="P70" s="106"/>
      <c r="Q70" s="106"/>
      <c r="R70" s="102"/>
      <c r="S70" s="102"/>
      <c r="T70" s="106"/>
      <c r="U70" s="106"/>
      <c r="V70" s="106"/>
      <c r="W70" s="106"/>
      <c r="X70" s="106"/>
      <c r="Y70" s="102"/>
      <c r="Z70" s="102"/>
      <c r="AA70" s="106"/>
      <c r="AB70" s="106"/>
      <c r="AC70" s="106"/>
      <c r="AD70" s="106"/>
      <c r="AE70" s="106"/>
      <c r="AF70" s="102"/>
      <c r="AG70" s="102"/>
      <c r="AH70" s="106"/>
      <c r="AI70" s="106"/>
      <c r="AJ70" s="106"/>
      <c r="AK70" s="106"/>
      <c r="AM70" s="80"/>
      <c r="AN70" s="182"/>
    </row>
    <row r="71" spans="1:40" x14ac:dyDescent="0.25">
      <c r="A71" s="101"/>
      <c r="B71" s="102"/>
      <c r="C71" s="80"/>
      <c r="D71" s="102"/>
      <c r="E71" s="106"/>
      <c r="F71" s="105"/>
      <c r="G71" s="80"/>
      <c r="H71" s="80"/>
      <c r="I71" s="104"/>
      <c r="J71" s="234"/>
      <c r="K71" s="102"/>
      <c r="L71" s="102"/>
      <c r="M71" s="106"/>
      <c r="N71" s="106"/>
      <c r="O71" s="106"/>
      <c r="P71" s="106"/>
      <c r="Q71" s="106"/>
      <c r="R71" s="102"/>
      <c r="S71" s="102"/>
      <c r="T71" s="106"/>
      <c r="U71" s="106"/>
      <c r="V71" s="106"/>
      <c r="W71" s="106"/>
      <c r="X71" s="106"/>
      <c r="Y71" s="102"/>
      <c r="Z71" s="102"/>
      <c r="AA71" s="106"/>
      <c r="AB71" s="106"/>
      <c r="AC71" s="106"/>
      <c r="AD71" s="106"/>
      <c r="AE71" s="106"/>
      <c r="AF71" s="102"/>
      <c r="AG71" s="102"/>
      <c r="AH71" s="106"/>
      <c r="AI71" s="106"/>
      <c r="AJ71" s="106"/>
      <c r="AK71" s="106"/>
      <c r="AM71" s="80"/>
      <c r="AN71" s="182"/>
    </row>
    <row r="72" spans="1:40" x14ac:dyDescent="0.25">
      <c r="A72" s="101"/>
      <c r="B72" s="102"/>
      <c r="C72" s="80"/>
      <c r="D72" s="102"/>
      <c r="E72" s="106"/>
      <c r="F72" s="105"/>
      <c r="G72" s="80"/>
      <c r="H72" s="80"/>
      <c r="I72" s="104"/>
      <c r="J72" s="234"/>
      <c r="K72" s="102"/>
      <c r="L72" s="102"/>
      <c r="M72" s="106"/>
      <c r="N72" s="106"/>
      <c r="O72" s="106"/>
      <c r="P72" s="106"/>
      <c r="Q72" s="106"/>
      <c r="R72" s="102"/>
      <c r="S72" s="102"/>
      <c r="T72" s="106"/>
      <c r="U72" s="106"/>
      <c r="V72" s="106"/>
      <c r="W72" s="106"/>
      <c r="X72" s="106"/>
      <c r="Y72" s="102"/>
      <c r="Z72" s="102"/>
      <c r="AA72" s="106"/>
      <c r="AB72" s="106"/>
      <c r="AC72" s="106"/>
      <c r="AD72" s="106"/>
      <c r="AE72" s="106"/>
      <c r="AF72" s="102"/>
      <c r="AG72" s="102"/>
      <c r="AH72" s="106"/>
      <c r="AI72" s="106"/>
      <c r="AJ72" s="106"/>
      <c r="AK72" s="106"/>
      <c r="AM72" s="80"/>
      <c r="AN72" s="182"/>
    </row>
    <row r="73" spans="1:40" x14ac:dyDescent="0.25">
      <c r="A73" s="101"/>
      <c r="B73" s="102"/>
      <c r="C73" s="80"/>
      <c r="D73" s="102"/>
      <c r="E73" s="106"/>
      <c r="F73" s="105"/>
      <c r="G73" s="80"/>
      <c r="H73" s="80"/>
      <c r="I73" s="104"/>
      <c r="J73" s="234"/>
      <c r="K73" s="102"/>
      <c r="L73" s="102"/>
      <c r="M73" s="106"/>
      <c r="N73" s="106"/>
      <c r="O73" s="106"/>
      <c r="P73" s="106"/>
      <c r="Q73" s="106"/>
      <c r="R73" s="102"/>
      <c r="S73" s="102"/>
      <c r="T73" s="106"/>
      <c r="U73" s="106"/>
      <c r="V73" s="106"/>
      <c r="W73" s="106"/>
      <c r="X73" s="106"/>
      <c r="Y73" s="102"/>
      <c r="Z73" s="102"/>
      <c r="AA73" s="106"/>
      <c r="AB73" s="106"/>
      <c r="AC73" s="106"/>
      <c r="AD73" s="106"/>
      <c r="AE73" s="106"/>
      <c r="AF73" s="102"/>
      <c r="AG73" s="102"/>
      <c r="AH73" s="106"/>
      <c r="AI73" s="106"/>
      <c r="AJ73" s="106"/>
      <c r="AK73" s="106"/>
      <c r="AM73" s="80"/>
      <c r="AN73" s="182"/>
    </row>
    <row r="74" spans="1:40" x14ac:dyDescent="0.25">
      <c r="A74" s="101"/>
      <c r="B74" s="102"/>
      <c r="C74" s="80"/>
      <c r="D74" s="102"/>
      <c r="E74" s="106"/>
      <c r="F74" s="105"/>
      <c r="G74" s="80"/>
      <c r="H74" s="80"/>
      <c r="I74" s="104"/>
      <c r="J74" s="234"/>
      <c r="K74" s="102"/>
      <c r="L74" s="102"/>
      <c r="M74" s="106"/>
      <c r="N74" s="106"/>
      <c r="O74" s="106"/>
      <c r="P74" s="106"/>
      <c r="Q74" s="106"/>
      <c r="R74" s="102"/>
      <c r="S74" s="102"/>
      <c r="T74" s="106"/>
      <c r="U74" s="106"/>
      <c r="V74" s="106"/>
      <c r="W74" s="106"/>
      <c r="X74" s="106"/>
      <c r="Y74" s="102"/>
      <c r="Z74" s="102"/>
      <c r="AA74" s="106"/>
      <c r="AB74" s="106"/>
      <c r="AC74" s="106"/>
      <c r="AD74" s="106"/>
      <c r="AE74" s="106"/>
      <c r="AF74" s="102"/>
      <c r="AG74" s="102"/>
      <c r="AH74" s="106"/>
      <c r="AI74" s="106"/>
      <c r="AJ74" s="106"/>
      <c r="AK74" s="106"/>
      <c r="AM74" s="80"/>
      <c r="AN74" s="182"/>
    </row>
    <row r="75" spans="1:40" x14ac:dyDescent="0.25">
      <c r="A75" s="101"/>
      <c r="B75" s="102"/>
      <c r="C75" s="80"/>
      <c r="D75" s="102"/>
      <c r="E75" s="106"/>
      <c r="F75" s="105"/>
      <c r="G75" s="80"/>
      <c r="H75" s="80"/>
      <c r="I75" s="104"/>
      <c r="J75" s="234"/>
      <c r="K75" s="102"/>
      <c r="L75" s="102"/>
      <c r="M75" s="106"/>
      <c r="N75" s="106"/>
      <c r="O75" s="106"/>
      <c r="P75" s="106"/>
      <c r="Q75" s="106"/>
      <c r="R75" s="102"/>
      <c r="S75" s="102"/>
      <c r="T75" s="106"/>
      <c r="U75" s="106"/>
      <c r="V75" s="106"/>
      <c r="W75" s="106"/>
      <c r="X75" s="106"/>
      <c r="Y75" s="102"/>
      <c r="Z75" s="102"/>
      <c r="AA75" s="106"/>
      <c r="AB75" s="106"/>
      <c r="AC75" s="106"/>
      <c r="AD75" s="106"/>
      <c r="AE75" s="106"/>
      <c r="AF75" s="102"/>
      <c r="AG75" s="102"/>
      <c r="AH75" s="106"/>
      <c r="AI75" s="106"/>
      <c r="AJ75" s="106"/>
      <c r="AK75" s="106"/>
      <c r="AM75" s="80"/>
      <c r="AN75" s="182"/>
    </row>
    <row r="76" spans="1:40" x14ac:dyDescent="0.25">
      <c r="A76" s="101"/>
      <c r="B76" s="102"/>
      <c r="C76" s="80"/>
      <c r="D76" s="102"/>
      <c r="E76" s="106"/>
      <c r="F76" s="105"/>
      <c r="G76" s="80"/>
      <c r="H76" s="80"/>
      <c r="I76" s="104"/>
      <c r="J76" s="234"/>
      <c r="K76" s="102"/>
      <c r="L76" s="102"/>
      <c r="M76" s="106"/>
      <c r="N76" s="106"/>
      <c r="O76" s="106"/>
      <c r="P76" s="106"/>
      <c r="Q76" s="106"/>
      <c r="R76" s="102"/>
      <c r="S76" s="102"/>
      <c r="T76" s="106"/>
      <c r="U76" s="106"/>
      <c r="V76" s="106"/>
      <c r="W76" s="106"/>
      <c r="X76" s="106"/>
      <c r="Y76" s="102"/>
      <c r="Z76" s="102"/>
      <c r="AA76" s="106"/>
      <c r="AB76" s="106"/>
      <c r="AC76" s="106"/>
      <c r="AD76" s="106"/>
      <c r="AE76" s="106"/>
      <c r="AF76" s="102"/>
      <c r="AG76" s="102"/>
      <c r="AH76" s="106"/>
      <c r="AI76" s="106"/>
      <c r="AJ76" s="106"/>
      <c r="AK76" s="106"/>
      <c r="AM76" s="80"/>
      <c r="AN76" s="182"/>
    </row>
    <row r="77" spans="1:40" x14ac:dyDescent="0.25">
      <c r="A77" s="101"/>
      <c r="B77" s="102"/>
      <c r="C77" s="80"/>
      <c r="D77" s="102"/>
      <c r="E77" s="106"/>
      <c r="F77" s="105"/>
      <c r="G77" s="80"/>
      <c r="H77" s="80"/>
      <c r="I77" s="104"/>
      <c r="J77" s="234"/>
      <c r="K77" s="102"/>
      <c r="L77" s="102"/>
      <c r="M77" s="106"/>
      <c r="N77" s="106"/>
      <c r="O77" s="106"/>
      <c r="P77" s="106"/>
      <c r="Q77" s="106"/>
      <c r="R77" s="102"/>
      <c r="S77" s="102"/>
      <c r="T77" s="106"/>
      <c r="U77" s="106"/>
      <c r="V77" s="106"/>
      <c r="W77" s="106"/>
      <c r="X77" s="106"/>
      <c r="Y77" s="102"/>
      <c r="Z77" s="102"/>
      <c r="AA77" s="106"/>
      <c r="AB77" s="106"/>
      <c r="AC77" s="106"/>
      <c r="AD77" s="106"/>
      <c r="AE77" s="106"/>
      <c r="AF77" s="102"/>
      <c r="AG77" s="102"/>
      <c r="AH77" s="106"/>
      <c r="AI77" s="106"/>
      <c r="AJ77" s="106"/>
      <c r="AK77" s="106"/>
      <c r="AM77" s="80"/>
      <c r="AN77" s="182"/>
    </row>
    <row r="78" spans="1:40" x14ac:dyDescent="0.25">
      <c r="A78" s="101"/>
      <c r="B78" s="102"/>
      <c r="C78" s="80"/>
      <c r="D78" s="102"/>
      <c r="E78" s="106"/>
      <c r="F78" s="105"/>
      <c r="G78" s="80"/>
      <c r="H78" s="80"/>
      <c r="I78" s="104"/>
      <c r="J78" s="234"/>
      <c r="K78" s="102"/>
      <c r="L78" s="102"/>
      <c r="M78" s="106"/>
      <c r="N78" s="106"/>
      <c r="O78" s="106"/>
      <c r="P78" s="106"/>
      <c r="Q78" s="106"/>
      <c r="R78" s="102"/>
      <c r="S78" s="102"/>
      <c r="T78" s="106"/>
      <c r="U78" s="106"/>
      <c r="V78" s="106"/>
      <c r="W78" s="106"/>
      <c r="X78" s="106"/>
      <c r="Y78" s="102"/>
      <c r="Z78" s="102"/>
      <c r="AA78" s="106"/>
      <c r="AB78" s="106"/>
      <c r="AC78" s="106"/>
      <c r="AD78" s="106"/>
      <c r="AE78" s="106"/>
      <c r="AF78" s="102"/>
      <c r="AG78" s="102"/>
      <c r="AH78" s="106"/>
      <c r="AI78" s="106"/>
      <c r="AJ78" s="106"/>
      <c r="AK78" s="106"/>
      <c r="AM78" s="80"/>
      <c r="AN78" s="182"/>
    </row>
    <row r="79" spans="1:40" x14ac:dyDescent="0.25">
      <c r="A79" s="101"/>
      <c r="B79" s="102"/>
      <c r="C79" s="80"/>
      <c r="D79" s="102"/>
      <c r="E79" s="106"/>
      <c r="F79" s="105"/>
      <c r="G79" s="80"/>
      <c r="H79" s="80"/>
      <c r="I79" s="104"/>
      <c r="J79" s="234"/>
      <c r="K79" s="102"/>
      <c r="L79" s="102"/>
      <c r="M79" s="106"/>
      <c r="N79" s="106"/>
      <c r="O79" s="106"/>
      <c r="P79" s="106"/>
      <c r="Q79" s="106"/>
      <c r="R79" s="102"/>
      <c r="S79" s="102"/>
      <c r="T79" s="106"/>
      <c r="U79" s="106"/>
      <c r="V79" s="106"/>
      <c r="W79" s="106"/>
      <c r="X79" s="106"/>
      <c r="Y79" s="102"/>
      <c r="Z79" s="102"/>
      <c r="AA79" s="106"/>
      <c r="AB79" s="106"/>
      <c r="AC79" s="106"/>
      <c r="AD79" s="106"/>
      <c r="AE79" s="106"/>
      <c r="AF79" s="102"/>
      <c r="AG79" s="102"/>
      <c r="AH79" s="106"/>
      <c r="AI79" s="106"/>
      <c r="AJ79" s="106"/>
      <c r="AK79" s="106"/>
      <c r="AM79" s="80"/>
      <c r="AN79" s="182"/>
    </row>
    <row r="80" spans="1:40" x14ac:dyDescent="0.25">
      <c r="A80" s="101"/>
      <c r="B80" s="102"/>
      <c r="C80" s="80"/>
      <c r="D80" s="102"/>
      <c r="E80" s="106"/>
      <c r="F80" s="105"/>
      <c r="G80" s="80"/>
      <c r="H80" s="80"/>
      <c r="I80" s="104"/>
      <c r="J80" s="234"/>
      <c r="K80" s="102"/>
      <c r="L80" s="102"/>
      <c r="M80" s="106"/>
      <c r="N80" s="106"/>
      <c r="O80" s="106"/>
      <c r="P80" s="106"/>
      <c r="Q80" s="106"/>
      <c r="R80" s="102"/>
      <c r="S80" s="102"/>
      <c r="T80" s="106"/>
      <c r="U80" s="106"/>
      <c r="V80" s="106"/>
      <c r="W80" s="106"/>
      <c r="X80" s="106"/>
      <c r="Y80" s="102"/>
      <c r="Z80" s="102"/>
      <c r="AA80" s="106"/>
      <c r="AB80" s="106"/>
      <c r="AC80" s="106"/>
      <c r="AD80" s="106"/>
      <c r="AE80" s="106"/>
      <c r="AF80" s="102"/>
      <c r="AG80" s="102"/>
      <c r="AH80" s="106"/>
      <c r="AI80" s="106"/>
      <c r="AJ80" s="106"/>
      <c r="AK80" s="106"/>
      <c r="AM80" s="80"/>
      <c r="AN80" s="182"/>
    </row>
    <row r="81" spans="1:40" x14ac:dyDescent="0.25">
      <c r="A81" s="101"/>
      <c r="B81" s="102"/>
      <c r="C81" s="80"/>
      <c r="D81" s="102"/>
      <c r="E81" s="106"/>
      <c r="F81" s="105"/>
      <c r="G81" s="80"/>
      <c r="H81" s="80"/>
      <c r="I81" s="104"/>
      <c r="J81" s="234"/>
      <c r="K81" s="102"/>
      <c r="L81" s="102"/>
      <c r="M81" s="106"/>
      <c r="N81" s="106"/>
      <c r="O81" s="106"/>
      <c r="P81" s="106"/>
      <c r="Q81" s="106"/>
      <c r="R81" s="102"/>
      <c r="S81" s="102"/>
      <c r="T81" s="106"/>
      <c r="U81" s="106"/>
      <c r="V81" s="106"/>
      <c r="W81" s="106"/>
      <c r="X81" s="106"/>
      <c r="Y81" s="102"/>
      <c r="Z81" s="102"/>
      <c r="AA81" s="106"/>
      <c r="AB81" s="106"/>
      <c r="AC81" s="106"/>
      <c r="AD81" s="106"/>
      <c r="AE81" s="106"/>
      <c r="AF81" s="102"/>
      <c r="AG81" s="102"/>
      <c r="AH81" s="106"/>
      <c r="AI81" s="106"/>
      <c r="AJ81" s="106"/>
      <c r="AK81" s="106"/>
      <c r="AM81" s="80"/>
      <c r="AN81" s="182"/>
    </row>
    <row r="82" spans="1:40" x14ac:dyDescent="0.25">
      <c r="A82" s="101"/>
      <c r="B82" s="102"/>
      <c r="C82" s="80"/>
      <c r="D82" s="102"/>
      <c r="E82" s="106"/>
      <c r="F82" s="105"/>
      <c r="G82" s="80"/>
      <c r="H82" s="80"/>
      <c r="I82" s="104"/>
      <c r="J82" s="234"/>
      <c r="K82" s="102"/>
      <c r="L82" s="102"/>
      <c r="M82" s="106"/>
      <c r="N82" s="106"/>
      <c r="O82" s="106"/>
      <c r="P82" s="106"/>
      <c r="Q82" s="106"/>
      <c r="R82" s="102"/>
      <c r="S82" s="102"/>
      <c r="T82" s="106"/>
      <c r="U82" s="106"/>
      <c r="V82" s="106"/>
      <c r="W82" s="106"/>
      <c r="X82" s="106"/>
      <c r="Y82" s="102"/>
      <c r="Z82" s="102"/>
      <c r="AA82" s="106"/>
      <c r="AB82" s="106"/>
      <c r="AC82" s="106"/>
      <c r="AD82" s="106"/>
      <c r="AE82" s="106"/>
      <c r="AF82" s="102"/>
      <c r="AG82" s="102"/>
      <c r="AH82" s="106"/>
      <c r="AI82" s="106"/>
      <c r="AJ82" s="106"/>
      <c r="AK82" s="106"/>
      <c r="AM82" s="80"/>
      <c r="AN82" s="182"/>
    </row>
    <row r="83" spans="1:40" x14ac:dyDescent="0.25">
      <c r="A83" s="101"/>
      <c r="B83" s="102"/>
      <c r="C83" s="80"/>
      <c r="D83" s="102"/>
      <c r="E83" s="106"/>
      <c r="F83" s="105"/>
      <c r="G83" s="80"/>
      <c r="H83" s="80"/>
      <c r="I83" s="104"/>
      <c r="J83" s="234"/>
      <c r="K83" s="102"/>
      <c r="L83" s="102"/>
      <c r="M83" s="106"/>
      <c r="N83" s="106"/>
      <c r="O83" s="106"/>
      <c r="P83" s="106"/>
      <c r="Q83" s="106"/>
      <c r="R83" s="102"/>
      <c r="S83" s="102"/>
      <c r="T83" s="106"/>
      <c r="U83" s="106"/>
      <c r="V83" s="106"/>
      <c r="W83" s="106"/>
      <c r="X83" s="106"/>
      <c r="Y83" s="102"/>
      <c r="Z83" s="102"/>
      <c r="AA83" s="106"/>
      <c r="AB83" s="106"/>
      <c r="AC83" s="106"/>
      <c r="AD83" s="106"/>
      <c r="AE83" s="106"/>
      <c r="AF83" s="102"/>
      <c r="AG83" s="102"/>
      <c r="AH83" s="106"/>
      <c r="AI83" s="106"/>
      <c r="AJ83" s="106"/>
      <c r="AK83" s="106"/>
      <c r="AM83" s="80"/>
      <c r="AN83" s="182"/>
    </row>
    <row r="84" spans="1:40" x14ac:dyDescent="0.25">
      <c r="A84" s="101"/>
      <c r="B84" s="102"/>
      <c r="C84" s="80"/>
      <c r="D84" s="102"/>
      <c r="E84" s="106"/>
      <c r="F84" s="105"/>
      <c r="G84" s="80"/>
      <c r="H84" s="80"/>
      <c r="I84" s="104"/>
      <c r="J84" s="234"/>
      <c r="K84" s="102"/>
      <c r="L84" s="102"/>
      <c r="M84" s="106"/>
      <c r="N84" s="106"/>
      <c r="O84" s="106"/>
      <c r="P84" s="106"/>
      <c r="Q84" s="106"/>
      <c r="R84" s="102"/>
      <c r="S84" s="102"/>
      <c r="T84" s="106"/>
      <c r="U84" s="106"/>
      <c r="V84" s="106"/>
      <c r="W84" s="106"/>
      <c r="X84" s="106"/>
      <c r="Y84" s="102"/>
      <c r="Z84" s="102"/>
      <c r="AA84" s="106"/>
      <c r="AB84" s="106"/>
      <c r="AC84" s="106"/>
      <c r="AD84" s="106"/>
      <c r="AE84" s="106"/>
      <c r="AF84" s="102"/>
      <c r="AG84" s="102"/>
      <c r="AH84" s="106"/>
      <c r="AI84" s="106"/>
      <c r="AJ84" s="106"/>
      <c r="AK84" s="106"/>
      <c r="AM84" s="80"/>
      <c r="AN84" s="182"/>
    </row>
    <row r="85" spans="1:40" x14ac:dyDescent="0.25">
      <c r="A85" s="101"/>
      <c r="B85" s="102"/>
      <c r="C85" s="80"/>
      <c r="D85" s="102"/>
      <c r="E85" s="106"/>
      <c r="F85" s="105"/>
      <c r="G85" s="80"/>
      <c r="H85" s="80"/>
      <c r="I85" s="104"/>
      <c r="J85" s="234"/>
      <c r="K85" s="102"/>
      <c r="L85" s="102"/>
      <c r="M85" s="106"/>
      <c r="N85" s="106"/>
      <c r="O85" s="106"/>
      <c r="P85" s="106"/>
      <c r="Q85" s="106"/>
      <c r="R85" s="102"/>
      <c r="S85" s="102"/>
      <c r="T85" s="106"/>
      <c r="U85" s="106"/>
      <c r="V85" s="106"/>
      <c r="W85" s="106"/>
      <c r="X85" s="106"/>
      <c r="Y85" s="102"/>
      <c r="Z85" s="102"/>
      <c r="AA85" s="106"/>
      <c r="AB85" s="106"/>
      <c r="AC85" s="106"/>
      <c r="AD85" s="106"/>
      <c r="AE85" s="106"/>
      <c r="AF85" s="102"/>
      <c r="AG85" s="102"/>
      <c r="AH85" s="106"/>
      <c r="AI85" s="106"/>
      <c r="AJ85" s="106"/>
      <c r="AK85" s="106"/>
      <c r="AM85" s="80"/>
      <c r="AN85" s="182"/>
    </row>
    <row r="86" spans="1:40" x14ac:dyDescent="0.25">
      <c r="A86" s="101"/>
      <c r="B86" s="102"/>
      <c r="C86" s="80"/>
      <c r="D86" s="102"/>
      <c r="E86" s="106"/>
      <c r="F86" s="105"/>
      <c r="G86" s="80"/>
      <c r="H86" s="80"/>
      <c r="I86" s="104"/>
      <c r="J86" s="234"/>
      <c r="K86" s="102"/>
      <c r="L86" s="102"/>
      <c r="M86" s="106"/>
      <c r="N86" s="106"/>
      <c r="O86" s="106"/>
      <c r="P86" s="106"/>
      <c r="Q86" s="106"/>
      <c r="R86" s="102"/>
      <c r="S86" s="102"/>
      <c r="T86" s="106"/>
      <c r="U86" s="106"/>
      <c r="V86" s="106"/>
      <c r="W86" s="106"/>
      <c r="X86" s="106"/>
      <c r="Y86" s="102"/>
      <c r="Z86" s="102"/>
      <c r="AA86" s="106"/>
      <c r="AB86" s="106"/>
      <c r="AC86" s="106"/>
      <c r="AD86" s="106"/>
      <c r="AE86" s="106"/>
      <c r="AF86" s="102"/>
      <c r="AG86" s="102"/>
      <c r="AH86" s="106"/>
      <c r="AI86" s="106"/>
      <c r="AJ86" s="106"/>
      <c r="AK86" s="106"/>
      <c r="AM86" s="80"/>
      <c r="AN86" s="182"/>
    </row>
    <row r="87" spans="1:40" x14ac:dyDescent="0.25">
      <c r="A87" s="101"/>
      <c r="B87" s="102"/>
      <c r="C87" s="80"/>
      <c r="D87" s="102"/>
      <c r="E87" s="106"/>
      <c r="F87" s="105"/>
      <c r="G87" s="80"/>
      <c r="H87" s="80"/>
      <c r="I87" s="104"/>
      <c r="J87" s="234"/>
      <c r="K87" s="102"/>
      <c r="L87" s="102"/>
      <c r="M87" s="106"/>
      <c r="N87" s="106"/>
      <c r="O87" s="106"/>
      <c r="P87" s="106"/>
      <c r="Q87" s="106"/>
      <c r="R87" s="102"/>
      <c r="S87" s="102"/>
      <c r="T87" s="106"/>
      <c r="U87" s="106"/>
      <c r="V87" s="106"/>
      <c r="W87" s="106"/>
      <c r="X87" s="106"/>
      <c r="Y87" s="102"/>
      <c r="Z87" s="102"/>
      <c r="AA87" s="106"/>
      <c r="AB87" s="106"/>
      <c r="AC87" s="106"/>
      <c r="AD87" s="106"/>
      <c r="AE87" s="106"/>
      <c r="AF87" s="102"/>
      <c r="AG87" s="102"/>
      <c r="AH87" s="106"/>
      <c r="AI87" s="106"/>
      <c r="AJ87" s="106"/>
      <c r="AK87" s="106"/>
      <c r="AM87" s="80"/>
      <c r="AN87" s="182"/>
    </row>
    <row r="88" spans="1:40" x14ac:dyDescent="0.25">
      <c r="A88" s="101"/>
      <c r="B88" s="102"/>
      <c r="C88" s="80"/>
      <c r="D88" s="102"/>
      <c r="E88" s="106"/>
      <c r="F88" s="105"/>
      <c r="G88" s="80"/>
      <c r="H88" s="80"/>
      <c r="I88" s="104"/>
      <c r="J88" s="234"/>
      <c r="K88" s="102"/>
      <c r="L88" s="102"/>
      <c r="M88" s="106"/>
      <c r="N88" s="106"/>
      <c r="O88" s="106"/>
      <c r="P88" s="106"/>
      <c r="Q88" s="106"/>
      <c r="R88" s="102"/>
      <c r="S88" s="102"/>
      <c r="T88" s="106"/>
      <c r="U88" s="106"/>
      <c r="V88" s="106"/>
      <c r="W88" s="106"/>
      <c r="X88" s="106"/>
      <c r="Y88" s="102"/>
      <c r="Z88" s="102"/>
      <c r="AA88" s="106"/>
      <c r="AB88" s="106"/>
      <c r="AC88" s="106"/>
      <c r="AD88" s="106"/>
      <c r="AE88" s="106"/>
      <c r="AF88" s="102"/>
      <c r="AG88" s="102"/>
      <c r="AH88" s="106"/>
      <c r="AI88" s="106"/>
      <c r="AJ88" s="106"/>
      <c r="AK88" s="106"/>
      <c r="AM88" s="80"/>
      <c r="AN88" s="182"/>
    </row>
    <row r="89" spans="1:40" x14ac:dyDescent="0.25">
      <c r="A89" s="101"/>
      <c r="B89" s="102"/>
      <c r="C89" s="80"/>
      <c r="D89" s="102"/>
      <c r="E89" s="106"/>
      <c r="F89" s="105"/>
      <c r="G89" s="80"/>
      <c r="H89" s="80"/>
      <c r="I89" s="104"/>
      <c r="J89" s="234"/>
      <c r="K89" s="102"/>
      <c r="L89" s="102"/>
      <c r="M89" s="106"/>
      <c r="N89" s="106"/>
      <c r="O89" s="106"/>
      <c r="P89" s="106"/>
      <c r="Q89" s="106"/>
      <c r="R89" s="102"/>
      <c r="S89" s="102"/>
      <c r="T89" s="106"/>
      <c r="U89" s="106"/>
      <c r="V89" s="106"/>
      <c r="W89" s="106"/>
      <c r="X89" s="106"/>
      <c r="Y89" s="102"/>
      <c r="Z89" s="102"/>
      <c r="AA89" s="106"/>
      <c r="AB89" s="106"/>
      <c r="AC89" s="106"/>
      <c r="AD89" s="106"/>
      <c r="AE89" s="106"/>
      <c r="AF89" s="102"/>
      <c r="AG89" s="102"/>
      <c r="AH89" s="106"/>
      <c r="AI89" s="106"/>
      <c r="AJ89" s="106"/>
      <c r="AK89" s="106"/>
      <c r="AM89" s="80"/>
      <c r="AN89" s="182"/>
    </row>
    <row r="90" spans="1:40" x14ac:dyDescent="0.25">
      <c r="A90" s="101"/>
      <c r="B90" s="102"/>
      <c r="C90" s="80"/>
      <c r="D90" s="102"/>
      <c r="E90" s="106"/>
      <c r="F90" s="105"/>
      <c r="G90" s="80"/>
      <c r="H90" s="80"/>
      <c r="I90" s="104"/>
      <c r="J90" s="234"/>
      <c r="K90" s="102"/>
      <c r="L90" s="102"/>
      <c r="M90" s="106"/>
      <c r="N90" s="106"/>
      <c r="O90" s="106"/>
      <c r="P90" s="106"/>
      <c r="Q90" s="106"/>
      <c r="R90" s="102"/>
      <c r="S90" s="102"/>
      <c r="T90" s="106"/>
      <c r="U90" s="106"/>
      <c r="V90" s="106"/>
      <c r="W90" s="106"/>
      <c r="X90" s="106"/>
      <c r="Y90" s="102"/>
      <c r="Z90" s="102"/>
      <c r="AA90" s="106"/>
      <c r="AB90" s="106"/>
      <c r="AC90" s="106"/>
      <c r="AD90" s="106"/>
      <c r="AE90" s="106"/>
      <c r="AF90" s="102"/>
      <c r="AG90" s="102"/>
      <c r="AH90" s="106"/>
      <c r="AI90" s="106"/>
      <c r="AJ90" s="106"/>
      <c r="AK90" s="106"/>
      <c r="AM90" s="80"/>
      <c r="AN90" s="182"/>
    </row>
    <row r="91" spans="1:40" x14ac:dyDescent="0.25">
      <c r="A91" s="101"/>
      <c r="B91" s="102"/>
      <c r="C91" s="80"/>
      <c r="D91" s="102"/>
      <c r="E91" s="106"/>
      <c r="F91" s="105"/>
      <c r="G91" s="80"/>
      <c r="H91" s="80"/>
      <c r="I91" s="104"/>
      <c r="J91" s="234"/>
      <c r="K91" s="102"/>
      <c r="L91" s="102"/>
      <c r="M91" s="106"/>
      <c r="N91" s="106"/>
      <c r="O91" s="106"/>
      <c r="P91" s="106"/>
      <c r="Q91" s="106"/>
      <c r="R91" s="102"/>
      <c r="S91" s="102"/>
      <c r="T91" s="106"/>
      <c r="U91" s="106"/>
      <c r="V91" s="106"/>
      <c r="W91" s="106"/>
      <c r="X91" s="106"/>
      <c r="Y91" s="102"/>
      <c r="Z91" s="102"/>
      <c r="AA91" s="106"/>
      <c r="AB91" s="106"/>
      <c r="AC91" s="106"/>
      <c r="AD91" s="106"/>
      <c r="AE91" s="106"/>
      <c r="AF91" s="102"/>
      <c r="AG91" s="102"/>
      <c r="AH91" s="106"/>
      <c r="AI91" s="106"/>
      <c r="AJ91" s="106"/>
      <c r="AK91" s="106"/>
      <c r="AM91" s="80"/>
      <c r="AN91" s="182"/>
    </row>
    <row r="92" spans="1:40" x14ac:dyDescent="0.25">
      <c r="A92" s="101"/>
      <c r="B92" s="102"/>
      <c r="C92" s="80"/>
      <c r="D92" s="102"/>
      <c r="E92" s="106"/>
      <c r="F92" s="105"/>
      <c r="G92" s="80"/>
      <c r="H92" s="80"/>
      <c r="I92" s="104"/>
      <c r="J92" s="234"/>
      <c r="K92" s="102"/>
      <c r="L92" s="102"/>
      <c r="M92" s="106"/>
      <c r="N92" s="106"/>
      <c r="O92" s="106"/>
      <c r="P92" s="106"/>
      <c r="Q92" s="106"/>
      <c r="R92" s="102"/>
      <c r="S92" s="102"/>
      <c r="T92" s="106"/>
      <c r="U92" s="106"/>
      <c r="V92" s="106"/>
      <c r="W92" s="106"/>
      <c r="X92" s="106"/>
      <c r="Y92" s="102"/>
      <c r="Z92" s="102"/>
      <c r="AA92" s="106"/>
      <c r="AB92" s="106"/>
      <c r="AC92" s="106"/>
      <c r="AD92" s="106"/>
      <c r="AE92" s="106"/>
      <c r="AF92" s="102"/>
      <c r="AG92" s="102"/>
      <c r="AH92" s="106"/>
      <c r="AI92" s="106"/>
      <c r="AJ92" s="106"/>
      <c r="AK92" s="106"/>
      <c r="AM92" s="80"/>
      <c r="AN92" s="182"/>
    </row>
    <row r="93" spans="1:40" x14ac:dyDescent="0.25">
      <c r="A93" s="101"/>
      <c r="B93" s="102"/>
      <c r="C93" s="80"/>
      <c r="D93" s="102"/>
      <c r="E93" s="106"/>
      <c r="F93" s="105"/>
      <c r="G93" s="80"/>
      <c r="H93" s="80"/>
      <c r="I93" s="104"/>
      <c r="J93" s="234"/>
      <c r="K93" s="102"/>
      <c r="L93" s="102"/>
      <c r="M93" s="106"/>
      <c r="N93" s="106"/>
      <c r="O93" s="106"/>
      <c r="P93" s="106"/>
      <c r="Q93" s="106"/>
      <c r="R93" s="102"/>
      <c r="S93" s="102"/>
      <c r="T93" s="106"/>
      <c r="U93" s="106"/>
      <c r="V93" s="106"/>
      <c r="W93" s="106"/>
      <c r="X93" s="106"/>
      <c r="Y93" s="102"/>
      <c r="Z93" s="102"/>
      <c r="AA93" s="106"/>
      <c r="AB93" s="106"/>
      <c r="AC93" s="106"/>
      <c r="AD93" s="106"/>
      <c r="AE93" s="106"/>
      <c r="AF93" s="102"/>
      <c r="AG93" s="102"/>
      <c r="AH93" s="106"/>
      <c r="AI93" s="106"/>
      <c r="AJ93" s="106"/>
      <c r="AK93" s="106"/>
      <c r="AM93" s="80"/>
      <c r="AN93" s="182"/>
    </row>
    <row r="94" spans="1:40" x14ac:dyDescent="0.25">
      <c r="A94" s="101"/>
      <c r="B94" s="102"/>
      <c r="C94" s="80"/>
      <c r="D94" s="102"/>
      <c r="E94" s="106"/>
      <c r="F94" s="105"/>
      <c r="G94" s="80"/>
      <c r="H94" s="80"/>
      <c r="I94" s="104"/>
      <c r="J94" s="234"/>
      <c r="K94" s="102"/>
      <c r="L94" s="102"/>
      <c r="M94" s="106"/>
      <c r="N94" s="106"/>
      <c r="O94" s="106"/>
      <c r="P94" s="106"/>
      <c r="Q94" s="106"/>
      <c r="R94" s="102"/>
      <c r="S94" s="102"/>
      <c r="T94" s="106"/>
      <c r="U94" s="106"/>
      <c r="V94" s="106"/>
      <c r="W94" s="106"/>
      <c r="X94" s="106"/>
      <c r="Y94" s="102"/>
      <c r="Z94" s="102"/>
      <c r="AA94" s="106"/>
      <c r="AB94" s="106"/>
      <c r="AC94" s="106"/>
      <c r="AD94" s="106"/>
      <c r="AE94" s="106"/>
      <c r="AF94" s="102"/>
      <c r="AG94" s="102"/>
      <c r="AH94" s="106"/>
      <c r="AI94" s="106"/>
      <c r="AJ94" s="106"/>
      <c r="AK94" s="106"/>
      <c r="AM94" s="80"/>
      <c r="AN94" s="182"/>
    </row>
    <row r="95" spans="1:40" x14ac:dyDescent="0.25">
      <c r="A95" s="101"/>
      <c r="B95" s="102"/>
      <c r="C95" s="80"/>
      <c r="D95" s="102"/>
      <c r="E95" s="106"/>
      <c r="F95" s="105"/>
      <c r="G95" s="80"/>
      <c r="H95" s="80"/>
      <c r="I95" s="104"/>
      <c r="J95" s="234"/>
      <c r="K95" s="102"/>
      <c r="L95" s="102"/>
      <c r="M95" s="106"/>
      <c r="N95" s="106"/>
      <c r="O95" s="106"/>
      <c r="P95" s="106"/>
      <c r="Q95" s="106"/>
      <c r="R95" s="102"/>
      <c r="S95" s="102"/>
      <c r="T95" s="106"/>
      <c r="U95" s="106"/>
      <c r="V95" s="106"/>
      <c r="W95" s="106"/>
      <c r="X95" s="106"/>
      <c r="Y95" s="102"/>
      <c r="Z95" s="102"/>
      <c r="AA95" s="106"/>
      <c r="AB95" s="106"/>
      <c r="AC95" s="106"/>
      <c r="AD95" s="106"/>
      <c r="AE95" s="106"/>
      <c r="AF95" s="102"/>
      <c r="AG95" s="102"/>
      <c r="AH95" s="106"/>
      <c r="AI95" s="106"/>
      <c r="AJ95" s="106"/>
      <c r="AK95" s="106"/>
      <c r="AM95" s="80"/>
      <c r="AN95" s="182"/>
    </row>
    <row r="96" spans="1:40" x14ac:dyDescent="0.25">
      <c r="A96" s="101"/>
      <c r="B96" s="102"/>
      <c r="C96" s="80"/>
      <c r="D96" s="102"/>
      <c r="E96" s="106"/>
      <c r="F96" s="105"/>
      <c r="G96" s="80"/>
      <c r="H96" s="80"/>
      <c r="I96" s="104"/>
      <c r="J96" s="234"/>
      <c r="K96" s="102"/>
      <c r="L96" s="102"/>
      <c r="M96" s="106"/>
      <c r="N96" s="106"/>
      <c r="O96" s="106"/>
      <c r="P96" s="106"/>
      <c r="Q96" s="106"/>
      <c r="R96" s="102"/>
      <c r="S96" s="102"/>
      <c r="T96" s="106"/>
      <c r="U96" s="106"/>
      <c r="V96" s="106"/>
      <c r="W96" s="106"/>
      <c r="X96" s="106"/>
      <c r="Y96" s="102"/>
      <c r="Z96" s="102"/>
      <c r="AA96" s="106"/>
      <c r="AB96" s="106"/>
      <c r="AC96" s="106"/>
      <c r="AD96" s="106"/>
      <c r="AE96" s="106"/>
      <c r="AF96" s="102"/>
      <c r="AG96" s="102"/>
      <c r="AH96" s="106"/>
      <c r="AI96" s="106"/>
      <c r="AJ96" s="106"/>
      <c r="AK96" s="106"/>
      <c r="AM96" s="80"/>
      <c r="AN96" s="182"/>
    </row>
    <row r="97" spans="1:40" x14ac:dyDescent="0.25">
      <c r="A97" s="101"/>
      <c r="B97" s="102"/>
      <c r="C97" s="80"/>
      <c r="D97" s="102"/>
      <c r="E97" s="106"/>
      <c r="F97" s="105"/>
      <c r="G97" s="80"/>
      <c r="H97" s="80"/>
      <c r="I97" s="104"/>
      <c r="J97" s="234"/>
      <c r="K97" s="102"/>
      <c r="L97" s="102"/>
      <c r="M97" s="106"/>
      <c r="N97" s="106"/>
      <c r="O97" s="106"/>
      <c r="P97" s="106"/>
      <c r="Q97" s="106"/>
      <c r="R97" s="102"/>
      <c r="S97" s="102"/>
      <c r="T97" s="106"/>
      <c r="U97" s="106"/>
      <c r="V97" s="106"/>
      <c r="W97" s="106"/>
      <c r="X97" s="106"/>
      <c r="Y97" s="102"/>
      <c r="Z97" s="102"/>
      <c r="AA97" s="106"/>
      <c r="AB97" s="106"/>
      <c r="AC97" s="106"/>
      <c r="AD97" s="106"/>
      <c r="AE97" s="106"/>
      <c r="AF97" s="102"/>
      <c r="AG97" s="102"/>
      <c r="AH97" s="106"/>
      <c r="AI97" s="106"/>
      <c r="AJ97" s="106"/>
      <c r="AK97" s="106"/>
      <c r="AM97" s="80"/>
      <c r="AN97" s="182"/>
    </row>
    <row r="98" spans="1:40" x14ac:dyDescent="0.25">
      <c r="A98" s="101"/>
      <c r="B98" s="102"/>
      <c r="C98" s="80"/>
      <c r="D98" s="102"/>
      <c r="E98" s="106"/>
      <c r="F98" s="105"/>
      <c r="G98" s="80"/>
      <c r="H98" s="80"/>
      <c r="I98" s="104"/>
      <c r="J98" s="234"/>
      <c r="K98" s="102"/>
      <c r="L98" s="102"/>
      <c r="M98" s="106"/>
      <c r="N98" s="106"/>
      <c r="O98" s="106"/>
      <c r="P98" s="106"/>
      <c r="Q98" s="106"/>
      <c r="R98" s="102"/>
      <c r="S98" s="102"/>
      <c r="T98" s="106"/>
      <c r="U98" s="106"/>
      <c r="V98" s="106"/>
      <c r="W98" s="106"/>
      <c r="X98" s="106"/>
      <c r="Y98" s="102"/>
      <c r="Z98" s="102"/>
      <c r="AA98" s="106"/>
      <c r="AB98" s="106"/>
      <c r="AC98" s="106"/>
      <c r="AD98" s="106"/>
      <c r="AE98" s="106"/>
      <c r="AF98" s="102"/>
      <c r="AG98" s="102"/>
      <c r="AH98" s="106"/>
      <c r="AI98" s="106"/>
      <c r="AJ98" s="106"/>
      <c r="AK98" s="106"/>
      <c r="AM98" s="80"/>
      <c r="AN98" s="182"/>
    </row>
    <row r="99" spans="1:40" x14ac:dyDescent="0.25">
      <c r="A99" s="101"/>
      <c r="B99" s="102"/>
      <c r="C99" s="80"/>
      <c r="D99" s="102"/>
      <c r="E99" s="106"/>
      <c r="F99" s="105"/>
      <c r="G99" s="80"/>
      <c r="H99" s="80"/>
      <c r="I99" s="104"/>
      <c r="J99" s="234"/>
      <c r="K99" s="102"/>
      <c r="L99" s="102"/>
      <c r="M99" s="106"/>
      <c r="N99" s="106"/>
      <c r="O99" s="106"/>
      <c r="P99" s="106"/>
      <c r="Q99" s="106"/>
      <c r="R99" s="102"/>
      <c r="S99" s="102"/>
      <c r="T99" s="106"/>
      <c r="U99" s="106"/>
      <c r="V99" s="106"/>
      <c r="W99" s="106"/>
      <c r="X99" s="106"/>
      <c r="Y99" s="102"/>
      <c r="Z99" s="102"/>
      <c r="AA99" s="106"/>
      <c r="AB99" s="106"/>
      <c r="AC99" s="106"/>
      <c r="AD99" s="106"/>
      <c r="AE99" s="106"/>
      <c r="AF99" s="102"/>
      <c r="AG99" s="102"/>
      <c r="AH99" s="106"/>
      <c r="AI99" s="106"/>
      <c r="AJ99" s="106"/>
      <c r="AK99" s="106"/>
      <c r="AM99" s="80"/>
      <c r="AN99" s="182"/>
    </row>
    <row r="100" spans="1:40" x14ac:dyDescent="0.25">
      <c r="A100" s="101"/>
      <c r="B100" s="102"/>
      <c r="C100" s="80"/>
      <c r="D100" s="102"/>
      <c r="E100" s="106"/>
      <c r="F100" s="105"/>
      <c r="G100" s="80"/>
      <c r="H100" s="80"/>
      <c r="I100" s="104"/>
      <c r="J100" s="234"/>
      <c r="K100" s="102"/>
      <c r="L100" s="102"/>
      <c r="M100" s="106"/>
      <c r="N100" s="106"/>
      <c r="O100" s="106"/>
      <c r="P100" s="106"/>
      <c r="Q100" s="106"/>
      <c r="R100" s="102"/>
      <c r="S100" s="102"/>
      <c r="T100" s="106"/>
      <c r="U100" s="106"/>
      <c r="V100" s="106"/>
      <c r="W100" s="106"/>
      <c r="X100" s="106"/>
      <c r="Y100" s="102"/>
      <c r="Z100" s="102"/>
      <c r="AA100" s="106"/>
      <c r="AB100" s="106"/>
      <c r="AC100" s="106"/>
      <c r="AD100" s="106"/>
      <c r="AE100" s="106"/>
      <c r="AF100" s="102"/>
      <c r="AG100" s="102"/>
      <c r="AH100" s="106"/>
      <c r="AI100" s="106"/>
      <c r="AJ100" s="106"/>
      <c r="AK100" s="106"/>
      <c r="AM100" s="80"/>
      <c r="AN100" s="182"/>
    </row>
    <row r="101" spans="1:40" x14ac:dyDescent="0.25">
      <c r="A101" s="101"/>
      <c r="B101" s="102"/>
      <c r="C101" s="80"/>
      <c r="D101" s="102"/>
      <c r="E101" s="106"/>
      <c r="F101" s="105"/>
      <c r="G101" s="80"/>
      <c r="H101" s="80"/>
      <c r="I101" s="104"/>
      <c r="J101" s="234"/>
      <c r="K101" s="102"/>
      <c r="L101" s="102"/>
      <c r="M101" s="106"/>
      <c r="N101" s="106"/>
      <c r="O101" s="106"/>
      <c r="P101" s="106"/>
      <c r="Q101" s="106"/>
      <c r="R101" s="102"/>
      <c r="S101" s="102"/>
      <c r="T101" s="106"/>
      <c r="U101" s="106"/>
      <c r="V101" s="106"/>
      <c r="W101" s="106"/>
      <c r="X101" s="106"/>
      <c r="Y101" s="102"/>
      <c r="Z101" s="102"/>
      <c r="AA101" s="106"/>
      <c r="AB101" s="106"/>
      <c r="AC101" s="106"/>
      <c r="AD101" s="106"/>
      <c r="AE101" s="106"/>
      <c r="AF101" s="102"/>
      <c r="AG101" s="102"/>
      <c r="AH101" s="106"/>
      <c r="AI101" s="106"/>
      <c r="AJ101" s="106"/>
      <c r="AK101" s="106"/>
      <c r="AM101" s="80"/>
      <c r="AN101" s="182"/>
    </row>
    <row r="102" spans="1:40" x14ac:dyDescent="0.25">
      <c r="A102" s="101"/>
      <c r="B102" s="102"/>
      <c r="C102" s="80"/>
      <c r="D102" s="102"/>
      <c r="E102" s="106"/>
      <c r="F102" s="105"/>
      <c r="G102" s="80"/>
      <c r="H102" s="80"/>
      <c r="I102" s="104"/>
      <c r="J102" s="234"/>
      <c r="K102" s="102"/>
      <c r="L102" s="102"/>
      <c r="M102" s="106"/>
      <c r="N102" s="106"/>
      <c r="O102" s="106"/>
      <c r="P102" s="106"/>
      <c r="Q102" s="106"/>
      <c r="R102" s="102"/>
      <c r="S102" s="102"/>
      <c r="T102" s="106"/>
      <c r="U102" s="106"/>
      <c r="V102" s="106"/>
      <c r="W102" s="106"/>
      <c r="X102" s="106"/>
      <c r="Y102" s="102"/>
      <c r="Z102" s="102"/>
      <c r="AA102" s="106"/>
      <c r="AB102" s="106"/>
      <c r="AC102" s="106"/>
      <c r="AD102" s="106"/>
      <c r="AE102" s="106"/>
      <c r="AF102" s="102"/>
      <c r="AG102" s="102"/>
      <c r="AH102" s="106"/>
      <c r="AI102" s="106"/>
      <c r="AJ102" s="106"/>
      <c r="AK102" s="106"/>
      <c r="AM102" s="80"/>
      <c r="AN102" s="182"/>
    </row>
    <row r="103" spans="1:40" x14ac:dyDescent="0.25">
      <c r="A103" s="101"/>
      <c r="B103" s="102"/>
      <c r="C103" s="80"/>
      <c r="D103" s="102"/>
      <c r="E103" s="106"/>
      <c r="F103" s="105"/>
      <c r="G103" s="80"/>
      <c r="H103" s="80"/>
      <c r="I103" s="104"/>
      <c r="J103" s="234"/>
      <c r="K103" s="102"/>
      <c r="L103" s="102"/>
      <c r="M103" s="106"/>
      <c r="N103" s="106"/>
      <c r="O103" s="106"/>
      <c r="P103" s="106"/>
      <c r="Q103" s="106"/>
      <c r="R103" s="102"/>
      <c r="S103" s="102"/>
      <c r="T103" s="106"/>
      <c r="U103" s="106"/>
      <c r="V103" s="106"/>
      <c r="W103" s="106"/>
      <c r="X103" s="106"/>
      <c r="Y103" s="102"/>
      <c r="Z103" s="102"/>
      <c r="AA103" s="106"/>
      <c r="AB103" s="106"/>
      <c r="AC103" s="106"/>
      <c r="AD103" s="106"/>
      <c r="AE103" s="106"/>
      <c r="AF103" s="102"/>
      <c r="AG103" s="102"/>
      <c r="AH103" s="106"/>
      <c r="AI103" s="106"/>
      <c r="AJ103" s="106"/>
      <c r="AK103" s="106"/>
      <c r="AM103" s="80"/>
      <c r="AN103" s="182"/>
    </row>
    <row r="104" spans="1:40" x14ac:dyDescent="0.25">
      <c r="A104" s="101"/>
      <c r="B104" s="102"/>
      <c r="C104" s="80"/>
      <c r="D104" s="102"/>
      <c r="E104" s="106"/>
      <c r="F104" s="105"/>
      <c r="G104" s="80"/>
      <c r="H104" s="80"/>
      <c r="I104" s="104"/>
      <c r="J104" s="234"/>
      <c r="K104" s="102"/>
      <c r="L104" s="102"/>
      <c r="M104" s="106"/>
      <c r="N104" s="106"/>
      <c r="O104" s="106"/>
      <c r="P104" s="106"/>
      <c r="Q104" s="106"/>
      <c r="R104" s="102"/>
      <c r="S104" s="102"/>
      <c r="T104" s="106"/>
      <c r="U104" s="106"/>
      <c r="V104" s="106"/>
      <c r="W104" s="106"/>
      <c r="X104" s="106"/>
      <c r="Y104" s="102"/>
      <c r="Z104" s="102"/>
      <c r="AA104" s="106"/>
      <c r="AB104" s="106"/>
      <c r="AC104" s="106"/>
      <c r="AD104" s="106"/>
      <c r="AE104" s="106"/>
      <c r="AF104" s="102"/>
      <c r="AG104" s="102"/>
      <c r="AH104" s="106"/>
      <c r="AI104" s="106"/>
      <c r="AJ104" s="106"/>
      <c r="AK104" s="106"/>
      <c r="AM104" s="80"/>
      <c r="AN104" s="182"/>
    </row>
    <row r="105" spans="1:40" x14ac:dyDescent="0.25">
      <c r="A105" s="101"/>
      <c r="B105" s="102"/>
      <c r="C105" s="80"/>
      <c r="D105" s="102"/>
      <c r="E105" s="106"/>
      <c r="F105" s="105"/>
      <c r="G105" s="80"/>
      <c r="H105" s="80"/>
      <c r="I105" s="104"/>
      <c r="J105" s="234"/>
      <c r="K105" s="102"/>
      <c r="L105" s="102"/>
      <c r="M105" s="106"/>
      <c r="N105" s="106"/>
      <c r="O105" s="106"/>
      <c r="P105" s="106"/>
      <c r="Q105" s="106"/>
      <c r="R105" s="102"/>
      <c r="S105" s="102"/>
      <c r="T105" s="106"/>
      <c r="U105" s="106"/>
      <c r="V105" s="106"/>
      <c r="W105" s="106"/>
      <c r="X105" s="106"/>
      <c r="Y105" s="102"/>
      <c r="Z105" s="102"/>
      <c r="AA105" s="106"/>
      <c r="AB105" s="106"/>
      <c r="AC105" s="106"/>
      <c r="AD105" s="106"/>
      <c r="AE105" s="106"/>
      <c r="AF105" s="102"/>
      <c r="AG105" s="102"/>
      <c r="AH105" s="106"/>
      <c r="AI105" s="106"/>
      <c r="AJ105" s="106"/>
      <c r="AK105" s="106"/>
      <c r="AM105" s="80"/>
      <c r="AN105" s="182"/>
    </row>
    <row r="106" spans="1:40" x14ac:dyDescent="0.25">
      <c r="A106" s="101"/>
      <c r="B106" s="102"/>
      <c r="C106" s="80"/>
      <c r="D106" s="102"/>
      <c r="E106" s="106"/>
      <c r="F106" s="105"/>
      <c r="G106" s="80"/>
      <c r="H106" s="80"/>
      <c r="I106" s="104"/>
      <c r="J106" s="234"/>
      <c r="K106" s="102"/>
      <c r="L106" s="102"/>
      <c r="M106" s="106"/>
      <c r="N106" s="106"/>
      <c r="O106" s="106"/>
      <c r="P106" s="106"/>
      <c r="Q106" s="106"/>
      <c r="R106" s="102"/>
      <c r="S106" s="102"/>
      <c r="T106" s="106"/>
      <c r="U106" s="106"/>
      <c r="V106" s="106"/>
      <c r="W106" s="106"/>
      <c r="X106" s="106"/>
      <c r="Y106" s="102"/>
      <c r="Z106" s="102"/>
      <c r="AA106" s="106"/>
      <c r="AB106" s="106"/>
      <c r="AC106" s="106"/>
      <c r="AD106" s="106"/>
      <c r="AE106" s="106"/>
      <c r="AF106" s="102"/>
      <c r="AG106" s="102"/>
      <c r="AH106" s="106"/>
      <c r="AI106" s="106"/>
      <c r="AJ106" s="106"/>
      <c r="AK106" s="106"/>
      <c r="AM106" s="80"/>
      <c r="AN106" s="182"/>
    </row>
    <row r="107" spans="1:40" x14ac:dyDescent="0.25">
      <c r="A107" s="101"/>
      <c r="B107" s="102"/>
      <c r="C107" s="80"/>
      <c r="D107" s="102"/>
      <c r="E107" s="106"/>
      <c r="F107" s="105"/>
      <c r="G107" s="80"/>
      <c r="H107" s="80"/>
      <c r="I107" s="104"/>
      <c r="J107" s="234"/>
      <c r="K107" s="102"/>
      <c r="L107" s="102"/>
      <c r="M107" s="106"/>
      <c r="N107" s="106"/>
      <c r="O107" s="106"/>
      <c r="P107" s="106"/>
      <c r="Q107" s="106"/>
      <c r="R107" s="102"/>
      <c r="S107" s="102"/>
      <c r="T107" s="106"/>
      <c r="U107" s="106"/>
      <c r="V107" s="106"/>
      <c r="W107" s="106"/>
      <c r="X107" s="106"/>
      <c r="Y107" s="102"/>
      <c r="Z107" s="102"/>
      <c r="AA107" s="106"/>
      <c r="AB107" s="106"/>
      <c r="AC107" s="106"/>
      <c r="AD107" s="106"/>
      <c r="AE107" s="106"/>
      <c r="AF107" s="102"/>
      <c r="AG107" s="102"/>
      <c r="AH107" s="106"/>
      <c r="AI107" s="106"/>
      <c r="AJ107" s="106"/>
      <c r="AK107" s="106"/>
      <c r="AM107" s="80"/>
      <c r="AN107" s="182"/>
    </row>
    <row r="108" spans="1:40" x14ac:dyDescent="0.25">
      <c r="A108" s="101"/>
      <c r="B108" s="102"/>
      <c r="C108" s="80"/>
      <c r="D108" s="102"/>
      <c r="E108" s="106"/>
      <c r="F108" s="105"/>
      <c r="G108" s="80"/>
      <c r="H108" s="80"/>
      <c r="I108" s="104"/>
      <c r="J108" s="234"/>
      <c r="K108" s="102"/>
      <c r="L108" s="102"/>
      <c r="M108" s="106"/>
      <c r="N108" s="106"/>
      <c r="O108" s="106"/>
      <c r="P108" s="106"/>
      <c r="Q108" s="106"/>
      <c r="R108" s="102"/>
      <c r="S108" s="102"/>
      <c r="T108" s="106"/>
      <c r="U108" s="106"/>
      <c r="V108" s="106"/>
      <c r="W108" s="106"/>
      <c r="X108" s="106"/>
      <c r="Y108" s="102"/>
      <c r="Z108" s="102"/>
      <c r="AA108" s="106"/>
      <c r="AB108" s="106"/>
      <c r="AC108" s="106"/>
      <c r="AD108" s="106"/>
      <c r="AE108" s="106"/>
      <c r="AF108" s="102"/>
      <c r="AG108" s="102"/>
      <c r="AH108" s="106"/>
      <c r="AI108" s="106"/>
      <c r="AJ108" s="106"/>
      <c r="AK108" s="106"/>
      <c r="AM108" s="80"/>
      <c r="AN108" s="182"/>
    </row>
    <row r="109" spans="1:40" x14ac:dyDescent="0.25">
      <c r="A109" s="101"/>
      <c r="B109" s="102"/>
      <c r="C109" s="80"/>
      <c r="D109" s="102"/>
      <c r="E109" s="106"/>
      <c r="F109" s="105"/>
      <c r="G109" s="80"/>
      <c r="H109" s="80"/>
      <c r="I109" s="104"/>
      <c r="J109" s="234"/>
      <c r="K109" s="102"/>
      <c r="L109" s="102"/>
      <c r="M109" s="106"/>
      <c r="N109" s="106"/>
      <c r="O109" s="106"/>
      <c r="P109" s="106"/>
      <c r="Q109" s="106"/>
      <c r="R109" s="102"/>
      <c r="S109" s="102"/>
      <c r="T109" s="106"/>
      <c r="U109" s="106"/>
      <c r="V109" s="106"/>
      <c r="W109" s="106"/>
      <c r="X109" s="106"/>
      <c r="Y109" s="102"/>
      <c r="Z109" s="102"/>
      <c r="AA109" s="106"/>
      <c r="AB109" s="106"/>
      <c r="AC109" s="106"/>
      <c r="AD109" s="106"/>
      <c r="AE109" s="106"/>
      <c r="AF109" s="102"/>
      <c r="AG109" s="102"/>
      <c r="AH109" s="106"/>
      <c r="AI109" s="106"/>
      <c r="AJ109" s="106"/>
      <c r="AK109" s="106"/>
      <c r="AM109" s="80"/>
      <c r="AN109" s="182"/>
    </row>
    <row r="110" spans="1:40" x14ac:dyDescent="0.25">
      <c r="A110" s="101"/>
      <c r="B110" s="102"/>
      <c r="C110" s="80"/>
      <c r="D110" s="102"/>
      <c r="E110" s="106"/>
      <c r="F110" s="105"/>
      <c r="G110" s="80"/>
      <c r="H110" s="80"/>
      <c r="I110" s="104"/>
      <c r="J110" s="234"/>
      <c r="K110" s="102"/>
      <c r="L110" s="102"/>
      <c r="M110" s="106"/>
      <c r="N110" s="106"/>
      <c r="O110" s="106"/>
      <c r="P110" s="106"/>
      <c r="Q110" s="106"/>
      <c r="R110" s="102"/>
      <c r="S110" s="102"/>
      <c r="T110" s="106"/>
      <c r="U110" s="106"/>
      <c r="V110" s="106"/>
      <c r="W110" s="106"/>
      <c r="X110" s="106"/>
      <c r="Y110" s="102"/>
      <c r="Z110" s="102"/>
      <c r="AA110" s="106"/>
      <c r="AB110" s="106"/>
      <c r="AC110" s="106"/>
      <c r="AD110" s="106"/>
      <c r="AE110" s="106"/>
      <c r="AF110" s="102"/>
      <c r="AG110" s="102"/>
      <c r="AH110" s="106"/>
      <c r="AI110" s="106"/>
      <c r="AJ110" s="106"/>
      <c r="AK110" s="106"/>
      <c r="AM110" s="80"/>
      <c r="AN110" s="182"/>
    </row>
    <row r="111" spans="1:40" x14ac:dyDescent="0.25">
      <c r="A111" s="101"/>
      <c r="B111" s="102"/>
      <c r="C111" s="80"/>
      <c r="D111" s="102"/>
      <c r="E111" s="106"/>
      <c r="F111" s="105"/>
      <c r="G111" s="80"/>
      <c r="H111" s="80"/>
      <c r="I111" s="104"/>
      <c r="J111" s="234"/>
      <c r="K111" s="102"/>
      <c r="L111" s="102"/>
      <c r="M111" s="106"/>
      <c r="N111" s="106"/>
      <c r="O111" s="106"/>
      <c r="P111" s="106"/>
      <c r="Q111" s="106"/>
      <c r="R111" s="102"/>
      <c r="S111" s="102"/>
      <c r="T111" s="106"/>
      <c r="U111" s="106"/>
      <c r="V111" s="106"/>
      <c r="W111" s="106"/>
      <c r="X111" s="106"/>
      <c r="Y111" s="102"/>
      <c r="Z111" s="102"/>
      <c r="AA111" s="106"/>
      <c r="AB111" s="106"/>
      <c r="AC111" s="106"/>
      <c r="AD111" s="106"/>
      <c r="AE111" s="106"/>
      <c r="AF111" s="102"/>
      <c r="AG111" s="102"/>
      <c r="AH111" s="106"/>
      <c r="AI111" s="106"/>
      <c r="AJ111" s="106"/>
      <c r="AK111" s="106"/>
      <c r="AM111" s="80"/>
      <c r="AN111" s="182"/>
    </row>
    <row r="112" spans="1:40" x14ac:dyDescent="0.25">
      <c r="A112" s="101"/>
      <c r="B112" s="102"/>
      <c r="C112" s="80"/>
      <c r="D112" s="102"/>
      <c r="E112" s="106"/>
      <c r="F112" s="105"/>
      <c r="G112" s="80"/>
      <c r="H112" s="80"/>
      <c r="I112" s="104"/>
      <c r="J112" s="234"/>
      <c r="K112" s="102"/>
      <c r="L112" s="102"/>
      <c r="M112" s="106"/>
      <c r="N112" s="106"/>
      <c r="O112" s="106"/>
      <c r="P112" s="106"/>
      <c r="Q112" s="106"/>
      <c r="R112" s="102"/>
      <c r="S112" s="102"/>
      <c r="T112" s="106"/>
      <c r="U112" s="106"/>
      <c r="V112" s="106"/>
      <c r="W112" s="106"/>
      <c r="X112" s="106"/>
      <c r="Y112" s="102"/>
      <c r="Z112" s="102"/>
      <c r="AA112" s="106"/>
      <c r="AB112" s="106"/>
      <c r="AC112" s="106"/>
      <c r="AD112" s="106"/>
      <c r="AE112" s="106"/>
      <c r="AF112" s="102"/>
      <c r="AG112" s="102"/>
      <c r="AH112" s="106"/>
      <c r="AI112" s="106"/>
      <c r="AJ112" s="106"/>
      <c r="AK112" s="106"/>
      <c r="AM112" s="80"/>
      <c r="AN112" s="182"/>
    </row>
    <row r="113" spans="1:144" x14ac:dyDescent="0.25">
      <c r="A113" s="101"/>
      <c r="B113" s="102"/>
      <c r="C113" s="80"/>
      <c r="D113" s="102"/>
      <c r="E113" s="106"/>
      <c r="F113" s="105"/>
      <c r="G113" s="80"/>
      <c r="H113" s="80"/>
      <c r="I113" s="104"/>
      <c r="J113" s="234"/>
      <c r="K113" s="102"/>
      <c r="L113" s="102"/>
      <c r="M113" s="106"/>
      <c r="N113" s="106"/>
      <c r="O113" s="106"/>
      <c r="P113" s="106"/>
      <c r="Q113" s="106"/>
      <c r="R113" s="102"/>
      <c r="S113" s="102"/>
      <c r="T113" s="106"/>
      <c r="U113" s="106"/>
      <c r="V113" s="106"/>
      <c r="W113" s="106"/>
      <c r="X113" s="106"/>
      <c r="Y113" s="102"/>
      <c r="Z113" s="102"/>
      <c r="AA113" s="106"/>
      <c r="AB113" s="106"/>
      <c r="AC113" s="106"/>
      <c r="AD113" s="106"/>
      <c r="AE113" s="106"/>
      <c r="AF113" s="102"/>
      <c r="AG113" s="102"/>
      <c r="AH113" s="106"/>
      <c r="AI113" s="106"/>
      <c r="AJ113" s="106"/>
      <c r="AK113" s="106"/>
      <c r="AM113" s="80"/>
      <c r="AN113" s="182"/>
    </row>
    <row r="114" spans="1:144" x14ac:dyDescent="0.25">
      <c r="A114" s="101"/>
      <c r="B114" s="102"/>
      <c r="C114" s="80"/>
      <c r="D114" s="102"/>
      <c r="E114" s="106"/>
      <c r="F114" s="105"/>
      <c r="G114" s="80"/>
      <c r="H114" s="80"/>
      <c r="I114" s="104"/>
      <c r="J114" s="234"/>
      <c r="K114" s="102"/>
      <c r="L114" s="102"/>
      <c r="M114" s="106"/>
      <c r="N114" s="106"/>
      <c r="O114" s="106"/>
      <c r="P114" s="106"/>
      <c r="Q114" s="106"/>
      <c r="R114" s="102"/>
      <c r="S114" s="102"/>
      <c r="T114" s="106"/>
      <c r="U114" s="106"/>
      <c r="V114" s="106"/>
      <c r="W114" s="106"/>
      <c r="X114" s="106"/>
      <c r="Y114" s="102"/>
      <c r="Z114" s="102"/>
      <c r="AA114" s="106"/>
      <c r="AB114" s="106"/>
      <c r="AC114" s="106"/>
      <c r="AD114" s="106"/>
      <c r="AE114" s="106"/>
      <c r="AF114" s="102"/>
      <c r="AG114" s="102"/>
      <c r="AH114" s="106"/>
      <c r="AI114" s="106"/>
      <c r="AJ114" s="106"/>
      <c r="AK114" s="106"/>
      <c r="AM114" s="80"/>
      <c r="AN114" s="182"/>
    </row>
    <row r="115" spans="1:144" x14ac:dyDescent="0.25">
      <c r="A115" s="101"/>
      <c r="B115" s="102"/>
      <c r="C115" s="80"/>
      <c r="D115" s="102"/>
      <c r="E115" s="106"/>
      <c r="F115" s="105"/>
      <c r="G115" s="80"/>
      <c r="H115" s="80"/>
      <c r="I115" s="104"/>
      <c r="J115" s="234"/>
      <c r="K115" s="102"/>
      <c r="L115" s="102"/>
      <c r="M115" s="106"/>
      <c r="N115" s="106"/>
      <c r="O115" s="106"/>
      <c r="P115" s="106"/>
      <c r="Q115" s="106"/>
      <c r="R115" s="102"/>
      <c r="S115" s="102"/>
      <c r="T115" s="106"/>
      <c r="U115" s="106"/>
      <c r="V115" s="106"/>
      <c r="W115" s="106"/>
      <c r="X115" s="106"/>
      <c r="Y115" s="102"/>
      <c r="Z115" s="102"/>
      <c r="AA115" s="106"/>
      <c r="AB115" s="106"/>
      <c r="AC115" s="106"/>
      <c r="AD115" s="106"/>
      <c r="AE115" s="106"/>
      <c r="AF115" s="102"/>
      <c r="AG115" s="102"/>
      <c r="AH115" s="106"/>
      <c r="AI115" s="106"/>
      <c r="AJ115" s="106"/>
      <c r="AK115" s="106"/>
      <c r="AM115" s="80"/>
      <c r="AN115" s="182"/>
    </row>
    <row r="116" spans="1:144" x14ac:dyDescent="0.25">
      <c r="A116" s="101"/>
      <c r="B116" s="115"/>
      <c r="C116" s="134"/>
      <c r="E116" s="112"/>
      <c r="F116" s="112"/>
      <c r="G116" s="112"/>
      <c r="H116" s="113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83"/>
      <c r="BX116" s="83"/>
      <c r="DF116" s="83"/>
      <c r="EN116" s="83"/>
    </row>
    <row r="117" spans="1:144" x14ac:dyDescent="0.25">
      <c r="A117" s="110"/>
      <c r="B117" s="115"/>
      <c r="C117" s="134"/>
      <c r="E117" s="112"/>
      <c r="F117" s="112"/>
      <c r="G117" s="112"/>
      <c r="H117" s="113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83"/>
      <c r="BX117" s="83"/>
      <c r="DF117" s="83"/>
      <c r="EN117" s="83"/>
    </row>
    <row r="118" spans="1:144" x14ac:dyDescent="0.25">
      <c r="A118" s="110"/>
      <c r="B118" s="115"/>
      <c r="C118" s="134"/>
      <c r="E118" s="112"/>
      <c r="F118" s="112"/>
      <c r="G118" s="112"/>
      <c r="H118" s="113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83"/>
      <c r="BX118" s="83"/>
      <c r="DF118" s="83"/>
      <c r="EN118" s="83"/>
    </row>
    <row r="119" spans="1:144" x14ac:dyDescent="0.25">
      <c r="A119" s="110"/>
      <c r="B119" s="115"/>
      <c r="C119" s="134"/>
      <c r="E119" s="112"/>
      <c r="F119" s="112"/>
      <c r="G119" s="112"/>
      <c r="H119" s="113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83"/>
      <c r="BX119" s="83"/>
      <c r="DF119" s="83"/>
      <c r="EN119" s="83"/>
    </row>
    <row r="120" spans="1:144" x14ac:dyDescent="0.25">
      <c r="A120" s="110"/>
      <c r="B120" s="115"/>
      <c r="C120" s="134"/>
      <c r="E120" s="112"/>
      <c r="F120" s="112"/>
      <c r="G120" s="112"/>
      <c r="H120" s="113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83"/>
      <c r="BX120" s="83"/>
      <c r="DF120" s="83"/>
      <c r="EN120" s="83"/>
    </row>
    <row r="121" spans="1:144" x14ac:dyDescent="0.25">
      <c r="A121" s="110"/>
      <c r="B121" s="115"/>
      <c r="C121" s="134"/>
      <c r="E121" s="112"/>
      <c r="F121" s="112"/>
      <c r="G121" s="112"/>
      <c r="H121" s="113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83"/>
      <c r="BX121" s="83"/>
      <c r="DF121" s="83"/>
      <c r="EN121" s="83"/>
    </row>
    <row r="122" spans="1:144" x14ac:dyDescent="0.25">
      <c r="A122" s="110"/>
      <c r="B122" s="115"/>
      <c r="C122" s="134"/>
      <c r="E122" s="112"/>
      <c r="F122" s="112"/>
      <c r="G122" s="112"/>
      <c r="H122" s="113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83"/>
      <c r="BX122" s="83"/>
      <c r="DF122" s="83"/>
      <c r="EN122" s="83"/>
    </row>
    <row r="123" spans="1:144" x14ac:dyDescent="0.25">
      <c r="A123" s="110"/>
      <c r="B123" s="115"/>
      <c r="C123" s="134"/>
      <c r="E123" s="112"/>
      <c r="F123" s="112"/>
      <c r="G123" s="112"/>
      <c r="H123" s="113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83"/>
      <c r="BX123" s="83"/>
      <c r="DF123" s="83"/>
      <c r="EN123" s="83"/>
    </row>
    <row r="124" spans="1:144" x14ac:dyDescent="0.25">
      <c r="A124" s="110"/>
      <c r="B124" s="115"/>
      <c r="C124" s="134"/>
      <c r="E124" s="112"/>
      <c r="F124" s="112"/>
      <c r="G124" s="112"/>
      <c r="H124" s="113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83"/>
      <c r="BX124" s="83"/>
      <c r="DF124" s="83"/>
      <c r="EN124" s="83"/>
    </row>
    <row r="125" spans="1:144" x14ac:dyDescent="0.25">
      <c r="A125" s="110"/>
      <c r="B125" s="115"/>
      <c r="C125" s="134"/>
      <c r="E125" s="112"/>
      <c r="F125" s="112"/>
      <c r="G125" s="112"/>
      <c r="H125" s="113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83"/>
      <c r="BX125" s="83"/>
      <c r="DF125" s="83"/>
      <c r="EN125" s="83"/>
    </row>
    <row r="126" spans="1:144" x14ac:dyDescent="0.25">
      <c r="A126" s="110"/>
      <c r="B126" s="115"/>
      <c r="C126" s="134"/>
      <c r="E126" s="112"/>
      <c r="F126" s="112"/>
      <c r="G126" s="112"/>
      <c r="H126" s="113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83"/>
      <c r="BX126" s="83"/>
      <c r="DF126" s="83"/>
      <c r="EN126" s="83"/>
    </row>
    <row r="127" spans="1:144" x14ac:dyDescent="0.25">
      <c r="A127" s="116"/>
      <c r="E127" s="79"/>
      <c r="F127" s="79"/>
      <c r="G127" s="79"/>
      <c r="H127" s="113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83"/>
      <c r="BX127" s="83"/>
      <c r="DF127" s="83"/>
      <c r="EN127" s="83"/>
    </row>
    <row r="128" spans="1:144" x14ac:dyDescent="0.25">
      <c r="A128" s="110"/>
      <c r="B128" s="115"/>
      <c r="C128" s="134"/>
      <c r="E128" s="112"/>
      <c r="F128" s="112"/>
      <c r="G128" s="112"/>
      <c r="H128" s="113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83"/>
      <c r="BX128" s="83"/>
      <c r="DF128" s="83"/>
      <c r="EN128" s="83"/>
    </row>
    <row r="129" spans="2:144" x14ac:dyDescent="0.25">
      <c r="B129" s="117"/>
      <c r="C129" s="120"/>
      <c r="D129" s="118"/>
      <c r="E129" s="111"/>
      <c r="F129" s="111"/>
      <c r="G129" s="111"/>
      <c r="H129" s="112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4"/>
      <c r="AN129" s="111"/>
      <c r="AO129" s="111"/>
      <c r="AP129" s="83"/>
      <c r="BX129" s="83"/>
      <c r="DF129" s="83"/>
      <c r="EN129" s="83"/>
    </row>
    <row r="130" spans="2:144" x14ac:dyDescent="0.25">
      <c r="B130" s="117"/>
      <c r="C130" s="120"/>
      <c r="D130" s="118"/>
      <c r="E130" s="111"/>
      <c r="F130" s="111"/>
      <c r="G130" s="111"/>
      <c r="H130" s="112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4"/>
      <c r="AN130" s="111"/>
      <c r="AO130" s="111"/>
      <c r="AP130" s="83"/>
      <c r="BX130" s="83"/>
      <c r="DF130" s="83"/>
      <c r="EN130" s="83"/>
    </row>
    <row r="131" spans="2:144" x14ac:dyDescent="0.25">
      <c r="B131" s="117"/>
      <c r="C131" s="120"/>
      <c r="D131" s="118"/>
      <c r="E131" s="111"/>
      <c r="F131" s="111"/>
      <c r="G131" s="111"/>
      <c r="H131" s="112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4"/>
      <c r="AN131" s="111"/>
      <c r="AO131" s="111"/>
      <c r="AP131" s="83"/>
      <c r="BX131" s="83"/>
      <c r="DF131" s="83"/>
      <c r="EN131" s="83"/>
    </row>
    <row r="132" spans="2:144" x14ac:dyDescent="0.25">
      <c r="B132" s="117"/>
      <c r="C132" s="120"/>
      <c r="D132" s="118"/>
      <c r="E132" s="111"/>
      <c r="F132" s="111"/>
      <c r="G132" s="111"/>
      <c r="H132" s="112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4"/>
      <c r="AN132" s="111"/>
      <c r="AO132" s="111"/>
      <c r="AP132" s="83"/>
      <c r="BX132" s="83"/>
      <c r="DF132" s="83"/>
      <c r="EN132" s="83"/>
    </row>
    <row r="133" spans="2:144" x14ac:dyDescent="0.25">
      <c r="B133" s="117"/>
      <c r="C133" s="120"/>
      <c r="D133" s="118"/>
      <c r="E133" s="111"/>
      <c r="F133" s="111"/>
      <c r="G133" s="111"/>
      <c r="H133" s="112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4"/>
      <c r="AN133" s="111"/>
      <c r="AO133" s="111"/>
      <c r="AP133" s="83"/>
      <c r="BX133" s="83"/>
      <c r="DF133" s="83"/>
      <c r="EN133" s="83"/>
    </row>
    <row r="134" spans="2:144" x14ac:dyDescent="0.25">
      <c r="B134" s="117"/>
      <c r="C134" s="120"/>
      <c r="D134" s="118"/>
      <c r="E134" s="111"/>
      <c r="F134" s="111"/>
      <c r="G134" s="111"/>
      <c r="H134" s="112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4"/>
      <c r="AN134" s="111"/>
      <c r="AO134" s="111"/>
      <c r="AP134" s="83"/>
      <c r="BX134" s="83"/>
      <c r="DF134" s="83"/>
      <c r="EN134" s="83"/>
    </row>
    <row r="135" spans="2:144" x14ac:dyDescent="0.25">
      <c r="B135" s="117"/>
      <c r="C135" s="120"/>
      <c r="D135" s="118"/>
      <c r="E135" s="111"/>
      <c r="F135" s="111"/>
      <c r="G135" s="111"/>
      <c r="H135" s="112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4"/>
      <c r="AN135" s="111"/>
      <c r="AO135" s="111"/>
      <c r="AP135" s="83"/>
      <c r="BX135" s="83"/>
      <c r="DF135" s="83"/>
      <c r="EN135" s="83"/>
    </row>
    <row r="136" spans="2:144" x14ac:dyDescent="0.25">
      <c r="B136" s="117"/>
      <c r="C136" s="120"/>
      <c r="D136" s="118"/>
      <c r="E136" s="111"/>
      <c r="F136" s="111"/>
      <c r="G136" s="111"/>
      <c r="H136" s="112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4"/>
      <c r="AN136" s="111"/>
      <c r="AO136" s="111"/>
      <c r="AP136" s="83"/>
      <c r="BX136" s="83"/>
      <c r="DF136" s="83"/>
      <c r="EN136" s="83"/>
    </row>
    <row r="137" spans="2:144" x14ac:dyDescent="0.25">
      <c r="B137" s="117"/>
      <c r="C137" s="120"/>
      <c r="D137" s="118"/>
      <c r="E137" s="111"/>
      <c r="F137" s="111"/>
      <c r="G137" s="111"/>
      <c r="H137" s="112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4"/>
      <c r="AN137" s="111"/>
      <c r="AO137" s="111"/>
      <c r="AP137" s="83"/>
      <c r="BX137" s="83"/>
      <c r="DF137" s="83"/>
      <c r="EN137" s="83"/>
    </row>
    <row r="138" spans="2:144" x14ac:dyDescent="0.25">
      <c r="B138" s="117"/>
      <c r="C138" s="120"/>
      <c r="D138" s="118"/>
      <c r="E138" s="111"/>
      <c r="F138" s="111"/>
      <c r="G138" s="111"/>
      <c r="H138" s="112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4"/>
      <c r="AN138" s="111"/>
      <c r="AO138" s="111"/>
      <c r="AP138" s="83"/>
      <c r="BX138" s="83"/>
      <c r="DF138" s="83"/>
      <c r="EN138" s="83"/>
    </row>
    <row r="139" spans="2:144" x14ac:dyDescent="0.25">
      <c r="B139" s="117"/>
      <c r="C139" s="120"/>
      <c r="D139" s="118"/>
      <c r="E139" s="111"/>
      <c r="F139" s="111"/>
      <c r="G139" s="111"/>
      <c r="H139" s="112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4"/>
      <c r="AN139" s="111"/>
      <c r="AO139" s="111"/>
      <c r="AP139" s="83"/>
      <c r="BX139" s="83"/>
      <c r="DF139" s="83"/>
      <c r="EN139" s="83"/>
    </row>
    <row r="140" spans="2:144" x14ac:dyDescent="0.25">
      <c r="B140" s="117"/>
      <c r="C140" s="120"/>
      <c r="D140" s="118"/>
      <c r="E140" s="111"/>
      <c r="F140" s="111"/>
      <c r="G140" s="111"/>
      <c r="H140" s="112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4"/>
      <c r="AN140" s="111"/>
      <c r="AO140" s="111"/>
      <c r="AP140" s="83"/>
      <c r="BX140" s="83"/>
      <c r="DF140" s="83"/>
      <c r="EN140" s="83"/>
    </row>
    <row r="141" spans="2:144" ht="13.8" thickBot="1" x14ac:dyDescent="0.3">
      <c r="B141" s="117"/>
      <c r="C141" s="120"/>
      <c r="D141" s="121"/>
      <c r="E141" s="111"/>
      <c r="F141" s="111"/>
      <c r="G141" s="111"/>
      <c r="H141" s="112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4"/>
      <c r="AN141" s="114"/>
      <c r="AO141" s="114"/>
      <c r="AP141" s="83"/>
      <c r="BX141" s="83"/>
      <c r="DF141" s="83"/>
      <c r="EN141" s="83"/>
    </row>
    <row r="142" spans="2:144" x14ac:dyDescent="0.25">
      <c r="B142" s="117"/>
      <c r="C142" s="120"/>
      <c r="D142" s="122"/>
      <c r="E142" s="111"/>
      <c r="F142" s="111"/>
      <c r="G142" s="111"/>
      <c r="H142" s="112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4"/>
      <c r="AN142" s="114"/>
      <c r="AO142" s="114"/>
      <c r="AP142" s="83"/>
      <c r="BX142" s="83"/>
      <c r="DF142" s="83"/>
      <c r="EN142" s="83"/>
    </row>
    <row r="143" spans="2:144" ht="13.8" thickBot="1" x14ac:dyDescent="0.3">
      <c r="B143" s="117"/>
      <c r="C143" s="120"/>
      <c r="D143" s="123"/>
      <c r="E143" s="111"/>
      <c r="F143" s="111"/>
      <c r="G143" s="111"/>
      <c r="H143" s="112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4"/>
      <c r="AN143" s="114"/>
      <c r="AO143" s="114"/>
      <c r="AP143" s="83"/>
      <c r="BX143" s="83"/>
      <c r="DF143" s="83"/>
      <c r="EN143" s="83"/>
    </row>
    <row r="144" spans="2:144" ht="13.8" thickBot="1" x14ac:dyDescent="0.3">
      <c r="B144" s="124"/>
      <c r="C144" s="125"/>
      <c r="D144" s="123"/>
      <c r="E144" s="111"/>
      <c r="F144" s="111"/>
      <c r="G144" s="111"/>
      <c r="H144" s="112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4"/>
      <c r="AN144" s="114"/>
      <c r="AO144" s="114"/>
      <c r="AP144" s="83"/>
      <c r="BX144" s="83"/>
      <c r="DF144" s="83"/>
      <c r="EN144" s="83"/>
    </row>
    <row r="145" spans="2:144" x14ac:dyDescent="0.25">
      <c r="B145" s="124"/>
      <c r="C145" s="125"/>
      <c r="D145" s="126"/>
      <c r="E145" s="111"/>
      <c r="F145" s="111"/>
      <c r="G145" s="111"/>
      <c r="H145" s="112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4"/>
      <c r="AN145" s="83"/>
      <c r="AO145" s="83"/>
      <c r="AP145" s="83"/>
      <c r="BX145" s="83"/>
      <c r="DF145" s="83"/>
      <c r="EN145" s="83"/>
    </row>
    <row r="146" spans="2:144" x14ac:dyDescent="0.25">
      <c r="B146" s="124"/>
      <c r="C146" s="125"/>
      <c r="D146" s="126"/>
      <c r="E146" s="111"/>
      <c r="F146" s="111"/>
      <c r="G146" s="111"/>
      <c r="H146" s="112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83"/>
      <c r="AN146" s="83"/>
      <c r="AO146" s="83"/>
      <c r="AP146" s="83"/>
      <c r="BX146" s="83"/>
      <c r="DF146" s="83"/>
      <c r="EN146" s="83"/>
    </row>
    <row r="147" spans="2:144" x14ac:dyDescent="0.25">
      <c r="B147" s="124"/>
      <c r="C147" s="125"/>
      <c r="D147" s="126"/>
      <c r="E147" s="111"/>
      <c r="F147" s="111"/>
      <c r="G147" s="111"/>
      <c r="H147" s="112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83"/>
      <c r="AN147" s="83"/>
      <c r="AO147" s="83"/>
      <c r="AP147" s="83"/>
      <c r="BX147" s="83"/>
      <c r="DF147" s="83"/>
      <c r="EN147" s="83"/>
    </row>
    <row r="148" spans="2:144" x14ac:dyDescent="0.25">
      <c r="B148" s="124"/>
      <c r="C148" s="125"/>
      <c r="D148" s="126"/>
      <c r="E148" s="111"/>
      <c r="F148" s="111"/>
      <c r="G148" s="111"/>
      <c r="H148" s="112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83"/>
      <c r="AN148" s="83"/>
      <c r="AO148" s="83"/>
      <c r="AP148" s="83"/>
      <c r="BX148" s="83"/>
      <c r="DF148" s="83"/>
      <c r="EN148" s="83"/>
    </row>
    <row r="149" spans="2:144" x14ac:dyDescent="0.25">
      <c r="B149" s="124"/>
      <c r="C149" s="125"/>
      <c r="D149" s="126"/>
      <c r="E149" s="111"/>
      <c r="F149" s="111"/>
      <c r="G149" s="111"/>
      <c r="H149" s="112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83"/>
      <c r="AN149" s="83"/>
      <c r="AO149" s="83"/>
      <c r="AP149" s="83"/>
      <c r="BX149" s="83"/>
      <c r="DF149" s="83"/>
      <c r="EN149" s="83"/>
    </row>
    <row r="150" spans="2:144" x14ac:dyDescent="0.25">
      <c r="B150" s="124"/>
      <c r="C150" s="125"/>
      <c r="D150" s="126"/>
      <c r="E150" s="111"/>
      <c r="F150" s="111"/>
      <c r="G150" s="111"/>
      <c r="H150" s="112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83"/>
      <c r="AP150" s="83"/>
      <c r="BX150" s="83"/>
      <c r="DF150" s="83"/>
      <c r="EN150" s="83"/>
    </row>
    <row r="151" spans="2:144" x14ac:dyDescent="0.25">
      <c r="B151" s="124"/>
      <c r="C151" s="125"/>
      <c r="D151" s="126"/>
      <c r="E151" s="111"/>
      <c r="F151" s="111"/>
      <c r="G151" s="111"/>
      <c r="H151" s="112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83"/>
      <c r="AN151" s="83"/>
      <c r="AO151" s="83"/>
      <c r="AP151" s="83"/>
      <c r="BX151" s="83"/>
      <c r="DF151" s="83"/>
      <c r="EN151" s="83"/>
    </row>
    <row r="152" spans="2:144" x14ac:dyDescent="0.25">
      <c r="B152" s="124"/>
      <c r="C152" s="125"/>
      <c r="D152" s="126"/>
      <c r="E152" s="111"/>
      <c r="F152" s="111"/>
      <c r="G152" s="111"/>
      <c r="H152" s="112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83"/>
      <c r="AN152" s="83"/>
      <c r="AO152" s="83"/>
      <c r="AP152" s="83"/>
      <c r="BX152" s="83"/>
      <c r="DF152" s="83"/>
      <c r="EN152" s="83"/>
    </row>
    <row r="153" spans="2:144" x14ac:dyDescent="0.25">
      <c r="B153" s="124"/>
      <c r="C153" s="125"/>
      <c r="D153" s="126"/>
      <c r="E153" s="111"/>
      <c r="F153" s="111"/>
      <c r="G153" s="111"/>
      <c r="H153" s="112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83"/>
      <c r="AN153" s="83"/>
      <c r="AO153" s="83"/>
      <c r="AP153" s="83"/>
      <c r="BX153" s="83"/>
      <c r="DF153" s="83"/>
      <c r="EN153" s="83"/>
    </row>
    <row r="154" spans="2:144" x14ac:dyDescent="0.25">
      <c r="B154" s="124"/>
      <c r="C154" s="125"/>
      <c r="D154" s="126"/>
      <c r="E154" s="111"/>
      <c r="F154" s="111"/>
      <c r="G154" s="111"/>
      <c r="H154" s="112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83"/>
      <c r="AN154" s="83"/>
      <c r="AO154" s="83"/>
      <c r="AP154" s="83"/>
      <c r="BX154" s="83"/>
      <c r="DF154" s="83"/>
      <c r="EN154" s="83"/>
    </row>
    <row r="155" spans="2:144" x14ac:dyDescent="0.25">
      <c r="B155" s="124"/>
      <c r="C155" s="125"/>
      <c r="D155" s="126"/>
      <c r="E155" s="111"/>
      <c r="F155" s="111"/>
      <c r="G155" s="111"/>
      <c r="H155" s="112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83"/>
      <c r="AN155" s="83"/>
      <c r="AO155" s="83"/>
      <c r="AP155" s="83"/>
      <c r="BX155" s="83"/>
      <c r="DF155" s="83"/>
      <c r="EN155" s="83"/>
    </row>
    <row r="156" spans="2:144" x14ac:dyDescent="0.25">
      <c r="B156" s="124"/>
      <c r="C156" s="125"/>
      <c r="D156" s="126"/>
      <c r="E156" s="111"/>
      <c r="F156" s="111"/>
      <c r="G156" s="111"/>
      <c r="H156" s="112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83"/>
      <c r="AN156" s="83"/>
      <c r="AO156" s="83"/>
      <c r="AP156" s="83"/>
      <c r="BX156" s="83"/>
      <c r="DF156" s="83"/>
      <c r="EN156" s="83"/>
    </row>
    <row r="157" spans="2:144" x14ac:dyDescent="0.25">
      <c r="B157" s="124"/>
      <c r="C157" s="125"/>
      <c r="D157" s="126"/>
      <c r="E157" s="111"/>
      <c r="F157" s="111"/>
      <c r="G157" s="111"/>
      <c r="H157" s="112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83"/>
      <c r="AN157" s="83"/>
      <c r="AO157" s="83"/>
      <c r="AP157" s="83"/>
      <c r="BX157" s="83"/>
      <c r="DF157" s="83"/>
      <c r="EN157" s="83"/>
    </row>
    <row r="158" spans="2:144" x14ac:dyDescent="0.25">
      <c r="B158" s="124"/>
      <c r="C158" s="125"/>
      <c r="D158" s="126"/>
      <c r="E158" s="111"/>
      <c r="F158" s="111"/>
      <c r="G158" s="111"/>
      <c r="H158" s="112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83"/>
      <c r="AN158" s="83"/>
      <c r="AO158" s="83"/>
      <c r="AP158" s="83"/>
      <c r="BX158" s="83"/>
      <c r="DF158" s="83"/>
      <c r="EN158" s="83"/>
    </row>
    <row r="159" spans="2:144" x14ac:dyDescent="0.25">
      <c r="B159" s="124"/>
      <c r="C159" s="125"/>
      <c r="D159" s="126"/>
      <c r="E159" s="111"/>
      <c r="F159" s="111"/>
      <c r="G159" s="111"/>
      <c r="H159" s="112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83"/>
      <c r="AN159" s="83"/>
      <c r="AO159" s="83"/>
      <c r="AP159" s="83"/>
      <c r="BX159" s="83"/>
      <c r="DF159" s="83"/>
      <c r="EN159" s="83"/>
    </row>
    <row r="160" spans="2:144" x14ac:dyDescent="0.25">
      <c r="B160" s="124"/>
      <c r="C160" s="125"/>
      <c r="D160" s="126"/>
      <c r="E160" s="111"/>
      <c r="F160" s="111"/>
      <c r="G160" s="111"/>
      <c r="H160" s="112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83"/>
      <c r="AN160" s="83"/>
      <c r="AO160" s="83"/>
      <c r="AP160" s="83"/>
      <c r="BX160" s="83"/>
      <c r="DF160" s="83"/>
      <c r="EN160" s="83"/>
    </row>
    <row r="161" spans="2:144" x14ac:dyDescent="0.25">
      <c r="B161" s="124"/>
      <c r="C161" s="125"/>
      <c r="D161" s="126"/>
      <c r="E161" s="111"/>
      <c r="F161" s="111"/>
      <c r="G161" s="111"/>
      <c r="H161" s="112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83"/>
      <c r="AN161" s="83"/>
      <c r="AO161" s="83"/>
      <c r="AP161" s="83"/>
      <c r="BX161" s="83"/>
      <c r="DF161" s="83"/>
      <c r="EN161" s="83"/>
    </row>
    <row r="162" spans="2:144" x14ac:dyDescent="0.25">
      <c r="B162" s="124"/>
      <c r="C162" s="125"/>
      <c r="D162" s="126"/>
      <c r="E162" s="111"/>
      <c r="F162" s="111"/>
      <c r="G162" s="111"/>
      <c r="H162" s="112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83"/>
      <c r="AN162" s="83"/>
      <c r="AO162" s="83"/>
      <c r="AP162" s="83"/>
      <c r="BX162" s="83"/>
      <c r="DF162" s="83"/>
      <c r="EN162" s="83"/>
    </row>
    <row r="163" spans="2:144" x14ac:dyDescent="0.25">
      <c r="B163" s="124"/>
      <c r="C163" s="125"/>
      <c r="D163" s="126"/>
      <c r="E163" s="111"/>
      <c r="F163" s="111"/>
      <c r="G163" s="111"/>
      <c r="H163" s="112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83"/>
      <c r="AN163" s="83"/>
      <c r="AO163" s="83"/>
      <c r="AP163" s="83"/>
      <c r="BX163" s="83"/>
      <c r="DF163" s="83"/>
      <c r="EN163" s="83"/>
    </row>
    <row r="164" spans="2:144" x14ac:dyDescent="0.25">
      <c r="B164" s="124"/>
      <c r="C164" s="125"/>
      <c r="D164" s="126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83"/>
      <c r="AN164" s="83"/>
      <c r="AO164" s="83"/>
      <c r="AP164" s="83"/>
      <c r="BX164" s="83"/>
      <c r="DF164" s="83"/>
      <c r="EN164" s="83"/>
    </row>
    <row r="165" spans="2:144" x14ac:dyDescent="0.25">
      <c r="B165" s="124"/>
      <c r="C165" s="125"/>
      <c r="D165" s="126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83"/>
      <c r="AN165" s="83"/>
      <c r="AO165" s="83"/>
      <c r="AP165" s="83"/>
      <c r="BX165" s="83"/>
      <c r="DF165" s="83"/>
      <c r="EN165" s="83"/>
    </row>
    <row r="166" spans="2:144" x14ac:dyDescent="0.25">
      <c r="B166" s="124"/>
      <c r="C166" s="125"/>
      <c r="D166" s="126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83"/>
      <c r="AN166" s="83"/>
      <c r="AO166" s="83"/>
      <c r="AP166" s="83"/>
      <c r="BX166" s="83"/>
      <c r="DF166" s="83"/>
      <c r="EN166" s="83"/>
    </row>
    <row r="167" spans="2:144" x14ac:dyDescent="0.25">
      <c r="B167" s="124"/>
      <c r="C167" s="125"/>
      <c r="D167" s="126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83"/>
      <c r="AN167" s="83"/>
      <c r="AO167" s="83"/>
      <c r="AP167" s="83"/>
      <c r="BX167" s="83"/>
      <c r="DF167" s="83"/>
      <c r="EN167" s="83"/>
    </row>
    <row r="168" spans="2:144" x14ac:dyDescent="0.25">
      <c r="B168" s="124"/>
      <c r="C168" s="125"/>
      <c r="D168" s="126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83"/>
      <c r="AN168" s="83"/>
      <c r="AO168" s="83"/>
      <c r="AP168" s="83"/>
      <c r="BX168" s="83"/>
      <c r="DF168" s="83"/>
      <c r="EN168" s="83"/>
    </row>
    <row r="169" spans="2:144" x14ac:dyDescent="0.25">
      <c r="B169" s="124"/>
      <c r="C169" s="125"/>
      <c r="D169" s="126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83"/>
      <c r="AN169" s="83"/>
      <c r="AO169" s="83"/>
      <c r="AP169" s="83"/>
      <c r="BX169" s="83"/>
      <c r="DF169" s="83"/>
      <c r="EN169" s="83"/>
    </row>
    <row r="170" spans="2:144" x14ac:dyDescent="0.25">
      <c r="B170" s="124"/>
      <c r="C170" s="125"/>
      <c r="D170" s="126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83"/>
      <c r="AN170" s="83"/>
      <c r="AO170" s="83"/>
      <c r="AP170" s="83"/>
      <c r="BX170" s="83"/>
      <c r="DF170" s="83"/>
      <c r="EN170" s="83"/>
    </row>
    <row r="171" spans="2:144" x14ac:dyDescent="0.25">
      <c r="B171" s="124"/>
      <c r="C171" s="125"/>
      <c r="D171" s="126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83"/>
      <c r="AN171" s="83"/>
      <c r="AO171" s="83"/>
      <c r="AP171" s="83"/>
      <c r="BX171" s="83"/>
      <c r="DF171" s="83"/>
      <c r="EN171" s="83"/>
    </row>
    <row r="172" spans="2:144" x14ac:dyDescent="0.25">
      <c r="B172" s="124"/>
      <c r="C172" s="125"/>
      <c r="D172" s="126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83"/>
      <c r="AN172" s="83"/>
      <c r="AO172" s="83"/>
      <c r="AP172" s="83"/>
      <c r="BX172" s="83"/>
      <c r="DF172" s="83"/>
      <c r="EN172" s="83"/>
    </row>
    <row r="173" spans="2:144" x14ac:dyDescent="0.25">
      <c r="B173" s="124"/>
      <c r="C173" s="125"/>
      <c r="D173" s="126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83"/>
      <c r="AN173" s="83"/>
      <c r="AO173" s="83"/>
      <c r="AP173" s="83"/>
      <c r="BX173" s="83"/>
      <c r="DF173" s="83"/>
      <c r="EN173" s="83"/>
    </row>
    <row r="174" spans="2:144" x14ac:dyDescent="0.25">
      <c r="B174" s="124"/>
      <c r="C174" s="125"/>
      <c r="D174" s="126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83"/>
      <c r="AN174" s="83"/>
      <c r="AO174" s="83"/>
      <c r="AP174" s="83"/>
      <c r="BX174" s="83"/>
      <c r="DF174" s="83"/>
      <c r="EN174" s="83"/>
    </row>
    <row r="175" spans="2:144" x14ac:dyDescent="0.25">
      <c r="B175" s="127"/>
      <c r="C175" s="135"/>
      <c r="D175" s="126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83"/>
      <c r="AN175" s="83"/>
      <c r="AO175" s="83"/>
      <c r="AP175" s="83"/>
      <c r="BX175" s="83"/>
      <c r="DF175" s="83"/>
      <c r="EN175" s="83"/>
    </row>
    <row r="176" spans="2:144" x14ac:dyDescent="0.25">
      <c r="B176" s="127"/>
      <c r="C176" s="135"/>
      <c r="D176" s="126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83"/>
      <c r="AN176" s="83"/>
      <c r="AO176" s="83"/>
      <c r="AP176" s="83"/>
      <c r="BX176" s="83"/>
      <c r="DF176" s="83"/>
      <c r="EN176" s="83"/>
    </row>
    <row r="177" spans="2:144" x14ac:dyDescent="0.25">
      <c r="B177" s="127"/>
      <c r="C177" s="135"/>
      <c r="D177" s="126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83"/>
      <c r="AN177" s="83"/>
      <c r="AO177" s="83"/>
      <c r="AP177" s="83"/>
      <c r="BX177" s="83"/>
      <c r="DF177" s="83"/>
      <c r="EN177" s="83"/>
    </row>
    <row r="178" spans="2:144" x14ac:dyDescent="0.25">
      <c r="B178" s="127"/>
      <c r="C178" s="135"/>
      <c r="D178" s="126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83"/>
      <c r="AN178" s="83"/>
      <c r="AO178" s="83"/>
      <c r="AP178" s="83"/>
      <c r="BX178" s="83"/>
      <c r="DF178" s="83"/>
      <c r="EN178" s="83"/>
    </row>
    <row r="179" spans="2:144" x14ac:dyDescent="0.25">
      <c r="B179" s="127"/>
      <c r="C179" s="135"/>
      <c r="D179" s="126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83"/>
      <c r="AN179" s="83"/>
      <c r="AO179" s="83"/>
      <c r="AP179" s="83"/>
      <c r="BX179" s="83"/>
      <c r="DF179" s="83"/>
      <c r="EN179" s="83"/>
    </row>
    <row r="180" spans="2:144" x14ac:dyDescent="0.25">
      <c r="B180" s="127"/>
      <c r="C180" s="13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83"/>
      <c r="AN180" s="83"/>
      <c r="AO180" s="83"/>
      <c r="AP180" s="83"/>
      <c r="BX180" s="83"/>
      <c r="DF180" s="83"/>
      <c r="EN180" s="83"/>
    </row>
    <row r="181" spans="2:144" x14ac:dyDescent="0.25">
      <c r="B181" s="127"/>
      <c r="C181" s="135"/>
      <c r="D181" s="126"/>
      <c r="E181" s="111"/>
      <c r="F181" s="111"/>
      <c r="G181" s="111"/>
      <c r="H181" s="112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83"/>
      <c r="AN181" s="83"/>
      <c r="AO181" s="83"/>
      <c r="AP181" s="83"/>
      <c r="BX181" s="83"/>
      <c r="DF181" s="83"/>
      <c r="EN181" s="83"/>
    </row>
    <row r="182" spans="2:144" x14ac:dyDescent="0.25">
      <c r="B182" s="127"/>
      <c r="C182" s="135"/>
      <c r="D182" s="126"/>
      <c r="E182" s="111"/>
      <c r="F182" s="111"/>
      <c r="G182" s="111"/>
      <c r="H182" s="112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83"/>
      <c r="AN182" s="83"/>
      <c r="AO182" s="83"/>
      <c r="AP182" s="83"/>
      <c r="BX182" s="83"/>
      <c r="DF182" s="83"/>
      <c r="EN182" s="83"/>
    </row>
    <row r="183" spans="2:144" x14ac:dyDescent="0.25">
      <c r="B183" s="127"/>
      <c r="C183" s="135"/>
      <c r="D183" s="126"/>
      <c r="E183" s="111"/>
      <c r="F183" s="111"/>
      <c r="G183" s="111"/>
      <c r="H183" s="112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83"/>
      <c r="AN183" s="83"/>
      <c r="AO183" s="83"/>
      <c r="AP183" s="83"/>
      <c r="BX183" s="83"/>
      <c r="DF183" s="83"/>
      <c r="EN183" s="83"/>
    </row>
    <row r="184" spans="2:144" x14ac:dyDescent="0.25">
      <c r="B184" s="127"/>
      <c r="C184" s="135"/>
      <c r="D184" s="126"/>
      <c r="E184" s="111"/>
      <c r="F184" s="111"/>
      <c r="G184" s="111"/>
      <c r="H184" s="112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83"/>
      <c r="AN184" s="83"/>
      <c r="AO184" s="83"/>
      <c r="AP184" s="83"/>
      <c r="BX184" s="83"/>
      <c r="DF184" s="83"/>
      <c r="EN184" s="83"/>
    </row>
    <row r="185" spans="2:144" x14ac:dyDescent="0.25">
      <c r="B185" s="127"/>
      <c r="C185" s="135"/>
      <c r="D185" s="126"/>
      <c r="E185" s="111"/>
      <c r="F185" s="111"/>
      <c r="G185" s="111"/>
      <c r="H185" s="112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83"/>
      <c r="AN185" s="83"/>
      <c r="AO185" s="83"/>
      <c r="AP185" s="83"/>
      <c r="BX185" s="83"/>
      <c r="DF185" s="83"/>
      <c r="EN185" s="83"/>
    </row>
    <row r="186" spans="2:144" x14ac:dyDescent="0.25">
      <c r="B186" s="127"/>
      <c r="C186" s="135"/>
      <c r="D186" s="126"/>
      <c r="E186" s="111"/>
      <c r="F186" s="111"/>
      <c r="G186" s="111"/>
      <c r="H186" s="112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83"/>
      <c r="AN186" s="83"/>
      <c r="AO186" s="83"/>
      <c r="AP186" s="83"/>
      <c r="BX186" s="83"/>
      <c r="DF186" s="83"/>
      <c r="EN186" s="83"/>
    </row>
    <row r="187" spans="2:144" x14ac:dyDescent="0.25">
      <c r="B187" s="127"/>
      <c r="C187" s="135"/>
      <c r="D187" s="126"/>
      <c r="E187" s="111"/>
      <c r="F187" s="111"/>
      <c r="G187" s="111"/>
      <c r="H187" s="112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83"/>
      <c r="AN187" s="83"/>
      <c r="AO187" s="83"/>
      <c r="AP187" s="83"/>
      <c r="BX187" s="83"/>
      <c r="DF187" s="83"/>
      <c r="EN187" s="83"/>
    </row>
  </sheetData>
  <printOptions headings="1" gridLines="1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H57"/>
  <sheetViews>
    <sheetView topLeftCell="A3" workbookViewId="0">
      <selection activeCell="A6" sqref="A6"/>
    </sheetView>
  </sheetViews>
  <sheetFormatPr defaultRowHeight="13.2" x14ac:dyDescent="0.25"/>
  <cols>
    <col min="1" max="1" width="18.6640625" style="160" bestFit="1" customWidth="1"/>
  </cols>
  <sheetData>
    <row r="4" spans="1:7" x14ac:dyDescent="0.25">
      <c r="A4" s="160" t="s">
        <v>103</v>
      </c>
    </row>
    <row r="5" spans="1:7" x14ac:dyDescent="0.25">
      <c r="A5" s="160" t="s">
        <v>107</v>
      </c>
    </row>
    <row r="6" spans="1:7" x14ac:dyDescent="0.25">
      <c r="A6" s="160" t="s">
        <v>62</v>
      </c>
    </row>
    <row r="7" spans="1:7" x14ac:dyDescent="0.25">
      <c r="A7" s="160" t="s">
        <v>78</v>
      </c>
    </row>
    <row r="8" spans="1:7" x14ac:dyDescent="0.25">
      <c r="A8" s="160" t="s">
        <v>96</v>
      </c>
      <c r="G8" s="160" t="s">
        <v>85</v>
      </c>
    </row>
    <row r="9" spans="1:7" x14ac:dyDescent="0.25">
      <c r="A9" s="160" t="s">
        <v>79</v>
      </c>
      <c r="G9" s="160" t="s">
        <v>87</v>
      </c>
    </row>
    <row r="10" spans="1:7" x14ac:dyDescent="0.25">
      <c r="A10" s="160" t="s">
        <v>80</v>
      </c>
      <c r="G10" s="160" t="s">
        <v>73</v>
      </c>
    </row>
    <row r="11" spans="1:7" x14ac:dyDescent="0.25">
      <c r="A11" s="160" t="s">
        <v>97</v>
      </c>
    </row>
    <row r="12" spans="1:7" x14ac:dyDescent="0.25">
      <c r="A12" s="160" t="s">
        <v>98</v>
      </c>
    </row>
    <row r="13" spans="1:7" x14ac:dyDescent="0.25">
      <c r="A13" s="160" t="s">
        <v>81</v>
      </c>
    </row>
    <row r="14" spans="1:7" x14ac:dyDescent="0.25">
      <c r="A14" s="160" t="s">
        <v>82</v>
      </c>
    </row>
    <row r="15" spans="1:7" x14ac:dyDescent="0.25">
      <c r="A15" s="160" t="s">
        <v>83</v>
      </c>
    </row>
    <row r="16" spans="1:7" x14ac:dyDescent="0.25">
      <c r="A16" s="160" t="s">
        <v>84</v>
      </c>
    </row>
    <row r="17" spans="1:8" x14ac:dyDescent="0.25">
      <c r="A17" s="160" t="s">
        <v>95</v>
      </c>
    </row>
    <row r="18" spans="1:8" x14ac:dyDescent="0.25">
      <c r="A18" s="160" t="s">
        <v>111</v>
      </c>
    </row>
    <row r="19" spans="1:8" x14ac:dyDescent="0.25">
      <c r="A19" s="160" t="s">
        <v>67</v>
      </c>
      <c r="F19" s="160" t="s">
        <v>89</v>
      </c>
    </row>
    <row r="20" spans="1:8" x14ac:dyDescent="0.25">
      <c r="A20" s="160" t="s">
        <v>63</v>
      </c>
      <c r="F20" s="160" t="s">
        <v>68</v>
      </c>
      <c r="H20" s="160" t="s">
        <v>87</v>
      </c>
    </row>
    <row r="21" spans="1:8" x14ac:dyDescent="0.25">
      <c r="A21" s="160" t="s">
        <v>110</v>
      </c>
      <c r="H21" s="160" t="s">
        <v>86</v>
      </c>
    </row>
    <row r="22" spans="1:8" x14ac:dyDescent="0.25">
      <c r="A22" s="160" t="s">
        <v>64</v>
      </c>
    </row>
    <row r="23" spans="1:8" x14ac:dyDescent="0.25">
      <c r="A23" s="160" t="s">
        <v>65</v>
      </c>
    </row>
    <row r="24" spans="1:8" x14ac:dyDescent="0.25">
      <c r="A24" s="160" t="s">
        <v>66</v>
      </c>
    </row>
    <row r="25" spans="1:8" x14ac:dyDescent="0.25">
      <c r="A25" s="160" t="s">
        <v>68</v>
      </c>
    </row>
    <row r="26" spans="1:8" x14ac:dyDescent="0.25">
      <c r="A26" s="160" t="s">
        <v>99</v>
      </c>
    </row>
    <row r="27" spans="1:8" x14ac:dyDescent="0.25">
      <c r="A27" s="160" t="s">
        <v>100</v>
      </c>
    </row>
    <row r="28" spans="1:8" x14ac:dyDescent="0.25">
      <c r="A28" s="160" t="s">
        <v>69</v>
      </c>
    </row>
    <row r="29" spans="1:8" x14ac:dyDescent="0.25">
      <c r="A29" s="160" t="s">
        <v>70</v>
      </c>
      <c r="F29" s="160" t="s">
        <v>95</v>
      </c>
    </row>
    <row r="30" spans="1:8" x14ac:dyDescent="0.25">
      <c r="A30" s="160" t="s">
        <v>101</v>
      </c>
      <c r="F30" s="160" t="s">
        <v>78</v>
      </c>
    </row>
    <row r="31" spans="1:8" x14ac:dyDescent="0.25">
      <c r="A31" s="160" t="s">
        <v>85</v>
      </c>
      <c r="F31" s="160" t="s">
        <v>98</v>
      </c>
    </row>
    <row r="32" spans="1:8" x14ac:dyDescent="0.25">
      <c r="A32" s="160" t="s">
        <v>86</v>
      </c>
      <c r="F32" s="160" t="s">
        <v>70</v>
      </c>
    </row>
    <row r="33" spans="1:6" x14ac:dyDescent="0.25">
      <c r="A33" s="160" t="s">
        <v>112</v>
      </c>
      <c r="F33" s="160" t="s">
        <v>100</v>
      </c>
    </row>
    <row r="34" spans="1:6" x14ac:dyDescent="0.25">
      <c r="A34" s="160" t="s">
        <v>108</v>
      </c>
      <c r="F34" s="160" t="s">
        <v>76</v>
      </c>
    </row>
    <row r="35" spans="1:6" x14ac:dyDescent="0.25">
      <c r="A35" s="160" t="s">
        <v>87</v>
      </c>
      <c r="F35" s="160" t="s">
        <v>102</v>
      </c>
    </row>
    <row r="36" spans="1:6" x14ac:dyDescent="0.25">
      <c r="A36" s="160" t="s">
        <v>106</v>
      </c>
      <c r="F36" s="160" t="s">
        <v>74</v>
      </c>
    </row>
    <row r="37" spans="1:6" x14ac:dyDescent="0.25">
      <c r="A37" s="160" t="s">
        <v>88</v>
      </c>
      <c r="F37" s="160" t="s">
        <v>94</v>
      </c>
    </row>
    <row r="38" spans="1:6" x14ac:dyDescent="0.25">
      <c r="A38" s="160" t="s">
        <v>89</v>
      </c>
    </row>
    <row r="39" spans="1:6" x14ac:dyDescent="0.25">
      <c r="A39" s="160" t="s">
        <v>109</v>
      </c>
    </row>
    <row r="40" spans="1:6" x14ac:dyDescent="0.25">
      <c r="A40" s="160" t="s">
        <v>90</v>
      </c>
    </row>
    <row r="41" spans="1:6" x14ac:dyDescent="0.25">
      <c r="A41" s="160" t="s">
        <v>92</v>
      </c>
    </row>
    <row r="42" spans="1:6" x14ac:dyDescent="0.25">
      <c r="A42" s="160" t="s">
        <v>93</v>
      </c>
    </row>
    <row r="43" spans="1:6" x14ac:dyDescent="0.25">
      <c r="A43" s="160" t="s">
        <v>94</v>
      </c>
      <c r="F43" s="160" t="s">
        <v>68</v>
      </c>
    </row>
    <row r="44" spans="1:6" x14ac:dyDescent="0.25">
      <c r="A44" s="160" t="s">
        <v>72</v>
      </c>
      <c r="F44" s="160" t="s">
        <v>89</v>
      </c>
    </row>
    <row r="45" spans="1:6" x14ac:dyDescent="0.25">
      <c r="A45" s="160" t="s">
        <v>73</v>
      </c>
    </row>
    <row r="46" spans="1:6" x14ac:dyDescent="0.25">
      <c r="A46" s="160" t="s">
        <v>91</v>
      </c>
    </row>
    <row r="47" spans="1:6" x14ac:dyDescent="0.25">
      <c r="A47" s="160" t="s">
        <v>104</v>
      </c>
    </row>
    <row r="48" spans="1:6" x14ac:dyDescent="0.25">
      <c r="A48" s="160" t="s">
        <v>217</v>
      </c>
    </row>
    <row r="49" spans="1:1" x14ac:dyDescent="0.25">
      <c r="A49" s="160" t="s">
        <v>71</v>
      </c>
    </row>
    <row r="50" spans="1:1" x14ac:dyDescent="0.25">
      <c r="A50" s="160" t="s">
        <v>74</v>
      </c>
    </row>
    <row r="51" spans="1:1" x14ac:dyDescent="0.25">
      <c r="A51" s="160" t="s">
        <v>75</v>
      </c>
    </row>
    <row r="52" spans="1:1" x14ac:dyDescent="0.25">
      <c r="A52" s="160" t="s">
        <v>76</v>
      </c>
    </row>
    <row r="53" spans="1:1" x14ac:dyDescent="0.25">
      <c r="A53" s="160" t="s">
        <v>77</v>
      </c>
    </row>
    <row r="54" spans="1:1" x14ac:dyDescent="0.25">
      <c r="A54" s="160" t="s">
        <v>102</v>
      </c>
    </row>
    <row r="55" spans="1:1" x14ac:dyDescent="0.25">
      <c r="A55" s="160" t="s">
        <v>189</v>
      </c>
    </row>
    <row r="56" spans="1:1" x14ac:dyDescent="0.25">
      <c r="A56" s="160" t="s">
        <v>183</v>
      </c>
    </row>
    <row r="57" spans="1:1" x14ac:dyDescent="0.25">
      <c r="A57" s="160" t="s">
        <v>99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C139"/>
  <sheetViews>
    <sheetView workbookViewId="0">
      <selection activeCell="D20" sqref="D20"/>
    </sheetView>
  </sheetViews>
  <sheetFormatPr defaultRowHeight="13.2" x14ac:dyDescent="0.25"/>
  <cols>
    <col min="1" max="1" width="16.6640625" style="77" customWidth="1"/>
    <col min="2" max="4" width="12.6640625" style="77" customWidth="1"/>
    <col min="5" max="5" width="10.109375" style="77" customWidth="1"/>
    <col min="6" max="17" width="9.109375" style="77" customWidth="1"/>
    <col min="18" max="18" width="10.109375" style="77" customWidth="1"/>
    <col min="19" max="65" width="9.109375" style="77" customWidth="1"/>
  </cols>
  <sheetData>
    <row r="1" spans="1:81" x14ac:dyDescent="0.25">
      <c r="B1" s="57" t="s">
        <v>51</v>
      </c>
      <c r="C1" s="57" t="s">
        <v>52</v>
      </c>
      <c r="D1" s="77" t="s">
        <v>142</v>
      </c>
      <c r="J1" s="77">
        <f>summerstrip</f>
        <v>4.8109999999999999</v>
      </c>
      <c r="K1" s="77">
        <f>winterstrip</f>
        <v>4.5419999999999998</v>
      </c>
    </row>
    <row r="2" spans="1:81" x14ac:dyDescent="0.25">
      <c r="A2" s="57" t="s">
        <v>35</v>
      </c>
      <c r="B2" s="152">
        <v>36951</v>
      </c>
      <c r="C2" s="152">
        <v>36951</v>
      </c>
      <c r="D2" s="152">
        <v>37073</v>
      </c>
      <c r="E2" s="57"/>
      <c r="F2" s="155">
        <f>SWAPTIONSWAP1</f>
        <v>3.9371384976525823</v>
      </c>
      <c r="G2" s="155">
        <f>SWAPTIONSWAP2</f>
        <v>3.7718406250000003</v>
      </c>
      <c r="H2" s="155">
        <f>SWAPTIONSWAP3</f>
        <v>3.5936315068493148</v>
      </c>
      <c r="I2"/>
      <c r="J2"/>
      <c r="K2"/>
      <c r="L2"/>
      <c r="M2"/>
      <c r="BV2" s="77"/>
      <c r="BW2" s="77"/>
      <c r="BX2" s="77"/>
      <c r="BY2" s="77"/>
      <c r="BZ2" s="77"/>
      <c r="CA2" s="77"/>
      <c r="CB2" s="77"/>
      <c r="CC2" s="77"/>
    </row>
    <row r="3" spans="1:81" x14ac:dyDescent="0.25">
      <c r="A3" s="76" t="s">
        <v>53</v>
      </c>
      <c r="B3" s="152">
        <v>37347</v>
      </c>
      <c r="C3" s="152">
        <v>37561</v>
      </c>
      <c r="D3" s="152">
        <v>39295</v>
      </c>
      <c r="E3" s="57"/>
      <c r="F3" s="57"/>
      <c r="G3" s="57"/>
      <c r="H3"/>
      <c r="I3"/>
      <c r="J3"/>
      <c r="K3"/>
      <c r="L3"/>
      <c r="M3"/>
      <c r="O3" s="77">
        <f>IF(B$25=1,"ATM",B18)</f>
        <v>3.6</v>
      </c>
      <c r="P3" s="77" t="str">
        <f>IF(B$25=3,IF(B19=1,"CALL","PUT"),"STRADDLE")</f>
        <v>STRADDLE</v>
      </c>
      <c r="S3" s="82"/>
      <c r="T3" s="80"/>
      <c r="U3" s="83"/>
      <c r="V3" s="83"/>
      <c r="W3" s="83"/>
      <c r="X3" s="83"/>
      <c r="Y3" s="83"/>
      <c r="Z3" s="83"/>
      <c r="AA3" s="83"/>
      <c r="AB3" s="83"/>
      <c r="AC3" s="84"/>
      <c r="AD3" s="83"/>
      <c r="AE3" s="84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V3" s="77"/>
      <c r="BW3" s="77"/>
      <c r="BX3" s="77"/>
      <c r="BY3" s="77"/>
      <c r="BZ3" s="77"/>
      <c r="CA3" s="77"/>
      <c r="CB3" s="77"/>
      <c r="CC3" s="77"/>
    </row>
    <row r="4" spans="1:81" x14ac:dyDescent="0.25">
      <c r="A4" s="154" t="s">
        <v>37</v>
      </c>
      <c r="B4" s="155">
        <f>B5+B6+B7</f>
        <v>3.9232828638497654</v>
      </c>
      <c r="C4" s="155">
        <f>C5+C6+C7</f>
        <v>3.7662429687500003</v>
      </c>
      <c r="D4" s="155">
        <f>D5+D6</f>
        <v>3.77</v>
      </c>
      <c r="E4" s="57"/>
      <c r="F4" s="57"/>
      <c r="G4" s="57"/>
      <c r="H4"/>
      <c r="I4"/>
      <c r="J4"/>
      <c r="K4"/>
      <c r="L4"/>
      <c r="M4"/>
      <c r="O4" s="77">
        <f>IF(B$25=1,"ATM",C18)</f>
        <v>3.8</v>
      </c>
      <c r="P4" s="77" t="str">
        <f>IF(B$25=3,IF(C19=1,"CALL","PUT"),"STRADDLE")</f>
        <v>STRADDLE</v>
      </c>
      <c r="S4" s="82"/>
      <c r="T4" s="80"/>
      <c r="U4" s="83"/>
      <c r="V4" s="83"/>
      <c r="W4" s="83"/>
      <c r="X4" s="83"/>
      <c r="Y4" s="83"/>
      <c r="Z4" s="83"/>
      <c r="AA4" s="83"/>
      <c r="AB4" s="83"/>
      <c r="AC4" s="84"/>
      <c r="AD4" s="83"/>
      <c r="AE4" s="84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V4" s="77"/>
      <c r="BW4" s="77"/>
      <c r="BX4" s="77"/>
      <c r="BY4" s="77"/>
      <c r="BZ4" s="77"/>
      <c r="CA4" s="77"/>
      <c r="CB4" s="77"/>
      <c r="CC4" s="77"/>
    </row>
    <row r="5" spans="1:81" x14ac:dyDescent="0.25">
      <c r="A5" s="153" t="s">
        <v>123</v>
      </c>
      <c r="B5" s="155">
        <f>SWAPTIONSWAP1</f>
        <v>3.9371384976525823</v>
      </c>
      <c r="C5" s="155">
        <f>SWAPTIONSWAP2</f>
        <v>3.7718406250000003</v>
      </c>
      <c r="D5" s="155">
        <v>3.77</v>
      </c>
      <c r="E5" s="57"/>
      <c r="F5" s="57"/>
      <c r="G5" s="57" t="s">
        <v>51</v>
      </c>
      <c r="H5" s="57" t="s">
        <v>52</v>
      </c>
      <c r="I5" s="77" t="s">
        <v>142</v>
      </c>
      <c r="J5" s="137"/>
      <c r="K5" s="137"/>
      <c r="L5" s="137"/>
      <c r="M5" s="137"/>
      <c r="S5" s="82"/>
      <c r="T5" s="80"/>
      <c r="U5" s="83"/>
      <c r="V5" s="83"/>
      <c r="W5" s="83"/>
      <c r="X5" s="83"/>
      <c r="Y5" s="83"/>
      <c r="Z5" s="83"/>
      <c r="AA5" s="83"/>
      <c r="AB5" s="83"/>
      <c r="AC5" s="84"/>
      <c r="AD5" s="83"/>
      <c r="AE5" s="84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V5" s="77"/>
      <c r="BW5" s="77"/>
      <c r="BX5" s="77"/>
      <c r="BY5" s="77"/>
      <c r="BZ5" s="77"/>
      <c r="CA5" s="77"/>
      <c r="CB5" s="77"/>
      <c r="CC5" s="77"/>
    </row>
    <row r="6" spans="1:81" x14ac:dyDescent="0.25">
      <c r="A6" s="153" t="s">
        <v>135</v>
      </c>
      <c r="B6" s="155">
        <f>SWAPTIONBASIS1</f>
        <v>-1.3855633802816902E-2</v>
      </c>
      <c r="C6" s="155">
        <f>SWAPTIONBASIS2</f>
        <v>-5.5976562500000028E-3</v>
      </c>
      <c r="D6" s="155">
        <v>0</v>
      </c>
      <c r="E6" s="57"/>
      <c r="F6" s="80" t="s">
        <v>38</v>
      </c>
      <c r="G6" s="168">
        <f ca="1">bsd(1,B$19,B$4,B$18,B$16-TODAY(),B$13,B$22,0.1)</f>
        <v>3.4726406623481498</v>
      </c>
      <c r="H6" s="168">
        <f ca="1">bsd(1,C$19,C$4,C$18,C$16-TODAY(),C$13,C$22,0.1)</f>
        <v>3.6738179265290571</v>
      </c>
      <c r="I6" s="168">
        <f ca="1">bsd(1,D$19,D$4,D$18,D$16-TODAY(),D$13,D$22,0.1)</f>
        <v>0.48599509379194261</v>
      </c>
      <c r="J6" s="137"/>
      <c r="K6" s="137"/>
      <c r="L6" s="137"/>
      <c r="M6" s="137"/>
      <c r="S6" s="82"/>
      <c r="T6" s="80"/>
      <c r="U6" s="83"/>
      <c r="V6" s="83"/>
      <c r="W6" s="83"/>
      <c r="X6" s="83"/>
      <c r="Y6" s="83"/>
      <c r="Z6" s="83"/>
      <c r="AA6" s="83"/>
      <c r="AB6" s="83"/>
      <c r="AC6" s="84"/>
      <c r="AD6" s="83"/>
      <c r="AE6" s="84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V6" s="77"/>
      <c r="BW6" s="77"/>
      <c r="BX6" s="77"/>
      <c r="BY6" s="77"/>
      <c r="BZ6" s="77"/>
      <c r="CA6" s="77"/>
      <c r="CB6" s="77"/>
      <c r="CC6" s="77"/>
    </row>
    <row r="7" spans="1:81" x14ac:dyDescent="0.25">
      <c r="A7" s="76" t="s">
        <v>121</v>
      </c>
      <c r="B7" s="158">
        <v>0</v>
      </c>
      <c r="C7" s="158">
        <v>0</v>
      </c>
      <c r="D7" s="158">
        <v>0</v>
      </c>
      <c r="E7" s="57"/>
      <c r="F7" s="80" t="s">
        <v>29</v>
      </c>
      <c r="G7" s="168">
        <f ca="1">bsd(2,B$19,B$4,B$18,B$16-TODAY(),B$13,B$22,0.1)</f>
        <v>-1.0316407056351153E-3</v>
      </c>
      <c r="H7" s="168">
        <f ca="1">bsd(2,C$19,C$4,C$18,C$16-TODAY(),C$13,C$22,0.1)</f>
        <v>-4.3213962508394467E-5</v>
      </c>
      <c r="I7" s="168">
        <f ca="1">bsd(2,D$19,D$4,D$18,D$16-TODAY(),D$13,D$22,0.1)</f>
        <v>-0.54245932970550947</v>
      </c>
      <c r="J7" s="137"/>
      <c r="K7" s="137"/>
      <c r="L7" s="137"/>
      <c r="M7" s="137"/>
      <c r="S7" s="82"/>
      <c r="T7" s="80"/>
      <c r="U7" s="83"/>
      <c r="V7" s="83"/>
      <c r="W7" s="83"/>
      <c r="X7" s="83"/>
      <c r="Y7" s="83"/>
      <c r="Z7" s="83"/>
      <c r="AA7" s="83"/>
      <c r="AB7" s="83"/>
      <c r="AC7" s="84"/>
      <c r="AD7" s="83"/>
      <c r="AE7" s="84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V7" s="77"/>
      <c r="BW7" s="77"/>
      <c r="BX7" s="77"/>
      <c r="BY7" s="77"/>
      <c r="BZ7" s="77"/>
      <c r="CA7" s="77"/>
      <c r="CB7" s="77"/>
      <c r="CC7" s="77"/>
    </row>
    <row r="8" spans="1:81" x14ac:dyDescent="0.25">
      <c r="A8" s="153" t="s">
        <v>136</v>
      </c>
      <c r="B8" s="129">
        <f>SWAPTIONVOL1</f>
        <v>12.471830985915492</v>
      </c>
      <c r="C8" s="129">
        <f>SWAPTIONVOL2</f>
        <v>15.989062499999999</v>
      </c>
      <c r="D8" s="129">
        <v>0.42</v>
      </c>
      <c r="E8" s="57"/>
      <c r="F8" s="80" t="s">
        <v>30</v>
      </c>
      <c r="G8" s="168">
        <f ca="1">bsd(3,B$19,B$4,B$18,B$16-TODAY(),B$13,B$22,0.1)</f>
        <v>1.4906491954192017E-6</v>
      </c>
      <c r="H8" s="168">
        <f ca="1">bsd(3,C$19,C$4,C$18,C$16-TODAY(),C$13,C$22,0.1)</f>
        <v>6.2826193426553293E-8</v>
      </c>
      <c r="I8" s="168">
        <f ca="1">bsd(3,D$19,D$4,D$18,D$16-TODAY(),D$13,D$22,0.1)</f>
        <v>4.4440672290020728E-3</v>
      </c>
      <c r="J8" s="137"/>
      <c r="K8" s="137"/>
      <c r="L8" s="137"/>
      <c r="M8" s="137"/>
      <c r="S8" s="82"/>
      <c r="T8" s="80"/>
      <c r="U8" s="83"/>
      <c r="V8" s="83"/>
      <c r="W8" s="83"/>
      <c r="X8" s="83"/>
      <c r="Y8" s="83"/>
      <c r="Z8" s="83"/>
      <c r="AA8" s="83"/>
      <c r="AB8" s="83"/>
      <c r="AC8" s="84"/>
      <c r="AD8" s="83"/>
      <c r="AE8" s="84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V8" s="77"/>
      <c r="BW8" s="77"/>
      <c r="BX8" s="77"/>
      <c r="BY8" s="77"/>
      <c r="BZ8" s="77"/>
      <c r="CA8" s="77"/>
      <c r="CB8" s="77"/>
      <c r="CC8" s="77"/>
    </row>
    <row r="9" spans="1:81" x14ac:dyDescent="0.25">
      <c r="A9" s="57" t="s">
        <v>57</v>
      </c>
      <c r="B9" s="164">
        <v>0</v>
      </c>
      <c r="C9" s="164">
        <v>0</v>
      </c>
      <c r="D9" s="164">
        <v>0</v>
      </c>
      <c r="E9" s="57"/>
      <c r="F9" s="80" t="s">
        <v>34</v>
      </c>
      <c r="G9" s="168">
        <f ca="1">bsd(5,B$19,B$4,B$18,B$16-TODAY(),B$13,B$22,0.1)</f>
        <v>1E-4</v>
      </c>
      <c r="H9" s="168">
        <f ca="1">bsd(5,C$19,C$4,C$18,C$16-TODAY(),C$13,C$22,0.1)</f>
        <v>1E-4</v>
      </c>
      <c r="I9" s="168">
        <f ca="1">bsd(5,D$19,D$4,D$18,D$16-TODAY(),D$13,D$22,0.1)</f>
        <v>1.0058989755016734E-2</v>
      </c>
      <c r="J9" s="137"/>
      <c r="K9" s="137"/>
      <c r="L9" s="137"/>
      <c r="M9" s="137"/>
      <c r="S9" s="82"/>
      <c r="T9" s="80"/>
      <c r="U9" s="83"/>
      <c r="V9" s="83"/>
      <c r="W9" s="83"/>
      <c r="X9" s="83"/>
      <c r="Y9" s="83"/>
      <c r="Z9" s="83"/>
      <c r="AA9" s="83"/>
      <c r="AB9" s="83"/>
      <c r="AC9" s="84"/>
      <c r="AD9" s="83"/>
      <c r="AE9" s="84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V9" s="77"/>
      <c r="BW9" s="77"/>
      <c r="BX9" s="77"/>
      <c r="BY9" s="77"/>
      <c r="BZ9" s="77"/>
      <c r="CA9" s="77"/>
      <c r="CB9" s="77"/>
      <c r="CC9" s="77"/>
    </row>
    <row r="10" spans="1:81" x14ac:dyDescent="0.25">
      <c r="A10" s="76" t="s">
        <v>120</v>
      </c>
      <c r="B10" s="157">
        <v>1</v>
      </c>
      <c r="C10" s="157">
        <v>1</v>
      </c>
      <c r="D10" s="157">
        <v>1</v>
      </c>
      <c r="E10" s="57"/>
      <c r="F10" s="80" t="s">
        <v>33</v>
      </c>
      <c r="G10" s="168">
        <f ca="1">bsd(4,B$19,B$4,B$18,B$16-TODAY(),B$13,B$22,0.1)</f>
        <v>2.281651632793924E-4</v>
      </c>
      <c r="H10" s="168">
        <f ca="1">bsd(4,C$19,C$4,C$18,C$16-TODAY(),C$13,C$22,0.1)</f>
        <v>1.4443347334580636E-5</v>
      </c>
      <c r="I10" s="168">
        <f ca="1">bsd(4,D$19,D$4,D$18,D$16-TODAY(),D$13,D$22,0.1)</f>
        <v>9.4203022933414537E-4</v>
      </c>
      <c r="J10" s="137"/>
      <c r="K10" s="137"/>
      <c r="L10" s="137"/>
      <c r="M10" s="137"/>
      <c r="S10" s="82"/>
      <c r="T10" s="80"/>
      <c r="U10" s="83"/>
      <c r="V10" s="83"/>
      <c r="W10" s="83"/>
      <c r="X10" s="83"/>
      <c r="Y10" s="83"/>
      <c r="Z10" s="83"/>
      <c r="AA10" s="83"/>
      <c r="AB10" s="83"/>
      <c r="AC10" s="84"/>
      <c r="AD10" s="83"/>
      <c r="AE10" s="84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V10" s="77"/>
      <c r="BW10" s="77"/>
      <c r="BX10" s="77"/>
      <c r="BY10" s="77"/>
      <c r="BZ10" s="77"/>
      <c r="CA10" s="77"/>
      <c r="CB10" s="77"/>
      <c r="CC10" s="77"/>
    </row>
    <row r="11" spans="1:81" x14ac:dyDescent="0.25">
      <c r="A11" s="75" t="s">
        <v>140</v>
      </c>
      <c r="B11" s="167">
        <f>(B8+B9)*B10</f>
        <v>12.471830985915492</v>
      </c>
      <c r="C11" s="167">
        <f>(C8+C9)*C10</f>
        <v>15.989062499999999</v>
      </c>
      <c r="D11" s="167">
        <f>(D8+D9)*D10</f>
        <v>0.42</v>
      </c>
      <c r="E11" s="57"/>
      <c r="F11" s="57"/>
      <c r="G11" s="57"/>
      <c r="I11" s="137"/>
      <c r="J11" s="137"/>
      <c r="K11" s="137"/>
      <c r="L11" s="137"/>
      <c r="M11" s="137"/>
      <c r="S11" s="82"/>
      <c r="T11" s="80"/>
      <c r="U11" s="83"/>
      <c r="V11" s="83"/>
      <c r="W11" s="83"/>
      <c r="X11" s="83"/>
      <c r="Y11" s="83"/>
      <c r="Z11" s="83"/>
      <c r="AA11" s="83"/>
      <c r="AB11" s="83"/>
      <c r="AC11" s="84"/>
      <c r="AD11" s="83"/>
      <c r="AE11" s="84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V11" s="77"/>
      <c r="BW11" s="77"/>
      <c r="BX11" s="77"/>
      <c r="BY11" s="77"/>
      <c r="BZ11" s="77"/>
      <c r="CA11" s="77"/>
      <c r="CB11" s="77"/>
      <c r="CC11" s="77"/>
    </row>
    <row r="12" spans="1:81" x14ac:dyDescent="0.25">
      <c r="A12" s="75" t="s">
        <v>141</v>
      </c>
      <c r="B12" s="167">
        <v>0.7</v>
      </c>
      <c r="C12" s="167">
        <v>0.7</v>
      </c>
      <c r="D12" s="167">
        <v>0.8</v>
      </c>
      <c r="E12" s="57"/>
      <c r="F12" s="57"/>
      <c r="G12" s="57"/>
      <c r="I12" s="137"/>
      <c r="J12" s="137"/>
      <c r="K12" s="137"/>
      <c r="L12" s="137"/>
      <c r="M12" s="137"/>
      <c r="S12" s="82"/>
      <c r="T12" s="80"/>
      <c r="U12" s="83"/>
      <c r="V12" s="83"/>
      <c r="W12" s="83"/>
      <c r="X12" s="83"/>
      <c r="Y12" s="83"/>
      <c r="Z12" s="83"/>
      <c r="AA12" s="83"/>
      <c r="AB12" s="83"/>
      <c r="AC12" s="84"/>
      <c r="AD12" s="83"/>
      <c r="AE12" s="84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V12" s="77"/>
      <c r="BW12" s="77"/>
      <c r="BX12" s="77"/>
      <c r="BY12" s="77"/>
      <c r="BZ12" s="77"/>
      <c r="CA12" s="77"/>
      <c r="CB12" s="77"/>
      <c r="CC12" s="77"/>
    </row>
    <row r="13" spans="1:81" x14ac:dyDescent="0.25">
      <c r="A13" s="75" t="s">
        <v>60</v>
      </c>
      <c r="B13" s="167">
        <f>B12*B11</f>
        <v>8.7302816901408438</v>
      </c>
      <c r="C13" s="167">
        <f>C12*C11</f>
        <v>11.192343749999999</v>
      </c>
      <c r="D13" s="167">
        <f>D12*D11</f>
        <v>0.33600000000000002</v>
      </c>
      <c r="E13" s="57"/>
      <c r="F13" s="57"/>
      <c r="G13" s="57"/>
      <c r="I13" s="137"/>
      <c r="J13" s="137"/>
      <c r="K13" s="137"/>
      <c r="L13" s="137"/>
      <c r="M13" s="137"/>
      <c r="S13" s="82"/>
      <c r="T13" s="80"/>
      <c r="U13" s="83"/>
      <c r="V13" s="83"/>
      <c r="W13" s="83"/>
      <c r="X13" s="83"/>
      <c r="Y13" s="83"/>
      <c r="Z13" s="83"/>
      <c r="AA13" s="83"/>
      <c r="AB13" s="83"/>
      <c r="AC13" s="84"/>
      <c r="AD13" s="83"/>
      <c r="AE13" s="84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V13" s="77"/>
      <c r="BW13" s="77"/>
      <c r="BX13" s="77"/>
      <c r="BY13" s="77"/>
      <c r="BZ13" s="77"/>
      <c r="CA13" s="77"/>
      <c r="CB13" s="77"/>
      <c r="CC13" s="77"/>
    </row>
    <row r="14" spans="1:81" x14ac:dyDescent="0.25">
      <c r="A14" s="153" t="s">
        <v>137</v>
      </c>
      <c r="B14" s="166">
        <f>VLOOKUP(B2,expiration,3,FALSE)</f>
        <v>36945</v>
      </c>
      <c r="C14" s="166">
        <f>VLOOKUP(C2,expiration,3,FALSE)</f>
        <v>36945</v>
      </c>
      <c r="D14" s="166">
        <f>VLOOKUP(D2,expiration,3,FALSE)</f>
        <v>37068</v>
      </c>
      <c r="E14" s="57"/>
      <c r="F14" s="57"/>
      <c r="G14" s="160" t="s">
        <v>95</v>
      </c>
      <c r="I14" s="137"/>
      <c r="J14" s="137"/>
      <c r="K14" s="137"/>
      <c r="L14" s="137"/>
      <c r="M14" s="137"/>
      <c r="S14" s="82"/>
      <c r="T14" s="80"/>
      <c r="U14" s="83"/>
      <c r="V14" s="83"/>
      <c r="W14" s="83"/>
      <c r="X14" s="83"/>
      <c r="Y14" s="83"/>
      <c r="Z14" s="83"/>
      <c r="AA14" s="83"/>
      <c r="AB14" s="83"/>
      <c r="AC14" s="84"/>
      <c r="AD14" s="83"/>
      <c r="AE14" s="84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V14" s="77"/>
      <c r="BW14" s="77"/>
      <c r="BX14" s="77"/>
      <c r="BY14" s="77"/>
      <c r="BZ14" s="77"/>
      <c r="CA14" s="77"/>
      <c r="CB14" s="77"/>
      <c r="CC14" s="77"/>
    </row>
    <row r="15" spans="1:81" x14ac:dyDescent="0.25">
      <c r="A15" s="153" t="s">
        <v>138</v>
      </c>
      <c r="B15" s="166">
        <f>VLOOKUP(B2,expiration,2,FALSE)</f>
        <v>36948</v>
      </c>
      <c r="C15" s="166">
        <f>VLOOKUP(C2,expiration,2,FALSE)</f>
        <v>36948</v>
      </c>
      <c r="D15" s="166">
        <f>VLOOKUP(D2,expiration,2,FALSE)</f>
        <v>37069</v>
      </c>
      <c r="E15" s="57"/>
      <c r="F15" s="57"/>
      <c r="G15" s="160" t="s">
        <v>78</v>
      </c>
      <c r="I15" s="137"/>
      <c r="J15" s="137"/>
      <c r="K15" s="137"/>
      <c r="L15" s="137"/>
      <c r="M15" s="137"/>
      <c r="S15" s="82"/>
      <c r="T15" s="80"/>
      <c r="U15" s="83"/>
      <c r="V15" s="83"/>
      <c r="W15" s="83"/>
      <c r="X15" s="83"/>
      <c r="Y15" s="83"/>
      <c r="Z15" s="83"/>
      <c r="AA15" s="83"/>
      <c r="AB15" s="83"/>
      <c r="AC15" s="84"/>
      <c r="AD15" s="83"/>
      <c r="AE15" s="84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V15" s="77"/>
      <c r="BW15" s="77"/>
      <c r="BX15" s="77"/>
      <c r="BY15" s="77"/>
      <c r="BZ15" s="77"/>
      <c r="CA15" s="77"/>
      <c r="CB15" s="77"/>
      <c r="CC15" s="77"/>
    </row>
    <row r="16" spans="1:81" x14ac:dyDescent="0.25">
      <c r="A16" s="153" t="s">
        <v>139</v>
      </c>
      <c r="B16" s="166">
        <v>36948</v>
      </c>
      <c r="C16" s="166">
        <v>36948</v>
      </c>
      <c r="D16" s="69">
        <v>36948</v>
      </c>
      <c r="E16" s="57"/>
      <c r="F16" s="57"/>
      <c r="G16" s="160" t="s">
        <v>98</v>
      </c>
      <c r="I16" s="137"/>
      <c r="J16" s="137"/>
      <c r="K16" s="137"/>
      <c r="L16" s="137"/>
      <c r="M16" s="137"/>
      <c r="S16" s="82"/>
      <c r="T16" s="80"/>
      <c r="U16" s="83"/>
      <c r="V16" s="83"/>
      <c r="W16" s="83"/>
      <c r="X16" s="83"/>
      <c r="Y16" s="83"/>
      <c r="Z16" s="83"/>
      <c r="AA16" s="83"/>
      <c r="AB16" s="83"/>
      <c r="AC16" s="84"/>
      <c r="AD16" s="83"/>
      <c r="AE16" s="84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V16" s="77"/>
      <c r="BW16" s="77"/>
      <c r="BX16" s="77"/>
      <c r="BY16" s="77"/>
      <c r="BZ16" s="77"/>
      <c r="CA16" s="77"/>
      <c r="CB16" s="77"/>
      <c r="CC16" s="77"/>
    </row>
    <row r="17" spans="1:81" x14ac:dyDescent="0.25">
      <c r="A17" s="153"/>
      <c r="B17" s="129"/>
      <c r="C17" s="129"/>
      <c r="D17" s="129"/>
      <c r="E17" s="57"/>
      <c r="F17" s="57"/>
      <c r="G17" s="160" t="s">
        <v>70</v>
      </c>
      <c r="I17" s="137"/>
      <c r="J17" s="137"/>
      <c r="K17" s="137"/>
      <c r="L17" s="137"/>
      <c r="M17" s="137"/>
      <c r="S17" s="82"/>
      <c r="T17" s="80"/>
      <c r="U17" s="83"/>
      <c r="V17" s="83"/>
      <c r="W17" s="83"/>
      <c r="X17" s="83"/>
      <c r="Y17" s="83"/>
      <c r="Z17" s="83"/>
      <c r="AA17" s="83"/>
      <c r="AB17" s="83"/>
      <c r="AC17" s="84"/>
      <c r="AD17" s="83"/>
      <c r="AE17" s="84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V17" s="77"/>
      <c r="BW17" s="77"/>
      <c r="BX17" s="77"/>
      <c r="BY17" s="77"/>
      <c r="BZ17" s="77"/>
      <c r="CA17" s="77"/>
      <c r="CB17" s="77"/>
      <c r="CC17" s="77"/>
    </row>
    <row r="18" spans="1:81" x14ac:dyDescent="0.25">
      <c r="A18" s="57" t="s">
        <v>119</v>
      </c>
      <c r="B18" s="163">
        <v>3.6</v>
      </c>
      <c r="C18" s="163">
        <v>3.8</v>
      </c>
      <c r="D18" s="233">
        <v>4.0199999999999996</v>
      </c>
      <c r="E18" s="57">
        <v>-0.1</v>
      </c>
      <c r="F18" s="57"/>
      <c r="G18" s="160" t="s">
        <v>100</v>
      </c>
      <c r="I18" s="137"/>
      <c r="J18" s="137">
        <f>0.35*365</f>
        <v>127.74999999999999</v>
      </c>
      <c r="K18" s="137"/>
      <c r="L18" s="137"/>
      <c r="M18" s="137"/>
      <c r="S18" s="82"/>
      <c r="T18" s="80"/>
      <c r="U18" s="83"/>
      <c r="V18" s="83"/>
      <c r="W18" s="83"/>
      <c r="X18" s="83"/>
      <c r="Y18" s="83"/>
      <c r="Z18" s="83"/>
      <c r="AA18" s="83"/>
      <c r="AB18" s="83"/>
      <c r="AC18" s="84"/>
      <c r="AD18" s="83"/>
      <c r="AE18" s="84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V18" s="77"/>
      <c r="BW18" s="77"/>
      <c r="BX18" s="77"/>
      <c r="BY18" s="77"/>
      <c r="BZ18" s="77"/>
      <c r="CA18" s="77"/>
      <c r="CB18" s="77"/>
      <c r="CC18" s="77"/>
    </row>
    <row r="19" spans="1:81" x14ac:dyDescent="0.25">
      <c r="A19" s="57" t="s">
        <v>126</v>
      </c>
      <c r="B19" s="156">
        <v>2</v>
      </c>
      <c r="C19" s="156">
        <v>2</v>
      </c>
      <c r="D19" s="156">
        <v>2</v>
      </c>
      <c r="E19" s="57">
        <v>1</v>
      </c>
      <c r="F19" s="57"/>
      <c r="G19" s="160" t="s">
        <v>76</v>
      </c>
      <c r="I19" s="137"/>
      <c r="J19" s="137"/>
      <c r="K19" s="137"/>
      <c r="L19" s="137"/>
      <c r="M19" s="137"/>
      <c r="S19" s="82"/>
      <c r="T19" s="80"/>
      <c r="U19" s="83"/>
      <c r="V19" s="83"/>
      <c r="W19" s="83"/>
      <c r="X19" s="83"/>
      <c r="Y19" s="83"/>
      <c r="Z19" s="83"/>
      <c r="AA19" s="83"/>
      <c r="AB19" s="83"/>
      <c r="AC19" s="84"/>
      <c r="AD19" s="83"/>
      <c r="AE19" s="84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V19" s="77"/>
      <c r="BW19" s="77"/>
      <c r="BX19" s="77"/>
      <c r="BY19" s="77"/>
      <c r="BZ19" s="77"/>
      <c r="CA19" s="77"/>
      <c r="CB19" s="77"/>
      <c r="CC19" s="77"/>
    </row>
    <row r="20" spans="1:81" x14ac:dyDescent="0.25">
      <c r="A20" s="76" t="s">
        <v>47</v>
      </c>
      <c r="B20" s="158">
        <v>1</v>
      </c>
      <c r="C20" s="158">
        <v>1</v>
      </c>
      <c r="D20" s="158">
        <v>1</v>
      </c>
      <c r="E20" s="57"/>
      <c r="F20" s="57"/>
      <c r="G20" s="160" t="s">
        <v>102</v>
      </c>
      <c r="I20" s="137"/>
      <c r="J20" s="137"/>
      <c r="K20" s="137"/>
      <c r="L20" s="137"/>
      <c r="M20" s="137"/>
      <c r="S20" s="82"/>
      <c r="T20" s="80"/>
      <c r="U20" s="83"/>
      <c r="V20" s="83"/>
      <c r="W20" s="83"/>
      <c r="X20" s="83"/>
      <c r="Y20" s="83"/>
      <c r="Z20" s="83"/>
      <c r="AA20" s="83"/>
      <c r="AB20" s="83"/>
      <c r="AC20" s="84"/>
      <c r="AD20" s="83"/>
      <c r="AE20" s="84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V20" s="77"/>
      <c r="BW20" s="77"/>
      <c r="BX20" s="77"/>
      <c r="BY20" s="77"/>
      <c r="BZ20" s="77"/>
      <c r="CA20" s="77"/>
      <c r="CB20" s="77"/>
      <c r="CC20" s="77"/>
    </row>
    <row r="21" spans="1:81" x14ac:dyDescent="0.25">
      <c r="A21" s="57" t="s">
        <v>115</v>
      </c>
      <c r="B21" s="160" t="s">
        <v>95</v>
      </c>
      <c r="C21" s="160" t="s">
        <v>95</v>
      </c>
      <c r="D21" s="160" t="s">
        <v>95</v>
      </c>
      <c r="E21" s="57"/>
      <c r="F21" s="57"/>
      <c r="G21" s="160" t="s">
        <v>74</v>
      </c>
      <c r="I21" s="137"/>
      <c r="J21" s="137"/>
      <c r="K21" s="137"/>
      <c r="L21" s="137"/>
      <c r="M21" s="137"/>
      <c r="S21" s="82"/>
      <c r="T21" s="80"/>
      <c r="U21" s="83"/>
      <c r="V21" s="83"/>
      <c r="W21" s="83"/>
      <c r="X21" s="83"/>
      <c r="Y21" s="83"/>
      <c r="Z21" s="83"/>
      <c r="AA21" s="83"/>
      <c r="AB21" s="83"/>
      <c r="AC21" s="84"/>
      <c r="AD21" s="83"/>
      <c r="AE21" s="84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V21" s="77"/>
      <c r="BW21" s="77"/>
      <c r="BX21" s="77"/>
      <c r="BY21" s="77"/>
      <c r="BZ21" s="77"/>
      <c r="CA21" s="77"/>
      <c r="CB21" s="77"/>
      <c r="CC21" s="77"/>
    </row>
    <row r="22" spans="1:81" x14ac:dyDescent="0.25">
      <c r="A22" s="76" t="s">
        <v>143</v>
      </c>
      <c r="B22" s="80">
        <f>VLOOKUP(B2,STRADDLE,12,FALSE)</f>
        <v>6.8686384627542008E-2</v>
      </c>
      <c r="C22" s="80">
        <f>VLOOKUP(C2,STRADDLE,12,FALSE)</f>
        <v>6.8686384627542008E-2</v>
      </c>
      <c r="D22" s="80">
        <v>7.0999999999999994E-2</v>
      </c>
      <c r="E22" s="57"/>
      <c r="F22" s="57"/>
      <c r="G22" s="160" t="s">
        <v>94</v>
      </c>
      <c r="I22" s="137"/>
      <c r="J22" s="137"/>
      <c r="K22" s="137"/>
      <c r="L22" s="137"/>
      <c r="M22" s="137"/>
      <c r="S22" s="82"/>
      <c r="T22" s="80"/>
      <c r="U22" s="83"/>
      <c r="V22" s="83"/>
      <c r="W22" s="83"/>
      <c r="X22" s="83"/>
      <c r="Y22" s="83"/>
      <c r="Z22" s="83"/>
      <c r="AA22" s="83"/>
      <c r="AB22" s="83"/>
      <c r="AC22" s="84"/>
      <c r="AD22" s="83"/>
      <c r="AE22" s="84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V22" s="77"/>
      <c r="BW22" s="77"/>
      <c r="BX22" s="77"/>
      <c r="BY22" s="77"/>
      <c r="BZ22" s="77"/>
      <c r="CA22" s="77"/>
      <c r="CB22" s="77"/>
      <c r="CC22" s="77"/>
    </row>
    <row r="23" spans="1:81" x14ac:dyDescent="0.25">
      <c r="A23" s="153"/>
      <c r="B23" s="155"/>
      <c r="C23" s="57"/>
      <c r="D23" s="57"/>
      <c r="E23" s="57"/>
      <c r="F23" s="57"/>
      <c r="G23" s="160" t="s">
        <v>64</v>
      </c>
      <c r="I23" s="137"/>
      <c r="J23" s="137"/>
      <c r="K23" s="137"/>
      <c r="L23" s="137"/>
      <c r="M23" s="137"/>
      <c r="S23" s="82"/>
      <c r="T23" s="80"/>
      <c r="U23" s="83"/>
      <c r="V23" s="83"/>
      <c r="W23" s="83"/>
      <c r="X23" s="83"/>
      <c r="Y23" s="83"/>
      <c r="Z23" s="83"/>
      <c r="AA23" s="83"/>
      <c r="AB23" s="83"/>
      <c r="AC23" s="84"/>
      <c r="AD23" s="83"/>
      <c r="AE23" s="84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V23" s="77"/>
      <c r="BW23" s="77"/>
      <c r="BX23" s="77"/>
      <c r="BY23" s="77"/>
      <c r="BZ23" s="77"/>
      <c r="CA23" s="77"/>
      <c r="CB23" s="77"/>
      <c r="CC23" s="77"/>
    </row>
    <row r="24" spans="1:81" x14ac:dyDescent="0.25">
      <c r="A24" s="153"/>
      <c r="B24" s="155"/>
      <c r="C24" s="57"/>
      <c r="D24" s="57"/>
      <c r="E24" s="57"/>
      <c r="F24" s="57"/>
      <c r="G24" s="57"/>
      <c r="I24" s="137"/>
      <c r="J24" s="137"/>
      <c r="K24" s="137"/>
      <c r="L24" s="137"/>
      <c r="M24" s="137"/>
      <c r="S24" s="82"/>
      <c r="T24" s="80"/>
      <c r="U24" s="83"/>
      <c r="V24" s="83"/>
      <c r="W24" s="83"/>
      <c r="X24" s="83"/>
      <c r="Y24" s="83"/>
      <c r="Z24" s="83"/>
      <c r="AA24" s="83"/>
      <c r="AB24" s="83"/>
      <c r="AC24" s="84"/>
      <c r="AD24" s="83"/>
      <c r="AE24" s="84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V24" s="77"/>
      <c r="BW24" s="77"/>
      <c r="BX24" s="77"/>
      <c r="BY24" s="77"/>
      <c r="BZ24" s="77"/>
      <c r="CA24" s="77"/>
      <c r="CB24" s="77"/>
      <c r="CC24" s="77"/>
    </row>
    <row r="25" spans="1:81" x14ac:dyDescent="0.25">
      <c r="A25"/>
      <c r="B25" s="101">
        <f>DATE(YEAR(B2),MONTH(B2)-1,1)</f>
        <v>36923</v>
      </c>
      <c r="C25"/>
      <c r="D25"/>
      <c r="E25"/>
      <c r="F25"/>
      <c r="G25"/>
      <c r="H25"/>
      <c r="I25"/>
      <c r="J25"/>
      <c r="K25"/>
      <c r="L25"/>
      <c r="M25"/>
      <c r="S25" s="82"/>
      <c r="T25" s="80"/>
      <c r="U25" s="83"/>
      <c r="V25" s="83"/>
      <c r="W25" s="83"/>
      <c r="X25" s="83"/>
      <c r="Y25" s="83"/>
      <c r="Z25" s="83"/>
      <c r="AA25" s="83"/>
      <c r="AB25" s="83"/>
      <c r="AC25" s="84"/>
      <c r="AD25" s="83"/>
      <c r="AE25" s="84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V25" s="77"/>
      <c r="BW25" s="77"/>
      <c r="BX25" s="77"/>
      <c r="BY25" s="77"/>
      <c r="BZ25" s="77"/>
      <c r="CA25" s="77"/>
      <c r="CB25" s="77"/>
      <c r="CC25" s="77"/>
    </row>
    <row r="26" spans="1:81" x14ac:dyDescent="0.25">
      <c r="A26"/>
      <c r="B26"/>
      <c r="C26"/>
      <c r="D26"/>
      <c r="E26"/>
      <c r="F26"/>
      <c r="G26" s="160" t="s">
        <v>97</v>
      </c>
      <c r="H26"/>
      <c r="I26"/>
      <c r="J26"/>
      <c r="K26"/>
      <c r="L26"/>
      <c r="M26"/>
      <c r="S26" s="82"/>
      <c r="T26" s="80"/>
      <c r="U26" s="83"/>
      <c r="V26" s="83"/>
      <c r="W26" s="83"/>
      <c r="X26" s="83"/>
      <c r="Y26" s="83"/>
      <c r="Z26" s="83"/>
      <c r="AA26" s="83"/>
      <c r="AB26" s="83"/>
      <c r="AC26" s="84"/>
      <c r="AD26" s="83"/>
      <c r="AE26" s="84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V26" s="77"/>
      <c r="BW26" s="77"/>
      <c r="BX26" s="77"/>
      <c r="BY26" s="77"/>
      <c r="BZ26" s="77"/>
      <c r="CA26" s="77"/>
      <c r="CB26" s="77"/>
      <c r="CC26" s="77"/>
    </row>
    <row r="27" spans="1:81" x14ac:dyDescent="0.25">
      <c r="A27"/>
      <c r="B27"/>
      <c r="C27"/>
      <c r="D27" s="166">
        <v>36858</v>
      </c>
      <c r="E27"/>
      <c r="F27"/>
      <c r="G27"/>
      <c r="H27"/>
      <c r="I27"/>
      <c r="J27"/>
      <c r="K27"/>
      <c r="L27"/>
      <c r="M27"/>
      <c r="S27" s="82"/>
      <c r="T27" s="80"/>
      <c r="U27" s="83"/>
      <c r="V27" s="83"/>
      <c r="W27" s="83"/>
      <c r="X27" s="83"/>
      <c r="Y27" s="83"/>
      <c r="AA27" s="83"/>
      <c r="AB27" s="83"/>
      <c r="AC27" s="84"/>
      <c r="AD27" s="83"/>
      <c r="AE27" s="84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V27" s="95"/>
      <c r="BW27" s="95"/>
      <c r="BX27" s="77"/>
      <c r="BY27" s="77"/>
      <c r="BZ27" s="77"/>
      <c r="CA27" s="77"/>
      <c r="CB27" s="77"/>
      <c r="CC27" s="77"/>
    </row>
    <row r="28" spans="1:81" x14ac:dyDescent="0.25">
      <c r="A28"/>
      <c r="B28"/>
      <c r="C28"/>
      <c r="D28" s="166">
        <v>36796</v>
      </c>
      <c r="E28"/>
      <c r="F28"/>
      <c r="G28"/>
      <c r="H28"/>
      <c r="I28"/>
      <c r="J28"/>
      <c r="K28"/>
      <c r="L28"/>
      <c r="M28"/>
      <c r="S28" s="82"/>
      <c r="T28" s="80"/>
      <c r="U28" s="83"/>
      <c r="V28" s="83"/>
      <c r="W28" s="83"/>
      <c r="X28" s="83"/>
      <c r="Y28" s="83"/>
      <c r="AA28" s="83"/>
      <c r="AB28" s="83"/>
      <c r="AC28" s="84"/>
      <c r="AD28" s="83"/>
      <c r="AE28" s="84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V28" s="95"/>
      <c r="BW28" s="95"/>
      <c r="BX28" s="77"/>
      <c r="BY28" s="77"/>
      <c r="BZ28" s="77"/>
      <c r="CA28" s="77"/>
      <c r="CB28" s="77"/>
      <c r="CC28" s="77"/>
    </row>
    <row r="29" spans="1:8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S29" s="82"/>
      <c r="T29" s="80"/>
      <c r="U29" s="83"/>
      <c r="V29" s="83"/>
      <c r="W29" s="83"/>
      <c r="X29" s="83"/>
      <c r="Y29" s="83"/>
      <c r="AA29" s="83"/>
      <c r="AB29" s="83"/>
      <c r="AC29" s="84"/>
      <c r="AD29" s="83"/>
      <c r="AE29" s="84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V29" s="95"/>
      <c r="BW29" s="95"/>
      <c r="BX29" s="77"/>
      <c r="BY29" s="77"/>
      <c r="BZ29" s="77"/>
      <c r="CA29" s="77"/>
      <c r="CB29" s="77"/>
      <c r="CC29" s="77"/>
    </row>
    <row r="30" spans="1:8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S30" s="82"/>
      <c r="T30" s="80"/>
      <c r="U30" s="83"/>
      <c r="V30" s="83"/>
      <c r="W30" s="83"/>
      <c r="X30" s="83"/>
      <c r="Y30" s="83"/>
      <c r="AA30" s="83"/>
      <c r="AB30" s="83"/>
      <c r="AC30" s="84"/>
      <c r="AD30" s="83"/>
      <c r="AE30" s="84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V30" s="95"/>
      <c r="BW30" s="95"/>
      <c r="BX30" s="77"/>
      <c r="BY30" s="77"/>
      <c r="BZ30" s="77"/>
      <c r="CA30" s="77"/>
      <c r="CB30" s="77"/>
      <c r="CC30" s="77"/>
    </row>
    <row r="31" spans="1:8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S31" s="82"/>
      <c r="T31" s="80"/>
      <c r="U31" s="83"/>
      <c r="V31" s="83"/>
      <c r="W31" s="83"/>
      <c r="X31" s="83"/>
      <c r="Y31" s="83"/>
      <c r="AA31" s="83"/>
      <c r="AB31" s="83"/>
      <c r="AC31" s="84"/>
      <c r="AD31" s="83"/>
      <c r="AE31" s="84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V31" s="95"/>
      <c r="BW31" s="95"/>
      <c r="BX31" s="77"/>
      <c r="BY31" s="77"/>
      <c r="BZ31" s="77"/>
      <c r="CA31" s="77"/>
      <c r="CB31" s="77"/>
      <c r="CC31" s="77"/>
    </row>
    <row r="32" spans="1:8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S32" s="82"/>
      <c r="T32" s="80"/>
      <c r="U32" s="83"/>
      <c r="V32" s="83"/>
      <c r="W32" s="83"/>
      <c r="X32" s="83"/>
      <c r="Y32" s="83"/>
      <c r="AA32" s="83"/>
      <c r="AB32" s="83"/>
      <c r="AC32" s="84"/>
      <c r="AD32" s="83"/>
      <c r="AE32" s="84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V32" s="95"/>
      <c r="BW32" s="95"/>
      <c r="BX32" s="77"/>
      <c r="BY32" s="77"/>
      <c r="BZ32" s="77"/>
      <c r="CA32" s="77"/>
      <c r="CB32" s="77"/>
      <c r="CC32" s="77"/>
    </row>
    <row r="33" spans="1:8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S33" s="82"/>
      <c r="T33" s="80"/>
      <c r="U33" s="83"/>
      <c r="V33" s="83"/>
      <c r="W33" s="83"/>
      <c r="X33" s="83"/>
      <c r="Y33" s="83"/>
      <c r="AA33" s="83"/>
      <c r="AB33" s="83"/>
      <c r="AC33" s="84"/>
      <c r="AD33" s="83"/>
      <c r="AE33" s="84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I33" s="77" t="e">
        <f>BI39/AD41</f>
        <v>#REF!</v>
      </c>
      <c r="BV33" s="95"/>
      <c r="BW33" s="95"/>
      <c r="BX33" s="77"/>
      <c r="BY33" s="77"/>
      <c r="BZ33" s="77"/>
      <c r="CA33" s="77"/>
      <c r="CB33" s="77"/>
      <c r="CC33" s="77"/>
    </row>
    <row r="34" spans="1:81" x14ac:dyDescent="0.25">
      <c r="A34" s="57"/>
      <c r="B34" s="57"/>
      <c r="C34" s="57"/>
      <c r="D34" s="57"/>
      <c r="E34" s="57"/>
      <c r="F34" s="57"/>
      <c r="G34" s="57"/>
      <c r="S34" s="92"/>
      <c r="T34" s="89"/>
      <c r="U34" s="83"/>
      <c r="V34" s="83"/>
      <c r="W34" s="83"/>
      <c r="X34" s="83"/>
      <c r="Y34" s="83"/>
      <c r="AA34" s="83"/>
      <c r="AB34" s="83"/>
      <c r="AC34" s="84"/>
      <c r="AD34" s="83"/>
      <c r="AE34" s="84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V34" s="95"/>
      <c r="BW34" s="95"/>
      <c r="BX34" s="77"/>
      <c r="BY34" s="77"/>
      <c r="BZ34" s="77"/>
      <c r="CA34" s="77"/>
      <c r="CB34" s="77"/>
      <c r="CC34" s="77"/>
    </row>
    <row r="35" spans="1:81" x14ac:dyDescent="0.25">
      <c r="A35" s="57"/>
      <c r="B35" s="57" t="s">
        <v>51</v>
      </c>
      <c r="C35" s="57" t="s">
        <v>52</v>
      </c>
      <c r="D35" s="57"/>
      <c r="E35" s="57"/>
      <c r="F35" s="57"/>
      <c r="G35" s="57"/>
      <c r="I35" s="146"/>
      <c r="P35" s="137"/>
      <c r="S35" s="93"/>
      <c r="T35" s="89"/>
      <c r="U35" s="83"/>
      <c r="V35" s="83"/>
      <c r="W35" s="83"/>
      <c r="X35" s="83"/>
      <c r="Y35" s="83"/>
      <c r="AA35" s="83"/>
      <c r="AB35" s="83"/>
      <c r="AC35" s="84"/>
      <c r="AD35" s="83"/>
      <c r="AE35" s="84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V35" s="95"/>
      <c r="BW35" s="95"/>
      <c r="BX35" s="77"/>
      <c r="BY35" s="77"/>
      <c r="BZ35" s="77"/>
      <c r="CA35" s="77"/>
      <c r="CB35" s="77"/>
      <c r="CC35" s="77"/>
    </row>
    <row r="36" spans="1:81" x14ac:dyDescent="0.25">
      <c r="D36" s="57"/>
      <c r="E36" s="57"/>
      <c r="F36" s="57"/>
      <c r="G36" s="57"/>
      <c r="S36" s="93"/>
      <c r="T36" s="89"/>
      <c r="U36" s="83"/>
      <c r="V36" s="83"/>
      <c r="W36" s="83"/>
      <c r="X36" s="83"/>
      <c r="Y36" s="83"/>
      <c r="AA36" s="83"/>
      <c r="AB36" s="83"/>
      <c r="AC36" s="84"/>
      <c r="AD36" s="83"/>
      <c r="AE36" s="84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V36" s="95"/>
      <c r="BW36" s="95"/>
      <c r="BX36" s="77"/>
      <c r="BY36" s="77"/>
      <c r="BZ36" s="77"/>
      <c r="CA36" s="77"/>
      <c r="CB36" s="77"/>
      <c r="CC36" s="77"/>
    </row>
    <row r="37" spans="1:81" x14ac:dyDescent="0.25">
      <c r="D37" s="57"/>
      <c r="E37" s="57"/>
      <c r="F37" s="57"/>
      <c r="G37" s="57"/>
      <c r="Q37" s="93"/>
      <c r="R37" s="89"/>
      <c r="S37" s="83"/>
      <c r="T37" s="83"/>
      <c r="U37" s="83"/>
      <c r="V37" s="83"/>
      <c r="W37" s="83"/>
      <c r="Y37" s="83"/>
      <c r="Z37" s="83"/>
      <c r="AA37" s="84"/>
      <c r="AB37" s="83"/>
      <c r="AC37" s="84"/>
      <c r="AD37" s="83"/>
      <c r="BL37"/>
      <c r="BM37"/>
      <c r="BT37" s="95"/>
      <c r="BU37" s="95"/>
      <c r="BV37" s="77"/>
      <c r="BW37" s="77"/>
      <c r="BX37" s="77"/>
      <c r="BY37" s="77"/>
      <c r="BZ37" s="77"/>
      <c r="CA37" s="77"/>
    </row>
    <row r="38" spans="1:81" x14ac:dyDescent="0.25">
      <c r="D38" s="57"/>
      <c r="E38" s="57"/>
      <c r="F38" s="57"/>
      <c r="G38" s="57"/>
      <c r="N38" s="88"/>
      <c r="Q38" s="93"/>
      <c r="R38" s="89"/>
      <c r="S38" s="83"/>
      <c r="T38" s="83"/>
      <c r="U38" s="83"/>
      <c r="V38" s="83"/>
      <c r="W38" s="83"/>
      <c r="Y38" s="83"/>
      <c r="Z38" s="83"/>
      <c r="AA38" s="84"/>
      <c r="AB38" s="83"/>
      <c r="AC38" s="84"/>
      <c r="AD38" s="83"/>
      <c r="BL38"/>
      <c r="BM38"/>
      <c r="BT38" s="95"/>
      <c r="BU38" s="95"/>
      <c r="BV38" s="77"/>
      <c r="BW38" s="77"/>
      <c r="BX38" s="77"/>
      <c r="BY38" s="77"/>
      <c r="BZ38" s="77"/>
      <c r="CA38" s="77"/>
    </row>
    <row r="39" spans="1:81" x14ac:dyDescent="0.25">
      <c r="A39" s="86"/>
      <c r="C39" s="138"/>
      <c r="H39" s="86"/>
      <c r="I39" s="87"/>
      <c r="J39" s="87"/>
      <c r="K39" s="87"/>
      <c r="L39" s="85"/>
      <c r="M39" s="87"/>
      <c r="N39" s="87"/>
      <c r="O39" s="90"/>
      <c r="P39" s="91"/>
      <c r="Q39" s="94"/>
      <c r="R39" s="80" t="s">
        <v>51</v>
      </c>
      <c r="S39" s="83" t="s">
        <v>52</v>
      </c>
      <c r="T39" s="80" t="s">
        <v>51</v>
      </c>
      <c r="U39" s="83" t="s">
        <v>52</v>
      </c>
      <c r="V39" s="80" t="s">
        <v>51</v>
      </c>
      <c r="W39" s="83" t="s">
        <v>52</v>
      </c>
      <c r="X39" s="80" t="s">
        <v>51</v>
      </c>
      <c r="Y39" s="83" t="s">
        <v>52</v>
      </c>
      <c r="Z39" s="80" t="s">
        <v>51</v>
      </c>
      <c r="AA39" s="83" t="s">
        <v>52</v>
      </c>
      <c r="AB39" s="83"/>
      <c r="AC39" s="84"/>
      <c r="AD39" s="83"/>
      <c r="BH39" s="108">
        <f t="shared" ref="BH39:BN39" si="0">SUM(BH44:BH67)</f>
        <v>1677.221</v>
      </c>
      <c r="BI39" s="108" t="e">
        <f t="shared" si="0"/>
        <v>#REF!</v>
      </c>
      <c r="BJ39" s="108" t="e">
        <f t="shared" si="0"/>
        <v>#VALUE!</v>
      </c>
      <c r="BK39" s="108" t="e">
        <f t="shared" si="0"/>
        <v>#VALUE!</v>
      </c>
      <c r="BL39" s="108" t="e">
        <f t="shared" si="0"/>
        <v>#VALUE!</v>
      </c>
      <c r="BM39" s="108" t="e">
        <f t="shared" si="0"/>
        <v>#VALUE!</v>
      </c>
      <c r="BN39" s="108" t="e">
        <f t="shared" si="0"/>
        <v>#VALUE!</v>
      </c>
      <c r="BP39" s="108"/>
      <c r="BQ39" s="108" t="e">
        <f>SUM(BQ44:BQ67)</f>
        <v>#VALUE!</v>
      </c>
      <c r="BR39" s="108" t="e">
        <f>SUM(BR44:BR67)</f>
        <v>#VALUE!</v>
      </c>
      <c r="BS39" s="108" t="e">
        <f>SUM(BS44:BS67)</f>
        <v>#VALUE!</v>
      </c>
      <c r="BT39" s="108" t="e">
        <f>SUM(BT44:BT67)</f>
        <v>#VALUE!</v>
      </c>
      <c r="BU39" s="108" t="e">
        <f>SUM(BU44:BU67)</f>
        <v>#VALUE!</v>
      </c>
      <c r="BV39" s="77"/>
      <c r="BW39" s="77"/>
      <c r="BX39" s="77"/>
      <c r="BY39" s="77"/>
      <c r="BZ39" s="77"/>
      <c r="CA39" s="77"/>
    </row>
    <row r="40" spans="1:81" x14ac:dyDescent="0.25">
      <c r="B40" s="96"/>
      <c r="C40" s="96"/>
      <c r="D40" s="80"/>
      <c r="E40" s="80"/>
      <c r="F40" s="80"/>
      <c r="G40" s="80"/>
      <c r="H40" s="80"/>
      <c r="I40" s="80"/>
      <c r="J40" s="106"/>
      <c r="K40" s="106"/>
      <c r="M40" s="106"/>
      <c r="N40" s="106"/>
      <c r="R40" s="83" t="s">
        <v>39</v>
      </c>
      <c r="S40" s="83" t="s">
        <v>39</v>
      </c>
      <c r="T40" s="83" t="s">
        <v>29</v>
      </c>
      <c r="U40" s="83" t="s">
        <v>29</v>
      </c>
      <c r="V40" s="84" t="s">
        <v>30</v>
      </c>
      <c r="W40" s="84" t="s">
        <v>30</v>
      </c>
      <c r="X40" s="83" t="s">
        <v>33</v>
      </c>
      <c r="Y40" s="83" t="s">
        <v>33</v>
      </c>
      <c r="Z40" s="84" t="s">
        <v>34</v>
      </c>
      <c r="AA40" s="84" t="s">
        <v>34</v>
      </c>
      <c r="AB40" s="83"/>
      <c r="AC40" s="84"/>
      <c r="AD40" s="83"/>
      <c r="BL40"/>
      <c r="BM40"/>
      <c r="BP40" s="77"/>
      <c r="BQ40" s="77"/>
      <c r="BR40" s="77"/>
      <c r="BV40" s="77"/>
      <c r="BW40" s="77"/>
      <c r="BX40" s="77"/>
      <c r="BY40" s="77"/>
      <c r="BZ40" s="77"/>
      <c r="CA40" s="77"/>
    </row>
    <row r="41" spans="1:81" x14ac:dyDescent="0.25">
      <c r="B41" s="97"/>
      <c r="C41" s="97"/>
      <c r="D41" s="98"/>
      <c r="E41" s="97"/>
      <c r="F41" s="98"/>
      <c r="G41" s="98"/>
      <c r="H41" s="97"/>
      <c r="I41" s="97"/>
      <c r="J41" s="139"/>
      <c r="K41" s="139"/>
      <c r="M41" s="133"/>
      <c r="N41" s="133"/>
      <c r="Q41" s="94"/>
      <c r="R41" s="83">
        <f>IF($B$25=3,$B$19,3)</f>
        <v>3</v>
      </c>
      <c r="S41" s="83">
        <f>IF($B$25=3,$C$19,3)</f>
        <v>3</v>
      </c>
      <c r="T41" s="83">
        <f>IF($B$25=3,$B$19,3)</f>
        <v>3</v>
      </c>
      <c r="U41" s="83">
        <f>IF($B$25=3,$C$19,3)</f>
        <v>3</v>
      </c>
      <c r="V41" s="83">
        <f>IF($B$25=3,$B$19,3)</f>
        <v>3</v>
      </c>
      <c r="W41" s="83">
        <f>IF($B$25=3,$C$19,3)</f>
        <v>3</v>
      </c>
      <c r="X41" s="83">
        <f>IF($B$25=3,$B$19,3)</f>
        <v>3</v>
      </c>
      <c r="Y41" s="83">
        <f>IF($B$25=3,$C$19,3)</f>
        <v>3</v>
      </c>
      <c r="Z41" s="83">
        <f>IF($B$25=3,$B$19,3)</f>
        <v>3</v>
      </c>
      <c r="AA41" s="83">
        <f>IF($B$25=3,$C$19,3)</f>
        <v>3</v>
      </c>
      <c r="AC41" s="84"/>
      <c r="AD41" s="136">
        <f>SUM(AD44:AD67)</f>
        <v>426</v>
      </c>
      <c r="AH41" s="77">
        <f>SUM(AH44:AH67)/AD41</f>
        <v>3.9371384976525823</v>
      </c>
      <c r="AI41" s="77">
        <f>SUM(AI44:AI67)/AD41</f>
        <v>-1.3855633802816902E-2</v>
      </c>
      <c r="AK41" s="80">
        <f>SUM(AK44:AK67)/AD41</f>
        <v>12.471830985915492</v>
      </c>
      <c r="AM41" s="84"/>
      <c r="AN41" s="136">
        <f>SUM(AN44:AN67)</f>
        <v>640</v>
      </c>
      <c r="AR41" s="77">
        <f>SUM(AR44:AR67)/AN41</f>
        <v>3.7718406250000003</v>
      </c>
      <c r="AS41" s="77">
        <f>SUM(AS44:AS67)/AN41</f>
        <v>-5.5976562500000028E-3</v>
      </c>
      <c r="AU41" s="80">
        <f>SUM(AU44:AU67)/AN41</f>
        <v>15.989062499999999</v>
      </c>
      <c r="AW41" s="84"/>
      <c r="AX41" s="136">
        <f>SUM(AX44:AX67)</f>
        <v>730</v>
      </c>
      <c r="BB41" s="77">
        <f>SUM(BB44:BB67)/AX41</f>
        <v>3.5936315068493148</v>
      </c>
      <c r="BC41" s="77">
        <f>SUM(BC44:BC67)/AX41</f>
        <v>-9.9657534246575391E-3</v>
      </c>
      <c r="BE41" s="80">
        <f>SUM(BE44:BE67)/AX41</f>
        <v>21.476712328767125</v>
      </c>
      <c r="BF41" s="106"/>
      <c r="BG41" s="106"/>
      <c r="BL41"/>
      <c r="BM41"/>
      <c r="BP41" s="77"/>
      <c r="BQ41" s="77"/>
      <c r="BR41" s="77"/>
      <c r="BV41" s="80"/>
      <c r="BW41" s="80"/>
      <c r="BX41" s="80"/>
      <c r="BY41" s="80"/>
      <c r="BZ41" s="80"/>
      <c r="CA41" s="80"/>
    </row>
    <row r="42" spans="1:81" ht="13.8" thickBot="1" x14ac:dyDescent="0.3">
      <c r="B42" s="87"/>
      <c r="C42" s="87"/>
      <c r="D42" s="87"/>
      <c r="E42" s="87"/>
      <c r="F42" s="87"/>
      <c r="G42" s="87"/>
      <c r="H42" s="85"/>
      <c r="I42" s="85"/>
      <c r="J42" s="85"/>
      <c r="K42" s="85"/>
      <c r="L42" s="85"/>
      <c r="M42" s="77" t="s">
        <v>45</v>
      </c>
      <c r="O42" s="83"/>
      <c r="P42" s="83"/>
      <c r="Q42" s="83"/>
      <c r="R42" s="77">
        <v>1</v>
      </c>
      <c r="S42" s="77">
        <v>1</v>
      </c>
      <c r="T42" s="77">
        <v>2</v>
      </c>
      <c r="U42" s="77">
        <v>2</v>
      </c>
      <c r="V42" s="77">
        <v>3</v>
      </c>
      <c r="W42" s="77">
        <v>3</v>
      </c>
      <c r="X42" s="77">
        <v>5</v>
      </c>
      <c r="Y42" s="77">
        <v>5</v>
      </c>
      <c r="Z42" s="77">
        <v>4</v>
      </c>
      <c r="AA42" s="77">
        <v>4</v>
      </c>
      <c r="BI42" s="96" t="s">
        <v>37</v>
      </c>
      <c r="BJ42" s="80" t="s">
        <v>38</v>
      </c>
      <c r="BK42" s="80" t="s">
        <v>29</v>
      </c>
      <c r="BL42" s="80" t="s">
        <v>30</v>
      </c>
      <c r="BM42" s="80" t="s">
        <v>34</v>
      </c>
      <c r="BN42" s="80" t="s">
        <v>33</v>
      </c>
      <c r="BP42" s="96"/>
      <c r="BQ42" s="80" t="s">
        <v>38</v>
      </c>
      <c r="BR42" s="80" t="s">
        <v>29</v>
      </c>
      <c r="BS42" s="80" t="s">
        <v>30</v>
      </c>
      <c r="BT42" s="80" t="s">
        <v>34</v>
      </c>
      <c r="BU42" s="80" t="s">
        <v>33</v>
      </c>
      <c r="BV42" s="83"/>
      <c r="BW42" s="83"/>
      <c r="BX42" s="84"/>
      <c r="BY42" s="77"/>
      <c r="BZ42" s="77"/>
      <c r="CA42" s="77"/>
    </row>
    <row r="43" spans="1:81" ht="14.4" thickTop="1" thickBot="1" x14ac:dyDescent="0.3">
      <c r="A43" s="100" t="s">
        <v>24</v>
      </c>
      <c r="B43" s="100" t="s">
        <v>40</v>
      </c>
      <c r="C43" s="100"/>
      <c r="D43" s="100" t="s">
        <v>26</v>
      </c>
      <c r="E43" s="100" t="s">
        <v>41</v>
      </c>
      <c r="F43" s="100" t="s">
        <v>49</v>
      </c>
      <c r="G43" s="100" t="s">
        <v>50</v>
      </c>
      <c r="H43" s="100" t="s">
        <v>28</v>
      </c>
      <c r="I43" s="100" t="s">
        <v>124</v>
      </c>
      <c r="J43" s="100" t="s">
        <v>125</v>
      </c>
      <c r="K43" s="100" t="s">
        <v>54</v>
      </c>
      <c r="L43" s="100" t="s">
        <v>55</v>
      </c>
      <c r="M43" s="100" t="s">
        <v>46</v>
      </c>
      <c r="N43" s="100" t="s">
        <v>46</v>
      </c>
      <c r="O43" s="100" t="s">
        <v>25</v>
      </c>
      <c r="P43" s="100" t="s">
        <v>27</v>
      </c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D43" s="77" t="s">
        <v>46</v>
      </c>
      <c r="AE43" s="77" t="s">
        <v>48</v>
      </c>
      <c r="AN43" s="77" t="s">
        <v>46</v>
      </c>
      <c r="AO43" s="77" t="s">
        <v>48</v>
      </c>
      <c r="AX43" s="77" t="s">
        <v>46</v>
      </c>
      <c r="AY43" s="77" t="s">
        <v>48</v>
      </c>
      <c r="BI43" s="84"/>
      <c r="BL43"/>
      <c r="BM43"/>
      <c r="BP43" s="84"/>
      <c r="BQ43" s="77"/>
      <c r="BR43" s="77"/>
      <c r="BV43" s="83"/>
      <c r="BW43" s="83"/>
      <c r="BX43" s="84"/>
      <c r="BY43" s="83"/>
      <c r="BZ43" s="77"/>
      <c r="CA43" s="84"/>
    </row>
    <row r="44" spans="1:81" ht="13.8" thickTop="1" x14ac:dyDescent="0.25">
      <c r="A44" s="101">
        <f>$B2</f>
        <v>36951</v>
      </c>
      <c r="B44" s="102">
        <f>VLOOKUP(A44,STRADDLE,3,FALSE)</f>
        <v>4.3150000000000004</v>
      </c>
      <c r="C44" s="102">
        <f t="shared" ref="C44:C67" si="1">IF(B$20=1,VLOOKUP(A44,curvesettle,HLOOKUP($B$21,curvesettle,2,FALSE),0),0)</f>
        <v>-3.5000000000000003E-2</v>
      </c>
      <c r="D44" s="103">
        <v>0</v>
      </c>
      <c r="E44" s="81" t="e">
        <f>D44+B44+C44+#REF!</f>
        <v>#REF!</v>
      </c>
      <c r="F44" s="104">
        <f>IF($B$25=1,$E44,$B$18)</f>
        <v>3.6</v>
      </c>
      <c r="G44" s="104">
        <f t="shared" ref="G44:G67" si="2">IF($B$25=1,$E44,IF(B$25=2,B$18,C$18))</f>
        <v>3.8</v>
      </c>
      <c r="H44" s="80">
        <f>VLOOKUP(A44,STRADDLE,10,FALSE)</f>
        <v>6</v>
      </c>
      <c r="I44" s="80" t="e">
        <f>IF(#REF!=1,VLOOKUP($A44,SkewTable,HLOOKUP(ROUND(F44-$E44,1),SkewTable,2,FALSE),FALSE)/100,0)</f>
        <v>#REF!</v>
      </c>
      <c r="J44" s="80" t="e">
        <f>IF(#REF!=1,VLOOKUP($A44,SkewTable,HLOOKUP(ROUND(G44-$E44,1),SkewTable,2,FALSE),FALSE)/100,0)</f>
        <v>#REF!</v>
      </c>
      <c r="K44" s="80" t="e">
        <f>($H44+I44+#REF!)*#REF!</f>
        <v>#REF!</v>
      </c>
      <c r="L44" s="80" t="e">
        <f>($H44+J44+#REF!)*#REF!</f>
        <v>#REF!</v>
      </c>
      <c r="M44" s="81">
        <v>50</v>
      </c>
      <c r="N44" s="81"/>
      <c r="O44" s="105" t="e">
        <f>IF(B$20=1,VLOOKUP(A44,expiration,2,FALSE),VLOOKUP(A44,expiration,3,FALSE))-B$22+#REF!</f>
        <v>#REF!</v>
      </c>
      <c r="P44" s="80">
        <f>VLOOKUP($A44,STRADDLE,12,FALSE)</f>
        <v>6.8686384627542008E-2</v>
      </c>
      <c r="Q44" s="106"/>
      <c r="R44" s="107" t="e">
        <f>IF($AD44=0,0,bsd(R$42,R$41,$E44,$F44,$O44,$K44,$P44,0.1))</f>
        <v>#VALUE!</v>
      </c>
      <c r="S44" s="107" t="e">
        <f t="shared" ref="S44:S67" si="3">IF($AD44=0,0,bsd(S$42,S$41,$E44,$G44,$O44,$L44,$P44,0.1))</f>
        <v>#VALUE!</v>
      </c>
      <c r="T44" s="107" t="e">
        <f t="shared" ref="T44:T67" si="4">IF($AD44=0,0,bsd(T$42,T$41,$E44,$F44,$O44,$K44,$P44,0.1))</f>
        <v>#VALUE!</v>
      </c>
      <c r="U44" s="107" t="e">
        <f t="shared" ref="U44:U67" si="5">IF($AD44=0,0,bsd(U$42,U$41,$E44,$G44,$O44,$L44,$P44,0.1))</f>
        <v>#VALUE!</v>
      </c>
      <c r="V44" s="107" t="e">
        <f t="shared" ref="V44:V67" si="6">IF($AD44=0,0,bsd(V$42,V$41,$E44,$F44,$O44,$K44,$P44,0.1))</f>
        <v>#VALUE!</v>
      </c>
      <c r="W44" s="107" t="e">
        <f t="shared" ref="W44:W67" si="7">IF($AD44=0,0,bsd(W$42,W$41,$E44,$G44,$O44,$L44,$P44,0.1))</f>
        <v>#VALUE!</v>
      </c>
      <c r="X44" s="107" t="e">
        <f t="shared" ref="X44:X67" si="8">IF($AD44=0,0,bsd(X$42,X$41,$E44,$F44,$O44,$K44,$P44,0.1))</f>
        <v>#VALUE!</v>
      </c>
      <c r="Y44" s="107" t="e">
        <f t="shared" ref="Y44:Y67" si="9">IF($AD44=0,0,bsd(Y$42,Y$41,$E44,$G44,$O44,$L44,$P44,0.1))</f>
        <v>#VALUE!</v>
      </c>
      <c r="Z44" s="107" t="e">
        <f t="shared" ref="Z44:Z67" si="10">IF($AD44=0,0,bsd(Z$42,Z$41,$E44,$F44,$O44,$K44,$P44,0.1))</f>
        <v>#VALUE!</v>
      </c>
      <c r="AA44" s="107" t="e">
        <f t="shared" ref="AA44:AA67" si="11">IF($AD44=0,0,bsd(AA$42,AA$41,$E44,$G44,$O44,$L44,$P44,0.1))</f>
        <v>#VALUE!</v>
      </c>
      <c r="AC44" s="101">
        <f>$B2</f>
        <v>36951</v>
      </c>
      <c r="AD44" s="82">
        <f>IF(AE44&gt;0,AC45-AC44,0)</f>
        <v>31</v>
      </c>
      <c r="AE44" s="101">
        <f>IF(AC44&lt;=$B$3,AC44,0)</f>
        <v>36951</v>
      </c>
      <c r="AF44" s="102">
        <f>VLOOKUP(AC44,STRADDLE,3,FALSE)</f>
        <v>4.3150000000000004</v>
      </c>
      <c r="AG44" s="102">
        <f>IF($B$20=1,VLOOKUP(AC44,curvesettle,HLOOKUP($B$21,curvesettle,2,FALSE),0),0)</f>
        <v>-3.5000000000000003E-2</v>
      </c>
      <c r="AH44" s="102">
        <f>AD44*AF44</f>
        <v>133.76500000000001</v>
      </c>
      <c r="AI44" s="102">
        <f>AD44*AG44</f>
        <v>-1.0850000000000002</v>
      </c>
      <c r="AJ44" s="80">
        <f>(VLOOKUP(AC44,STRADDLE,10,FALSE)+$B$9)*$B$10</f>
        <v>6</v>
      </c>
      <c r="AK44" s="165">
        <f>AJ44*AD44</f>
        <v>186</v>
      </c>
      <c r="AL44" s="165"/>
      <c r="AM44" s="101">
        <f>$C2</f>
        <v>36951</v>
      </c>
      <c r="AN44" s="82">
        <f>IF(AO44&gt;0,AM45-AM44,0)</f>
        <v>31</v>
      </c>
      <c r="AO44" s="101">
        <f>IF(AM44&lt;=$C$3,AM44,0)</f>
        <v>36951</v>
      </c>
      <c r="AP44" s="102">
        <f>VLOOKUP(AM44,STRADDLE,3,FALSE)</f>
        <v>4.3150000000000004</v>
      </c>
      <c r="AQ44" s="102">
        <f>IF($C$20=1,VLOOKUP(AM44,curvesettle,HLOOKUP($C$21,curvesettle,2,FALSE),0),0)</f>
        <v>-3.5000000000000003E-2</v>
      </c>
      <c r="AR44" s="102">
        <f>AN44*AP44</f>
        <v>133.76500000000001</v>
      </c>
      <c r="AS44" s="102">
        <f>AN44*AQ44</f>
        <v>-1.0850000000000002</v>
      </c>
      <c r="AT44" s="80">
        <f>(VLOOKUP(AM44,STRADDLE,10,FALSE)+$C$9)*$C$10</f>
        <v>6</v>
      </c>
      <c r="AU44" s="165">
        <f>AT44*AN44</f>
        <v>186</v>
      </c>
      <c r="AV44" s="102"/>
      <c r="AW44" s="101">
        <f>$D2</f>
        <v>37073</v>
      </c>
      <c r="AX44" s="82">
        <f>IF(AY44&gt;0,AW45-AW44,0)</f>
        <v>31</v>
      </c>
      <c r="AY44" s="101">
        <f>IF(AW44&lt;=$D$3,AW44,0)</f>
        <v>37073</v>
      </c>
      <c r="AZ44" s="102">
        <f>VLOOKUP(AW44,STRADDLE,3,FALSE)</f>
        <v>3.92</v>
      </c>
      <c r="BA44" s="102">
        <f>IF($D$20=1,VLOOKUP(AW44,curvesettle,HLOOKUP($D$21,curvesettle,2,FALSE),0),0)</f>
        <v>0.02</v>
      </c>
      <c r="BB44" s="102">
        <f>AX44*AZ44</f>
        <v>121.52</v>
      </c>
      <c r="BC44" s="102">
        <f>AX44*BA44</f>
        <v>0.62</v>
      </c>
      <c r="BD44" s="80">
        <f>(VLOOKUP(AW44,STRADDLE,10,FALSE)+$D$9)*$D$10</f>
        <v>10</v>
      </c>
      <c r="BE44" s="165">
        <f>BD44*AX44</f>
        <v>310</v>
      </c>
      <c r="BF44" s="165"/>
      <c r="BG44" s="165"/>
      <c r="BH44" s="77">
        <f t="shared" ref="BH44:BH67" si="12">AD44*B44</f>
        <v>133.76500000000001</v>
      </c>
      <c r="BI44" s="108" t="e">
        <f t="shared" ref="BI44:BI67" si="13">AD44*E44</f>
        <v>#REF!</v>
      </c>
      <c r="BJ44" s="109" t="e">
        <f t="shared" ref="BJ44:BJ67" si="14">$AD44*R44</f>
        <v>#VALUE!</v>
      </c>
      <c r="BK44" s="109" t="e">
        <f t="shared" ref="BK44:BK67" si="15">$AD44*T44</f>
        <v>#VALUE!</v>
      </c>
      <c r="BL44" s="109" t="e">
        <f t="shared" ref="BL44:BL67" si="16">$AD44*V44</f>
        <v>#VALUE!</v>
      </c>
      <c r="BM44" s="109" t="e">
        <f t="shared" ref="BM44:BM67" si="17">$AD44*X44</f>
        <v>#VALUE!</v>
      </c>
      <c r="BN44" s="109" t="e">
        <f t="shared" ref="BN44:BN67" si="18">$AD44*Z44</f>
        <v>#VALUE!</v>
      </c>
      <c r="BP44" s="108"/>
      <c r="BQ44" s="109" t="e">
        <f t="shared" ref="BQ44:BQ67" si="19">$AD44*S44</f>
        <v>#VALUE!</v>
      </c>
      <c r="BR44" s="109" t="e">
        <f t="shared" ref="BR44:BR67" si="20">$AD44*U44</f>
        <v>#VALUE!</v>
      </c>
      <c r="BS44" s="109" t="e">
        <f t="shared" ref="BS44:BS67" si="21">$AD44*W44</f>
        <v>#VALUE!</v>
      </c>
      <c r="BT44" s="109" t="e">
        <f t="shared" ref="BT44:BT67" si="22">$AD44*Y44</f>
        <v>#VALUE!</v>
      </c>
      <c r="BU44" s="109" t="e">
        <f t="shared" ref="BU44:BU67" si="23">$AD44*AA44</f>
        <v>#VALUE!</v>
      </c>
      <c r="BV44" s="128"/>
      <c r="BW44" s="109"/>
      <c r="BX44" s="128"/>
      <c r="BY44" s="99"/>
      <c r="BZ44" s="99"/>
      <c r="CA44" s="99"/>
    </row>
    <row r="45" spans="1:81" x14ac:dyDescent="0.25">
      <c r="A45" s="101">
        <f>DATE(YEAR(A44),MONTH(A44)+1,1)</f>
        <v>36982</v>
      </c>
      <c r="B45" s="102">
        <f t="shared" ref="B45:B67" si="24">VLOOKUP(A45,STRADDLE,3,FALSE)</f>
        <v>4.0549999999999997</v>
      </c>
      <c r="C45" s="102">
        <f t="shared" si="1"/>
        <v>5.0000000000000001E-3</v>
      </c>
      <c r="D45" s="103">
        <v>0</v>
      </c>
      <c r="E45" s="81" t="e">
        <f>D45+B45+C45+#REF!</f>
        <v>#REF!</v>
      </c>
      <c r="F45" s="104">
        <f t="shared" ref="F45:F67" si="25">IF(B$25=1,E45,B$18)</f>
        <v>3.6</v>
      </c>
      <c r="G45" s="104">
        <f t="shared" si="2"/>
        <v>3.8</v>
      </c>
      <c r="H45" s="80">
        <f t="shared" ref="H45:H67" si="26">VLOOKUP(A45,STRADDLE,10,FALSE)</f>
        <v>7</v>
      </c>
      <c r="I45" s="80" t="e">
        <f>IF(#REF!=1,VLOOKUP($A45,SkewTable,HLOOKUP(ROUND(F45-$E45,1),SkewTable,2,FALSE),FALSE)/100,0)</f>
        <v>#REF!</v>
      </c>
      <c r="J45" s="80" t="e">
        <f>IF(#REF!=1,VLOOKUP($A45,SkewTable,HLOOKUP(ROUND(G45-$E45,1),SkewTable,2,FALSE),FALSE)/100,0)</f>
        <v>#REF!</v>
      </c>
      <c r="K45" s="80" t="e">
        <f>($H45+I45+#REF!)*#REF!</f>
        <v>#REF!</v>
      </c>
      <c r="L45" s="80" t="e">
        <f>($H45+J45+#REF!)*#REF!</f>
        <v>#REF!</v>
      </c>
      <c r="M45" s="81"/>
      <c r="N45" s="81"/>
      <c r="O45" s="105" t="e">
        <f>IF(B$20=1,VLOOKUP(A45,expiration,2,FALSE),VLOOKUP(A45,expiration,3,FALSE))-B$22+#REF!</f>
        <v>#REF!</v>
      </c>
      <c r="P45" s="80">
        <f t="shared" ref="P45:P67" si="27">VLOOKUP($A45,STRADDLE,12,FALSE)</f>
        <v>6.8834971958648017E-2</v>
      </c>
      <c r="Q45" s="106"/>
      <c r="R45" s="107" t="e">
        <f t="shared" ref="R45:R67" si="28">IF($AD45=0,0,bsd(R$42,R$41,$E45,$F45,$O45,$K45,$P45,0.1))</f>
        <v>#VALUE!</v>
      </c>
      <c r="S45" s="107" t="e">
        <f t="shared" si="3"/>
        <v>#VALUE!</v>
      </c>
      <c r="T45" s="107" t="e">
        <f t="shared" si="4"/>
        <v>#VALUE!</v>
      </c>
      <c r="U45" s="107" t="e">
        <f t="shared" si="5"/>
        <v>#VALUE!</v>
      </c>
      <c r="V45" s="107" t="e">
        <f t="shared" si="6"/>
        <v>#VALUE!</v>
      </c>
      <c r="W45" s="107" t="e">
        <f t="shared" si="7"/>
        <v>#VALUE!</v>
      </c>
      <c r="X45" s="107" t="e">
        <f t="shared" si="8"/>
        <v>#VALUE!</v>
      </c>
      <c r="Y45" s="107" t="e">
        <f t="shared" si="9"/>
        <v>#VALUE!</v>
      </c>
      <c r="Z45" s="107" t="e">
        <f t="shared" si="10"/>
        <v>#VALUE!</v>
      </c>
      <c r="AA45" s="107" t="e">
        <f t="shared" si="11"/>
        <v>#VALUE!</v>
      </c>
      <c r="AC45" s="101">
        <f>DATE(YEAR(AC44),MONTH(AC44)+1,1)</f>
        <v>36982</v>
      </c>
      <c r="AD45" s="82">
        <f t="shared" ref="AD45:AD67" si="29">IF(AE45&gt;0,AC46-AC45,0)</f>
        <v>30</v>
      </c>
      <c r="AE45" s="101">
        <f t="shared" ref="AE45:AE67" si="30">IF(AC45&lt;=B$3,AC45,0)</f>
        <v>36982</v>
      </c>
      <c r="AF45" s="102">
        <f t="shared" ref="AF45:AF67" si="31">VLOOKUP(AC45,STRADDLE,3,FALSE)</f>
        <v>4.0549999999999997</v>
      </c>
      <c r="AG45" s="102">
        <f t="shared" ref="AG45:AG67" si="32">IF($B$20=1,VLOOKUP(AC45,curvesettle,HLOOKUP($B$21,curvesettle,2,FALSE),0),0)</f>
        <v>5.0000000000000001E-3</v>
      </c>
      <c r="AH45" s="102">
        <f t="shared" ref="AH45:AH67" si="33">AD45*AF45</f>
        <v>121.64999999999999</v>
      </c>
      <c r="AI45" s="102">
        <f t="shared" ref="AI45:AI67" si="34">AD45*AG45</f>
        <v>0.15</v>
      </c>
      <c r="AJ45" s="80">
        <f t="shared" ref="AJ45:AJ67" si="35">(VLOOKUP(AC45,STRADDLE,10,FALSE)+$B$9)*$B$10</f>
        <v>7</v>
      </c>
      <c r="AK45" s="165">
        <f t="shared" ref="AK45:AK67" si="36">AJ45*AD45</f>
        <v>210</v>
      </c>
      <c r="AL45" s="165"/>
      <c r="AM45" s="101">
        <f>DATE(YEAR(AM44),MONTH(AM44)+1,1)</f>
        <v>36982</v>
      </c>
      <c r="AN45" s="82">
        <f t="shared" ref="AN45:AN67" si="37">IF(AO45&gt;0,AM46-AM45,0)</f>
        <v>30</v>
      </c>
      <c r="AO45" s="101">
        <f t="shared" ref="AO45:AO67" si="38">IF(AM45&lt;=$C$3,AM45,0)</f>
        <v>36982</v>
      </c>
      <c r="AP45" s="102">
        <f t="shared" ref="AP45:AP67" si="39">VLOOKUP(AM45,STRADDLE,3,FALSE)</f>
        <v>4.0549999999999997</v>
      </c>
      <c r="AQ45" s="102">
        <f t="shared" ref="AQ45:AQ67" si="40">IF($C$20=1,VLOOKUP(AM45,curvesettle,HLOOKUP($C$21,curvesettle,2,FALSE),0),0)</f>
        <v>5.0000000000000001E-3</v>
      </c>
      <c r="AR45" s="102">
        <f t="shared" ref="AR45:AR67" si="41">AN45*AP45</f>
        <v>121.64999999999999</v>
      </c>
      <c r="AS45" s="102">
        <f t="shared" ref="AS45:AS67" si="42">AN45*AQ45</f>
        <v>0.15</v>
      </c>
      <c r="AT45" s="80">
        <f t="shared" ref="AT45:AT67" si="43">(VLOOKUP(AM45,STRADDLE,10,FALSE)+$C$9)*$C$10</f>
        <v>7</v>
      </c>
      <c r="AU45" s="165">
        <f t="shared" ref="AU45:AU67" si="44">AT45*AN45</f>
        <v>210</v>
      </c>
      <c r="AV45" s="102"/>
      <c r="AW45" s="101">
        <f>DATE(YEAR(AW44),MONTH(AW44)+1,1)</f>
        <v>37104</v>
      </c>
      <c r="AX45" s="82">
        <f t="shared" ref="AX45:AX67" si="45">IF(AY45&gt;0,AW46-AW45,0)</f>
        <v>31</v>
      </c>
      <c r="AY45" s="101">
        <f t="shared" ref="AY45:AY67" si="46">IF(AW45&lt;=$D$3,AW45,0)</f>
        <v>37104</v>
      </c>
      <c r="AZ45" s="102">
        <f t="shared" ref="AZ45:AZ67" si="47">VLOOKUP(AW45,STRADDLE,3,FALSE)</f>
        <v>3.92</v>
      </c>
      <c r="BA45" s="102">
        <f t="shared" ref="BA45:BA67" si="48">IF($D$20=1,VLOOKUP(AW45,curvesettle,HLOOKUP($D$21,curvesettle,2,FALSE),0),0)</f>
        <v>0.02</v>
      </c>
      <c r="BB45" s="102">
        <f t="shared" ref="BB45:BB67" si="49">AX45*AZ45</f>
        <v>121.52</v>
      </c>
      <c r="BC45" s="102">
        <f t="shared" ref="BC45:BC67" si="50">AX45*BA45</f>
        <v>0.62</v>
      </c>
      <c r="BD45" s="80">
        <f t="shared" ref="BD45:BD67" si="51">(VLOOKUP(AW45,STRADDLE,10,FALSE)+$D$9)*$D$10</f>
        <v>11</v>
      </c>
      <c r="BE45" s="165">
        <f t="shared" ref="BE45:BE67" si="52">BD45*AX45</f>
        <v>341</v>
      </c>
      <c r="BF45" s="165"/>
      <c r="BG45" s="165"/>
      <c r="BH45" s="77">
        <f t="shared" si="12"/>
        <v>121.64999999999999</v>
      </c>
      <c r="BI45" s="108" t="e">
        <f t="shared" si="13"/>
        <v>#REF!</v>
      </c>
      <c r="BJ45" s="109" t="e">
        <f t="shared" si="14"/>
        <v>#VALUE!</v>
      </c>
      <c r="BK45" s="109" t="e">
        <f t="shared" si="15"/>
        <v>#VALUE!</v>
      </c>
      <c r="BL45" s="109" t="e">
        <f t="shared" si="16"/>
        <v>#VALUE!</v>
      </c>
      <c r="BM45" s="109" t="e">
        <f t="shared" si="17"/>
        <v>#VALUE!</v>
      </c>
      <c r="BN45" s="109" t="e">
        <f t="shared" si="18"/>
        <v>#VALUE!</v>
      </c>
      <c r="BP45" s="108"/>
      <c r="BQ45" s="109" t="e">
        <f t="shared" si="19"/>
        <v>#VALUE!</v>
      </c>
      <c r="BR45" s="109" t="e">
        <f t="shared" si="20"/>
        <v>#VALUE!</v>
      </c>
      <c r="BS45" s="109" t="e">
        <f t="shared" si="21"/>
        <v>#VALUE!</v>
      </c>
      <c r="BT45" s="109" t="e">
        <f t="shared" si="22"/>
        <v>#VALUE!</v>
      </c>
      <c r="BU45" s="109" t="e">
        <f t="shared" si="23"/>
        <v>#VALUE!</v>
      </c>
      <c r="BV45" s="128"/>
      <c r="BW45" s="109"/>
      <c r="BX45" s="128"/>
      <c r="BY45" s="99"/>
      <c r="BZ45" s="99"/>
      <c r="CA45" s="99"/>
    </row>
    <row r="46" spans="1:81" x14ac:dyDescent="0.25">
      <c r="A46" s="101">
        <f t="shared" ref="A46:A68" si="53">DATE(YEAR(A45),MONTH(A45)+1,1)</f>
        <v>37012</v>
      </c>
      <c r="B46" s="102">
        <f t="shared" si="24"/>
        <v>3.95</v>
      </c>
      <c r="C46" s="102">
        <f t="shared" si="1"/>
        <v>7.4999999999999997E-3</v>
      </c>
      <c r="D46" s="103">
        <v>0</v>
      </c>
      <c r="E46" s="81" t="e">
        <f>D46+B46+C46+#REF!</f>
        <v>#REF!</v>
      </c>
      <c r="F46" s="104">
        <f t="shared" si="25"/>
        <v>3.6</v>
      </c>
      <c r="G46" s="104">
        <f t="shared" si="2"/>
        <v>3.8</v>
      </c>
      <c r="H46" s="80">
        <f t="shared" si="26"/>
        <v>8</v>
      </c>
      <c r="I46" s="80" t="e">
        <f>IF(#REF!=1,VLOOKUP($A46,SkewTable,HLOOKUP(ROUND(F46-$E46,1),SkewTable,2,FALSE),FALSE)/100,0)</f>
        <v>#REF!</v>
      </c>
      <c r="J46" s="80" t="e">
        <f>IF(#REF!=1,VLOOKUP($A46,SkewTable,HLOOKUP(ROUND(G46-$E46,1),SkewTable,2,FALSE),FALSE)/100,0)</f>
        <v>#REF!</v>
      </c>
      <c r="K46" s="80" t="e">
        <f>($H46+I46+#REF!)*#REF!</f>
        <v>#REF!</v>
      </c>
      <c r="L46" s="80" t="e">
        <f>($H46+J46+#REF!)*#REF!</f>
        <v>#REF!</v>
      </c>
      <c r="M46" s="81"/>
      <c r="N46" s="81"/>
      <c r="O46" s="105" t="e">
        <f>IF(B$20=1,VLOOKUP(A46,expiration,2,FALSE),VLOOKUP(A46,expiration,3,FALSE))-B$22+#REF!</f>
        <v>#REF!</v>
      </c>
      <c r="P46" s="80">
        <f t="shared" si="27"/>
        <v>6.8844146311537027E-2</v>
      </c>
      <c r="Q46" s="106"/>
      <c r="R46" s="107" t="e">
        <f t="shared" si="28"/>
        <v>#VALUE!</v>
      </c>
      <c r="S46" s="107" t="e">
        <f t="shared" si="3"/>
        <v>#VALUE!</v>
      </c>
      <c r="T46" s="107" t="e">
        <f t="shared" si="4"/>
        <v>#VALUE!</v>
      </c>
      <c r="U46" s="107" t="e">
        <f t="shared" si="5"/>
        <v>#VALUE!</v>
      </c>
      <c r="V46" s="107" t="e">
        <f t="shared" si="6"/>
        <v>#VALUE!</v>
      </c>
      <c r="W46" s="107" t="e">
        <f t="shared" si="7"/>
        <v>#VALUE!</v>
      </c>
      <c r="X46" s="107" t="e">
        <f t="shared" si="8"/>
        <v>#VALUE!</v>
      </c>
      <c r="Y46" s="107" t="e">
        <f t="shared" si="9"/>
        <v>#VALUE!</v>
      </c>
      <c r="Z46" s="107" t="e">
        <f t="shared" si="10"/>
        <v>#VALUE!</v>
      </c>
      <c r="AA46" s="107" t="e">
        <f t="shared" si="11"/>
        <v>#VALUE!</v>
      </c>
      <c r="AC46" s="101">
        <f t="shared" ref="AC46:AC68" si="54">DATE(YEAR(AC45),MONTH(AC45)+1,1)</f>
        <v>37012</v>
      </c>
      <c r="AD46" s="82">
        <f t="shared" si="29"/>
        <v>31</v>
      </c>
      <c r="AE46" s="101">
        <f t="shared" si="30"/>
        <v>37012</v>
      </c>
      <c r="AF46" s="102">
        <f t="shared" si="31"/>
        <v>3.95</v>
      </c>
      <c r="AG46" s="102">
        <f t="shared" si="32"/>
        <v>7.4999999999999997E-3</v>
      </c>
      <c r="AH46" s="102">
        <f t="shared" si="33"/>
        <v>122.45</v>
      </c>
      <c r="AI46" s="102">
        <f t="shared" si="34"/>
        <v>0.23249999999999998</v>
      </c>
      <c r="AJ46" s="80">
        <f t="shared" si="35"/>
        <v>8</v>
      </c>
      <c r="AK46" s="165">
        <f t="shared" si="36"/>
        <v>248</v>
      </c>
      <c r="AL46" s="165"/>
      <c r="AM46" s="101">
        <f t="shared" ref="AM46:AM68" si="55">DATE(YEAR(AM45),MONTH(AM45)+1,1)</f>
        <v>37012</v>
      </c>
      <c r="AN46" s="82">
        <f t="shared" si="37"/>
        <v>31</v>
      </c>
      <c r="AO46" s="101">
        <f t="shared" si="38"/>
        <v>37012</v>
      </c>
      <c r="AP46" s="102">
        <f t="shared" si="39"/>
        <v>3.95</v>
      </c>
      <c r="AQ46" s="102">
        <f t="shared" si="40"/>
        <v>7.4999999999999997E-3</v>
      </c>
      <c r="AR46" s="102">
        <f t="shared" si="41"/>
        <v>122.45</v>
      </c>
      <c r="AS46" s="102">
        <f t="shared" si="42"/>
        <v>0.23249999999999998</v>
      </c>
      <c r="AT46" s="80">
        <f t="shared" si="43"/>
        <v>8</v>
      </c>
      <c r="AU46" s="165">
        <f t="shared" si="44"/>
        <v>248</v>
      </c>
      <c r="AV46" s="102"/>
      <c r="AW46" s="101">
        <f t="shared" ref="AW46:AW68" si="56">DATE(YEAR(AW45),MONTH(AW45)+1,1)</f>
        <v>37135</v>
      </c>
      <c r="AX46" s="82">
        <f t="shared" si="45"/>
        <v>30</v>
      </c>
      <c r="AY46" s="101">
        <f t="shared" si="46"/>
        <v>37135</v>
      </c>
      <c r="AZ46" s="102">
        <f t="shared" si="47"/>
        <v>3.9</v>
      </c>
      <c r="BA46" s="102">
        <f t="shared" si="48"/>
        <v>1.4999999999999999E-2</v>
      </c>
      <c r="BB46" s="102">
        <f t="shared" si="49"/>
        <v>117</v>
      </c>
      <c r="BC46" s="102">
        <f t="shared" si="50"/>
        <v>0.44999999999999996</v>
      </c>
      <c r="BD46" s="80">
        <f t="shared" si="51"/>
        <v>12</v>
      </c>
      <c r="BE46" s="165">
        <f t="shared" si="52"/>
        <v>360</v>
      </c>
      <c r="BF46" s="165"/>
      <c r="BG46" s="165"/>
      <c r="BH46" s="77">
        <f t="shared" si="12"/>
        <v>122.45</v>
      </c>
      <c r="BI46" s="108" t="e">
        <f t="shared" si="13"/>
        <v>#REF!</v>
      </c>
      <c r="BJ46" s="109" t="e">
        <f t="shared" si="14"/>
        <v>#VALUE!</v>
      </c>
      <c r="BK46" s="109" t="e">
        <f t="shared" si="15"/>
        <v>#VALUE!</v>
      </c>
      <c r="BL46" s="109" t="e">
        <f t="shared" si="16"/>
        <v>#VALUE!</v>
      </c>
      <c r="BM46" s="109" t="e">
        <f t="shared" si="17"/>
        <v>#VALUE!</v>
      </c>
      <c r="BN46" s="109" t="e">
        <f t="shared" si="18"/>
        <v>#VALUE!</v>
      </c>
      <c r="BP46" s="108"/>
      <c r="BQ46" s="109" t="e">
        <f t="shared" si="19"/>
        <v>#VALUE!</v>
      </c>
      <c r="BR46" s="109" t="e">
        <f t="shared" si="20"/>
        <v>#VALUE!</v>
      </c>
      <c r="BS46" s="109" t="e">
        <f t="shared" si="21"/>
        <v>#VALUE!</v>
      </c>
      <c r="BT46" s="109" t="e">
        <f t="shared" si="22"/>
        <v>#VALUE!</v>
      </c>
      <c r="BU46" s="109" t="e">
        <f t="shared" si="23"/>
        <v>#VALUE!</v>
      </c>
      <c r="BV46" s="128"/>
      <c r="BW46" s="109"/>
      <c r="BX46" s="128"/>
      <c r="BY46" s="99"/>
      <c r="BZ46" s="99"/>
      <c r="CA46" s="99"/>
    </row>
    <row r="47" spans="1:81" x14ac:dyDescent="0.25">
      <c r="A47" s="101">
        <f t="shared" si="53"/>
        <v>37043</v>
      </c>
      <c r="B47" s="102">
        <f t="shared" si="24"/>
        <v>3.9350000000000001</v>
      </c>
      <c r="C47" s="102">
        <f t="shared" si="1"/>
        <v>1.4999999999999999E-2</v>
      </c>
      <c r="D47" s="103">
        <v>0</v>
      </c>
      <c r="E47" s="81" t="e">
        <f>D47+B47+C47+#REF!</f>
        <v>#REF!</v>
      </c>
      <c r="F47" s="104">
        <f t="shared" si="25"/>
        <v>3.6</v>
      </c>
      <c r="G47" s="104">
        <f t="shared" si="2"/>
        <v>3.8</v>
      </c>
      <c r="H47" s="80">
        <f t="shared" si="26"/>
        <v>9</v>
      </c>
      <c r="I47" s="80" t="e">
        <f>IF(#REF!=1,VLOOKUP($A47,SkewTable,HLOOKUP(ROUND(F47-$E47,1),SkewTable,2,FALSE),FALSE)/100,0)</f>
        <v>#REF!</v>
      </c>
      <c r="J47" s="80" t="e">
        <f>IF(#REF!=1,VLOOKUP($A47,SkewTable,HLOOKUP(ROUND(G47-$E47,1),SkewTable,2,FALSE),FALSE)/100,0)</f>
        <v>#REF!</v>
      </c>
      <c r="K47" s="80" t="e">
        <f>($H47+I47+#REF!)*#REF!</f>
        <v>#REF!</v>
      </c>
      <c r="L47" s="80" t="e">
        <f>($H47+J47+#REF!)*#REF!</f>
        <v>#REF!</v>
      </c>
      <c r="M47" s="81"/>
      <c r="N47" s="81"/>
      <c r="O47" s="105" t="e">
        <f>IF(B$20=1,VLOOKUP(A47,expiration,2,FALSE),VLOOKUP(A47,expiration,3,FALSE))-B$22+#REF!</f>
        <v>#REF!</v>
      </c>
      <c r="P47" s="80">
        <f t="shared" si="27"/>
        <v>6.8853626476217011E-2</v>
      </c>
      <c r="Q47" s="106"/>
      <c r="R47" s="107" t="e">
        <f t="shared" si="28"/>
        <v>#VALUE!</v>
      </c>
      <c r="S47" s="107" t="e">
        <f t="shared" si="3"/>
        <v>#VALUE!</v>
      </c>
      <c r="T47" s="107" t="e">
        <f t="shared" si="4"/>
        <v>#VALUE!</v>
      </c>
      <c r="U47" s="107" t="e">
        <f t="shared" si="5"/>
        <v>#VALUE!</v>
      </c>
      <c r="V47" s="107" t="e">
        <f t="shared" si="6"/>
        <v>#VALUE!</v>
      </c>
      <c r="W47" s="107" t="e">
        <f t="shared" si="7"/>
        <v>#VALUE!</v>
      </c>
      <c r="X47" s="107" t="e">
        <f t="shared" si="8"/>
        <v>#VALUE!</v>
      </c>
      <c r="Y47" s="107" t="e">
        <f t="shared" si="9"/>
        <v>#VALUE!</v>
      </c>
      <c r="Z47" s="107" t="e">
        <f t="shared" si="10"/>
        <v>#VALUE!</v>
      </c>
      <c r="AA47" s="107" t="e">
        <f t="shared" si="11"/>
        <v>#VALUE!</v>
      </c>
      <c r="AC47" s="101">
        <f t="shared" si="54"/>
        <v>37043</v>
      </c>
      <c r="AD47" s="82">
        <f t="shared" si="29"/>
        <v>30</v>
      </c>
      <c r="AE47" s="101">
        <f t="shared" si="30"/>
        <v>37043</v>
      </c>
      <c r="AF47" s="102">
        <f t="shared" si="31"/>
        <v>3.9350000000000001</v>
      </c>
      <c r="AG47" s="102">
        <f t="shared" si="32"/>
        <v>1.4999999999999999E-2</v>
      </c>
      <c r="AH47" s="102">
        <f t="shared" si="33"/>
        <v>118.05</v>
      </c>
      <c r="AI47" s="102">
        <f t="shared" si="34"/>
        <v>0.44999999999999996</v>
      </c>
      <c r="AJ47" s="80">
        <f t="shared" si="35"/>
        <v>9</v>
      </c>
      <c r="AK47" s="165">
        <f t="shared" si="36"/>
        <v>270</v>
      </c>
      <c r="AL47" s="165"/>
      <c r="AM47" s="101">
        <f t="shared" si="55"/>
        <v>37043</v>
      </c>
      <c r="AN47" s="82">
        <f t="shared" si="37"/>
        <v>30</v>
      </c>
      <c r="AO47" s="101">
        <f t="shared" si="38"/>
        <v>37043</v>
      </c>
      <c r="AP47" s="102">
        <f t="shared" si="39"/>
        <v>3.9350000000000001</v>
      </c>
      <c r="AQ47" s="102">
        <f t="shared" si="40"/>
        <v>1.4999999999999999E-2</v>
      </c>
      <c r="AR47" s="102">
        <f t="shared" si="41"/>
        <v>118.05</v>
      </c>
      <c r="AS47" s="102">
        <f t="shared" si="42"/>
        <v>0.44999999999999996</v>
      </c>
      <c r="AT47" s="80">
        <f t="shared" si="43"/>
        <v>9</v>
      </c>
      <c r="AU47" s="165">
        <f t="shared" si="44"/>
        <v>270</v>
      </c>
      <c r="AV47" s="102"/>
      <c r="AW47" s="101">
        <f t="shared" si="56"/>
        <v>37165</v>
      </c>
      <c r="AX47" s="82">
        <f t="shared" si="45"/>
        <v>31</v>
      </c>
      <c r="AY47" s="101">
        <f t="shared" si="46"/>
        <v>37165</v>
      </c>
      <c r="AZ47" s="102">
        <f t="shared" si="47"/>
        <v>3.8849999999999998</v>
      </c>
      <c r="BA47" s="102">
        <f t="shared" si="48"/>
        <v>5.0000000000000001E-3</v>
      </c>
      <c r="BB47" s="102">
        <f t="shared" si="49"/>
        <v>120.43499999999999</v>
      </c>
      <c r="BC47" s="102">
        <f t="shared" si="50"/>
        <v>0.155</v>
      </c>
      <c r="BD47" s="80">
        <f t="shared" si="51"/>
        <v>13</v>
      </c>
      <c r="BE47" s="165">
        <f t="shared" si="52"/>
        <v>403</v>
      </c>
      <c r="BF47" s="165"/>
      <c r="BG47" s="165"/>
      <c r="BH47" s="77">
        <f t="shared" si="12"/>
        <v>118.05</v>
      </c>
      <c r="BI47" s="108" t="e">
        <f t="shared" si="13"/>
        <v>#REF!</v>
      </c>
      <c r="BJ47" s="109" t="e">
        <f t="shared" si="14"/>
        <v>#VALUE!</v>
      </c>
      <c r="BK47" s="109" t="e">
        <f t="shared" si="15"/>
        <v>#VALUE!</v>
      </c>
      <c r="BL47" s="109" t="e">
        <f t="shared" si="16"/>
        <v>#VALUE!</v>
      </c>
      <c r="BM47" s="109" t="e">
        <f t="shared" si="17"/>
        <v>#VALUE!</v>
      </c>
      <c r="BN47" s="109" t="e">
        <f t="shared" si="18"/>
        <v>#VALUE!</v>
      </c>
      <c r="BP47" s="108"/>
      <c r="BQ47" s="109" t="e">
        <f t="shared" si="19"/>
        <v>#VALUE!</v>
      </c>
      <c r="BR47" s="109" t="e">
        <f t="shared" si="20"/>
        <v>#VALUE!</v>
      </c>
      <c r="BS47" s="109" t="e">
        <f t="shared" si="21"/>
        <v>#VALUE!</v>
      </c>
      <c r="BT47" s="109" t="e">
        <f t="shared" si="22"/>
        <v>#VALUE!</v>
      </c>
      <c r="BU47" s="109" t="e">
        <f t="shared" si="23"/>
        <v>#VALUE!</v>
      </c>
      <c r="BV47" s="128"/>
      <c r="BW47" s="109"/>
      <c r="BX47" s="128"/>
      <c r="BY47" s="99"/>
      <c r="BZ47" s="99"/>
      <c r="CA47" s="99"/>
    </row>
    <row r="48" spans="1:81" x14ac:dyDescent="0.25">
      <c r="A48" s="101">
        <f t="shared" si="53"/>
        <v>37073</v>
      </c>
      <c r="B48" s="102">
        <f t="shared" si="24"/>
        <v>3.92</v>
      </c>
      <c r="C48" s="102">
        <f t="shared" si="1"/>
        <v>0.02</v>
      </c>
      <c r="D48" s="103">
        <v>0</v>
      </c>
      <c r="E48" s="81" t="e">
        <f>D48+B48+C48+#REF!</f>
        <v>#REF!</v>
      </c>
      <c r="F48" s="104">
        <f t="shared" si="25"/>
        <v>3.6</v>
      </c>
      <c r="G48" s="104">
        <f t="shared" si="2"/>
        <v>3.8</v>
      </c>
      <c r="H48" s="80">
        <f t="shared" si="26"/>
        <v>10</v>
      </c>
      <c r="I48" s="80" t="e">
        <f>IF(#REF!=1,VLOOKUP($A48,SkewTable,HLOOKUP(ROUND(F48-$E48,1),SkewTable,2,FALSE),FALSE)/100,0)</f>
        <v>#REF!</v>
      </c>
      <c r="J48" s="80" t="e">
        <f>IF(#REF!=1,VLOOKUP($A48,SkewTable,HLOOKUP(ROUND(G48-$E48,1),SkewTable,2,FALSE),FALSE)/100,0)</f>
        <v>#REF!</v>
      </c>
      <c r="K48" s="80" t="e">
        <f>($H48+I48+#REF!)*#REF!</f>
        <v>#REF!</v>
      </c>
      <c r="L48" s="80" t="e">
        <f>($H48+J48+#REF!)*#REF!</f>
        <v>#REF!</v>
      </c>
      <c r="M48" s="81"/>
      <c r="N48" s="81"/>
      <c r="O48" s="105" t="e">
        <f>IF(B$20=1,VLOOKUP(A48,expiration,2,FALSE),VLOOKUP(A48,expiration,3,FALSE))-B$22+#REF!</f>
        <v>#REF!</v>
      </c>
      <c r="P48" s="80">
        <f t="shared" si="27"/>
        <v>6.8863830234299026E-2</v>
      </c>
      <c r="Q48" s="106"/>
      <c r="R48" s="107" t="e">
        <f t="shared" si="28"/>
        <v>#VALUE!</v>
      </c>
      <c r="S48" s="107" t="e">
        <f t="shared" si="3"/>
        <v>#VALUE!</v>
      </c>
      <c r="T48" s="107" t="e">
        <f t="shared" si="4"/>
        <v>#VALUE!</v>
      </c>
      <c r="U48" s="107" t="e">
        <f t="shared" si="5"/>
        <v>#VALUE!</v>
      </c>
      <c r="V48" s="107" t="e">
        <f t="shared" si="6"/>
        <v>#VALUE!</v>
      </c>
      <c r="W48" s="107" t="e">
        <f t="shared" si="7"/>
        <v>#VALUE!</v>
      </c>
      <c r="X48" s="107" t="e">
        <f t="shared" si="8"/>
        <v>#VALUE!</v>
      </c>
      <c r="Y48" s="107" t="e">
        <f t="shared" si="9"/>
        <v>#VALUE!</v>
      </c>
      <c r="Z48" s="107" t="e">
        <f t="shared" si="10"/>
        <v>#VALUE!</v>
      </c>
      <c r="AA48" s="107" t="e">
        <f t="shared" si="11"/>
        <v>#VALUE!</v>
      </c>
      <c r="AC48" s="101">
        <f t="shared" si="54"/>
        <v>37073</v>
      </c>
      <c r="AD48" s="82">
        <f t="shared" si="29"/>
        <v>31</v>
      </c>
      <c r="AE48" s="101">
        <f t="shared" si="30"/>
        <v>37073</v>
      </c>
      <c r="AF48" s="102">
        <f t="shared" si="31"/>
        <v>3.92</v>
      </c>
      <c r="AG48" s="102">
        <f t="shared" si="32"/>
        <v>0.02</v>
      </c>
      <c r="AH48" s="102">
        <f t="shared" si="33"/>
        <v>121.52</v>
      </c>
      <c r="AI48" s="102">
        <f t="shared" si="34"/>
        <v>0.62</v>
      </c>
      <c r="AJ48" s="80">
        <f t="shared" si="35"/>
        <v>10</v>
      </c>
      <c r="AK48" s="165">
        <f t="shared" si="36"/>
        <v>310</v>
      </c>
      <c r="AL48" s="165"/>
      <c r="AM48" s="101">
        <f t="shared" si="55"/>
        <v>37073</v>
      </c>
      <c r="AN48" s="82">
        <f t="shared" si="37"/>
        <v>31</v>
      </c>
      <c r="AO48" s="101">
        <f t="shared" si="38"/>
        <v>37073</v>
      </c>
      <c r="AP48" s="102">
        <f t="shared" si="39"/>
        <v>3.92</v>
      </c>
      <c r="AQ48" s="102">
        <f t="shared" si="40"/>
        <v>0.02</v>
      </c>
      <c r="AR48" s="102">
        <f t="shared" si="41"/>
        <v>121.52</v>
      </c>
      <c r="AS48" s="102">
        <f t="shared" si="42"/>
        <v>0.62</v>
      </c>
      <c r="AT48" s="80">
        <f t="shared" si="43"/>
        <v>10</v>
      </c>
      <c r="AU48" s="165">
        <f t="shared" si="44"/>
        <v>310</v>
      </c>
      <c r="AV48" s="102"/>
      <c r="AW48" s="101">
        <f t="shared" si="56"/>
        <v>37196</v>
      </c>
      <c r="AX48" s="82">
        <f t="shared" si="45"/>
        <v>30</v>
      </c>
      <c r="AY48" s="101">
        <f t="shared" si="46"/>
        <v>37196</v>
      </c>
      <c r="AZ48" s="102">
        <f t="shared" si="47"/>
        <v>3.99</v>
      </c>
      <c r="BA48" s="102">
        <f t="shared" si="48"/>
        <v>-4.2500000000000003E-2</v>
      </c>
      <c r="BB48" s="102">
        <f t="shared" si="49"/>
        <v>119.7</v>
      </c>
      <c r="BC48" s="102">
        <f t="shared" si="50"/>
        <v>-1.2750000000000001</v>
      </c>
      <c r="BD48" s="80">
        <f t="shared" si="51"/>
        <v>14</v>
      </c>
      <c r="BE48" s="165">
        <f t="shared" si="52"/>
        <v>420</v>
      </c>
      <c r="BF48" s="165"/>
      <c r="BG48" s="165"/>
      <c r="BH48" s="77">
        <f t="shared" si="12"/>
        <v>121.52</v>
      </c>
      <c r="BI48" s="108" t="e">
        <f t="shared" si="13"/>
        <v>#REF!</v>
      </c>
      <c r="BJ48" s="109" t="e">
        <f t="shared" si="14"/>
        <v>#VALUE!</v>
      </c>
      <c r="BK48" s="109" t="e">
        <f t="shared" si="15"/>
        <v>#VALUE!</v>
      </c>
      <c r="BL48" s="109" t="e">
        <f t="shared" si="16"/>
        <v>#VALUE!</v>
      </c>
      <c r="BM48" s="109" t="e">
        <f t="shared" si="17"/>
        <v>#VALUE!</v>
      </c>
      <c r="BN48" s="109" t="e">
        <f t="shared" si="18"/>
        <v>#VALUE!</v>
      </c>
      <c r="BP48" s="108"/>
      <c r="BQ48" s="109" t="e">
        <f t="shared" si="19"/>
        <v>#VALUE!</v>
      </c>
      <c r="BR48" s="109" t="e">
        <f t="shared" si="20"/>
        <v>#VALUE!</v>
      </c>
      <c r="BS48" s="109" t="e">
        <f t="shared" si="21"/>
        <v>#VALUE!</v>
      </c>
      <c r="BT48" s="109" t="e">
        <f t="shared" si="22"/>
        <v>#VALUE!</v>
      </c>
      <c r="BU48" s="109" t="e">
        <f t="shared" si="23"/>
        <v>#VALUE!</v>
      </c>
      <c r="BV48" s="128"/>
      <c r="BW48" s="109"/>
      <c r="BX48" s="128"/>
      <c r="BY48" s="99"/>
      <c r="BZ48" s="99"/>
      <c r="CA48" s="99"/>
    </row>
    <row r="49" spans="1:79" x14ac:dyDescent="0.25">
      <c r="A49" s="101">
        <f t="shared" si="53"/>
        <v>37104</v>
      </c>
      <c r="B49" s="102">
        <f t="shared" si="24"/>
        <v>3.92</v>
      </c>
      <c r="C49" s="102">
        <f t="shared" si="1"/>
        <v>0.02</v>
      </c>
      <c r="D49" s="103">
        <v>0</v>
      </c>
      <c r="E49" s="81" t="e">
        <f>D49+B49+C49+#REF!</f>
        <v>#REF!</v>
      </c>
      <c r="F49" s="104">
        <f t="shared" si="25"/>
        <v>3.6</v>
      </c>
      <c r="G49" s="104">
        <f t="shared" si="2"/>
        <v>3.8</v>
      </c>
      <c r="H49" s="80">
        <f t="shared" si="26"/>
        <v>11</v>
      </c>
      <c r="I49" s="80" t="e">
        <f>IF(#REF!=1,VLOOKUP($A49,SkewTable,HLOOKUP(ROUND(F49-$E49,1),SkewTable,2,FALSE),FALSE)/100,0)</f>
        <v>#REF!</v>
      </c>
      <c r="J49" s="80" t="e">
        <f>IF(#REF!=1,VLOOKUP($A49,SkewTable,HLOOKUP(ROUND(G49-$E49,1),SkewTable,2,FALSE),FALSE)/100,0)</f>
        <v>#REF!</v>
      </c>
      <c r="K49" s="80" t="e">
        <f>($H49+I49+#REF!)*#REF!</f>
        <v>#REF!</v>
      </c>
      <c r="L49" s="80" t="e">
        <f>($H49+J49+#REF!)*#REF!</f>
        <v>#REF!</v>
      </c>
      <c r="M49" s="81"/>
      <c r="N49" s="81"/>
      <c r="O49" s="105" t="e">
        <f>IF(B$20=1,VLOOKUP(A49,expiration,2,FALSE),VLOOKUP(A49,expiration,3,FALSE))-B$22+#REF!</f>
        <v>#REF!</v>
      </c>
      <c r="P49" s="80">
        <f t="shared" si="27"/>
        <v>6.8876303277673023E-2</v>
      </c>
      <c r="Q49" s="106"/>
      <c r="R49" s="107" t="e">
        <f t="shared" si="28"/>
        <v>#VALUE!</v>
      </c>
      <c r="S49" s="107" t="e">
        <f t="shared" si="3"/>
        <v>#VALUE!</v>
      </c>
      <c r="T49" s="107" t="e">
        <f t="shared" si="4"/>
        <v>#VALUE!</v>
      </c>
      <c r="U49" s="107" t="e">
        <f t="shared" si="5"/>
        <v>#VALUE!</v>
      </c>
      <c r="V49" s="107" t="e">
        <f t="shared" si="6"/>
        <v>#VALUE!</v>
      </c>
      <c r="W49" s="107" t="e">
        <f t="shared" si="7"/>
        <v>#VALUE!</v>
      </c>
      <c r="X49" s="107" t="e">
        <f t="shared" si="8"/>
        <v>#VALUE!</v>
      </c>
      <c r="Y49" s="107" t="e">
        <f t="shared" si="9"/>
        <v>#VALUE!</v>
      </c>
      <c r="Z49" s="107" t="e">
        <f t="shared" si="10"/>
        <v>#VALUE!</v>
      </c>
      <c r="AA49" s="107" t="e">
        <f t="shared" si="11"/>
        <v>#VALUE!</v>
      </c>
      <c r="AC49" s="101">
        <f t="shared" si="54"/>
        <v>37104</v>
      </c>
      <c r="AD49" s="82">
        <f t="shared" si="29"/>
        <v>31</v>
      </c>
      <c r="AE49" s="101">
        <f t="shared" si="30"/>
        <v>37104</v>
      </c>
      <c r="AF49" s="102">
        <f t="shared" si="31"/>
        <v>3.92</v>
      </c>
      <c r="AG49" s="102">
        <f t="shared" si="32"/>
        <v>0.02</v>
      </c>
      <c r="AH49" s="102">
        <f t="shared" si="33"/>
        <v>121.52</v>
      </c>
      <c r="AI49" s="102">
        <f t="shared" si="34"/>
        <v>0.62</v>
      </c>
      <c r="AJ49" s="80">
        <f t="shared" si="35"/>
        <v>11</v>
      </c>
      <c r="AK49" s="165">
        <f t="shared" si="36"/>
        <v>341</v>
      </c>
      <c r="AL49" s="165"/>
      <c r="AM49" s="101">
        <f t="shared" si="55"/>
        <v>37104</v>
      </c>
      <c r="AN49" s="82">
        <f t="shared" si="37"/>
        <v>31</v>
      </c>
      <c r="AO49" s="101">
        <f t="shared" si="38"/>
        <v>37104</v>
      </c>
      <c r="AP49" s="102">
        <f t="shared" si="39"/>
        <v>3.92</v>
      </c>
      <c r="AQ49" s="102">
        <f t="shared" si="40"/>
        <v>0.02</v>
      </c>
      <c r="AR49" s="102">
        <f t="shared" si="41"/>
        <v>121.52</v>
      </c>
      <c r="AS49" s="102">
        <f t="shared" si="42"/>
        <v>0.62</v>
      </c>
      <c r="AT49" s="80">
        <f t="shared" si="43"/>
        <v>11</v>
      </c>
      <c r="AU49" s="165">
        <f t="shared" si="44"/>
        <v>341</v>
      </c>
      <c r="AV49" s="102"/>
      <c r="AW49" s="101">
        <f t="shared" si="56"/>
        <v>37226</v>
      </c>
      <c r="AX49" s="82">
        <f t="shared" si="45"/>
        <v>31</v>
      </c>
      <c r="AY49" s="101">
        <f t="shared" si="46"/>
        <v>37226</v>
      </c>
      <c r="AZ49" s="102">
        <f t="shared" si="47"/>
        <v>4.0750000000000002</v>
      </c>
      <c r="BA49" s="102">
        <f t="shared" si="48"/>
        <v>-6.5000000000000002E-2</v>
      </c>
      <c r="BB49" s="102">
        <f t="shared" si="49"/>
        <v>126.325</v>
      </c>
      <c r="BC49" s="102">
        <f t="shared" si="50"/>
        <v>-2.0150000000000001</v>
      </c>
      <c r="BD49" s="80">
        <f t="shared" si="51"/>
        <v>15</v>
      </c>
      <c r="BE49" s="165">
        <f t="shared" si="52"/>
        <v>465</v>
      </c>
      <c r="BF49" s="165"/>
      <c r="BG49" s="165"/>
      <c r="BH49" s="77">
        <f t="shared" si="12"/>
        <v>121.52</v>
      </c>
      <c r="BI49" s="108" t="e">
        <f t="shared" si="13"/>
        <v>#REF!</v>
      </c>
      <c r="BJ49" s="109" t="e">
        <f t="shared" si="14"/>
        <v>#VALUE!</v>
      </c>
      <c r="BK49" s="109" t="e">
        <f t="shared" si="15"/>
        <v>#VALUE!</v>
      </c>
      <c r="BL49" s="109" t="e">
        <f t="shared" si="16"/>
        <v>#VALUE!</v>
      </c>
      <c r="BM49" s="109" t="e">
        <f t="shared" si="17"/>
        <v>#VALUE!</v>
      </c>
      <c r="BN49" s="109" t="e">
        <f t="shared" si="18"/>
        <v>#VALUE!</v>
      </c>
      <c r="BP49" s="108"/>
      <c r="BQ49" s="109" t="e">
        <f t="shared" si="19"/>
        <v>#VALUE!</v>
      </c>
      <c r="BR49" s="109" t="e">
        <f t="shared" si="20"/>
        <v>#VALUE!</v>
      </c>
      <c r="BS49" s="109" t="e">
        <f t="shared" si="21"/>
        <v>#VALUE!</v>
      </c>
      <c r="BT49" s="109" t="e">
        <f t="shared" si="22"/>
        <v>#VALUE!</v>
      </c>
      <c r="BU49" s="109" t="e">
        <f t="shared" si="23"/>
        <v>#VALUE!</v>
      </c>
      <c r="BV49" s="128"/>
      <c r="BW49" s="109"/>
      <c r="BX49" s="128"/>
      <c r="BY49" s="99"/>
      <c r="BZ49" s="99"/>
      <c r="CA49" s="99"/>
    </row>
    <row r="50" spans="1:79" x14ac:dyDescent="0.25">
      <c r="A50" s="101">
        <f t="shared" si="53"/>
        <v>37135</v>
      </c>
      <c r="B50" s="102">
        <f t="shared" si="24"/>
        <v>3.9</v>
      </c>
      <c r="C50" s="102">
        <f t="shared" si="1"/>
        <v>1.4999999999999999E-2</v>
      </c>
      <c r="D50" s="103">
        <v>0</v>
      </c>
      <c r="E50" s="81" t="e">
        <f>D50+B50+C50+#REF!</f>
        <v>#REF!</v>
      </c>
      <c r="F50" s="104">
        <f t="shared" si="25"/>
        <v>3.6</v>
      </c>
      <c r="G50" s="104">
        <f t="shared" si="2"/>
        <v>3.8</v>
      </c>
      <c r="H50" s="80">
        <f t="shared" si="26"/>
        <v>12</v>
      </c>
      <c r="I50" s="80" t="e">
        <f>IF(#REF!=1,VLOOKUP($A50,SkewTable,HLOOKUP(ROUND(F50-$E50,1),SkewTable,2,FALSE),FALSE)/100,0)</f>
        <v>#REF!</v>
      </c>
      <c r="J50" s="80" t="e">
        <f>IF(#REF!=1,VLOOKUP($A50,SkewTable,HLOOKUP(ROUND(G50-$E50,1),SkewTable,2,FALSE),FALSE)/100,0)</f>
        <v>#REF!</v>
      </c>
      <c r="K50" s="80" t="e">
        <f>($H50+I50+#REF!)*#REF!</f>
        <v>#REF!</v>
      </c>
      <c r="L50" s="80" t="e">
        <f>($H50+J50+#REF!)*#REF!</f>
        <v>#REF!</v>
      </c>
      <c r="M50" s="81"/>
      <c r="N50" s="81"/>
      <c r="O50" s="105" t="e">
        <f>IF(B$20=1,VLOOKUP(A50,expiration,2,FALSE),VLOOKUP(A50,expiration,3,FALSE))-B$22+#REF!</f>
        <v>#REF!</v>
      </c>
      <c r="P50" s="80">
        <f t="shared" si="27"/>
        <v>6.8888776321097023E-2</v>
      </c>
      <c r="Q50" s="106"/>
      <c r="R50" s="107" t="e">
        <f t="shared" si="28"/>
        <v>#VALUE!</v>
      </c>
      <c r="S50" s="107" t="e">
        <f t="shared" si="3"/>
        <v>#VALUE!</v>
      </c>
      <c r="T50" s="107" t="e">
        <f t="shared" si="4"/>
        <v>#VALUE!</v>
      </c>
      <c r="U50" s="107" t="e">
        <f t="shared" si="5"/>
        <v>#VALUE!</v>
      </c>
      <c r="V50" s="107" t="e">
        <f t="shared" si="6"/>
        <v>#VALUE!</v>
      </c>
      <c r="W50" s="107" t="e">
        <f t="shared" si="7"/>
        <v>#VALUE!</v>
      </c>
      <c r="X50" s="107" t="e">
        <f t="shared" si="8"/>
        <v>#VALUE!</v>
      </c>
      <c r="Y50" s="107" t="e">
        <f t="shared" si="9"/>
        <v>#VALUE!</v>
      </c>
      <c r="Z50" s="107" t="e">
        <f t="shared" si="10"/>
        <v>#VALUE!</v>
      </c>
      <c r="AA50" s="107" t="e">
        <f t="shared" si="11"/>
        <v>#VALUE!</v>
      </c>
      <c r="AC50" s="101">
        <f t="shared" si="54"/>
        <v>37135</v>
      </c>
      <c r="AD50" s="82">
        <f t="shared" si="29"/>
        <v>30</v>
      </c>
      <c r="AE50" s="101">
        <f t="shared" si="30"/>
        <v>37135</v>
      </c>
      <c r="AF50" s="102">
        <f t="shared" si="31"/>
        <v>3.9</v>
      </c>
      <c r="AG50" s="102">
        <f t="shared" si="32"/>
        <v>1.4999999999999999E-2</v>
      </c>
      <c r="AH50" s="102">
        <f t="shared" si="33"/>
        <v>117</v>
      </c>
      <c r="AI50" s="102">
        <f t="shared" si="34"/>
        <v>0.44999999999999996</v>
      </c>
      <c r="AJ50" s="80">
        <f t="shared" si="35"/>
        <v>12</v>
      </c>
      <c r="AK50" s="165">
        <f t="shared" si="36"/>
        <v>360</v>
      </c>
      <c r="AL50" s="165"/>
      <c r="AM50" s="101">
        <f t="shared" si="55"/>
        <v>37135</v>
      </c>
      <c r="AN50" s="82">
        <f t="shared" si="37"/>
        <v>30</v>
      </c>
      <c r="AO50" s="101">
        <f t="shared" si="38"/>
        <v>37135</v>
      </c>
      <c r="AP50" s="102">
        <f t="shared" si="39"/>
        <v>3.9</v>
      </c>
      <c r="AQ50" s="102">
        <f t="shared" si="40"/>
        <v>1.4999999999999999E-2</v>
      </c>
      <c r="AR50" s="102">
        <f t="shared" si="41"/>
        <v>117</v>
      </c>
      <c r="AS50" s="102">
        <f t="shared" si="42"/>
        <v>0.44999999999999996</v>
      </c>
      <c r="AT50" s="80">
        <f t="shared" si="43"/>
        <v>12</v>
      </c>
      <c r="AU50" s="165">
        <f t="shared" si="44"/>
        <v>360</v>
      </c>
      <c r="AV50" s="102"/>
      <c r="AW50" s="101">
        <f t="shared" si="56"/>
        <v>37257</v>
      </c>
      <c r="AX50" s="82">
        <f t="shared" si="45"/>
        <v>31</v>
      </c>
      <c r="AY50" s="101">
        <f t="shared" si="46"/>
        <v>37257</v>
      </c>
      <c r="AZ50" s="102">
        <f t="shared" si="47"/>
        <v>4.0449999999999999</v>
      </c>
      <c r="BA50" s="102">
        <f t="shared" si="48"/>
        <v>-6.7500000000000004E-2</v>
      </c>
      <c r="BB50" s="102">
        <f t="shared" si="49"/>
        <v>125.395</v>
      </c>
      <c r="BC50" s="102">
        <f t="shared" si="50"/>
        <v>-2.0925000000000002</v>
      </c>
      <c r="BD50" s="80">
        <f t="shared" si="51"/>
        <v>16</v>
      </c>
      <c r="BE50" s="165">
        <f t="shared" si="52"/>
        <v>496</v>
      </c>
      <c r="BF50" s="165"/>
      <c r="BG50" s="165"/>
      <c r="BH50" s="77">
        <f t="shared" si="12"/>
        <v>117</v>
      </c>
      <c r="BI50" s="108" t="e">
        <f t="shared" si="13"/>
        <v>#REF!</v>
      </c>
      <c r="BJ50" s="109" t="e">
        <f t="shared" si="14"/>
        <v>#VALUE!</v>
      </c>
      <c r="BK50" s="109" t="e">
        <f t="shared" si="15"/>
        <v>#VALUE!</v>
      </c>
      <c r="BL50" s="109" t="e">
        <f t="shared" si="16"/>
        <v>#VALUE!</v>
      </c>
      <c r="BM50" s="109" t="e">
        <f t="shared" si="17"/>
        <v>#VALUE!</v>
      </c>
      <c r="BN50" s="109" t="e">
        <f t="shared" si="18"/>
        <v>#VALUE!</v>
      </c>
      <c r="BP50" s="108"/>
      <c r="BQ50" s="109" t="e">
        <f t="shared" si="19"/>
        <v>#VALUE!</v>
      </c>
      <c r="BR50" s="109" t="e">
        <f t="shared" si="20"/>
        <v>#VALUE!</v>
      </c>
      <c r="BS50" s="109" t="e">
        <f t="shared" si="21"/>
        <v>#VALUE!</v>
      </c>
      <c r="BT50" s="109" t="e">
        <f t="shared" si="22"/>
        <v>#VALUE!</v>
      </c>
      <c r="BU50" s="109" t="e">
        <f t="shared" si="23"/>
        <v>#VALUE!</v>
      </c>
      <c r="BV50" s="128"/>
      <c r="BW50" s="109"/>
      <c r="BX50" s="128"/>
      <c r="BY50" s="99"/>
      <c r="BZ50" s="99"/>
      <c r="CA50" s="99"/>
    </row>
    <row r="51" spans="1:79" x14ac:dyDescent="0.25">
      <c r="A51" s="101">
        <f t="shared" si="53"/>
        <v>37165</v>
      </c>
      <c r="B51" s="102">
        <f t="shared" si="24"/>
        <v>3.8849999999999998</v>
      </c>
      <c r="C51" s="102">
        <f t="shared" si="1"/>
        <v>5.0000000000000001E-3</v>
      </c>
      <c r="D51" s="103">
        <v>0</v>
      </c>
      <c r="E51" s="81" t="e">
        <f>D51+B51+C51+#REF!</f>
        <v>#REF!</v>
      </c>
      <c r="F51" s="104">
        <f t="shared" si="25"/>
        <v>3.6</v>
      </c>
      <c r="G51" s="104">
        <f t="shared" si="2"/>
        <v>3.8</v>
      </c>
      <c r="H51" s="80">
        <f t="shared" si="26"/>
        <v>13</v>
      </c>
      <c r="I51" s="80" t="e">
        <f>IF(#REF!=1,VLOOKUP($A51,SkewTable,HLOOKUP(ROUND(F51-$E51,1),SkewTable,2,FALSE),FALSE)/100,0)</f>
        <v>#REF!</v>
      </c>
      <c r="J51" s="80" t="e">
        <f>IF(#REF!=1,VLOOKUP($A51,SkewTable,HLOOKUP(ROUND(G51-$E51,1),SkewTable,2,FALSE),FALSE)/100,0)</f>
        <v>#REF!</v>
      </c>
      <c r="K51" s="80" t="e">
        <f>($H51+I51+#REF!)*#REF!</f>
        <v>#REF!</v>
      </c>
      <c r="L51" s="80" t="e">
        <f>($H51+J51+#REF!)*#REF!</f>
        <v>#REF!</v>
      </c>
      <c r="M51" s="81"/>
      <c r="N51" s="81"/>
      <c r="O51" s="105" t="e">
        <f>IF(B$20=1,VLOOKUP(A51,expiration,2,FALSE),VLOOKUP(A51,expiration,3,FALSE))-B$22+#REF!</f>
        <v>#REF!</v>
      </c>
      <c r="P51" s="80">
        <f t="shared" si="27"/>
        <v>6.890251912361102E-2</v>
      </c>
      <c r="Q51" s="106"/>
      <c r="R51" s="107" t="e">
        <f t="shared" si="28"/>
        <v>#VALUE!</v>
      </c>
      <c r="S51" s="107" t="e">
        <f t="shared" si="3"/>
        <v>#VALUE!</v>
      </c>
      <c r="T51" s="107" t="e">
        <f t="shared" si="4"/>
        <v>#VALUE!</v>
      </c>
      <c r="U51" s="107" t="e">
        <f t="shared" si="5"/>
        <v>#VALUE!</v>
      </c>
      <c r="V51" s="107" t="e">
        <f t="shared" si="6"/>
        <v>#VALUE!</v>
      </c>
      <c r="W51" s="107" t="e">
        <f t="shared" si="7"/>
        <v>#VALUE!</v>
      </c>
      <c r="X51" s="107" t="e">
        <f t="shared" si="8"/>
        <v>#VALUE!</v>
      </c>
      <c r="Y51" s="107" t="e">
        <f t="shared" si="9"/>
        <v>#VALUE!</v>
      </c>
      <c r="Z51" s="107" t="e">
        <f t="shared" si="10"/>
        <v>#VALUE!</v>
      </c>
      <c r="AA51" s="107" t="e">
        <f t="shared" si="11"/>
        <v>#VALUE!</v>
      </c>
      <c r="AC51" s="101">
        <f t="shared" si="54"/>
        <v>37165</v>
      </c>
      <c r="AD51" s="82">
        <f t="shared" si="29"/>
        <v>31</v>
      </c>
      <c r="AE51" s="101">
        <f t="shared" si="30"/>
        <v>37165</v>
      </c>
      <c r="AF51" s="102">
        <f t="shared" si="31"/>
        <v>3.8849999999999998</v>
      </c>
      <c r="AG51" s="102">
        <f t="shared" si="32"/>
        <v>5.0000000000000001E-3</v>
      </c>
      <c r="AH51" s="102">
        <f t="shared" si="33"/>
        <v>120.43499999999999</v>
      </c>
      <c r="AI51" s="102">
        <f t="shared" si="34"/>
        <v>0.155</v>
      </c>
      <c r="AJ51" s="80">
        <f t="shared" si="35"/>
        <v>13</v>
      </c>
      <c r="AK51" s="165">
        <f t="shared" si="36"/>
        <v>403</v>
      </c>
      <c r="AL51" s="165"/>
      <c r="AM51" s="101">
        <f t="shared" si="55"/>
        <v>37165</v>
      </c>
      <c r="AN51" s="82">
        <f t="shared" si="37"/>
        <v>31</v>
      </c>
      <c r="AO51" s="101">
        <f t="shared" si="38"/>
        <v>37165</v>
      </c>
      <c r="AP51" s="102">
        <f t="shared" si="39"/>
        <v>3.8849999999999998</v>
      </c>
      <c r="AQ51" s="102">
        <f t="shared" si="40"/>
        <v>5.0000000000000001E-3</v>
      </c>
      <c r="AR51" s="102">
        <f t="shared" si="41"/>
        <v>120.43499999999999</v>
      </c>
      <c r="AS51" s="102">
        <f t="shared" si="42"/>
        <v>0.155</v>
      </c>
      <c r="AT51" s="80">
        <f t="shared" si="43"/>
        <v>13</v>
      </c>
      <c r="AU51" s="165">
        <f t="shared" si="44"/>
        <v>403</v>
      </c>
      <c r="AV51" s="102"/>
      <c r="AW51" s="101">
        <f t="shared" si="56"/>
        <v>37288</v>
      </c>
      <c r="AX51" s="82">
        <f t="shared" si="45"/>
        <v>28</v>
      </c>
      <c r="AY51" s="101">
        <f t="shared" si="46"/>
        <v>37288</v>
      </c>
      <c r="AZ51" s="102">
        <f t="shared" si="47"/>
        <v>3.8740000000000006</v>
      </c>
      <c r="BA51" s="102">
        <f t="shared" si="48"/>
        <v>-0.05</v>
      </c>
      <c r="BB51" s="102">
        <f t="shared" si="49"/>
        <v>108.47200000000001</v>
      </c>
      <c r="BC51" s="102">
        <f t="shared" si="50"/>
        <v>-1.4000000000000001</v>
      </c>
      <c r="BD51" s="80">
        <f t="shared" si="51"/>
        <v>17</v>
      </c>
      <c r="BE51" s="165">
        <f t="shared" si="52"/>
        <v>476</v>
      </c>
      <c r="BF51" s="165"/>
      <c r="BG51" s="165"/>
      <c r="BH51" s="77">
        <f t="shared" si="12"/>
        <v>120.43499999999999</v>
      </c>
      <c r="BI51" s="108" t="e">
        <f t="shared" si="13"/>
        <v>#REF!</v>
      </c>
      <c r="BJ51" s="109" t="e">
        <f t="shared" si="14"/>
        <v>#VALUE!</v>
      </c>
      <c r="BK51" s="109" t="e">
        <f t="shared" si="15"/>
        <v>#VALUE!</v>
      </c>
      <c r="BL51" s="109" t="e">
        <f t="shared" si="16"/>
        <v>#VALUE!</v>
      </c>
      <c r="BM51" s="109" t="e">
        <f t="shared" si="17"/>
        <v>#VALUE!</v>
      </c>
      <c r="BN51" s="109" t="e">
        <f t="shared" si="18"/>
        <v>#VALUE!</v>
      </c>
      <c r="BP51" s="108"/>
      <c r="BQ51" s="109" t="e">
        <f t="shared" si="19"/>
        <v>#VALUE!</v>
      </c>
      <c r="BR51" s="109" t="e">
        <f t="shared" si="20"/>
        <v>#VALUE!</v>
      </c>
      <c r="BS51" s="109" t="e">
        <f t="shared" si="21"/>
        <v>#VALUE!</v>
      </c>
      <c r="BT51" s="109" t="e">
        <f t="shared" si="22"/>
        <v>#VALUE!</v>
      </c>
      <c r="BU51" s="109" t="e">
        <f t="shared" si="23"/>
        <v>#VALUE!</v>
      </c>
      <c r="BV51" s="128"/>
      <c r="BW51" s="109"/>
      <c r="BX51" s="128"/>
      <c r="BY51" s="99"/>
      <c r="BZ51" s="99"/>
      <c r="CA51" s="99"/>
    </row>
    <row r="52" spans="1:79" x14ac:dyDescent="0.25">
      <c r="A52" s="101">
        <f t="shared" si="53"/>
        <v>37196</v>
      </c>
      <c r="B52" s="102">
        <f t="shared" si="24"/>
        <v>3.99</v>
      </c>
      <c r="C52" s="102">
        <f t="shared" si="1"/>
        <v>-4.2500000000000003E-2</v>
      </c>
      <c r="D52" s="103">
        <v>0</v>
      </c>
      <c r="E52" s="81" t="e">
        <f>D52+B52+C52+#REF!</f>
        <v>#REF!</v>
      </c>
      <c r="F52" s="104">
        <f t="shared" si="25"/>
        <v>3.6</v>
      </c>
      <c r="G52" s="104">
        <f t="shared" si="2"/>
        <v>3.8</v>
      </c>
      <c r="H52" s="80">
        <f t="shared" si="26"/>
        <v>14</v>
      </c>
      <c r="I52" s="80" t="e">
        <f>IF(#REF!=1,VLOOKUP($A52,SkewTable,HLOOKUP(ROUND(F52-$E52,1),SkewTable,2,FALSE),FALSE)/100,0)</f>
        <v>#REF!</v>
      </c>
      <c r="J52" s="80" t="e">
        <f>IF(#REF!=1,VLOOKUP($A52,SkewTable,HLOOKUP(ROUND(G52-$E52,1),SkewTable,2,FALSE),FALSE)/100,0)</f>
        <v>#REF!</v>
      </c>
      <c r="K52" s="80" t="e">
        <f>($H52+I52+#REF!)*#REF!</f>
        <v>#REF!</v>
      </c>
      <c r="L52" s="80" t="e">
        <f>($H52+J52+#REF!)*#REF!</f>
        <v>#REF!</v>
      </c>
      <c r="M52" s="81"/>
      <c r="N52" s="81"/>
      <c r="O52" s="105" t="e">
        <f>IF(B$20=1,VLOOKUP(A52,expiration,2,FALSE),VLOOKUP(A52,expiration,3,FALSE))-B$22+#REF!</f>
        <v>#REF!</v>
      </c>
      <c r="P52" s="80">
        <f t="shared" si="27"/>
        <v>6.8919453955852014E-2</v>
      </c>
      <c r="Q52" s="106"/>
      <c r="R52" s="107" t="e">
        <f t="shared" si="28"/>
        <v>#VALUE!</v>
      </c>
      <c r="S52" s="107" t="e">
        <f t="shared" si="3"/>
        <v>#VALUE!</v>
      </c>
      <c r="T52" s="107" t="e">
        <f t="shared" si="4"/>
        <v>#VALUE!</v>
      </c>
      <c r="U52" s="107" t="e">
        <f t="shared" si="5"/>
        <v>#VALUE!</v>
      </c>
      <c r="V52" s="107" t="e">
        <f t="shared" si="6"/>
        <v>#VALUE!</v>
      </c>
      <c r="W52" s="107" t="e">
        <f t="shared" si="7"/>
        <v>#VALUE!</v>
      </c>
      <c r="X52" s="107" t="e">
        <f t="shared" si="8"/>
        <v>#VALUE!</v>
      </c>
      <c r="Y52" s="107" t="e">
        <f t="shared" si="9"/>
        <v>#VALUE!</v>
      </c>
      <c r="Z52" s="107" t="e">
        <f t="shared" si="10"/>
        <v>#VALUE!</v>
      </c>
      <c r="AA52" s="107" t="e">
        <f t="shared" si="11"/>
        <v>#VALUE!</v>
      </c>
      <c r="AC52" s="101">
        <f t="shared" si="54"/>
        <v>37196</v>
      </c>
      <c r="AD52" s="82">
        <f t="shared" si="29"/>
        <v>30</v>
      </c>
      <c r="AE52" s="101">
        <f t="shared" si="30"/>
        <v>37196</v>
      </c>
      <c r="AF52" s="102">
        <f t="shared" si="31"/>
        <v>3.99</v>
      </c>
      <c r="AG52" s="102">
        <f t="shared" si="32"/>
        <v>-4.2500000000000003E-2</v>
      </c>
      <c r="AH52" s="102">
        <f t="shared" si="33"/>
        <v>119.7</v>
      </c>
      <c r="AI52" s="102">
        <f t="shared" si="34"/>
        <v>-1.2750000000000001</v>
      </c>
      <c r="AJ52" s="80">
        <f t="shared" si="35"/>
        <v>14</v>
      </c>
      <c r="AK52" s="165">
        <f t="shared" si="36"/>
        <v>420</v>
      </c>
      <c r="AL52" s="165"/>
      <c r="AM52" s="101">
        <f t="shared" si="55"/>
        <v>37196</v>
      </c>
      <c r="AN52" s="82">
        <f t="shared" si="37"/>
        <v>30</v>
      </c>
      <c r="AO52" s="101">
        <f t="shared" si="38"/>
        <v>37196</v>
      </c>
      <c r="AP52" s="102">
        <f t="shared" si="39"/>
        <v>3.99</v>
      </c>
      <c r="AQ52" s="102">
        <f t="shared" si="40"/>
        <v>-4.2500000000000003E-2</v>
      </c>
      <c r="AR52" s="102">
        <f t="shared" si="41"/>
        <v>119.7</v>
      </c>
      <c r="AS52" s="102">
        <f t="shared" si="42"/>
        <v>-1.2750000000000001</v>
      </c>
      <c r="AT52" s="80">
        <f t="shared" si="43"/>
        <v>14</v>
      </c>
      <c r="AU52" s="165">
        <f t="shared" si="44"/>
        <v>420</v>
      </c>
      <c r="AV52" s="102"/>
      <c r="AW52" s="101">
        <f t="shared" si="56"/>
        <v>37316</v>
      </c>
      <c r="AX52" s="82">
        <f t="shared" si="45"/>
        <v>31</v>
      </c>
      <c r="AY52" s="101">
        <f t="shared" si="46"/>
        <v>37316</v>
      </c>
      <c r="AZ52" s="102">
        <f t="shared" si="47"/>
        <v>3.7090000000000005</v>
      </c>
      <c r="BA52" s="102">
        <f t="shared" si="48"/>
        <v>-3.7499999999999999E-2</v>
      </c>
      <c r="BB52" s="102">
        <f t="shared" si="49"/>
        <v>114.97900000000001</v>
      </c>
      <c r="BC52" s="102">
        <f t="shared" si="50"/>
        <v>-1.1624999999999999</v>
      </c>
      <c r="BD52" s="80">
        <f t="shared" si="51"/>
        <v>18</v>
      </c>
      <c r="BE52" s="165">
        <f t="shared" si="52"/>
        <v>558</v>
      </c>
      <c r="BF52" s="165"/>
      <c r="BG52" s="165"/>
      <c r="BH52" s="77">
        <f t="shared" si="12"/>
        <v>119.7</v>
      </c>
      <c r="BI52" s="108" t="e">
        <f t="shared" si="13"/>
        <v>#REF!</v>
      </c>
      <c r="BJ52" s="109" t="e">
        <f t="shared" si="14"/>
        <v>#VALUE!</v>
      </c>
      <c r="BK52" s="109" t="e">
        <f t="shared" si="15"/>
        <v>#VALUE!</v>
      </c>
      <c r="BL52" s="109" t="e">
        <f t="shared" si="16"/>
        <v>#VALUE!</v>
      </c>
      <c r="BM52" s="109" t="e">
        <f t="shared" si="17"/>
        <v>#VALUE!</v>
      </c>
      <c r="BN52" s="109" t="e">
        <f t="shared" si="18"/>
        <v>#VALUE!</v>
      </c>
      <c r="BP52" s="108"/>
      <c r="BQ52" s="109" t="e">
        <f t="shared" si="19"/>
        <v>#VALUE!</v>
      </c>
      <c r="BR52" s="109" t="e">
        <f t="shared" si="20"/>
        <v>#VALUE!</v>
      </c>
      <c r="BS52" s="109" t="e">
        <f t="shared" si="21"/>
        <v>#VALUE!</v>
      </c>
      <c r="BT52" s="109" t="e">
        <f t="shared" si="22"/>
        <v>#VALUE!</v>
      </c>
      <c r="BU52" s="109" t="e">
        <f t="shared" si="23"/>
        <v>#VALUE!</v>
      </c>
      <c r="BV52" s="128"/>
      <c r="BW52" s="109"/>
      <c r="BX52" s="128"/>
      <c r="BY52" s="99"/>
      <c r="BZ52" s="99"/>
      <c r="CA52" s="99"/>
    </row>
    <row r="53" spans="1:79" x14ac:dyDescent="0.25">
      <c r="A53" s="101">
        <f t="shared" si="53"/>
        <v>37226</v>
      </c>
      <c r="B53" s="102">
        <f t="shared" si="24"/>
        <v>4.0750000000000002</v>
      </c>
      <c r="C53" s="102">
        <f t="shared" si="1"/>
        <v>-6.5000000000000002E-2</v>
      </c>
      <c r="D53" s="103">
        <v>0</v>
      </c>
      <c r="E53" s="81" t="e">
        <f>D53+B53+C53+#REF!</f>
        <v>#REF!</v>
      </c>
      <c r="F53" s="104">
        <f t="shared" si="25"/>
        <v>3.6</v>
      </c>
      <c r="G53" s="104">
        <f t="shared" si="2"/>
        <v>3.8</v>
      </c>
      <c r="H53" s="80">
        <f t="shared" si="26"/>
        <v>15</v>
      </c>
      <c r="I53" s="80" t="e">
        <f>IF(#REF!=1,VLOOKUP($A53,SkewTable,HLOOKUP(ROUND(F53-$E53,1),SkewTable,2,FALSE),FALSE)/100,0)</f>
        <v>#REF!</v>
      </c>
      <c r="J53" s="80" t="e">
        <f>IF(#REF!=1,VLOOKUP($A53,SkewTable,HLOOKUP(ROUND(G53-$E53,1),SkewTable,2,FALSE),FALSE)/100,0)</f>
        <v>#REF!</v>
      </c>
      <c r="K53" s="80" t="e">
        <f>($H53+I53+#REF!)*#REF!</f>
        <v>#REF!</v>
      </c>
      <c r="L53" s="80" t="e">
        <f>($H53+J53+#REF!)*#REF!</f>
        <v>#REF!</v>
      </c>
      <c r="M53" s="81"/>
      <c r="N53" s="81"/>
      <c r="O53" s="105" t="e">
        <f>IF(B$20=1,VLOOKUP(A53,expiration,2,FALSE),VLOOKUP(A53,expiration,3,FALSE))-B$22+#REF!</f>
        <v>#REF!</v>
      </c>
      <c r="P53" s="80">
        <f t="shared" si="27"/>
        <v>6.8935842503271005E-2</v>
      </c>
      <c r="Q53" s="106"/>
      <c r="R53" s="107" t="e">
        <f t="shared" si="28"/>
        <v>#VALUE!</v>
      </c>
      <c r="S53" s="107" t="e">
        <f t="shared" si="3"/>
        <v>#VALUE!</v>
      </c>
      <c r="T53" s="107" t="e">
        <f t="shared" si="4"/>
        <v>#VALUE!</v>
      </c>
      <c r="U53" s="107" t="e">
        <f t="shared" si="5"/>
        <v>#VALUE!</v>
      </c>
      <c r="V53" s="107" t="e">
        <f t="shared" si="6"/>
        <v>#VALUE!</v>
      </c>
      <c r="W53" s="107" t="e">
        <f t="shared" si="7"/>
        <v>#VALUE!</v>
      </c>
      <c r="X53" s="107" t="e">
        <f t="shared" si="8"/>
        <v>#VALUE!</v>
      </c>
      <c r="Y53" s="107" t="e">
        <f t="shared" si="9"/>
        <v>#VALUE!</v>
      </c>
      <c r="Z53" s="107" t="e">
        <f t="shared" si="10"/>
        <v>#VALUE!</v>
      </c>
      <c r="AA53" s="107" t="e">
        <f t="shared" si="11"/>
        <v>#VALUE!</v>
      </c>
      <c r="AC53" s="101">
        <f t="shared" si="54"/>
        <v>37226</v>
      </c>
      <c r="AD53" s="82">
        <f t="shared" si="29"/>
        <v>31</v>
      </c>
      <c r="AE53" s="101">
        <f t="shared" si="30"/>
        <v>37226</v>
      </c>
      <c r="AF53" s="102">
        <f t="shared" si="31"/>
        <v>4.0750000000000002</v>
      </c>
      <c r="AG53" s="102">
        <f t="shared" si="32"/>
        <v>-6.5000000000000002E-2</v>
      </c>
      <c r="AH53" s="102">
        <f t="shared" si="33"/>
        <v>126.325</v>
      </c>
      <c r="AI53" s="102">
        <f t="shared" si="34"/>
        <v>-2.0150000000000001</v>
      </c>
      <c r="AJ53" s="80">
        <f t="shared" si="35"/>
        <v>15</v>
      </c>
      <c r="AK53" s="165">
        <f t="shared" si="36"/>
        <v>465</v>
      </c>
      <c r="AL53" s="165"/>
      <c r="AM53" s="101">
        <f t="shared" si="55"/>
        <v>37226</v>
      </c>
      <c r="AN53" s="82">
        <f t="shared" si="37"/>
        <v>31</v>
      </c>
      <c r="AO53" s="101">
        <f t="shared" si="38"/>
        <v>37226</v>
      </c>
      <c r="AP53" s="102">
        <f t="shared" si="39"/>
        <v>4.0750000000000002</v>
      </c>
      <c r="AQ53" s="102">
        <f t="shared" si="40"/>
        <v>-6.5000000000000002E-2</v>
      </c>
      <c r="AR53" s="102">
        <f t="shared" si="41"/>
        <v>126.325</v>
      </c>
      <c r="AS53" s="102">
        <f t="shared" si="42"/>
        <v>-2.0150000000000001</v>
      </c>
      <c r="AT53" s="80">
        <f t="shared" si="43"/>
        <v>15</v>
      </c>
      <c r="AU53" s="165">
        <f t="shared" si="44"/>
        <v>465</v>
      </c>
      <c r="AV53" s="102"/>
      <c r="AW53" s="101">
        <f t="shared" si="56"/>
        <v>37347</v>
      </c>
      <c r="AX53" s="82">
        <f t="shared" si="45"/>
        <v>30</v>
      </c>
      <c r="AY53" s="101">
        <f t="shared" si="46"/>
        <v>37347</v>
      </c>
      <c r="AZ53" s="102">
        <f t="shared" si="47"/>
        <v>3.532</v>
      </c>
      <c r="BA53" s="102">
        <f t="shared" si="48"/>
        <v>1.4999999999999999E-2</v>
      </c>
      <c r="BB53" s="102">
        <f t="shared" si="49"/>
        <v>105.96000000000001</v>
      </c>
      <c r="BC53" s="102">
        <f t="shared" si="50"/>
        <v>0.44999999999999996</v>
      </c>
      <c r="BD53" s="80">
        <f t="shared" si="51"/>
        <v>19</v>
      </c>
      <c r="BE53" s="165">
        <f t="shared" si="52"/>
        <v>570</v>
      </c>
      <c r="BF53" s="165"/>
      <c r="BG53" s="165"/>
      <c r="BH53" s="77">
        <f t="shared" si="12"/>
        <v>126.325</v>
      </c>
      <c r="BI53" s="108" t="e">
        <f t="shared" si="13"/>
        <v>#REF!</v>
      </c>
      <c r="BJ53" s="109" t="e">
        <f t="shared" si="14"/>
        <v>#VALUE!</v>
      </c>
      <c r="BK53" s="109" t="e">
        <f t="shared" si="15"/>
        <v>#VALUE!</v>
      </c>
      <c r="BL53" s="109" t="e">
        <f t="shared" si="16"/>
        <v>#VALUE!</v>
      </c>
      <c r="BM53" s="109" t="e">
        <f t="shared" si="17"/>
        <v>#VALUE!</v>
      </c>
      <c r="BN53" s="109" t="e">
        <f t="shared" si="18"/>
        <v>#VALUE!</v>
      </c>
      <c r="BP53" s="108"/>
      <c r="BQ53" s="109" t="e">
        <f t="shared" si="19"/>
        <v>#VALUE!</v>
      </c>
      <c r="BR53" s="109" t="e">
        <f t="shared" si="20"/>
        <v>#VALUE!</v>
      </c>
      <c r="BS53" s="109" t="e">
        <f t="shared" si="21"/>
        <v>#VALUE!</v>
      </c>
      <c r="BT53" s="109" t="e">
        <f t="shared" si="22"/>
        <v>#VALUE!</v>
      </c>
      <c r="BU53" s="109" t="e">
        <f t="shared" si="23"/>
        <v>#VALUE!</v>
      </c>
      <c r="BV53" s="128"/>
      <c r="BW53" s="109"/>
      <c r="BX53" s="128"/>
      <c r="BY53" s="99"/>
      <c r="BZ53" s="99"/>
      <c r="CA53" s="99"/>
    </row>
    <row r="54" spans="1:79" x14ac:dyDescent="0.25">
      <c r="A54" s="101">
        <f t="shared" si="53"/>
        <v>37257</v>
      </c>
      <c r="B54" s="102">
        <f t="shared" si="24"/>
        <v>4.0449999999999999</v>
      </c>
      <c r="C54" s="102">
        <f t="shared" si="1"/>
        <v>-6.7500000000000004E-2</v>
      </c>
      <c r="D54" s="103">
        <v>0</v>
      </c>
      <c r="E54" s="81" t="e">
        <f>D54+B54+C54+#REF!</f>
        <v>#REF!</v>
      </c>
      <c r="F54" s="104">
        <f t="shared" si="25"/>
        <v>3.6</v>
      </c>
      <c r="G54" s="104">
        <f t="shared" si="2"/>
        <v>3.8</v>
      </c>
      <c r="H54" s="80">
        <f t="shared" si="26"/>
        <v>16</v>
      </c>
      <c r="I54" s="80" t="e">
        <f>IF(#REF!=1,VLOOKUP($A54,SkewTable,HLOOKUP(ROUND(F54-$E54,1),SkewTable,2,FALSE),FALSE)/100,0)</f>
        <v>#REF!</v>
      </c>
      <c r="J54" s="80" t="e">
        <f>IF(#REF!=1,VLOOKUP($A54,SkewTable,HLOOKUP(ROUND(G54-$E54,1),SkewTable,2,FALSE),FALSE)/100,0)</f>
        <v>#REF!</v>
      </c>
      <c r="K54" s="80" t="e">
        <f>($H54+I54+#REF!)*#REF!</f>
        <v>#REF!</v>
      </c>
      <c r="L54" s="80" t="e">
        <f>($H54+J54+#REF!)*#REF!</f>
        <v>#REF!</v>
      </c>
      <c r="M54" s="81"/>
      <c r="N54" s="81"/>
      <c r="O54" s="105" t="e">
        <f>IF(B$20=1,VLOOKUP(A54,expiration,2,FALSE),VLOOKUP(A54,expiration,3,FALSE))-B$22+#REF!</f>
        <v>#REF!</v>
      </c>
      <c r="P54" s="80">
        <f t="shared" si="27"/>
        <v>6.896655729440701E-2</v>
      </c>
      <c r="Q54" s="106"/>
      <c r="R54" s="107" t="e">
        <f t="shared" si="28"/>
        <v>#VALUE!</v>
      </c>
      <c r="S54" s="107" t="e">
        <f t="shared" si="3"/>
        <v>#VALUE!</v>
      </c>
      <c r="T54" s="107" t="e">
        <f t="shared" si="4"/>
        <v>#VALUE!</v>
      </c>
      <c r="U54" s="107" t="e">
        <f t="shared" si="5"/>
        <v>#VALUE!</v>
      </c>
      <c r="V54" s="107" t="e">
        <f t="shared" si="6"/>
        <v>#VALUE!</v>
      </c>
      <c r="W54" s="107" t="e">
        <f t="shared" si="7"/>
        <v>#VALUE!</v>
      </c>
      <c r="X54" s="107" t="e">
        <f t="shared" si="8"/>
        <v>#VALUE!</v>
      </c>
      <c r="Y54" s="107" t="e">
        <f t="shared" si="9"/>
        <v>#VALUE!</v>
      </c>
      <c r="Z54" s="107" t="e">
        <f t="shared" si="10"/>
        <v>#VALUE!</v>
      </c>
      <c r="AA54" s="107" t="e">
        <f t="shared" si="11"/>
        <v>#VALUE!</v>
      </c>
      <c r="AC54" s="101">
        <f t="shared" si="54"/>
        <v>37257</v>
      </c>
      <c r="AD54" s="82">
        <f t="shared" si="29"/>
        <v>31</v>
      </c>
      <c r="AE54" s="101">
        <f t="shared" si="30"/>
        <v>37257</v>
      </c>
      <c r="AF54" s="102">
        <f t="shared" si="31"/>
        <v>4.0449999999999999</v>
      </c>
      <c r="AG54" s="102">
        <f t="shared" si="32"/>
        <v>-6.7500000000000004E-2</v>
      </c>
      <c r="AH54" s="102">
        <f t="shared" si="33"/>
        <v>125.395</v>
      </c>
      <c r="AI54" s="102">
        <f t="shared" si="34"/>
        <v>-2.0925000000000002</v>
      </c>
      <c r="AJ54" s="80">
        <f t="shared" si="35"/>
        <v>16</v>
      </c>
      <c r="AK54" s="165">
        <f t="shared" si="36"/>
        <v>496</v>
      </c>
      <c r="AL54" s="165"/>
      <c r="AM54" s="101">
        <f t="shared" si="55"/>
        <v>37257</v>
      </c>
      <c r="AN54" s="82">
        <f t="shared" si="37"/>
        <v>31</v>
      </c>
      <c r="AO54" s="101">
        <f t="shared" si="38"/>
        <v>37257</v>
      </c>
      <c r="AP54" s="102">
        <f t="shared" si="39"/>
        <v>4.0449999999999999</v>
      </c>
      <c r="AQ54" s="102">
        <f t="shared" si="40"/>
        <v>-6.7500000000000004E-2</v>
      </c>
      <c r="AR54" s="102">
        <f t="shared" si="41"/>
        <v>125.395</v>
      </c>
      <c r="AS54" s="102">
        <f t="shared" si="42"/>
        <v>-2.0925000000000002</v>
      </c>
      <c r="AT54" s="80">
        <f t="shared" si="43"/>
        <v>16</v>
      </c>
      <c r="AU54" s="165">
        <f t="shared" si="44"/>
        <v>496</v>
      </c>
      <c r="AV54" s="102"/>
      <c r="AW54" s="101">
        <f t="shared" si="56"/>
        <v>37377</v>
      </c>
      <c r="AX54" s="82">
        <f t="shared" si="45"/>
        <v>31</v>
      </c>
      <c r="AY54" s="101">
        <f t="shared" si="46"/>
        <v>37377</v>
      </c>
      <c r="AZ54" s="102">
        <f t="shared" si="47"/>
        <v>3.4470000000000001</v>
      </c>
      <c r="BA54" s="102">
        <f t="shared" si="48"/>
        <v>1.4999999999999999E-2</v>
      </c>
      <c r="BB54" s="102">
        <f t="shared" si="49"/>
        <v>106.857</v>
      </c>
      <c r="BC54" s="102">
        <f t="shared" si="50"/>
        <v>0.46499999999999997</v>
      </c>
      <c r="BD54" s="80">
        <f t="shared" si="51"/>
        <v>20</v>
      </c>
      <c r="BE54" s="165">
        <f t="shared" si="52"/>
        <v>620</v>
      </c>
      <c r="BF54" s="165"/>
      <c r="BG54" s="165"/>
      <c r="BH54" s="77">
        <f t="shared" si="12"/>
        <v>125.395</v>
      </c>
      <c r="BI54" s="108" t="e">
        <f t="shared" si="13"/>
        <v>#REF!</v>
      </c>
      <c r="BJ54" s="109" t="e">
        <f t="shared" si="14"/>
        <v>#VALUE!</v>
      </c>
      <c r="BK54" s="109" t="e">
        <f t="shared" si="15"/>
        <v>#VALUE!</v>
      </c>
      <c r="BL54" s="109" t="e">
        <f t="shared" si="16"/>
        <v>#VALUE!</v>
      </c>
      <c r="BM54" s="109" t="e">
        <f t="shared" si="17"/>
        <v>#VALUE!</v>
      </c>
      <c r="BN54" s="109" t="e">
        <f t="shared" si="18"/>
        <v>#VALUE!</v>
      </c>
      <c r="BP54" s="108"/>
      <c r="BQ54" s="109" t="e">
        <f t="shared" si="19"/>
        <v>#VALUE!</v>
      </c>
      <c r="BR54" s="109" t="e">
        <f t="shared" si="20"/>
        <v>#VALUE!</v>
      </c>
      <c r="BS54" s="109" t="e">
        <f t="shared" si="21"/>
        <v>#VALUE!</v>
      </c>
      <c r="BT54" s="109" t="e">
        <f t="shared" si="22"/>
        <v>#VALUE!</v>
      </c>
      <c r="BU54" s="109" t="e">
        <f t="shared" si="23"/>
        <v>#VALUE!</v>
      </c>
      <c r="BV54" s="128"/>
      <c r="BW54" s="109"/>
      <c r="BX54" s="128"/>
      <c r="BY54" s="99"/>
      <c r="BZ54" s="99"/>
      <c r="CA54" s="99"/>
    </row>
    <row r="55" spans="1:79" x14ac:dyDescent="0.25">
      <c r="A55" s="101">
        <f t="shared" si="53"/>
        <v>37288</v>
      </c>
      <c r="B55" s="102">
        <f t="shared" si="24"/>
        <v>3.8740000000000006</v>
      </c>
      <c r="C55" s="102">
        <f t="shared" si="1"/>
        <v>-0.05</v>
      </c>
      <c r="D55" s="103">
        <v>0</v>
      </c>
      <c r="E55" s="81" t="e">
        <f>D55+B55+C55+#REF!</f>
        <v>#REF!</v>
      </c>
      <c r="F55" s="104">
        <f t="shared" si="25"/>
        <v>3.6</v>
      </c>
      <c r="G55" s="104">
        <f t="shared" si="2"/>
        <v>3.8</v>
      </c>
      <c r="H55" s="80">
        <f t="shared" si="26"/>
        <v>17</v>
      </c>
      <c r="I55" s="80" t="e">
        <f>IF(#REF!=1,VLOOKUP($A55,SkewTable,HLOOKUP(ROUND(F55-$E55,1),SkewTable,2,FALSE),FALSE)/100,0)</f>
        <v>#REF!</v>
      </c>
      <c r="J55" s="80" t="e">
        <f>IF(#REF!=1,VLOOKUP($A55,SkewTable,HLOOKUP(ROUND(G55-$E55,1),SkewTable,2,FALSE),FALSE)/100,0)</f>
        <v>#REF!</v>
      </c>
      <c r="K55" s="80" t="e">
        <f>($H55+I55+#REF!)*#REF!</f>
        <v>#REF!</v>
      </c>
      <c r="L55" s="80" t="e">
        <f>($H55+J55+#REF!)*#REF!</f>
        <v>#REF!</v>
      </c>
      <c r="M55" s="81"/>
      <c r="N55" s="81"/>
      <c r="O55" s="105" t="e">
        <f>IF(B$20=1,VLOOKUP(A55,expiration,2,FALSE),VLOOKUP(A55,expiration,3,FALSE))-B$22+#REF!</f>
        <v>#REF!</v>
      </c>
      <c r="P55" s="80">
        <f t="shared" si="27"/>
        <v>6.9016352028977018E-2</v>
      </c>
      <c r="Q55" s="106"/>
      <c r="R55" s="107" t="e">
        <f t="shared" si="28"/>
        <v>#VALUE!</v>
      </c>
      <c r="S55" s="107" t="e">
        <f t="shared" si="3"/>
        <v>#VALUE!</v>
      </c>
      <c r="T55" s="107" t="e">
        <f t="shared" si="4"/>
        <v>#VALUE!</v>
      </c>
      <c r="U55" s="107" t="e">
        <f t="shared" si="5"/>
        <v>#VALUE!</v>
      </c>
      <c r="V55" s="107" t="e">
        <f t="shared" si="6"/>
        <v>#VALUE!</v>
      </c>
      <c r="W55" s="107" t="e">
        <f t="shared" si="7"/>
        <v>#VALUE!</v>
      </c>
      <c r="X55" s="107" t="e">
        <f t="shared" si="8"/>
        <v>#VALUE!</v>
      </c>
      <c r="Y55" s="107" t="e">
        <f t="shared" si="9"/>
        <v>#VALUE!</v>
      </c>
      <c r="Z55" s="107" t="e">
        <f t="shared" si="10"/>
        <v>#VALUE!</v>
      </c>
      <c r="AA55" s="107" t="e">
        <f t="shared" si="11"/>
        <v>#VALUE!</v>
      </c>
      <c r="AC55" s="101">
        <f t="shared" si="54"/>
        <v>37288</v>
      </c>
      <c r="AD55" s="82">
        <f t="shared" si="29"/>
        <v>28</v>
      </c>
      <c r="AE55" s="101">
        <f t="shared" si="30"/>
        <v>37288</v>
      </c>
      <c r="AF55" s="102">
        <f t="shared" si="31"/>
        <v>3.8740000000000006</v>
      </c>
      <c r="AG55" s="102">
        <f t="shared" si="32"/>
        <v>-0.05</v>
      </c>
      <c r="AH55" s="102">
        <f t="shared" si="33"/>
        <v>108.47200000000001</v>
      </c>
      <c r="AI55" s="102">
        <f t="shared" si="34"/>
        <v>-1.4000000000000001</v>
      </c>
      <c r="AJ55" s="80">
        <f t="shared" si="35"/>
        <v>17</v>
      </c>
      <c r="AK55" s="165">
        <f t="shared" si="36"/>
        <v>476</v>
      </c>
      <c r="AL55" s="165"/>
      <c r="AM55" s="101">
        <f t="shared" si="55"/>
        <v>37288</v>
      </c>
      <c r="AN55" s="82">
        <f t="shared" si="37"/>
        <v>28</v>
      </c>
      <c r="AO55" s="101">
        <f t="shared" si="38"/>
        <v>37288</v>
      </c>
      <c r="AP55" s="102">
        <f t="shared" si="39"/>
        <v>3.8740000000000006</v>
      </c>
      <c r="AQ55" s="102">
        <f t="shared" si="40"/>
        <v>-0.05</v>
      </c>
      <c r="AR55" s="102">
        <f t="shared" si="41"/>
        <v>108.47200000000001</v>
      </c>
      <c r="AS55" s="102">
        <f t="shared" si="42"/>
        <v>-1.4000000000000001</v>
      </c>
      <c r="AT55" s="80">
        <f t="shared" si="43"/>
        <v>17</v>
      </c>
      <c r="AU55" s="165">
        <f t="shared" si="44"/>
        <v>476</v>
      </c>
      <c r="AV55" s="102"/>
      <c r="AW55" s="101">
        <f t="shared" si="56"/>
        <v>37408</v>
      </c>
      <c r="AX55" s="82">
        <f t="shared" si="45"/>
        <v>30</v>
      </c>
      <c r="AY55" s="101">
        <f t="shared" si="46"/>
        <v>37408</v>
      </c>
      <c r="AZ55" s="102">
        <f t="shared" si="47"/>
        <v>3.427</v>
      </c>
      <c r="BA55" s="102">
        <f t="shared" si="48"/>
        <v>0.02</v>
      </c>
      <c r="BB55" s="102">
        <f t="shared" si="49"/>
        <v>102.81</v>
      </c>
      <c r="BC55" s="102">
        <f t="shared" si="50"/>
        <v>0.6</v>
      </c>
      <c r="BD55" s="80">
        <f t="shared" si="51"/>
        <v>21</v>
      </c>
      <c r="BE55" s="165">
        <f t="shared" si="52"/>
        <v>630</v>
      </c>
      <c r="BF55" s="165"/>
      <c r="BG55" s="165"/>
      <c r="BH55" s="77">
        <f t="shared" si="12"/>
        <v>108.47200000000001</v>
      </c>
      <c r="BI55" s="108" t="e">
        <f t="shared" si="13"/>
        <v>#REF!</v>
      </c>
      <c r="BJ55" s="109" t="e">
        <f t="shared" si="14"/>
        <v>#VALUE!</v>
      </c>
      <c r="BK55" s="109" t="e">
        <f t="shared" si="15"/>
        <v>#VALUE!</v>
      </c>
      <c r="BL55" s="109" t="e">
        <f t="shared" si="16"/>
        <v>#VALUE!</v>
      </c>
      <c r="BM55" s="109" t="e">
        <f t="shared" si="17"/>
        <v>#VALUE!</v>
      </c>
      <c r="BN55" s="109" t="e">
        <f t="shared" si="18"/>
        <v>#VALUE!</v>
      </c>
      <c r="BP55" s="108"/>
      <c r="BQ55" s="109" t="e">
        <f t="shared" si="19"/>
        <v>#VALUE!</v>
      </c>
      <c r="BR55" s="109" t="e">
        <f t="shared" si="20"/>
        <v>#VALUE!</v>
      </c>
      <c r="BS55" s="109" t="e">
        <f t="shared" si="21"/>
        <v>#VALUE!</v>
      </c>
      <c r="BT55" s="109" t="e">
        <f t="shared" si="22"/>
        <v>#VALUE!</v>
      </c>
      <c r="BU55" s="109" t="e">
        <f t="shared" si="23"/>
        <v>#VALUE!</v>
      </c>
      <c r="BV55" s="128"/>
      <c r="BW55" s="109"/>
      <c r="BX55" s="128"/>
      <c r="BY55" s="99"/>
      <c r="BZ55" s="99"/>
      <c r="CA55" s="99"/>
    </row>
    <row r="56" spans="1:79" x14ac:dyDescent="0.25">
      <c r="A56" s="101">
        <f t="shared" si="53"/>
        <v>37316</v>
      </c>
      <c r="B56" s="102">
        <f t="shared" si="24"/>
        <v>3.7090000000000005</v>
      </c>
      <c r="C56" s="102">
        <f t="shared" si="1"/>
        <v>-3.7499999999999999E-2</v>
      </c>
      <c r="D56" s="103">
        <v>0</v>
      </c>
      <c r="E56" s="81" t="e">
        <f>D56+B56+C56+#REF!</f>
        <v>#REF!</v>
      </c>
      <c r="F56" s="104">
        <f t="shared" si="25"/>
        <v>3.6</v>
      </c>
      <c r="G56" s="104">
        <f t="shared" si="2"/>
        <v>3.8</v>
      </c>
      <c r="H56" s="80">
        <f t="shared" si="26"/>
        <v>18</v>
      </c>
      <c r="I56" s="80" t="e">
        <f>IF(#REF!=1,VLOOKUP($A56,SkewTable,HLOOKUP(ROUND(F56-$E56,1),SkewTable,2,FALSE),FALSE)/100,0)</f>
        <v>#REF!</v>
      </c>
      <c r="J56" s="80" t="e">
        <f>IF(#REF!=1,VLOOKUP($A56,SkewTable,HLOOKUP(ROUND(G56-$E56,1),SkewTable,2,FALSE),FALSE)/100,0)</f>
        <v>#REF!</v>
      </c>
      <c r="K56" s="80" t="e">
        <f>($H56+I56+#REF!)*#REF!</f>
        <v>#REF!</v>
      </c>
      <c r="L56" s="80" t="e">
        <f>($H56+J56+#REF!)*#REF!</f>
        <v>#REF!</v>
      </c>
      <c r="M56" s="81"/>
      <c r="N56" s="81"/>
      <c r="O56" s="105" t="e">
        <f>IF(B$20=1,VLOOKUP(A56,expiration,2,FALSE),VLOOKUP(A56,expiration,3,FALSE))-B$22+#REF!</f>
        <v>#REF!</v>
      </c>
      <c r="P56" s="80">
        <f t="shared" si="27"/>
        <v>6.9061327918971016E-2</v>
      </c>
      <c r="Q56" s="106"/>
      <c r="R56" s="107" t="e">
        <f t="shared" si="28"/>
        <v>#VALUE!</v>
      </c>
      <c r="S56" s="107" t="e">
        <f t="shared" si="3"/>
        <v>#VALUE!</v>
      </c>
      <c r="T56" s="107" t="e">
        <f t="shared" si="4"/>
        <v>#VALUE!</v>
      </c>
      <c r="U56" s="107" t="e">
        <f t="shared" si="5"/>
        <v>#VALUE!</v>
      </c>
      <c r="V56" s="107" t="e">
        <f t="shared" si="6"/>
        <v>#VALUE!</v>
      </c>
      <c r="W56" s="107" t="e">
        <f t="shared" si="7"/>
        <v>#VALUE!</v>
      </c>
      <c r="X56" s="107" t="e">
        <f t="shared" si="8"/>
        <v>#VALUE!</v>
      </c>
      <c r="Y56" s="107" t="e">
        <f t="shared" si="9"/>
        <v>#VALUE!</v>
      </c>
      <c r="Z56" s="107" t="e">
        <f t="shared" si="10"/>
        <v>#VALUE!</v>
      </c>
      <c r="AA56" s="107" t="e">
        <f t="shared" si="11"/>
        <v>#VALUE!</v>
      </c>
      <c r="AC56" s="101">
        <f t="shared" si="54"/>
        <v>37316</v>
      </c>
      <c r="AD56" s="82">
        <f t="shared" si="29"/>
        <v>31</v>
      </c>
      <c r="AE56" s="101">
        <f t="shared" si="30"/>
        <v>37316</v>
      </c>
      <c r="AF56" s="102">
        <f t="shared" si="31"/>
        <v>3.7090000000000005</v>
      </c>
      <c r="AG56" s="102">
        <f t="shared" si="32"/>
        <v>-3.7499999999999999E-2</v>
      </c>
      <c r="AH56" s="102">
        <f t="shared" si="33"/>
        <v>114.97900000000001</v>
      </c>
      <c r="AI56" s="102">
        <f t="shared" si="34"/>
        <v>-1.1624999999999999</v>
      </c>
      <c r="AJ56" s="80">
        <f t="shared" si="35"/>
        <v>18</v>
      </c>
      <c r="AK56" s="165">
        <f t="shared" si="36"/>
        <v>558</v>
      </c>
      <c r="AL56" s="165"/>
      <c r="AM56" s="101">
        <f t="shared" si="55"/>
        <v>37316</v>
      </c>
      <c r="AN56" s="82">
        <f t="shared" si="37"/>
        <v>31</v>
      </c>
      <c r="AO56" s="101">
        <f t="shared" si="38"/>
        <v>37316</v>
      </c>
      <c r="AP56" s="102">
        <f t="shared" si="39"/>
        <v>3.7090000000000005</v>
      </c>
      <c r="AQ56" s="102">
        <f t="shared" si="40"/>
        <v>-3.7499999999999999E-2</v>
      </c>
      <c r="AR56" s="102">
        <f t="shared" si="41"/>
        <v>114.97900000000001</v>
      </c>
      <c r="AS56" s="102">
        <f t="shared" si="42"/>
        <v>-1.1624999999999999</v>
      </c>
      <c r="AT56" s="80">
        <f t="shared" si="43"/>
        <v>18</v>
      </c>
      <c r="AU56" s="165">
        <f t="shared" si="44"/>
        <v>558</v>
      </c>
      <c r="AV56" s="102"/>
      <c r="AW56" s="101">
        <f t="shared" si="56"/>
        <v>37438</v>
      </c>
      <c r="AX56" s="82">
        <f t="shared" si="45"/>
        <v>31</v>
      </c>
      <c r="AY56" s="101">
        <f t="shared" si="46"/>
        <v>37438</v>
      </c>
      <c r="AZ56" s="102">
        <f t="shared" si="47"/>
        <v>3.42</v>
      </c>
      <c r="BA56" s="102">
        <f t="shared" si="48"/>
        <v>2.2499999999999999E-2</v>
      </c>
      <c r="BB56" s="102">
        <f t="shared" si="49"/>
        <v>106.02</v>
      </c>
      <c r="BC56" s="102">
        <f t="shared" si="50"/>
        <v>0.69750000000000001</v>
      </c>
      <c r="BD56" s="80">
        <f t="shared" si="51"/>
        <v>22</v>
      </c>
      <c r="BE56" s="165">
        <f t="shared" si="52"/>
        <v>682</v>
      </c>
      <c r="BF56" s="165"/>
      <c r="BG56" s="165"/>
      <c r="BH56" s="77">
        <f t="shared" si="12"/>
        <v>114.97900000000001</v>
      </c>
      <c r="BI56" s="108" t="e">
        <f t="shared" si="13"/>
        <v>#REF!</v>
      </c>
      <c r="BJ56" s="109" t="e">
        <f t="shared" si="14"/>
        <v>#VALUE!</v>
      </c>
      <c r="BK56" s="109" t="e">
        <f t="shared" si="15"/>
        <v>#VALUE!</v>
      </c>
      <c r="BL56" s="109" t="e">
        <f t="shared" si="16"/>
        <v>#VALUE!</v>
      </c>
      <c r="BM56" s="109" t="e">
        <f t="shared" si="17"/>
        <v>#VALUE!</v>
      </c>
      <c r="BN56" s="109" t="e">
        <f t="shared" si="18"/>
        <v>#VALUE!</v>
      </c>
      <c r="BP56" s="108"/>
      <c r="BQ56" s="109" t="e">
        <f t="shared" si="19"/>
        <v>#VALUE!</v>
      </c>
      <c r="BR56" s="109" t="e">
        <f t="shared" si="20"/>
        <v>#VALUE!</v>
      </c>
      <c r="BS56" s="109" t="e">
        <f t="shared" si="21"/>
        <v>#VALUE!</v>
      </c>
      <c r="BT56" s="109" t="e">
        <f t="shared" si="22"/>
        <v>#VALUE!</v>
      </c>
      <c r="BU56" s="109" t="e">
        <f t="shared" si="23"/>
        <v>#VALUE!</v>
      </c>
      <c r="BV56" s="128"/>
      <c r="BW56" s="109"/>
      <c r="BX56" s="128"/>
      <c r="BY56" s="99"/>
      <c r="BZ56" s="99"/>
      <c r="CA56" s="99"/>
    </row>
    <row r="57" spans="1:79" x14ac:dyDescent="0.25">
      <c r="A57" s="101">
        <f t="shared" si="53"/>
        <v>37347</v>
      </c>
      <c r="B57" s="102">
        <f t="shared" si="24"/>
        <v>3.532</v>
      </c>
      <c r="C57" s="102">
        <f t="shared" si="1"/>
        <v>1.4999999999999999E-2</v>
      </c>
      <c r="D57" s="103">
        <v>0</v>
      </c>
      <c r="E57" s="81" t="e">
        <f>D57+B57+C57+#REF!</f>
        <v>#REF!</v>
      </c>
      <c r="F57" s="104">
        <f t="shared" si="25"/>
        <v>3.6</v>
      </c>
      <c r="G57" s="104">
        <f t="shared" si="2"/>
        <v>3.8</v>
      </c>
      <c r="H57" s="80">
        <f t="shared" si="26"/>
        <v>19</v>
      </c>
      <c r="I57" s="80" t="e">
        <f>IF(#REF!=1,VLOOKUP($A57,SkewTable,HLOOKUP(ROUND(F57-$E57,1),SkewTable,2,FALSE),FALSE)/100,0)</f>
        <v>#REF!</v>
      </c>
      <c r="J57" s="80" t="e">
        <f>IF(#REF!=1,VLOOKUP($A57,SkewTable,HLOOKUP(ROUND(G57-$E57,1),SkewTable,2,FALSE),FALSE)/100,0)</f>
        <v>#REF!</v>
      </c>
      <c r="K57" s="80" t="e">
        <f>($H57+I57+#REF!)*#REF!</f>
        <v>#REF!</v>
      </c>
      <c r="L57" s="80" t="e">
        <f>($H57+J57+#REF!)*#REF!</f>
        <v>#REF!</v>
      </c>
      <c r="M57" s="81"/>
      <c r="N57" s="81"/>
      <c r="O57" s="105" t="e">
        <f>IF(B$20=1,VLOOKUP(A57,expiration,2,FALSE),VLOOKUP(A57,expiration,3,FALSE))-B$22+#REF!</f>
        <v>#REF!</v>
      </c>
      <c r="P57" s="80">
        <f t="shared" si="27"/>
        <v>6.9092023437082997E-2</v>
      </c>
      <c r="Q57" s="106"/>
      <c r="R57" s="107" t="e">
        <f t="shared" si="28"/>
        <v>#VALUE!</v>
      </c>
      <c r="S57" s="107" t="e">
        <f t="shared" si="3"/>
        <v>#VALUE!</v>
      </c>
      <c r="T57" s="107" t="e">
        <f t="shared" si="4"/>
        <v>#VALUE!</v>
      </c>
      <c r="U57" s="107" t="e">
        <f t="shared" si="5"/>
        <v>#VALUE!</v>
      </c>
      <c r="V57" s="107" t="e">
        <f t="shared" si="6"/>
        <v>#VALUE!</v>
      </c>
      <c r="W57" s="107" t="e">
        <f t="shared" si="7"/>
        <v>#VALUE!</v>
      </c>
      <c r="X57" s="107" t="e">
        <f t="shared" si="8"/>
        <v>#VALUE!</v>
      </c>
      <c r="Y57" s="107" t="e">
        <f t="shared" si="9"/>
        <v>#VALUE!</v>
      </c>
      <c r="Z57" s="107" t="e">
        <f t="shared" si="10"/>
        <v>#VALUE!</v>
      </c>
      <c r="AA57" s="107" t="e">
        <f t="shared" si="11"/>
        <v>#VALUE!</v>
      </c>
      <c r="AC57" s="101">
        <f t="shared" si="54"/>
        <v>37347</v>
      </c>
      <c r="AD57" s="82">
        <f t="shared" si="29"/>
        <v>30</v>
      </c>
      <c r="AE57" s="101">
        <f t="shared" si="30"/>
        <v>37347</v>
      </c>
      <c r="AF57" s="102">
        <f t="shared" si="31"/>
        <v>3.532</v>
      </c>
      <c r="AG57" s="102">
        <f t="shared" si="32"/>
        <v>1.4999999999999999E-2</v>
      </c>
      <c r="AH57" s="102">
        <f t="shared" si="33"/>
        <v>105.96000000000001</v>
      </c>
      <c r="AI57" s="102">
        <f t="shared" si="34"/>
        <v>0.44999999999999996</v>
      </c>
      <c r="AJ57" s="80">
        <f t="shared" si="35"/>
        <v>19</v>
      </c>
      <c r="AK57" s="165">
        <f t="shared" si="36"/>
        <v>570</v>
      </c>
      <c r="AL57" s="165"/>
      <c r="AM57" s="101">
        <f t="shared" si="55"/>
        <v>37347</v>
      </c>
      <c r="AN57" s="82">
        <f t="shared" si="37"/>
        <v>30</v>
      </c>
      <c r="AO57" s="101">
        <f t="shared" si="38"/>
        <v>37347</v>
      </c>
      <c r="AP57" s="102">
        <f t="shared" si="39"/>
        <v>3.532</v>
      </c>
      <c r="AQ57" s="102">
        <f t="shared" si="40"/>
        <v>1.4999999999999999E-2</v>
      </c>
      <c r="AR57" s="102">
        <f t="shared" si="41"/>
        <v>105.96000000000001</v>
      </c>
      <c r="AS57" s="102">
        <f t="shared" si="42"/>
        <v>0.44999999999999996</v>
      </c>
      <c r="AT57" s="80">
        <f t="shared" si="43"/>
        <v>19</v>
      </c>
      <c r="AU57" s="165">
        <f t="shared" si="44"/>
        <v>570</v>
      </c>
      <c r="AV57" s="102"/>
      <c r="AW57" s="101">
        <f t="shared" si="56"/>
        <v>37469</v>
      </c>
      <c r="AX57" s="82">
        <f t="shared" si="45"/>
        <v>31</v>
      </c>
      <c r="AY57" s="101">
        <f t="shared" si="46"/>
        <v>37469</v>
      </c>
      <c r="AZ57" s="102">
        <f t="shared" si="47"/>
        <v>3.4249999999999998</v>
      </c>
      <c r="BA57" s="102">
        <f t="shared" si="48"/>
        <v>2.5000000000000001E-2</v>
      </c>
      <c r="BB57" s="102">
        <f t="shared" si="49"/>
        <v>106.175</v>
      </c>
      <c r="BC57" s="102">
        <f t="shared" si="50"/>
        <v>0.77500000000000002</v>
      </c>
      <c r="BD57" s="80">
        <f t="shared" si="51"/>
        <v>23</v>
      </c>
      <c r="BE57" s="165">
        <f t="shared" si="52"/>
        <v>713</v>
      </c>
      <c r="BF57" s="165"/>
      <c r="BG57" s="165"/>
      <c r="BH57" s="77">
        <f t="shared" si="12"/>
        <v>105.96000000000001</v>
      </c>
      <c r="BI57" s="108" t="e">
        <f t="shared" si="13"/>
        <v>#REF!</v>
      </c>
      <c r="BJ57" s="109" t="e">
        <f t="shared" si="14"/>
        <v>#VALUE!</v>
      </c>
      <c r="BK57" s="109" t="e">
        <f t="shared" si="15"/>
        <v>#VALUE!</v>
      </c>
      <c r="BL57" s="109" t="e">
        <f t="shared" si="16"/>
        <v>#VALUE!</v>
      </c>
      <c r="BM57" s="109" t="e">
        <f t="shared" si="17"/>
        <v>#VALUE!</v>
      </c>
      <c r="BN57" s="109" t="e">
        <f t="shared" si="18"/>
        <v>#VALUE!</v>
      </c>
      <c r="BP57" s="108"/>
      <c r="BQ57" s="109" t="e">
        <f t="shared" si="19"/>
        <v>#VALUE!</v>
      </c>
      <c r="BR57" s="109" t="e">
        <f t="shared" si="20"/>
        <v>#VALUE!</v>
      </c>
      <c r="BS57" s="109" t="e">
        <f t="shared" si="21"/>
        <v>#VALUE!</v>
      </c>
      <c r="BT57" s="109" t="e">
        <f t="shared" si="22"/>
        <v>#VALUE!</v>
      </c>
      <c r="BU57" s="109" t="e">
        <f t="shared" si="23"/>
        <v>#VALUE!</v>
      </c>
      <c r="BV57" s="128"/>
      <c r="BW57" s="109"/>
      <c r="BX57" s="128"/>
      <c r="BY57" s="99"/>
      <c r="BZ57" s="99"/>
      <c r="CA57" s="99"/>
    </row>
    <row r="58" spans="1:79" x14ac:dyDescent="0.25">
      <c r="A58" s="101">
        <f t="shared" si="53"/>
        <v>37377</v>
      </c>
      <c r="B58" s="102">
        <f t="shared" si="24"/>
        <v>3.4470000000000001</v>
      </c>
      <c r="C58" s="102">
        <f t="shared" si="1"/>
        <v>1.4999999999999999E-2</v>
      </c>
      <c r="D58" s="103">
        <v>0</v>
      </c>
      <c r="E58" s="81" t="e">
        <f>D58+B58+C58+#REF!</f>
        <v>#REF!</v>
      </c>
      <c r="F58" s="104">
        <f t="shared" si="25"/>
        <v>3.6</v>
      </c>
      <c r="G58" s="104">
        <f t="shared" si="2"/>
        <v>3.8</v>
      </c>
      <c r="H58" s="80">
        <f t="shared" si="26"/>
        <v>20</v>
      </c>
      <c r="I58" s="80" t="e">
        <f>IF(#REF!=1,VLOOKUP($A58,SkewTable,HLOOKUP(ROUND(F58-$E58,1),SkewTable,2,FALSE),FALSE)/100,0)</f>
        <v>#REF!</v>
      </c>
      <c r="J58" s="80" t="e">
        <f>IF(#REF!=1,VLOOKUP($A58,SkewTable,HLOOKUP(ROUND(G58-$E58,1),SkewTable,2,FALSE),FALSE)/100,0)</f>
        <v>#REF!</v>
      </c>
      <c r="K58" s="80" t="e">
        <f>($H58+I58+#REF!)*#REF!</f>
        <v>#REF!</v>
      </c>
      <c r="L58" s="80" t="e">
        <f>($H58+J58+#REF!)*#REF!</f>
        <v>#REF!</v>
      </c>
      <c r="M58" s="81"/>
      <c r="N58" s="81"/>
      <c r="O58" s="105" t="e">
        <f>IF(B$20=1,VLOOKUP(A58,expiration,2,FALSE),VLOOKUP(A58,expiration,3,FALSE))-B$22+#REF!</f>
        <v>#REF!</v>
      </c>
      <c r="P58" s="80">
        <f t="shared" si="27"/>
        <v>6.909369805104501E-2</v>
      </c>
      <c r="Q58" s="106"/>
      <c r="R58" s="107">
        <f t="shared" si="28"/>
        <v>0</v>
      </c>
      <c r="S58" s="107">
        <f t="shared" si="3"/>
        <v>0</v>
      </c>
      <c r="T58" s="107">
        <f t="shared" si="4"/>
        <v>0</v>
      </c>
      <c r="U58" s="107">
        <f t="shared" si="5"/>
        <v>0</v>
      </c>
      <c r="V58" s="107">
        <f t="shared" si="6"/>
        <v>0</v>
      </c>
      <c r="W58" s="107">
        <f t="shared" si="7"/>
        <v>0</v>
      </c>
      <c r="X58" s="107">
        <f t="shared" si="8"/>
        <v>0</v>
      </c>
      <c r="Y58" s="107">
        <f t="shared" si="9"/>
        <v>0</v>
      </c>
      <c r="Z58" s="107">
        <f t="shared" si="10"/>
        <v>0</v>
      </c>
      <c r="AA58" s="107">
        <f t="shared" si="11"/>
        <v>0</v>
      </c>
      <c r="AC58" s="101">
        <f t="shared" si="54"/>
        <v>37377</v>
      </c>
      <c r="AD58" s="82">
        <f t="shared" si="29"/>
        <v>0</v>
      </c>
      <c r="AE58" s="101">
        <f t="shared" si="30"/>
        <v>0</v>
      </c>
      <c r="AF58" s="102">
        <f t="shared" si="31"/>
        <v>3.4470000000000001</v>
      </c>
      <c r="AG58" s="102">
        <f t="shared" si="32"/>
        <v>1.4999999999999999E-2</v>
      </c>
      <c r="AH58" s="102">
        <f t="shared" si="33"/>
        <v>0</v>
      </c>
      <c r="AI58" s="102">
        <f t="shared" si="34"/>
        <v>0</v>
      </c>
      <c r="AJ58" s="80">
        <f t="shared" si="35"/>
        <v>20</v>
      </c>
      <c r="AK58" s="165">
        <f t="shared" si="36"/>
        <v>0</v>
      </c>
      <c r="AL58" s="165"/>
      <c r="AM58" s="101">
        <f t="shared" si="55"/>
        <v>37377</v>
      </c>
      <c r="AN58" s="82">
        <f t="shared" si="37"/>
        <v>31</v>
      </c>
      <c r="AO58" s="101">
        <f t="shared" si="38"/>
        <v>37377</v>
      </c>
      <c r="AP58" s="102">
        <f t="shared" si="39"/>
        <v>3.4470000000000001</v>
      </c>
      <c r="AQ58" s="102">
        <f t="shared" si="40"/>
        <v>1.4999999999999999E-2</v>
      </c>
      <c r="AR58" s="102">
        <f t="shared" si="41"/>
        <v>106.857</v>
      </c>
      <c r="AS58" s="102">
        <f t="shared" si="42"/>
        <v>0.46499999999999997</v>
      </c>
      <c r="AT58" s="80">
        <f t="shared" si="43"/>
        <v>20</v>
      </c>
      <c r="AU58" s="165">
        <f t="shared" si="44"/>
        <v>620</v>
      </c>
      <c r="AV58" s="102"/>
      <c r="AW58" s="101">
        <f t="shared" si="56"/>
        <v>37500</v>
      </c>
      <c r="AX58" s="82">
        <f t="shared" si="45"/>
        <v>30</v>
      </c>
      <c r="AY58" s="101">
        <f t="shared" si="46"/>
        <v>37500</v>
      </c>
      <c r="AZ58" s="102">
        <f t="shared" si="47"/>
        <v>3.42</v>
      </c>
      <c r="BA58" s="102">
        <f t="shared" si="48"/>
        <v>1.7500000000000002E-2</v>
      </c>
      <c r="BB58" s="102">
        <f t="shared" si="49"/>
        <v>102.6</v>
      </c>
      <c r="BC58" s="102">
        <f t="shared" si="50"/>
        <v>0.52500000000000002</v>
      </c>
      <c r="BD58" s="80">
        <f t="shared" si="51"/>
        <v>24</v>
      </c>
      <c r="BE58" s="165">
        <f t="shared" si="52"/>
        <v>720</v>
      </c>
      <c r="BF58" s="165"/>
      <c r="BG58" s="165"/>
      <c r="BH58" s="77">
        <f t="shared" si="12"/>
        <v>0</v>
      </c>
      <c r="BI58" s="108" t="e">
        <f t="shared" si="13"/>
        <v>#REF!</v>
      </c>
      <c r="BJ58" s="109">
        <f t="shared" si="14"/>
        <v>0</v>
      </c>
      <c r="BK58" s="109">
        <f t="shared" si="15"/>
        <v>0</v>
      </c>
      <c r="BL58" s="109">
        <f t="shared" si="16"/>
        <v>0</v>
      </c>
      <c r="BM58" s="109">
        <f t="shared" si="17"/>
        <v>0</v>
      </c>
      <c r="BN58" s="109">
        <f t="shared" si="18"/>
        <v>0</v>
      </c>
      <c r="BP58" s="108"/>
      <c r="BQ58" s="109">
        <f t="shared" si="19"/>
        <v>0</v>
      </c>
      <c r="BR58" s="109">
        <f t="shared" si="20"/>
        <v>0</v>
      </c>
      <c r="BS58" s="109">
        <f t="shared" si="21"/>
        <v>0</v>
      </c>
      <c r="BT58" s="109">
        <f t="shared" si="22"/>
        <v>0</v>
      </c>
      <c r="BU58" s="109">
        <f t="shared" si="23"/>
        <v>0</v>
      </c>
      <c r="BV58" s="128"/>
      <c r="BW58" s="109"/>
      <c r="BX58" s="128"/>
      <c r="BY58" s="99"/>
      <c r="BZ58" s="99"/>
      <c r="CA58" s="99"/>
    </row>
    <row r="59" spans="1:79" x14ac:dyDescent="0.25">
      <c r="A59" s="101">
        <f t="shared" si="53"/>
        <v>37408</v>
      </c>
      <c r="B59" s="102">
        <f t="shared" si="24"/>
        <v>3.427</v>
      </c>
      <c r="C59" s="102">
        <f t="shared" si="1"/>
        <v>0.02</v>
      </c>
      <c r="D59" s="103">
        <v>0</v>
      </c>
      <c r="E59" s="81" t="e">
        <f>D59+B59+C59+#REF!</f>
        <v>#REF!</v>
      </c>
      <c r="F59" s="104">
        <f t="shared" si="25"/>
        <v>3.6</v>
      </c>
      <c r="G59" s="104">
        <f t="shared" si="2"/>
        <v>3.8</v>
      </c>
      <c r="H59" s="80">
        <f t="shared" si="26"/>
        <v>21</v>
      </c>
      <c r="I59" s="80" t="e">
        <f>IF(#REF!=1,VLOOKUP($A59,SkewTable,HLOOKUP(ROUND(F59-$E59,1),SkewTable,2,FALSE),FALSE)/100,0)</f>
        <v>#REF!</v>
      </c>
      <c r="J59" s="80" t="e">
        <f>IF(#REF!=1,VLOOKUP($A59,SkewTable,HLOOKUP(ROUND(G59-$E59,1),SkewTable,2,FALSE),FALSE)/100,0)</f>
        <v>#REF!</v>
      </c>
      <c r="K59" s="80" t="e">
        <f>($H59+I59+#REF!)*#REF!</f>
        <v>#REF!</v>
      </c>
      <c r="L59" s="80" t="e">
        <f>($H59+J59+#REF!)*#REF!</f>
        <v>#REF!</v>
      </c>
      <c r="M59" s="81"/>
      <c r="N59" s="81"/>
      <c r="O59" s="105" t="e">
        <f>IF(B$20=1,VLOOKUP(A59,expiration,2,FALSE),VLOOKUP(A59,expiration,3,FALSE))-B$22+#REF!</f>
        <v>#REF!</v>
      </c>
      <c r="P59" s="80">
        <f t="shared" si="27"/>
        <v>6.9095428485473995E-2</v>
      </c>
      <c r="Q59" s="106"/>
      <c r="R59" s="107">
        <f t="shared" si="28"/>
        <v>0</v>
      </c>
      <c r="S59" s="107">
        <f t="shared" si="3"/>
        <v>0</v>
      </c>
      <c r="T59" s="107">
        <f t="shared" si="4"/>
        <v>0</v>
      </c>
      <c r="U59" s="107">
        <f t="shared" si="5"/>
        <v>0</v>
      </c>
      <c r="V59" s="107">
        <f t="shared" si="6"/>
        <v>0</v>
      </c>
      <c r="W59" s="107">
        <f t="shared" si="7"/>
        <v>0</v>
      </c>
      <c r="X59" s="107">
        <f t="shared" si="8"/>
        <v>0</v>
      </c>
      <c r="Y59" s="107">
        <f t="shared" si="9"/>
        <v>0</v>
      </c>
      <c r="Z59" s="107">
        <f t="shared" si="10"/>
        <v>0</v>
      </c>
      <c r="AA59" s="107">
        <f t="shared" si="11"/>
        <v>0</v>
      </c>
      <c r="AC59" s="101">
        <f t="shared" si="54"/>
        <v>37408</v>
      </c>
      <c r="AD59" s="82">
        <f t="shared" si="29"/>
        <v>0</v>
      </c>
      <c r="AE59" s="101">
        <f t="shared" si="30"/>
        <v>0</v>
      </c>
      <c r="AF59" s="102">
        <f t="shared" si="31"/>
        <v>3.427</v>
      </c>
      <c r="AG59" s="102">
        <f t="shared" si="32"/>
        <v>0.02</v>
      </c>
      <c r="AH59" s="102">
        <f t="shared" si="33"/>
        <v>0</v>
      </c>
      <c r="AI59" s="102">
        <f t="shared" si="34"/>
        <v>0</v>
      </c>
      <c r="AJ59" s="80">
        <f t="shared" si="35"/>
        <v>21</v>
      </c>
      <c r="AK59" s="165">
        <f t="shared" si="36"/>
        <v>0</v>
      </c>
      <c r="AL59" s="165"/>
      <c r="AM59" s="101">
        <f t="shared" si="55"/>
        <v>37408</v>
      </c>
      <c r="AN59" s="82">
        <f t="shared" si="37"/>
        <v>30</v>
      </c>
      <c r="AO59" s="101">
        <f t="shared" si="38"/>
        <v>37408</v>
      </c>
      <c r="AP59" s="102">
        <f t="shared" si="39"/>
        <v>3.427</v>
      </c>
      <c r="AQ59" s="102">
        <f t="shared" si="40"/>
        <v>0.02</v>
      </c>
      <c r="AR59" s="102">
        <f t="shared" si="41"/>
        <v>102.81</v>
      </c>
      <c r="AS59" s="102">
        <f t="shared" si="42"/>
        <v>0.6</v>
      </c>
      <c r="AT59" s="80">
        <f t="shared" si="43"/>
        <v>21</v>
      </c>
      <c r="AU59" s="165">
        <f t="shared" si="44"/>
        <v>630</v>
      </c>
      <c r="AV59" s="102"/>
      <c r="AW59" s="101">
        <f t="shared" si="56"/>
        <v>37530</v>
      </c>
      <c r="AX59" s="82">
        <f t="shared" si="45"/>
        <v>31</v>
      </c>
      <c r="AY59" s="101">
        <f t="shared" si="46"/>
        <v>37530</v>
      </c>
      <c r="AZ59" s="102">
        <f t="shared" si="47"/>
        <v>3.4350000000000001</v>
      </c>
      <c r="BA59" s="102">
        <f t="shared" si="48"/>
        <v>7.4999999999999997E-3</v>
      </c>
      <c r="BB59" s="102">
        <f t="shared" si="49"/>
        <v>106.485</v>
      </c>
      <c r="BC59" s="102">
        <f t="shared" si="50"/>
        <v>0.23249999999999998</v>
      </c>
      <c r="BD59" s="80">
        <f t="shared" si="51"/>
        <v>25</v>
      </c>
      <c r="BE59" s="165">
        <f t="shared" si="52"/>
        <v>775</v>
      </c>
      <c r="BF59" s="165"/>
      <c r="BG59" s="165"/>
      <c r="BH59" s="77">
        <f t="shared" si="12"/>
        <v>0</v>
      </c>
      <c r="BI59" s="108" t="e">
        <f t="shared" si="13"/>
        <v>#REF!</v>
      </c>
      <c r="BJ59" s="109">
        <f t="shared" si="14"/>
        <v>0</v>
      </c>
      <c r="BK59" s="109">
        <f t="shared" si="15"/>
        <v>0</v>
      </c>
      <c r="BL59" s="109">
        <f t="shared" si="16"/>
        <v>0</v>
      </c>
      <c r="BM59" s="109">
        <f t="shared" si="17"/>
        <v>0</v>
      </c>
      <c r="BN59" s="109">
        <f t="shared" si="18"/>
        <v>0</v>
      </c>
      <c r="BP59" s="108"/>
      <c r="BQ59" s="109">
        <f t="shared" si="19"/>
        <v>0</v>
      </c>
      <c r="BR59" s="109">
        <f t="shared" si="20"/>
        <v>0</v>
      </c>
      <c r="BS59" s="109">
        <f t="shared" si="21"/>
        <v>0</v>
      </c>
      <c r="BT59" s="109">
        <f t="shared" si="22"/>
        <v>0</v>
      </c>
      <c r="BU59" s="109">
        <f t="shared" si="23"/>
        <v>0</v>
      </c>
      <c r="BV59" s="128"/>
      <c r="BW59" s="109"/>
      <c r="BX59" s="128"/>
      <c r="BY59" s="99"/>
      <c r="BZ59" s="99"/>
      <c r="CA59" s="99"/>
    </row>
    <row r="60" spans="1:79" x14ac:dyDescent="0.25">
      <c r="A60" s="101">
        <f t="shared" si="53"/>
        <v>37438</v>
      </c>
      <c r="B60" s="102">
        <f t="shared" si="24"/>
        <v>3.42</v>
      </c>
      <c r="C60" s="102">
        <f t="shared" si="1"/>
        <v>2.2499999999999999E-2</v>
      </c>
      <c r="D60" s="103">
        <v>0</v>
      </c>
      <c r="E60" s="81" t="e">
        <f>D60+B60+C60+#REF!</f>
        <v>#REF!</v>
      </c>
      <c r="F60" s="104">
        <f t="shared" si="25"/>
        <v>3.6</v>
      </c>
      <c r="G60" s="104">
        <f t="shared" si="2"/>
        <v>3.8</v>
      </c>
      <c r="H60" s="80">
        <f t="shared" si="26"/>
        <v>22</v>
      </c>
      <c r="I60" s="80" t="e">
        <f>IF(#REF!=1,VLOOKUP($A60,SkewTable,HLOOKUP(ROUND(F60-$E60,1),SkewTable,2,FALSE),FALSE)/100,0)</f>
        <v>#REF!</v>
      </c>
      <c r="J60" s="80" t="e">
        <f>IF(#REF!=1,VLOOKUP($A60,SkewTable,HLOOKUP(ROUND(G60-$E60,1),SkewTable,2,FALSE),FALSE)/100,0)</f>
        <v>#REF!</v>
      </c>
      <c r="K60" s="80" t="e">
        <f>($H60+I60+#REF!)*#REF!</f>
        <v>#REF!</v>
      </c>
      <c r="L60" s="80" t="e">
        <f>($H60+J60+#REF!)*#REF!</f>
        <v>#REF!</v>
      </c>
      <c r="M60" s="81"/>
      <c r="N60" s="81"/>
      <c r="O60" s="105" t="e">
        <f>IF(B$20=1,VLOOKUP(A60,expiration,2,FALSE),VLOOKUP(A60,expiration,3,FALSE))-B$22+#REF!</f>
        <v>#REF!</v>
      </c>
      <c r="P60" s="80">
        <f t="shared" si="27"/>
        <v>6.9097118524442017E-2</v>
      </c>
      <c r="Q60" s="106"/>
      <c r="R60" s="107">
        <f t="shared" si="28"/>
        <v>0</v>
      </c>
      <c r="S60" s="107">
        <f t="shared" si="3"/>
        <v>0</v>
      </c>
      <c r="T60" s="107">
        <f t="shared" si="4"/>
        <v>0</v>
      </c>
      <c r="U60" s="107">
        <f t="shared" si="5"/>
        <v>0</v>
      </c>
      <c r="V60" s="107">
        <f t="shared" si="6"/>
        <v>0</v>
      </c>
      <c r="W60" s="107">
        <f t="shared" si="7"/>
        <v>0</v>
      </c>
      <c r="X60" s="107">
        <f t="shared" si="8"/>
        <v>0</v>
      </c>
      <c r="Y60" s="107">
        <f t="shared" si="9"/>
        <v>0</v>
      </c>
      <c r="Z60" s="107">
        <f t="shared" si="10"/>
        <v>0</v>
      </c>
      <c r="AA60" s="107">
        <f t="shared" si="11"/>
        <v>0</v>
      </c>
      <c r="AC60" s="101">
        <f t="shared" si="54"/>
        <v>37438</v>
      </c>
      <c r="AD60" s="82">
        <f t="shared" si="29"/>
        <v>0</v>
      </c>
      <c r="AE60" s="101">
        <f t="shared" si="30"/>
        <v>0</v>
      </c>
      <c r="AF60" s="102">
        <f t="shared" si="31"/>
        <v>3.42</v>
      </c>
      <c r="AG60" s="102">
        <f t="shared" si="32"/>
        <v>2.2499999999999999E-2</v>
      </c>
      <c r="AH60" s="102">
        <f t="shared" si="33"/>
        <v>0</v>
      </c>
      <c r="AI60" s="102">
        <f t="shared" si="34"/>
        <v>0</v>
      </c>
      <c r="AJ60" s="80">
        <f t="shared" si="35"/>
        <v>22</v>
      </c>
      <c r="AK60" s="165">
        <f t="shared" si="36"/>
        <v>0</v>
      </c>
      <c r="AL60" s="165"/>
      <c r="AM60" s="101">
        <f t="shared" si="55"/>
        <v>37438</v>
      </c>
      <c r="AN60" s="82">
        <f t="shared" si="37"/>
        <v>31</v>
      </c>
      <c r="AO60" s="101">
        <f t="shared" si="38"/>
        <v>37438</v>
      </c>
      <c r="AP60" s="102">
        <f t="shared" si="39"/>
        <v>3.42</v>
      </c>
      <c r="AQ60" s="102">
        <f t="shared" si="40"/>
        <v>2.2499999999999999E-2</v>
      </c>
      <c r="AR60" s="102">
        <f t="shared" si="41"/>
        <v>106.02</v>
      </c>
      <c r="AS60" s="102">
        <f t="shared" si="42"/>
        <v>0.69750000000000001</v>
      </c>
      <c r="AT60" s="80">
        <f t="shared" si="43"/>
        <v>22</v>
      </c>
      <c r="AU60" s="165">
        <f t="shared" si="44"/>
        <v>682</v>
      </c>
      <c r="AV60" s="102"/>
      <c r="AW60" s="101">
        <f t="shared" si="56"/>
        <v>37561</v>
      </c>
      <c r="AX60" s="82">
        <f t="shared" si="45"/>
        <v>30</v>
      </c>
      <c r="AY60" s="101">
        <f t="shared" si="46"/>
        <v>37561</v>
      </c>
      <c r="AZ60" s="102">
        <f t="shared" si="47"/>
        <v>3.5270000000000001</v>
      </c>
      <c r="BA60" s="102">
        <f t="shared" si="48"/>
        <v>-3.2500000000000001E-2</v>
      </c>
      <c r="BB60" s="102">
        <f t="shared" si="49"/>
        <v>105.81</v>
      </c>
      <c r="BC60" s="102">
        <f t="shared" si="50"/>
        <v>-0.97500000000000009</v>
      </c>
      <c r="BD60" s="80">
        <f t="shared" si="51"/>
        <v>26</v>
      </c>
      <c r="BE60" s="165">
        <f t="shared" si="52"/>
        <v>780</v>
      </c>
      <c r="BF60" s="165"/>
      <c r="BG60" s="165"/>
      <c r="BH60" s="77">
        <f t="shared" si="12"/>
        <v>0</v>
      </c>
      <c r="BI60" s="108" t="e">
        <f t="shared" si="13"/>
        <v>#REF!</v>
      </c>
      <c r="BJ60" s="109">
        <f t="shared" si="14"/>
        <v>0</v>
      </c>
      <c r="BK60" s="109">
        <f t="shared" si="15"/>
        <v>0</v>
      </c>
      <c r="BL60" s="109">
        <f t="shared" si="16"/>
        <v>0</v>
      </c>
      <c r="BM60" s="109">
        <f t="shared" si="17"/>
        <v>0</v>
      </c>
      <c r="BN60" s="109">
        <f t="shared" si="18"/>
        <v>0</v>
      </c>
      <c r="BP60" s="108"/>
      <c r="BQ60" s="109">
        <f t="shared" si="19"/>
        <v>0</v>
      </c>
      <c r="BR60" s="109">
        <f t="shared" si="20"/>
        <v>0</v>
      </c>
      <c r="BS60" s="109">
        <f t="shared" si="21"/>
        <v>0</v>
      </c>
      <c r="BT60" s="109">
        <f t="shared" si="22"/>
        <v>0</v>
      </c>
      <c r="BU60" s="109">
        <f t="shared" si="23"/>
        <v>0</v>
      </c>
      <c r="BV60" s="128"/>
      <c r="BW60" s="109"/>
      <c r="BX60" s="128"/>
      <c r="BY60" s="99"/>
      <c r="BZ60" s="99"/>
      <c r="CA60" s="99"/>
    </row>
    <row r="61" spans="1:79" x14ac:dyDescent="0.25">
      <c r="A61" s="101">
        <f t="shared" si="53"/>
        <v>37469</v>
      </c>
      <c r="B61" s="102">
        <f t="shared" si="24"/>
        <v>3.4249999999999998</v>
      </c>
      <c r="C61" s="102">
        <f t="shared" si="1"/>
        <v>2.5000000000000001E-2</v>
      </c>
      <c r="D61" s="103">
        <v>0</v>
      </c>
      <c r="E61" s="81" t="e">
        <f>D61+B61+C61+#REF!</f>
        <v>#REF!</v>
      </c>
      <c r="F61" s="104">
        <f t="shared" si="25"/>
        <v>3.6</v>
      </c>
      <c r="G61" s="104">
        <f t="shared" si="2"/>
        <v>3.8</v>
      </c>
      <c r="H61" s="80">
        <f t="shared" si="26"/>
        <v>23</v>
      </c>
      <c r="I61" s="80" t="e">
        <f>IF(#REF!=1,VLOOKUP($A61,SkewTable,HLOOKUP(ROUND(F61-$E61,1),SkewTable,2,FALSE),FALSE)/100,0)</f>
        <v>#REF!</v>
      </c>
      <c r="J61" s="80" t="e">
        <f>IF(#REF!=1,VLOOKUP($A61,SkewTable,HLOOKUP(ROUND(G61-$E61,1),SkewTable,2,FALSE),FALSE)/100,0)</f>
        <v>#REF!</v>
      </c>
      <c r="K61" s="80" t="e">
        <f>($H61+I61+#REF!)*#REF!</f>
        <v>#REF!</v>
      </c>
      <c r="L61" s="80" t="e">
        <f>($H61+J61+#REF!)*#REF!</f>
        <v>#REF!</v>
      </c>
      <c r="M61" s="81"/>
      <c r="N61" s="81"/>
      <c r="O61" s="105" t="e">
        <f>IF(B$20=1,VLOOKUP(A61,expiration,2,FALSE),VLOOKUP(A61,expiration,3,FALSE))-B$22+#REF!</f>
        <v>#REF!</v>
      </c>
      <c r="P61" s="80">
        <f t="shared" si="27"/>
        <v>6.9098892085220007E-2</v>
      </c>
      <c r="Q61" s="106"/>
      <c r="R61" s="107">
        <f t="shared" si="28"/>
        <v>0</v>
      </c>
      <c r="S61" s="107">
        <f t="shared" si="3"/>
        <v>0</v>
      </c>
      <c r="T61" s="107">
        <f t="shared" si="4"/>
        <v>0</v>
      </c>
      <c r="U61" s="107">
        <f t="shared" si="5"/>
        <v>0</v>
      </c>
      <c r="V61" s="107">
        <f t="shared" si="6"/>
        <v>0</v>
      </c>
      <c r="W61" s="107">
        <f t="shared" si="7"/>
        <v>0</v>
      </c>
      <c r="X61" s="107">
        <f t="shared" si="8"/>
        <v>0</v>
      </c>
      <c r="Y61" s="107">
        <f t="shared" si="9"/>
        <v>0</v>
      </c>
      <c r="Z61" s="107">
        <f t="shared" si="10"/>
        <v>0</v>
      </c>
      <c r="AA61" s="107">
        <f t="shared" si="11"/>
        <v>0</v>
      </c>
      <c r="AC61" s="101">
        <f t="shared" si="54"/>
        <v>37469</v>
      </c>
      <c r="AD61" s="82">
        <f t="shared" si="29"/>
        <v>0</v>
      </c>
      <c r="AE61" s="101">
        <f t="shared" si="30"/>
        <v>0</v>
      </c>
      <c r="AF61" s="102">
        <f t="shared" si="31"/>
        <v>3.4249999999999998</v>
      </c>
      <c r="AG61" s="102">
        <f t="shared" si="32"/>
        <v>2.5000000000000001E-2</v>
      </c>
      <c r="AH61" s="102">
        <f t="shared" si="33"/>
        <v>0</v>
      </c>
      <c r="AI61" s="102">
        <f t="shared" si="34"/>
        <v>0</v>
      </c>
      <c r="AJ61" s="80">
        <f t="shared" si="35"/>
        <v>23</v>
      </c>
      <c r="AK61" s="165">
        <f t="shared" si="36"/>
        <v>0</v>
      </c>
      <c r="AL61" s="165"/>
      <c r="AM61" s="101">
        <f t="shared" si="55"/>
        <v>37469</v>
      </c>
      <c r="AN61" s="82">
        <f t="shared" si="37"/>
        <v>31</v>
      </c>
      <c r="AO61" s="101">
        <f t="shared" si="38"/>
        <v>37469</v>
      </c>
      <c r="AP61" s="102">
        <f t="shared" si="39"/>
        <v>3.4249999999999998</v>
      </c>
      <c r="AQ61" s="102">
        <f t="shared" si="40"/>
        <v>2.5000000000000001E-2</v>
      </c>
      <c r="AR61" s="102">
        <f t="shared" si="41"/>
        <v>106.175</v>
      </c>
      <c r="AS61" s="102">
        <f t="shared" si="42"/>
        <v>0.77500000000000002</v>
      </c>
      <c r="AT61" s="80">
        <f t="shared" si="43"/>
        <v>23</v>
      </c>
      <c r="AU61" s="165">
        <f t="shared" si="44"/>
        <v>713</v>
      </c>
      <c r="AV61" s="102"/>
      <c r="AW61" s="101">
        <f t="shared" si="56"/>
        <v>37591</v>
      </c>
      <c r="AX61" s="82">
        <f t="shared" si="45"/>
        <v>31</v>
      </c>
      <c r="AY61" s="101">
        <f t="shared" si="46"/>
        <v>37591</v>
      </c>
      <c r="AZ61" s="102">
        <f t="shared" si="47"/>
        <v>3.6090000000000004</v>
      </c>
      <c r="BA61" s="102">
        <f t="shared" si="48"/>
        <v>-5.5E-2</v>
      </c>
      <c r="BB61" s="102">
        <f t="shared" si="49"/>
        <v>111.87900000000002</v>
      </c>
      <c r="BC61" s="102">
        <f t="shared" si="50"/>
        <v>-1.7050000000000001</v>
      </c>
      <c r="BD61" s="80">
        <f t="shared" si="51"/>
        <v>27</v>
      </c>
      <c r="BE61" s="165">
        <f t="shared" si="52"/>
        <v>837</v>
      </c>
      <c r="BF61" s="165"/>
      <c r="BG61" s="165"/>
      <c r="BH61" s="77">
        <f t="shared" si="12"/>
        <v>0</v>
      </c>
      <c r="BI61" s="108" t="e">
        <f t="shared" si="13"/>
        <v>#REF!</v>
      </c>
      <c r="BJ61" s="109">
        <f t="shared" si="14"/>
        <v>0</v>
      </c>
      <c r="BK61" s="109">
        <f t="shared" si="15"/>
        <v>0</v>
      </c>
      <c r="BL61" s="109">
        <f t="shared" si="16"/>
        <v>0</v>
      </c>
      <c r="BM61" s="109">
        <f t="shared" si="17"/>
        <v>0</v>
      </c>
      <c r="BN61" s="109">
        <f t="shared" si="18"/>
        <v>0</v>
      </c>
      <c r="BP61" s="108"/>
      <c r="BQ61" s="109">
        <f t="shared" si="19"/>
        <v>0</v>
      </c>
      <c r="BR61" s="109">
        <f t="shared" si="20"/>
        <v>0</v>
      </c>
      <c r="BS61" s="109">
        <f t="shared" si="21"/>
        <v>0</v>
      </c>
      <c r="BT61" s="109">
        <f t="shared" si="22"/>
        <v>0</v>
      </c>
      <c r="BU61" s="109">
        <f t="shared" si="23"/>
        <v>0</v>
      </c>
      <c r="BV61" s="128"/>
      <c r="BW61" s="109"/>
      <c r="BX61" s="128"/>
      <c r="BY61" s="99"/>
      <c r="BZ61" s="99"/>
      <c r="CA61" s="99"/>
    </row>
    <row r="62" spans="1:79" x14ac:dyDescent="0.25">
      <c r="A62" s="101">
        <f t="shared" si="53"/>
        <v>37500</v>
      </c>
      <c r="B62" s="102">
        <f t="shared" si="24"/>
        <v>3.42</v>
      </c>
      <c r="C62" s="102">
        <f t="shared" si="1"/>
        <v>1.7500000000000002E-2</v>
      </c>
      <c r="D62" s="103">
        <v>0</v>
      </c>
      <c r="E62" s="81" t="e">
        <f>D62+B62+C62+#REF!</f>
        <v>#REF!</v>
      </c>
      <c r="F62" s="104">
        <f t="shared" si="25"/>
        <v>3.6</v>
      </c>
      <c r="G62" s="104">
        <f t="shared" si="2"/>
        <v>3.8</v>
      </c>
      <c r="H62" s="80">
        <f t="shared" si="26"/>
        <v>24</v>
      </c>
      <c r="I62" s="80" t="e">
        <f>IF(#REF!=1,VLOOKUP($A62,SkewTable,HLOOKUP(ROUND(F62-$E62,1),SkewTable,2,FALSE),FALSE)/100,0)</f>
        <v>#REF!</v>
      </c>
      <c r="J62" s="80" t="e">
        <f>IF(#REF!=1,VLOOKUP($A62,SkewTable,HLOOKUP(ROUND(G62-$E62,1),SkewTable,2,FALSE),FALSE)/100,0)</f>
        <v>#REF!</v>
      </c>
      <c r="K62" s="80" t="e">
        <f>($H62+I62+#REF!)*#REF!</f>
        <v>#REF!</v>
      </c>
      <c r="L62" s="80" t="e">
        <f>($H62+J62+#REF!)*#REF!</f>
        <v>#REF!</v>
      </c>
      <c r="M62" s="81"/>
      <c r="N62" s="81"/>
      <c r="O62" s="105" t="e">
        <f>IF(B$20=1,VLOOKUP(A62,expiration,2,FALSE),VLOOKUP(A62,expiration,3,FALSE))-B$22+#REF!</f>
        <v>#REF!</v>
      </c>
      <c r="P62" s="80">
        <f t="shared" si="27"/>
        <v>6.9100665646000009E-2</v>
      </c>
      <c r="Q62" s="106"/>
      <c r="R62" s="107">
        <f t="shared" si="28"/>
        <v>0</v>
      </c>
      <c r="S62" s="107">
        <f t="shared" si="3"/>
        <v>0</v>
      </c>
      <c r="T62" s="107">
        <f t="shared" si="4"/>
        <v>0</v>
      </c>
      <c r="U62" s="107">
        <f t="shared" si="5"/>
        <v>0</v>
      </c>
      <c r="V62" s="107">
        <f t="shared" si="6"/>
        <v>0</v>
      </c>
      <c r="W62" s="107">
        <f t="shared" si="7"/>
        <v>0</v>
      </c>
      <c r="X62" s="107">
        <f t="shared" si="8"/>
        <v>0</v>
      </c>
      <c r="Y62" s="107">
        <f t="shared" si="9"/>
        <v>0</v>
      </c>
      <c r="Z62" s="107">
        <f t="shared" si="10"/>
        <v>0</v>
      </c>
      <c r="AA62" s="107">
        <f t="shared" si="11"/>
        <v>0</v>
      </c>
      <c r="AC62" s="101">
        <f t="shared" si="54"/>
        <v>37500</v>
      </c>
      <c r="AD62" s="82">
        <f t="shared" si="29"/>
        <v>0</v>
      </c>
      <c r="AE62" s="101">
        <f t="shared" si="30"/>
        <v>0</v>
      </c>
      <c r="AF62" s="102">
        <f t="shared" si="31"/>
        <v>3.42</v>
      </c>
      <c r="AG62" s="102">
        <f t="shared" si="32"/>
        <v>1.7500000000000002E-2</v>
      </c>
      <c r="AH62" s="102">
        <f t="shared" si="33"/>
        <v>0</v>
      </c>
      <c r="AI62" s="102">
        <f t="shared" si="34"/>
        <v>0</v>
      </c>
      <c r="AJ62" s="80">
        <f t="shared" si="35"/>
        <v>24</v>
      </c>
      <c r="AK62" s="165">
        <f t="shared" si="36"/>
        <v>0</v>
      </c>
      <c r="AL62" s="165"/>
      <c r="AM62" s="101">
        <f t="shared" si="55"/>
        <v>37500</v>
      </c>
      <c r="AN62" s="82">
        <f t="shared" si="37"/>
        <v>30</v>
      </c>
      <c r="AO62" s="101">
        <f t="shared" si="38"/>
        <v>37500</v>
      </c>
      <c r="AP62" s="102">
        <f t="shared" si="39"/>
        <v>3.42</v>
      </c>
      <c r="AQ62" s="102">
        <f t="shared" si="40"/>
        <v>1.7500000000000002E-2</v>
      </c>
      <c r="AR62" s="102">
        <f t="shared" si="41"/>
        <v>102.6</v>
      </c>
      <c r="AS62" s="102">
        <f t="shared" si="42"/>
        <v>0.52500000000000002</v>
      </c>
      <c r="AT62" s="80">
        <f t="shared" si="43"/>
        <v>24</v>
      </c>
      <c r="AU62" s="165">
        <f t="shared" si="44"/>
        <v>720</v>
      </c>
      <c r="AV62" s="102"/>
      <c r="AW62" s="101">
        <f t="shared" si="56"/>
        <v>37622</v>
      </c>
      <c r="AX62" s="82">
        <f t="shared" si="45"/>
        <v>31</v>
      </c>
      <c r="AY62" s="101">
        <f t="shared" si="46"/>
        <v>37622</v>
      </c>
      <c r="AZ62" s="102">
        <f t="shared" si="47"/>
        <v>3.6019999999999999</v>
      </c>
      <c r="BA62" s="102">
        <f t="shared" si="48"/>
        <v>-5.7500000000000002E-2</v>
      </c>
      <c r="BB62" s="102">
        <f t="shared" si="49"/>
        <v>111.66199999999999</v>
      </c>
      <c r="BC62" s="102">
        <f t="shared" si="50"/>
        <v>-1.7825</v>
      </c>
      <c r="BD62" s="80">
        <f t="shared" si="51"/>
        <v>28</v>
      </c>
      <c r="BE62" s="165">
        <f t="shared" si="52"/>
        <v>868</v>
      </c>
      <c r="BF62" s="165"/>
      <c r="BG62" s="165"/>
      <c r="BH62" s="77">
        <f t="shared" si="12"/>
        <v>0</v>
      </c>
      <c r="BI62" s="108" t="e">
        <f t="shared" si="13"/>
        <v>#REF!</v>
      </c>
      <c r="BJ62" s="109">
        <f t="shared" si="14"/>
        <v>0</v>
      </c>
      <c r="BK62" s="109">
        <f t="shared" si="15"/>
        <v>0</v>
      </c>
      <c r="BL62" s="109">
        <f t="shared" si="16"/>
        <v>0</v>
      </c>
      <c r="BM62" s="109">
        <f t="shared" si="17"/>
        <v>0</v>
      </c>
      <c r="BN62" s="109">
        <f t="shared" si="18"/>
        <v>0</v>
      </c>
      <c r="BP62" s="108"/>
      <c r="BQ62" s="109">
        <f t="shared" si="19"/>
        <v>0</v>
      </c>
      <c r="BR62" s="109">
        <f t="shared" si="20"/>
        <v>0</v>
      </c>
      <c r="BS62" s="109">
        <f t="shared" si="21"/>
        <v>0</v>
      </c>
      <c r="BT62" s="109">
        <f t="shared" si="22"/>
        <v>0</v>
      </c>
      <c r="BU62" s="109">
        <f t="shared" si="23"/>
        <v>0</v>
      </c>
      <c r="BV62" s="128"/>
      <c r="BW62" s="109"/>
      <c r="BX62" s="128"/>
      <c r="BY62" s="99"/>
      <c r="BZ62" s="99"/>
      <c r="CA62" s="99"/>
    </row>
    <row r="63" spans="1:79" x14ac:dyDescent="0.25">
      <c r="A63" s="101">
        <f t="shared" si="53"/>
        <v>37530</v>
      </c>
      <c r="B63" s="102">
        <f t="shared" si="24"/>
        <v>3.4350000000000001</v>
      </c>
      <c r="C63" s="102">
        <f t="shared" si="1"/>
        <v>7.4999999999999997E-3</v>
      </c>
      <c r="D63" s="103">
        <v>0</v>
      </c>
      <c r="E63" s="81" t="e">
        <f>D63+B63+C63+#REF!</f>
        <v>#REF!</v>
      </c>
      <c r="F63" s="104">
        <f t="shared" si="25"/>
        <v>3.6</v>
      </c>
      <c r="G63" s="104">
        <f t="shared" si="2"/>
        <v>3.8</v>
      </c>
      <c r="H63" s="80">
        <f t="shared" si="26"/>
        <v>25</v>
      </c>
      <c r="I63" s="80" t="e">
        <f>IF(#REF!=1,VLOOKUP($A63,SkewTable,HLOOKUP(ROUND(F63-$E63,1),SkewTable,2,FALSE),FALSE)/100,0)</f>
        <v>#REF!</v>
      </c>
      <c r="J63" s="80" t="e">
        <f>IF(#REF!=1,VLOOKUP($A63,SkewTable,HLOOKUP(ROUND(G63-$E63,1),SkewTable,2,FALSE),FALSE)/100,0)</f>
        <v>#REF!</v>
      </c>
      <c r="K63" s="80" t="e">
        <f>($H63+I63+#REF!)*#REF!</f>
        <v>#REF!</v>
      </c>
      <c r="L63" s="80" t="e">
        <f>($H63+J63+#REF!)*#REF!</f>
        <v>#REF!</v>
      </c>
      <c r="M63" s="81"/>
      <c r="N63" s="81"/>
      <c r="O63" s="105" t="e">
        <f>IF(B$20=1,VLOOKUP(A63,expiration,2,FALSE),VLOOKUP(A63,expiration,3,FALSE))-B$22+#REF!</f>
        <v>#REF!</v>
      </c>
      <c r="P63" s="80">
        <f t="shared" si="27"/>
        <v>6.9099982062237011E-2</v>
      </c>
      <c r="Q63" s="106"/>
      <c r="R63" s="107">
        <f t="shared" si="28"/>
        <v>0</v>
      </c>
      <c r="S63" s="107">
        <f t="shared" si="3"/>
        <v>0</v>
      </c>
      <c r="T63" s="107">
        <f t="shared" si="4"/>
        <v>0</v>
      </c>
      <c r="U63" s="107">
        <f t="shared" si="5"/>
        <v>0</v>
      </c>
      <c r="V63" s="107">
        <f t="shared" si="6"/>
        <v>0</v>
      </c>
      <c r="W63" s="107">
        <f t="shared" si="7"/>
        <v>0</v>
      </c>
      <c r="X63" s="107">
        <f t="shared" si="8"/>
        <v>0</v>
      </c>
      <c r="Y63" s="107">
        <f t="shared" si="9"/>
        <v>0</v>
      </c>
      <c r="Z63" s="107">
        <f t="shared" si="10"/>
        <v>0</v>
      </c>
      <c r="AA63" s="107">
        <f t="shared" si="11"/>
        <v>0</v>
      </c>
      <c r="AC63" s="101">
        <f t="shared" si="54"/>
        <v>37530</v>
      </c>
      <c r="AD63" s="82">
        <f t="shared" si="29"/>
        <v>0</v>
      </c>
      <c r="AE63" s="101">
        <f t="shared" si="30"/>
        <v>0</v>
      </c>
      <c r="AF63" s="102">
        <f t="shared" si="31"/>
        <v>3.4350000000000001</v>
      </c>
      <c r="AG63" s="102">
        <f t="shared" si="32"/>
        <v>7.4999999999999997E-3</v>
      </c>
      <c r="AH63" s="102">
        <f t="shared" si="33"/>
        <v>0</v>
      </c>
      <c r="AI63" s="102">
        <f t="shared" si="34"/>
        <v>0</v>
      </c>
      <c r="AJ63" s="80">
        <f t="shared" si="35"/>
        <v>25</v>
      </c>
      <c r="AK63" s="165">
        <f t="shared" si="36"/>
        <v>0</v>
      </c>
      <c r="AL63" s="165"/>
      <c r="AM63" s="101">
        <f t="shared" si="55"/>
        <v>37530</v>
      </c>
      <c r="AN63" s="82">
        <f t="shared" si="37"/>
        <v>31</v>
      </c>
      <c r="AO63" s="101">
        <f t="shared" si="38"/>
        <v>37530</v>
      </c>
      <c r="AP63" s="102">
        <f t="shared" si="39"/>
        <v>3.4350000000000001</v>
      </c>
      <c r="AQ63" s="102">
        <f t="shared" si="40"/>
        <v>7.4999999999999997E-3</v>
      </c>
      <c r="AR63" s="102">
        <f t="shared" si="41"/>
        <v>106.485</v>
      </c>
      <c r="AS63" s="102">
        <f t="shared" si="42"/>
        <v>0.23249999999999998</v>
      </c>
      <c r="AT63" s="80">
        <f t="shared" si="43"/>
        <v>25</v>
      </c>
      <c r="AU63" s="165">
        <f t="shared" si="44"/>
        <v>775</v>
      </c>
      <c r="AV63" s="102"/>
      <c r="AW63" s="101">
        <f t="shared" si="56"/>
        <v>37653</v>
      </c>
      <c r="AX63" s="82">
        <f t="shared" si="45"/>
        <v>28</v>
      </c>
      <c r="AY63" s="101">
        <f t="shared" si="46"/>
        <v>37653</v>
      </c>
      <c r="AZ63" s="102">
        <f t="shared" si="47"/>
        <v>3.46</v>
      </c>
      <c r="BA63" s="102">
        <f t="shared" si="48"/>
        <v>-0.04</v>
      </c>
      <c r="BB63" s="102">
        <f t="shared" si="49"/>
        <v>96.88</v>
      </c>
      <c r="BC63" s="102">
        <f t="shared" si="50"/>
        <v>-1.1200000000000001</v>
      </c>
      <c r="BD63" s="80">
        <f t="shared" si="51"/>
        <v>29</v>
      </c>
      <c r="BE63" s="165">
        <f t="shared" si="52"/>
        <v>812</v>
      </c>
      <c r="BF63" s="165"/>
      <c r="BG63" s="165"/>
      <c r="BH63" s="77">
        <f t="shared" si="12"/>
        <v>0</v>
      </c>
      <c r="BI63" s="108" t="e">
        <f t="shared" si="13"/>
        <v>#REF!</v>
      </c>
      <c r="BJ63" s="109">
        <f t="shared" si="14"/>
        <v>0</v>
      </c>
      <c r="BK63" s="109">
        <f t="shared" si="15"/>
        <v>0</v>
      </c>
      <c r="BL63" s="109">
        <f t="shared" si="16"/>
        <v>0</v>
      </c>
      <c r="BM63" s="109">
        <f t="shared" si="17"/>
        <v>0</v>
      </c>
      <c r="BN63" s="109">
        <f t="shared" si="18"/>
        <v>0</v>
      </c>
      <c r="BP63" s="108"/>
      <c r="BQ63" s="109">
        <f t="shared" si="19"/>
        <v>0</v>
      </c>
      <c r="BR63" s="109">
        <f t="shared" si="20"/>
        <v>0</v>
      </c>
      <c r="BS63" s="109">
        <f t="shared" si="21"/>
        <v>0</v>
      </c>
      <c r="BT63" s="109">
        <f t="shared" si="22"/>
        <v>0</v>
      </c>
      <c r="BU63" s="109">
        <f t="shared" si="23"/>
        <v>0</v>
      </c>
      <c r="BV63" s="128"/>
      <c r="BW63" s="109"/>
      <c r="BX63" s="128"/>
      <c r="BY63" s="99"/>
      <c r="BZ63" s="99"/>
      <c r="CA63" s="99"/>
    </row>
    <row r="64" spans="1:79" x14ac:dyDescent="0.25">
      <c r="A64" s="101">
        <f t="shared" si="53"/>
        <v>37561</v>
      </c>
      <c r="B64" s="102">
        <f t="shared" si="24"/>
        <v>3.5270000000000001</v>
      </c>
      <c r="C64" s="102">
        <f t="shared" si="1"/>
        <v>-3.2500000000000001E-2</v>
      </c>
      <c r="D64" s="103">
        <v>0</v>
      </c>
      <c r="E64" s="81" t="e">
        <f>D64+B64+C64+#REF!</f>
        <v>#REF!</v>
      </c>
      <c r="F64" s="104">
        <f t="shared" si="25"/>
        <v>3.6</v>
      </c>
      <c r="G64" s="104">
        <f t="shared" si="2"/>
        <v>3.8</v>
      </c>
      <c r="H64" s="80">
        <f t="shared" si="26"/>
        <v>26</v>
      </c>
      <c r="I64" s="80" t="e">
        <f>IF(#REF!=1,VLOOKUP($A64,SkewTable,HLOOKUP(ROUND(F64-$E64,1),SkewTable,2,FALSE),FALSE)/100,0)</f>
        <v>#REF!</v>
      </c>
      <c r="J64" s="80" t="e">
        <f>IF(#REF!=1,VLOOKUP($A64,SkewTable,HLOOKUP(ROUND(G64-$E64,1),SkewTable,2,FALSE),FALSE)/100,0)</f>
        <v>#REF!</v>
      </c>
      <c r="K64" s="80" t="e">
        <f>($H64+I64+#REF!)*#REF!</f>
        <v>#REF!</v>
      </c>
      <c r="L64" s="80" t="e">
        <f>($H64+J64+#REF!)*#REF!</f>
        <v>#REF!</v>
      </c>
      <c r="M64" s="81"/>
      <c r="N64" s="81"/>
      <c r="O64" s="105" t="e">
        <f>IF(B$20=1,VLOOKUP(A64,expiration,2,FALSE),VLOOKUP(A64,expiration,3,FALSE))-B$22+#REF!</f>
        <v>#REF!</v>
      </c>
      <c r="P64" s="80">
        <f t="shared" si="27"/>
        <v>6.9095832436425003E-2</v>
      </c>
      <c r="Q64" s="106"/>
      <c r="R64" s="107">
        <f t="shared" si="28"/>
        <v>0</v>
      </c>
      <c r="S64" s="107">
        <f t="shared" si="3"/>
        <v>0</v>
      </c>
      <c r="T64" s="107">
        <f t="shared" si="4"/>
        <v>0</v>
      </c>
      <c r="U64" s="107">
        <f t="shared" si="5"/>
        <v>0</v>
      </c>
      <c r="V64" s="107">
        <f t="shared" si="6"/>
        <v>0</v>
      </c>
      <c r="W64" s="107">
        <f t="shared" si="7"/>
        <v>0</v>
      </c>
      <c r="X64" s="107">
        <f t="shared" si="8"/>
        <v>0</v>
      </c>
      <c r="Y64" s="107">
        <f t="shared" si="9"/>
        <v>0</v>
      </c>
      <c r="Z64" s="107">
        <f t="shared" si="10"/>
        <v>0</v>
      </c>
      <c r="AA64" s="107">
        <f t="shared" si="11"/>
        <v>0</v>
      </c>
      <c r="AC64" s="101">
        <f t="shared" si="54"/>
        <v>37561</v>
      </c>
      <c r="AD64" s="82">
        <f t="shared" si="29"/>
        <v>0</v>
      </c>
      <c r="AE64" s="101">
        <f t="shared" si="30"/>
        <v>0</v>
      </c>
      <c r="AF64" s="102">
        <f t="shared" si="31"/>
        <v>3.5270000000000001</v>
      </c>
      <c r="AG64" s="102">
        <f t="shared" si="32"/>
        <v>-3.2500000000000001E-2</v>
      </c>
      <c r="AH64" s="102">
        <f t="shared" si="33"/>
        <v>0</v>
      </c>
      <c r="AI64" s="102">
        <f t="shared" si="34"/>
        <v>0</v>
      </c>
      <c r="AJ64" s="80">
        <f t="shared" si="35"/>
        <v>26</v>
      </c>
      <c r="AK64" s="165">
        <f t="shared" si="36"/>
        <v>0</v>
      </c>
      <c r="AL64" s="165"/>
      <c r="AM64" s="101">
        <f t="shared" si="55"/>
        <v>37561</v>
      </c>
      <c r="AN64" s="82">
        <f t="shared" si="37"/>
        <v>30</v>
      </c>
      <c r="AO64" s="101">
        <f t="shared" si="38"/>
        <v>37561</v>
      </c>
      <c r="AP64" s="102">
        <f t="shared" si="39"/>
        <v>3.5270000000000001</v>
      </c>
      <c r="AQ64" s="102">
        <f t="shared" si="40"/>
        <v>-3.2500000000000001E-2</v>
      </c>
      <c r="AR64" s="102">
        <f t="shared" si="41"/>
        <v>105.81</v>
      </c>
      <c r="AS64" s="102">
        <f t="shared" si="42"/>
        <v>-0.97500000000000009</v>
      </c>
      <c r="AT64" s="80">
        <f t="shared" si="43"/>
        <v>26</v>
      </c>
      <c r="AU64" s="165">
        <f t="shared" si="44"/>
        <v>780</v>
      </c>
      <c r="AV64" s="102"/>
      <c r="AW64" s="101">
        <f t="shared" si="56"/>
        <v>37681</v>
      </c>
      <c r="AX64" s="82">
        <f t="shared" si="45"/>
        <v>31</v>
      </c>
      <c r="AY64" s="101">
        <f t="shared" si="46"/>
        <v>37681</v>
      </c>
      <c r="AZ64" s="102">
        <f t="shared" si="47"/>
        <v>3.29</v>
      </c>
      <c r="BA64" s="102">
        <f t="shared" si="48"/>
        <v>-2.75E-2</v>
      </c>
      <c r="BB64" s="102">
        <f t="shared" si="49"/>
        <v>101.99</v>
      </c>
      <c r="BC64" s="102">
        <f t="shared" si="50"/>
        <v>-0.85250000000000004</v>
      </c>
      <c r="BD64" s="80">
        <f t="shared" si="51"/>
        <v>30</v>
      </c>
      <c r="BE64" s="165">
        <f t="shared" si="52"/>
        <v>930</v>
      </c>
      <c r="BF64" s="165"/>
      <c r="BG64" s="165"/>
      <c r="BH64" s="77">
        <f t="shared" si="12"/>
        <v>0</v>
      </c>
      <c r="BI64" s="108" t="e">
        <f t="shared" si="13"/>
        <v>#REF!</v>
      </c>
      <c r="BJ64" s="109">
        <f t="shared" si="14"/>
        <v>0</v>
      </c>
      <c r="BK64" s="109">
        <f t="shared" si="15"/>
        <v>0</v>
      </c>
      <c r="BL64" s="109">
        <f t="shared" si="16"/>
        <v>0</v>
      </c>
      <c r="BM64" s="109">
        <f t="shared" si="17"/>
        <v>0</v>
      </c>
      <c r="BN64" s="109">
        <f t="shared" si="18"/>
        <v>0</v>
      </c>
      <c r="BP64" s="108"/>
      <c r="BQ64" s="109">
        <f t="shared" si="19"/>
        <v>0</v>
      </c>
      <c r="BR64" s="109">
        <f t="shared" si="20"/>
        <v>0</v>
      </c>
      <c r="BS64" s="109">
        <f t="shared" si="21"/>
        <v>0</v>
      </c>
      <c r="BT64" s="109">
        <f t="shared" si="22"/>
        <v>0</v>
      </c>
      <c r="BU64" s="109">
        <f t="shared" si="23"/>
        <v>0</v>
      </c>
      <c r="BV64" s="128"/>
      <c r="BW64" s="109"/>
      <c r="BX64" s="128"/>
      <c r="BY64" s="99"/>
      <c r="BZ64" s="99"/>
      <c r="CA64" s="99"/>
    </row>
    <row r="65" spans="1:79" x14ac:dyDescent="0.25">
      <c r="A65" s="101">
        <f t="shared" si="53"/>
        <v>37591</v>
      </c>
      <c r="B65" s="102">
        <f t="shared" si="24"/>
        <v>3.6090000000000004</v>
      </c>
      <c r="C65" s="102">
        <f t="shared" si="1"/>
        <v>-5.5E-2</v>
      </c>
      <c r="D65" s="103">
        <v>0</v>
      </c>
      <c r="E65" s="81" t="e">
        <f>D65+B65+C65+#REF!</f>
        <v>#REF!</v>
      </c>
      <c r="F65" s="104">
        <f t="shared" si="25"/>
        <v>3.6</v>
      </c>
      <c r="G65" s="104">
        <f t="shared" si="2"/>
        <v>3.8</v>
      </c>
      <c r="H65" s="80">
        <f t="shared" si="26"/>
        <v>27</v>
      </c>
      <c r="I65" s="80" t="e">
        <f>IF(#REF!=1,VLOOKUP($A65,SkewTable,HLOOKUP(ROUND(F65-$E65,1),SkewTable,2,FALSE),FALSE)/100,0)</f>
        <v>#REF!</v>
      </c>
      <c r="J65" s="80" t="e">
        <f>IF(#REF!=1,VLOOKUP($A65,SkewTable,HLOOKUP(ROUND(G65-$E65,1),SkewTable,2,FALSE),FALSE)/100,0)</f>
        <v>#REF!</v>
      </c>
      <c r="K65" s="80" t="e">
        <f>($H65+I65+#REF!)*#REF!</f>
        <v>#REF!</v>
      </c>
      <c r="L65" s="80" t="e">
        <f>($H65+J65+#REF!)*#REF!</f>
        <v>#REF!</v>
      </c>
      <c r="M65" s="81"/>
      <c r="N65" s="81"/>
      <c r="O65" s="105" t="e">
        <f>IF(B$20=1,VLOOKUP(A65,expiration,2,FALSE),VLOOKUP(A65,expiration,3,FALSE))-B$22+#REF!</f>
        <v>#REF!</v>
      </c>
      <c r="P65" s="80">
        <f t="shared" si="27"/>
        <v>6.9091816669514014E-2</v>
      </c>
      <c r="Q65" s="106"/>
      <c r="R65" s="107">
        <f t="shared" si="28"/>
        <v>0</v>
      </c>
      <c r="S65" s="107">
        <f t="shared" si="3"/>
        <v>0</v>
      </c>
      <c r="T65" s="107">
        <f t="shared" si="4"/>
        <v>0</v>
      </c>
      <c r="U65" s="107">
        <f t="shared" si="5"/>
        <v>0</v>
      </c>
      <c r="V65" s="107">
        <f t="shared" si="6"/>
        <v>0</v>
      </c>
      <c r="W65" s="107">
        <f t="shared" si="7"/>
        <v>0</v>
      </c>
      <c r="X65" s="107">
        <f t="shared" si="8"/>
        <v>0</v>
      </c>
      <c r="Y65" s="107">
        <f t="shared" si="9"/>
        <v>0</v>
      </c>
      <c r="Z65" s="107">
        <f t="shared" si="10"/>
        <v>0</v>
      </c>
      <c r="AA65" s="107">
        <f t="shared" si="11"/>
        <v>0</v>
      </c>
      <c r="AC65" s="101">
        <f t="shared" si="54"/>
        <v>37591</v>
      </c>
      <c r="AD65" s="82">
        <f t="shared" si="29"/>
        <v>0</v>
      </c>
      <c r="AE65" s="101">
        <f t="shared" si="30"/>
        <v>0</v>
      </c>
      <c r="AF65" s="102">
        <f t="shared" si="31"/>
        <v>3.6090000000000004</v>
      </c>
      <c r="AG65" s="102">
        <f t="shared" si="32"/>
        <v>-5.5E-2</v>
      </c>
      <c r="AH65" s="102">
        <f t="shared" si="33"/>
        <v>0</v>
      </c>
      <c r="AI65" s="102">
        <f t="shared" si="34"/>
        <v>0</v>
      </c>
      <c r="AJ65" s="80">
        <f t="shared" si="35"/>
        <v>27</v>
      </c>
      <c r="AK65" s="165">
        <f t="shared" si="36"/>
        <v>0</v>
      </c>
      <c r="AL65" s="165"/>
      <c r="AM65" s="101">
        <f t="shared" si="55"/>
        <v>37591</v>
      </c>
      <c r="AN65" s="82">
        <f t="shared" si="37"/>
        <v>0</v>
      </c>
      <c r="AO65" s="101">
        <f t="shared" si="38"/>
        <v>0</v>
      </c>
      <c r="AP65" s="102">
        <f t="shared" si="39"/>
        <v>3.6090000000000004</v>
      </c>
      <c r="AQ65" s="102">
        <f t="shared" si="40"/>
        <v>-5.5E-2</v>
      </c>
      <c r="AR65" s="102">
        <f t="shared" si="41"/>
        <v>0</v>
      </c>
      <c r="AS65" s="102">
        <f t="shared" si="42"/>
        <v>0</v>
      </c>
      <c r="AT65" s="80">
        <f t="shared" si="43"/>
        <v>27</v>
      </c>
      <c r="AU65" s="165">
        <f t="shared" si="44"/>
        <v>0</v>
      </c>
      <c r="AV65" s="102"/>
      <c r="AW65" s="101">
        <f t="shared" si="56"/>
        <v>37712</v>
      </c>
      <c r="AX65" s="82">
        <f t="shared" si="45"/>
        <v>30</v>
      </c>
      <c r="AY65" s="101">
        <f t="shared" si="46"/>
        <v>37712</v>
      </c>
      <c r="AZ65" s="102">
        <f t="shared" si="47"/>
        <v>3.1120000000000001</v>
      </c>
      <c r="BA65" s="102">
        <f t="shared" si="48"/>
        <v>1.4999999999999999E-2</v>
      </c>
      <c r="BB65" s="102">
        <f t="shared" si="49"/>
        <v>93.36</v>
      </c>
      <c r="BC65" s="102">
        <f t="shared" si="50"/>
        <v>0.44999999999999996</v>
      </c>
      <c r="BD65" s="80">
        <f t="shared" si="51"/>
        <v>31</v>
      </c>
      <c r="BE65" s="165">
        <f t="shared" si="52"/>
        <v>930</v>
      </c>
      <c r="BF65" s="165"/>
      <c r="BG65" s="165"/>
      <c r="BH65" s="77">
        <f t="shared" si="12"/>
        <v>0</v>
      </c>
      <c r="BI65" s="108" t="e">
        <f t="shared" si="13"/>
        <v>#REF!</v>
      </c>
      <c r="BJ65" s="109">
        <f t="shared" si="14"/>
        <v>0</v>
      </c>
      <c r="BK65" s="109">
        <f t="shared" si="15"/>
        <v>0</v>
      </c>
      <c r="BL65" s="109">
        <f t="shared" si="16"/>
        <v>0</v>
      </c>
      <c r="BM65" s="109">
        <f t="shared" si="17"/>
        <v>0</v>
      </c>
      <c r="BN65" s="109">
        <f t="shared" si="18"/>
        <v>0</v>
      </c>
      <c r="BP65" s="108"/>
      <c r="BQ65" s="109">
        <f t="shared" si="19"/>
        <v>0</v>
      </c>
      <c r="BR65" s="109">
        <f t="shared" si="20"/>
        <v>0</v>
      </c>
      <c r="BS65" s="109">
        <f t="shared" si="21"/>
        <v>0</v>
      </c>
      <c r="BT65" s="109">
        <f t="shared" si="22"/>
        <v>0</v>
      </c>
      <c r="BU65" s="109">
        <f t="shared" si="23"/>
        <v>0</v>
      </c>
      <c r="BV65" s="128"/>
      <c r="BW65" s="109"/>
      <c r="BX65" s="128"/>
      <c r="BY65" s="99"/>
      <c r="BZ65" s="99"/>
      <c r="CA65" s="99"/>
    </row>
    <row r="66" spans="1:79" x14ac:dyDescent="0.25">
      <c r="A66" s="101">
        <f t="shared" si="53"/>
        <v>37622</v>
      </c>
      <c r="B66" s="102">
        <f t="shared" si="24"/>
        <v>3.6019999999999999</v>
      </c>
      <c r="C66" s="102">
        <f t="shared" si="1"/>
        <v>-5.7500000000000002E-2</v>
      </c>
      <c r="D66" s="103">
        <v>0</v>
      </c>
      <c r="E66" s="81" t="e">
        <f>D66+B66+C66+#REF!</f>
        <v>#REF!</v>
      </c>
      <c r="F66" s="104">
        <f t="shared" si="25"/>
        <v>3.6</v>
      </c>
      <c r="G66" s="104">
        <f t="shared" si="2"/>
        <v>3.8</v>
      </c>
      <c r="H66" s="80">
        <f t="shared" si="26"/>
        <v>28</v>
      </c>
      <c r="I66" s="80" t="e">
        <f>IF(#REF!=1,VLOOKUP($A66,SkewTable,HLOOKUP(ROUND(F66-$E66,1),SkewTable,2,FALSE),FALSE)/100,0)</f>
        <v>#REF!</v>
      </c>
      <c r="J66" s="80" t="e">
        <f>IF(#REF!=1,VLOOKUP($A66,SkewTable,HLOOKUP(ROUND(G66-$E66,1),SkewTable,2,FALSE),FALSE)/100,0)</f>
        <v>#REF!</v>
      </c>
      <c r="K66" s="80" t="e">
        <f>($H66+I66+#REF!)*#REF!</f>
        <v>#REF!</v>
      </c>
      <c r="L66" s="80" t="e">
        <f>($H66+J66+#REF!)*#REF!</f>
        <v>#REF!</v>
      </c>
      <c r="M66" s="81"/>
      <c r="N66" s="81"/>
      <c r="O66" s="105" t="e">
        <f>IF(B$20=1,VLOOKUP(A66,expiration,2,FALSE),VLOOKUP(A66,expiration,3,FALSE))-B$22+#REF!</f>
        <v>#REF!</v>
      </c>
      <c r="P66" s="80">
        <f t="shared" si="27"/>
        <v>6.9095762126817992E-2</v>
      </c>
      <c r="Q66" s="106"/>
      <c r="R66" s="107">
        <f t="shared" si="28"/>
        <v>0</v>
      </c>
      <c r="S66" s="107">
        <f t="shared" si="3"/>
        <v>0</v>
      </c>
      <c r="T66" s="107">
        <f t="shared" si="4"/>
        <v>0</v>
      </c>
      <c r="U66" s="107">
        <f t="shared" si="5"/>
        <v>0</v>
      </c>
      <c r="V66" s="107">
        <f t="shared" si="6"/>
        <v>0</v>
      </c>
      <c r="W66" s="107">
        <f t="shared" si="7"/>
        <v>0</v>
      </c>
      <c r="X66" s="107">
        <f t="shared" si="8"/>
        <v>0</v>
      </c>
      <c r="Y66" s="107">
        <f t="shared" si="9"/>
        <v>0</v>
      </c>
      <c r="Z66" s="107">
        <f t="shared" si="10"/>
        <v>0</v>
      </c>
      <c r="AA66" s="107">
        <f t="shared" si="11"/>
        <v>0</v>
      </c>
      <c r="AC66" s="101">
        <f t="shared" si="54"/>
        <v>37622</v>
      </c>
      <c r="AD66" s="82">
        <f t="shared" si="29"/>
        <v>0</v>
      </c>
      <c r="AE66" s="101">
        <f t="shared" si="30"/>
        <v>0</v>
      </c>
      <c r="AF66" s="102">
        <f t="shared" si="31"/>
        <v>3.6019999999999999</v>
      </c>
      <c r="AG66" s="102">
        <f t="shared" si="32"/>
        <v>-5.7500000000000002E-2</v>
      </c>
      <c r="AH66" s="102">
        <f t="shared" si="33"/>
        <v>0</v>
      </c>
      <c r="AI66" s="102">
        <f t="shared" si="34"/>
        <v>0</v>
      </c>
      <c r="AJ66" s="80">
        <f t="shared" si="35"/>
        <v>28</v>
      </c>
      <c r="AK66" s="165">
        <f t="shared" si="36"/>
        <v>0</v>
      </c>
      <c r="AL66" s="165"/>
      <c r="AM66" s="101">
        <f t="shared" si="55"/>
        <v>37622</v>
      </c>
      <c r="AN66" s="82">
        <f t="shared" si="37"/>
        <v>0</v>
      </c>
      <c r="AO66" s="101">
        <f t="shared" si="38"/>
        <v>0</v>
      </c>
      <c r="AP66" s="102">
        <f t="shared" si="39"/>
        <v>3.6019999999999999</v>
      </c>
      <c r="AQ66" s="102">
        <f t="shared" si="40"/>
        <v>-5.7500000000000002E-2</v>
      </c>
      <c r="AR66" s="102">
        <f t="shared" si="41"/>
        <v>0</v>
      </c>
      <c r="AS66" s="102">
        <f t="shared" si="42"/>
        <v>0</v>
      </c>
      <c r="AT66" s="80">
        <f t="shared" si="43"/>
        <v>28</v>
      </c>
      <c r="AU66" s="165">
        <f t="shared" si="44"/>
        <v>0</v>
      </c>
      <c r="AV66" s="102"/>
      <c r="AW66" s="101">
        <f t="shared" si="56"/>
        <v>37742</v>
      </c>
      <c r="AX66" s="82">
        <f t="shared" si="45"/>
        <v>31</v>
      </c>
      <c r="AY66" s="101">
        <f t="shared" si="46"/>
        <v>37742</v>
      </c>
      <c r="AZ66" s="102">
        <f t="shared" si="47"/>
        <v>3.097</v>
      </c>
      <c r="BA66" s="102">
        <f t="shared" si="48"/>
        <v>1.4999999999999999E-2</v>
      </c>
      <c r="BB66" s="102">
        <f t="shared" si="49"/>
        <v>96.007000000000005</v>
      </c>
      <c r="BC66" s="102">
        <f t="shared" si="50"/>
        <v>0.46499999999999997</v>
      </c>
      <c r="BD66" s="80">
        <f t="shared" si="51"/>
        <v>32</v>
      </c>
      <c r="BE66" s="165">
        <f t="shared" si="52"/>
        <v>992</v>
      </c>
      <c r="BF66" s="165"/>
      <c r="BG66" s="165"/>
      <c r="BH66" s="77">
        <f t="shared" si="12"/>
        <v>0</v>
      </c>
      <c r="BI66" s="108" t="e">
        <f t="shared" si="13"/>
        <v>#REF!</v>
      </c>
      <c r="BJ66" s="109">
        <f t="shared" si="14"/>
        <v>0</v>
      </c>
      <c r="BK66" s="109">
        <f t="shared" si="15"/>
        <v>0</v>
      </c>
      <c r="BL66" s="109">
        <f t="shared" si="16"/>
        <v>0</v>
      </c>
      <c r="BM66" s="109">
        <f t="shared" si="17"/>
        <v>0</v>
      </c>
      <c r="BN66" s="109">
        <f t="shared" si="18"/>
        <v>0</v>
      </c>
      <c r="BP66" s="108"/>
      <c r="BQ66" s="109">
        <f t="shared" si="19"/>
        <v>0</v>
      </c>
      <c r="BR66" s="109">
        <f t="shared" si="20"/>
        <v>0</v>
      </c>
      <c r="BS66" s="109">
        <f t="shared" si="21"/>
        <v>0</v>
      </c>
      <c r="BT66" s="109">
        <f t="shared" si="22"/>
        <v>0</v>
      </c>
      <c r="BU66" s="109">
        <f t="shared" si="23"/>
        <v>0</v>
      </c>
      <c r="BV66" s="128"/>
      <c r="BW66" s="109"/>
      <c r="BX66" s="128"/>
      <c r="BY66" s="99"/>
      <c r="BZ66" s="99"/>
      <c r="CA66" s="99"/>
    </row>
    <row r="67" spans="1:79" x14ac:dyDescent="0.25">
      <c r="A67" s="101">
        <f t="shared" si="53"/>
        <v>37653</v>
      </c>
      <c r="B67" s="102">
        <f t="shared" si="24"/>
        <v>3.46</v>
      </c>
      <c r="C67" s="102">
        <f t="shared" si="1"/>
        <v>-0.04</v>
      </c>
      <c r="D67" s="103">
        <v>0</v>
      </c>
      <c r="E67" s="81" t="e">
        <f>D67+B67+C67+#REF!</f>
        <v>#REF!</v>
      </c>
      <c r="F67" s="104">
        <f t="shared" si="25"/>
        <v>3.6</v>
      </c>
      <c r="G67" s="104">
        <f t="shared" si="2"/>
        <v>3.8</v>
      </c>
      <c r="H67" s="80">
        <f t="shared" si="26"/>
        <v>29</v>
      </c>
      <c r="I67" s="80" t="e">
        <f>IF(#REF!=1,VLOOKUP($A67,SkewTable,HLOOKUP(ROUND(F67-$E67,1),SkewTable,2,FALSE),FALSE)/100,0)</f>
        <v>#REF!</v>
      </c>
      <c r="J67" s="80" t="e">
        <f>IF(#REF!=1,VLOOKUP($A67,SkewTable,HLOOKUP(ROUND(G67-$E67,1),SkewTable,2,FALSE),FALSE)/100,0)</f>
        <v>#REF!</v>
      </c>
      <c r="K67" s="80" t="e">
        <f>($H67+I67+#REF!)*#REF!</f>
        <v>#REF!</v>
      </c>
      <c r="L67" s="80" t="e">
        <f>($H67+J67+#REF!)*#REF!</f>
        <v>#REF!</v>
      </c>
      <c r="M67" s="81"/>
      <c r="N67" s="81"/>
      <c r="O67" s="105" t="e">
        <f>IF(B$20=1,VLOOKUP(A67,expiration,2,FALSE),VLOOKUP(A67,expiration,3,FALSE))-B$22+#REF!</f>
        <v>#REF!</v>
      </c>
      <c r="P67" s="80">
        <f t="shared" si="27"/>
        <v>6.9109537327938009E-2</v>
      </c>
      <c r="Q67" s="106"/>
      <c r="R67" s="107">
        <f t="shared" si="28"/>
        <v>0</v>
      </c>
      <c r="S67" s="107">
        <f t="shared" si="3"/>
        <v>0</v>
      </c>
      <c r="T67" s="107">
        <f t="shared" si="4"/>
        <v>0</v>
      </c>
      <c r="U67" s="107">
        <f t="shared" si="5"/>
        <v>0</v>
      </c>
      <c r="V67" s="107">
        <f t="shared" si="6"/>
        <v>0</v>
      </c>
      <c r="W67" s="107">
        <f t="shared" si="7"/>
        <v>0</v>
      </c>
      <c r="X67" s="107">
        <f t="shared" si="8"/>
        <v>0</v>
      </c>
      <c r="Y67" s="107">
        <f t="shared" si="9"/>
        <v>0</v>
      </c>
      <c r="Z67" s="107">
        <f t="shared" si="10"/>
        <v>0</v>
      </c>
      <c r="AA67" s="107">
        <f t="shared" si="11"/>
        <v>0</v>
      </c>
      <c r="AC67" s="101">
        <f t="shared" si="54"/>
        <v>37653</v>
      </c>
      <c r="AD67" s="82">
        <f t="shared" si="29"/>
        <v>0</v>
      </c>
      <c r="AE67" s="101">
        <f t="shared" si="30"/>
        <v>0</v>
      </c>
      <c r="AF67" s="102">
        <f t="shared" si="31"/>
        <v>3.46</v>
      </c>
      <c r="AG67" s="102">
        <f t="shared" si="32"/>
        <v>-0.04</v>
      </c>
      <c r="AH67" s="102">
        <f t="shared" si="33"/>
        <v>0</v>
      </c>
      <c r="AI67" s="102">
        <f t="shared" si="34"/>
        <v>0</v>
      </c>
      <c r="AJ67" s="80">
        <f t="shared" si="35"/>
        <v>29</v>
      </c>
      <c r="AK67" s="165">
        <f t="shared" si="36"/>
        <v>0</v>
      </c>
      <c r="AL67" s="165"/>
      <c r="AM67" s="101">
        <f t="shared" si="55"/>
        <v>37653</v>
      </c>
      <c r="AN67" s="82">
        <f t="shared" si="37"/>
        <v>0</v>
      </c>
      <c r="AO67" s="101">
        <f t="shared" si="38"/>
        <v>0</v>
      </c>
      <c r="AP67" s="102">
        <f t="shared" si="39"/>
        <v>3.46</v>
      </c>
      <c r="AQ67" s="102">
        <f t="shared" si="40"/>
        <v>-0.04</v>
      </c>
      <c r="AR67" s="102">
        <f t="shared" si="41"/>
        <v>0</v>
      </c>
      <c r="AS67" s="102">
        <f t="shared" si="42"/>
        <v>0</v>
      </c>
      <c r="AT67" s="80">
        <f t="shared" si="43"/>
        <v>29</v>
      </c>
      <c r="AU67" s="165">
        <f t="shared" si="44"/>
        <v>0</v>
      </c>
      <c r="AV67" s="102"/>
      <c r="AW67" s="101">
        <f t="shared" si="56"/>
        <v>37773</v>
      </c>
      <c r="AX67" s="82">
        <f t="shared" si="45"/>
        <v>30</v>
      </c>
      <c r="AY67" s="101">
        <f t="shared" si="46"/>
        <v>37773</v>
      </c>
      <c r="AZ67" s="102">
        <f t="shared" si="47"/>
        <v>3.117</v>
      </c>
      <c r="BA67" s="102">
        <f t="shared" si="48"/>
        <v>0.02</v>
      </c>
      <c r="BB67" s="102">
        <f t="shared" si="49"/>
        <v>93.51</v>
      </c>
      <c r="BC67" s="102">
        <f t="shared" si="50"/>
        <v>0.6</v>
      </c>
      <c r="BD67" s="80">
        <f t="shared" si="51"/>
        <v>33</v>
      </c>
      <c r="BE67" s="165">
        <f t="shared" si="52"/>
        <v>990</v>
      </c>
      <c r="BF67" s="165"/>
      <c r="BG67" s="165"/>
      <c r="BH67" s="77">
        <f t="shared" si="12"/>
        <v>0</v>
      </c>
      <c r="BI67" s="108" t="e">
        <f t="shared" si="13"/>
        <v>#REF!</v>
      </c>
      <c r="BJ67" s="109">
        <f t="shared" si="14"/>
        <v>0</v>
      </c>
      <c r="BK67" s="109">
        <f t="shared" si="15"/>
        <v>0</v>
      </c>
      <c r="BL67" s="109">
        <f t="shared" si="16"/>
        <v>0</v>
      </c>
      <c r="BM67" s="109">
        <f t="shared" si="17"/>
        <v>0</v>
      </c>
      <c r="BN67" s="109">
        <f t="shared" si="18"/>
        <v>0</v>
      </c>
      <c r="BP67" s="108"/>
      <c r="BQ67" s="109">
        <f t="shared" si="19"/>
        <v>0</v>
      </c>
      <c r="BR67" s="109">
        <f t="shared" si="20"/>
        <v>0</v>
      </c>
      <c r="BS67" s="109">
        <f t="shared" si="21"/>
        <v>0</v>
      </c>
      <c r="BT67" s="109">
        <f t="shared" si="22"/>
        <v>0</v>
      </c>
      <c r="BU67" s="109">
        <f t="shared" si="23"/>
        <v>0</v>
      </c>
      <c r="BV67" s="128"/>
      <c r="BW67" s="109"/>
      <c r="BX67" s="128"/>
      <c r="BY67" s="99"/>
      <c r="BZ67" s="99"/>
      <c r="CA67" s="99"/>
    </row>
    <row r="68" spans="1:79" x14ac:dyDescent="0.25">
      <c r="A68" s="101">
        <f t="shared" si="53"/>
        <v>37681</v>
      </c>
      <c r="B68" s="115"/>
      <c r="C68" s="134"/>
      <c r="E68" s="112"/>
      <c r="F68" s="112"/>
      <c r="G68" s="112"/>
      <c r="H68" s="113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83"/>
      <c r="U68" s="83"/>
      <c r="V68" s="83"/>
      <c r="W68" s="83"/>
      <c r="X68" s="83"/>
      <c r="Y68" s="83"/>
      <c r="Z68" s="83"/>
      <c r="AA68" s="83"/>
      <c r="AB68" s="83"/>
      <c r="AC68" s="101">
        <f t="shared" si="54"/>
        <v>37681</v>
      </c>
      <c r="AD68" s="83"/>
      <c r="AE68" s="84"/>
      <c r="AF68" s="83"/>
      <c r="AG68" s="83"/>
      <c r="AH68" s="83"/>
      <c r="AI68" s="83"/>
      <c r="AJ68" s="83"/>
      <c r="AK68" s="83"/>
      <c r="AL68" s="83"/>
      <c r="AM68" s="101">
        <f t="shared" si="55"/>
        <v>37681</v>
      </c>
      <c r="AN68" s="83"/>
      <c r="AO68" s="84"/>
      <c r="AP68" s="83"/>
      <c r="AQ68" s="83"/>
      <c r="AR68" s="83"/>
      <c r="AS68" s="83"/>
      <c r="AT68" s="83"/>
      <c r="AU68" s="83"/>
      <c r="AV68" s="83"/>
      <c r="AW68" s="101">
        <f t="shared" si="56"/>
        <v>37803</v>
      </c>
      <c r="AX68" s="83"/>
      <c r="AY68" s="84"/>
      <c r="AZ68" s="83"/>
      <c r="BA68" s="83"/>
      <c r="BB68" s="83"/>
      <c r="BC68" s="83"/>
      <c r="BD68" s="83"/>
      <c r="BE68" s="83"/>
      <c r="BF68" s="83"/>
      <c r="BG68" s="83"/>
    </row>
    <row r="69" spans="1:79" x14ac:dyDescent="0.25">
      <c r="A69" s="110"/>
      <c r="B69" s="115"/>
      <c r="C69" s="134"/>
      <c r="E69" s="112"/>
      <c r="F69" s="112"/>
      <c r="G69" s="112"/>
      <c r="H69" s="113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83"/>
      <c r="U69" s="83"/>
      <c r="V69" s="83"/>
      <c r="W69" s="83"/>
      <c r="X69" s="83"/>
      <c r="Y69" s="83"/>
      <c r="Z69" s="83"/>
      <c r="AA69" s="83"/>
      <c r="AB69" s="83"/>
      <c r="AC69" s="84"/>
      <c r="AD69" s="83"/>
      <c r="AE69" s="84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</row>
    <row r="70" spans="1:79" x14ac:dyDescent="0.25">
      <c r="A70" s="110"/>
      <c r="B70" s="115"/>
      <c r="C70" s="134"/>
      <c r="E70" s="112"/>
      <c r="F70" s="112"/>
      <c r="G70" s="112"/>
      <c r="H70" s="113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83"/>
      <c r="U70" s="83"/>
      <c r="V70" s="83"/>
      <c r="W70" s="83"/>
      <c r="X70" s="83"/>
      <c r="Y70" s="83"/>
      <c r="Z70" s="83"/>
      <c r="AA70" s="83"/>
      <c r="AB70" s="83"/>
      <c r="AC70" s="84"/>
      <c r="AD70" s="83"/>
      <c r="AE70" s="84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</row>
    <row r="71" spans="1:79" x14ac:dyDescent="0.25">
      <c r="A71" s="110"/>
      <c r="B71" s="115"/>
      <c r="C71" s="134"/>
      <c r="E71" s="112"/>
      <c r="F71" s="112"/>
      <c r="G71" s="112"/>
      <c r="H71" s="113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83"/>
      <c r="U71" s="83"/>
      <c r="V71" s="83"/>
      <c r="W71" s="83"/>
      <c r="X71" s="83"/>
      <c r="Y71" s="83"/>
      <c r="Z71" s="83"/>
      <c r="AA71" s="83"/>
      <c r="AB71" s="83"/>
      <c r="AC71" s="84"/>
      <c r="AD71" s="83"/>
      <c r="AE71" s="84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</row>
    <row r="72" spans="1:79" x14ac:dyDescent="0.25">
      <c r="A72" s="110"/>
      <c r="B72" s="115"/>
      <c r="C72" s="134"/>
      <c r="E72" s="112"/>
      <c r="F72" s="112"/>
      <c r="G72" s="112"/>
      <c r="H72" s="113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83"/>
      <c r="U72" s="83"/>
      <c r="V72" s="83"/>
      <c r="W72" s="83"/>
      <c r="X72" s="83"/>
      <c r="Y72" s="83"/>
      <c r="Z72" s="83"/>
      <c r="AA72" s="83"/>
      <c r="AB72" s="83"/>
      <c r="AC72" s="84"/>
      <c r="AD72" s="83"/>
      <c r="AE72" s="84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</row>
    <row r="73" spans="1:79" x14ac:dyDescent="0.25">
      <c r="A73" s="110"/>
      <c r="B73" s="115"/>
      <c r="C73" s="134"/>
      <c r="E73" s="112"/>
      <c r="F73" s="112"/>
      <c r="G73" s="112"/>
      <c r="H73" s="113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83"/>
      <c r="U73" s="83"/>
      <c r="V73" s="83"/>
      <c r="W73" s="83"/>
      <c r="X73" s="83"/>
      <c r="Y73" s="83"/>
      <c r="Z73" s="83"/>
      <c r="AA73" s="83"/>
      <c r="AB73" s="83"/>
      <c r="AC73" s="84"/>
      <c r="AD73" s="83"/>
      <c r="AE73" s="84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</row>
    <row r="74" spans="1:79" x14ac:dyDescent="0.25">
      <c r="A74" s="110"/>
      <c r="B74" s="115"/>
      <c r="C74" s="134"/>
      <c r="E74" s="112"/>
      <c r="F74" s="112"/>
      <c r="G74" s="112"/>
      <c r="H74" s="113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83"/>
      <c r="U74" s="83"/>
      <c r="V74" s="83"/>
      <c r="W74" s="83"/>
      <c r="X74" s="83"/>
      <c r="Y74" s="83"/>
      <c r="Z74" s="83"/>
      <c r="AA74" s="83"/>
      <c r="AB74" s="83"/>
      <c r="AC74" s="84"/>
      <c r="AD74" s="83"/>
      <c r="AE74" s="84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</row>
    <row r="75" spans="1:79" x14ac:dyDescent="0.25">
      <c r="A75" s="110"/>
      <c r="B75" s="115"/>
      <c r="C75" s="134"/>
      <c r="E75" s="112"/>
      <c r="F75" s="112"/>
      <c r="G75" s="112"/>
      <c r="H75" s="113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83"/>
      <c r="U75" s="83"/>
      <c r="V75" s="83"/>
      <c r="W75" s="83"/>
      <c r="X75" s="83"/>
      <c r="Y75" s="83"/>
      <c r="Z75" s="83"/>
      <c r="AA75" s="83"/>
      <c r="AB75" s="83"/>
      <c r="AC75" s="84"/>
      <c r="AD75" s="83"/>
      <c r="AE75" s="84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</row>
    <row r="76" spans="1:79" x14ac:dyDescent="0.25">
      <c r="A76" s="110"/>
      <c r="B76" s="115"/>
      <c r="C76" s="134"/>
      <c r="E76" s="112"/>
      <c r="F76" s="112"/>
      <c r="G76" s="112"/>
      <c r="H76" s="113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83"/>
      <c r="U76" s="83"/>
      <c r="V76" s="83"/>
      <c r="W76" s="83"/>
      <c r="X76" s="83"/>
      <c r="Y76" s="83"/>
      <c r="Z76" s="83"/>
      <c r="AA76" s="83"/>
      <c r="AB76" s="83"/>
      <c r="AC76" s="84"/>
      <c r="AD76" s="83"/>
      <c r="AE76" s="84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</row>
    <row r="77" spans="1:79" x14ac:dyDescent="0.25">
      <c r="A77" s="110"/>
      <c r="B77" s="115"/>
      <c r="C77" s="134"/>
      <c r="E77" s="112"/>
      <c r="F77" s="112"/>
      <c r="G77" s="112"/>
      <c r="H77" s="113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83"/>
      <c r="U77" s="83"/>
      <c r="V77" s="83" t="s">
        <v>42</v>
      </c>
      <c r="W77" s="83"/>
      <c r="X77" s="83"/>
      <c r="Y77" s="83"/>
      <c r="Z77" s="83"/>
      <c r="AA77" s="83"/>
      <c r="AB77" s="83"/>
      <c r="AC77" s="84"/>
      <c r="AD77" s="83"/>
      <c r="AE77" s="84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</row>
    <row r="78" spans="1:79" x14ac:dyDescent="0.25">
      <c r="A78" s="110"/>
      <c r="B78" s="115"/>
      <c r="C78" s="134"/>
      <c r="E78" s="112"/>
      <c r="F78" s="112"/>
      <c r="G78" s="112"/>
      <c r="H78" s="113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83"/>
      <c r="U78" s="83"/>
      <c r="V78" s="83" t="s">
        <v>43</v>
      </c>
      <c r="W78" s="83"/>
      <c r="X78" s="83"/>
      <c r="Y78" s="83"/>
      <c r="Z78" s="83"/>
      <c r="AA78" s="83"/>
      <c r="AB78" s="83"/>
      <c r="AC78" s="84"/>
      <c r="AD78" s="83"/>
      <c r="AE78" s="84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</row>
    <row r="79" spans="1:79" x14ac:dyDescent="0.25">
      <c r="A79" s="116"/>
      <c r="E79" s="79"/>
      <c r="F79" s="79"/>
      <c r="G79" s="79"/>
      <c r="H79" s="113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83"/>
      <c r="U79" s="83"/>
      <c r="V79" s="83"/>
      <c r="W79" s="83"/>
      <c r="X79" s="83"/>
      <c r="Y79" s="83"/>
      <c r="Z79" s="83"/>
      <c r="AA79" s="83"/>
      <c r="AB79" s="83"/>
      <c r="AC79" s="84"/>
      <c r="AD79" s="83"/>
      <c r="AE79" s="84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</row>
    <row r="80" spans="1:79" x14ac:dyDescent="0.25">
      <c r="A80" s="110"/>
      <c r="B80" s="115"/>
      <c r="C80" s="134"/>
      <c r="E80" s="112"/>
      <c r="F80" s="112"/>
      <c r="G80" s="112"/>
      <c r="H80" s="113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83"/>
      <c r="U80" s="83"/>
      <c r="V80" s="83"/>
      <c r="W80" s="83"/>
      <c r="X80" s="83"/>
      <c r="Y80" s="83"/>
      <c r="Z80" s="83"/>
      <c r="AA80" s="83"/>
      <c r="AB80" s="83"/>
      <c r="AC80" s="84"/>
      <c r="AD80" s="83"/>
      <c r="AE80" s="84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</row>
    <row r="81" spans="2:59" x14ac:dyDescent="0.25">
      <c r="B81" s="117"/>
      <c r="C81" s="120"/>
      <c r="D81" s="118"/>
      <c r="E81" s="111"/>
      <c r="F81" s="111"/>
      <c r="G81" s="111"/>
      <c r="H81" s="112"/>
      <c r="I81" s="119"/>
      <c r="J81" s="119"/>
      <c r="K81" s="119"/>
      <c r="L81" s="119"/>
      <c r="M81" s="119"/>
      <c r="N81" s="114"/>
      <c r="O81" s="111"/>
      <c r="P81" s="111"/>
      <c r="Q81" s="114"/>
      <c r="R81" s="114"/>
      <c r="S81" s="114"/>
      <c r="T81" s="114"/>
      <c r="U81" s="83"/>
      <c r="V81" s="83"/>
      <c r="W81" s="83"/>
      <c r="X81" s="83"/>
      <c r="Y81" s="83"/>
      <c r="Z81" s="83"/>
      <c r="AA81" s="83"/>
      <c r="AB81" s="83"/>
      <c r="AC81" s="84"/>
      <c r="AD81" s="83"/>
      <c r="AE81" s="84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</row>
    <row r="82" spans="2:59" x14ac:dyDescent="0.25">
      <c r="B82" s="117"/>
      <c r="C82" s="120"/>
      <c r="D82" s="118"/>
      <c r="E82" s="111"/>
      <c r="F82" s="111"/>
      <c r="G82" s="111"/>
      <c r="H82" s="112"/>
      <c r="I82" s="119"/>
      <c r="J82" s="119"/>
      <c r="K82" s="119"/>
      <c r="L82" s="119"/>
      <c r="M82" s="119"/>
      <c r="N82" s="114"/>
      <c r="O82" s="111"/>
      <c r="P82" s="111"/>
      <c r="Q82" s="114"/>
      <c r="R82" s="114"/>
      <c r="S82" s="114"/>
      <c r="T82" s="114"/>
      <c r="U82" s="83"/>
      <c r="V82" s="83"/>
      <c r="W82" s="83"/>
      <c r="X82" s="83"/>
      <c r="Y82" s="83"/>
      <c r="Z82" s="83"/>
      <c r="AA82" s="83"/>
      <c r="AB82" s="83"/>
      <c r="AC82" s="84"/>
      <c r="AD82" s="83"/>
      <c r="AE82" s="84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</row>
    <row r="83" spans="2:59" x14ac:dyDescent="0.25">
      <c r="B83" s="117"/>
      <c r="C83" s="120"/>
      <c r="D83" s="118"/>
      <c r="E83" s="111"/>
      <c r="F83" s="111"/>
      <c r="G83" s="111"/>
      <c r="H83" s="112"/>
      <c r="I83" s="119"/>
      <c r="J83" s="119"/>
      <c r="K83" s="119"/>
      <c r="L83" s="119"/>
      <c r="M83" s="119"/>
      <c r="N83" s="114"/>
      <c r="O83" s="111"/>
      <c r="P83" s="111"/>
      <c r="Q83" s="114"/>
      <c r="R83" s="114"/>
      <c r="S83" s="114"/>
      <c r="T83" s="114"/>
      <c r="U83" s="83"/>
      <c r="V83" s="83"/>
      <c r="W83" s="83"/>
      <c r="X83" s="83"/>
      <c r="Y83" s="83"/>
      <c r="Z83" s="83"/>
      <c r="AA83" s="83"/>
      <c r="AB83" s="83"/>
      <c r="AC83" s="84"/>
      <c r="AD83" s="83"/>
      <c r="AE83" s="84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</row>
    <row r="84" spans="2:59" x14ac:dyDescent="0.25">
      <c r="B84" s="117"/>
      <c r="C84" s="120"/>
      <c r="D84" s="118"/>
      <c r="E84" s="111"/>
      <c r="F84" s="111"/>
      <c r="G84" s="111"/>
      <c r="H84" s="112"/>
      <c r="I84" s="119"/>
      <c r="J84" s="119"/>
      <c r="K84" s="119"/>
      <c r="L84" s="119"/>
      <c r="M84" s="119"/>
      <c r="N84" s="114"/>
      <c r="O84" s="111"/>
      <c r="P84" s="111"/>
      <c r="Q84" s="114"/>
      <c r="R84" s="114"/>
      <c r="S84" s="114"/>
      <c r="T84" s="114"/>
      <c r="U84" s="83"/>
      <c r="V84" s="83"/>
      <c r="W84" s="83"/>
      <c r="X84" s="83"/>
      <c r="Y84" s="83"/>
      <c r="Z84" s="83"/>
      <c r="AA84" s="83"/>
      <c r="AB84" s="83"/>
      <c r="AC84" s="84"/>
      <c r="AD84" s="83"/>
      <c r="AE84" s="84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</row>
    <row r="85" spans="2:59" x14ac:dyDescent="0.25">
      <c r="B85" s="117"/>
      <c r="C85" s="120"/>
      <c r="D85" s="118"/>
      <c r="E85" s="111"/>
      <c r="F85" s="111"/>
      <c r="G85" s="111"/>
      <c r="H85" s="112"/>
      <c r="I85" s="119"/>
      <c r="J85" s="119"/>
      <c r="K85" s="119"/>
      <c r="L85" s="119"/>
      <c r="M85" s="119"/>
      <c r="N85" s="114"/>
      <c r="O85" s="111"/>
      <c r="P85" s="111"/>
      <c r="Q85" s="114"/>
      <c r="R85" s="114"/>
      <c r="S85" s="114"/>
      <c r="T85" s="114"/>
      <c r="U85" s="83"/>
      <c r="V85" s="83"/>
      <c r="W85" s="83"/>
      <c r="X85" s="83"/>
      <c r="Y85" s="83"/>
      <c r="Z85" s="83"/>
      <c r="AA85" s="83"/>
      <c r="AB85" s="83"/>
      <c r="AC85" s="84"/>
      <c r="AD85" s="83"/>
      <c r="AE85" s="84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</row>
    <row r="86" spans="2:59" x14ac:dyDescent="0.25">
      <c r="B86" s="117"/>
      <c r="C86" s="120"/>
      <c r="D86" s="118"/>
      <c r="E86" s="111"/>
      <c r="F86" s="111"/>
      <c r="G86" s="111"/>
      <c r="H86" s="112"/>
      <c r="I86" s="119"/>
      <c r="J86" s="119"/>
      <c r="K86" s="119"/>
      <c r="L86" s="119"/>
      <c r="M86" s="119"/>
      <c r="N86" s="114"/>
      <c r="O86" s="111"/>
      <c r="P86" s="111"/>
      <c r="Q86" s="114"/>
      <c r="R86" s="114"/>
      <c r="S86" s="114"/>
      <c r="T86" s="114"/>
      <c r="U86" s="83"/>
      <c r="V86" s="83"/>
      <c r="W86" s="83"/>
      <c r="X86" s="83"/>
      <c r="Y86" s="83"/>
      <c r="Z86" s="83"/>
      <c r="AA86" s="83"/>
      <c r="AB86" s="83"/>
      <c r="AC86" s="84"/>
      <c r="AD86" s="83"/>
      <c r="AE86" s="84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</row>
    <row r="87" spans="2:59" x14ac:dyDescent="0.25">
      <c r="B87" s="117"/>
      <c r="C87" s="120"/>
      <c r="D87" s="118"/>
      <c r="E87" s="111"/>
      <c r="F87" s="111"/>
      <c r="G87" s="111"/>
      <c r="H87" s="112"/>
      <c r="I87" s="119"/>
      <c r="J87" s="119"/>
      <c r="K87" s="119"/>
      <c r="L87" s="119"/>
      <c r="M87" s="119"/>
      <c r="N87" s="114"/>
      <c r="O87" s="111"/>
      <c r="P87" s="111"/>
      <c r="Q87" s="114"/>
      <c r="R87" s="114"/>
      <c r="S87" s="114"/>
      <c r="T87" s="114"/>
      <c r="U87" s="83"/>
      <c r="V87" s="83"/>
      <c r="W87" s="83"/>
      <c r="X87" s="83"/>
      <c r="Y87" s="83"/>
      <c r="Z87" s="83"/>
      <c r="AA87" s="83"/>
      <c r="AB87" s="83"/>
      <c r="AC87" s="84"/>
      <c r="AD87" s="83"/>
      <c r="AE87" s="84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</row>
    <row r="88" spans="2:59" x14ac:dyDescent="0.25">
      <c r="B88" s="117"/>
      <c r="C88" s="120"/>
      <c r="D88" s="118"/>
      <c r="E88" s="111"/>
      <c r="F88" s="111"/>
      <c r="G88" s="111"/>
      <c r="H88" s="112"/>
      <c r="I88" s="119"/>
      <c r="J88" s="119"/>
      <c r="K88" s="119"/>
      <c r="L88" s="119"/>
      <c r="M88" s="119"/>
      <c r="N88" s="114"/>
      <c r="O88" s="111"/>
      <c r="P88" s="111"/>
      <c r="Q88" s="114"/>
      <c r="R88" s="114"/>
      <c r="S88" s="114"/>
      <c r="T88" s="114"/>
      <c r="U88" s="83"/>
      <c r="V88" s="83"/>
      <c r="W88" s="83"/>
      <c r="X88" s="83"/>
      <c r="Y88" s="83"/>
      <c r="Z88" s="83"/>
      <c r="AA88" s="83"/>
      <c r="AB88" s="83"/>
      <c r="AC88" s="84"/>
      <c r="AD88" s="83"/>
      <c r="AE88" s="84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</row>
    <row r="89" spans="2:59" x14ac:dyDescent="0.25">
      <c r="B89" s="117"/>
      <c r="C89" s="120"/>
      <c r="D89" s="118"/>
      <c r="E89" s="111"/>
      <c r="F89" s="111"/>
      <c r="G89" s="111"/>
      <c r="H89" s="112"/>
      <c r="I89" s="119"/>
      <c r="J89" s="119"/>
      <c r="K89" s="119"/>
      <c r="L89" s="119"/>
      <c r="M89" s="119"/>
      <c r="N89" s="114"/>
      <c r="O89" s="111"/>
      <c r="P89" s="111"/>
      <c r="Q89" s="114"/>
      <c r="R89" s="114"/>
      <c r="S89" s="114"/>
      <c r="T89" s="114"/>
      <c r="U89" s="83"/>
      <c r="V89" s="83"/>
      <c r="W89" s="83"/>
      <c r="X89" s="83"/>
      <c r="Y89" s="83"/>
      <c r="Z89" s="83"/>
      <c r="AA89" s="83"/>
      <c r="AB89" s="83"/>
      <c r="AC89" s="84"/>
      <c r="AD89" s="83"/>
      <c r="AE89" s="84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</row>
    <row r="90" spans="2:59" x14ac:dyDescent="0.25">
      <c r="B90" s="117"/>
      <c r="C90" s="120"/>
      <c r="D90" s="118"/>
      <c r="E90" s="111"/>
      <c r="F90" s="111"/>
      <c r="G90" s="111"/>
      <c r="H90" s="112"/>
      <c r="I90" s="119"/>
      <c r="J90" s="119"/>
      <c r="K90" s="119"/>
      <c r="L90" s="119"/>
      <c r="M90" s="119"/>
      <c r="N90" s="114"/>
      <c r="O90" s="111"/>
      <c r="P90" s="111"/>
      <c r="Q90" s="114"/>
      <c r="R90" s="114"/>
      <c r="S90" s="114"/>
      <c r="T90" s="114"/>
      <c r="U90" s="83"/>
      <c r="V90" s="83"/>
      <c r="W90" s="83"/>
      <c r="X90" s="83"/>
      <c r="Y90" s="83"/>
      <c r="Z90" s="83"/>
      <c r="AA90" s="83"/>
      <c r="AB90" s="83"/>
      <c r="AC90" s="84"/>
      <c r="AD90" s="83"/>
      <c r="AE90" s="84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</row>
    <row r="91" spans="2:59" x14ac:dyDescent="0.25">
      <c r="B91" s="117"/>
      <c r="C91" s="120"/>
      <c r="D91" s="118"/>
      <c r="E91" s="111"/>
      <c r="F91" s="111"/>
      <c r="G91" s="111"/>
      <c r="H91" s="112"/>
      <c r="I91" s="119"/>
      <c r="J91" s="119"/>
      <c r="K91" s="119"/>
      <c r="L91" s="119"/>
      <c r="M91" s="119"/>
      <c r="N91" s="114"/>
      <c r="O91" s="111"/>
      <c r="P91" s="111"/>
      <c r="Q91" s="114"/>
      <c r="R91" s="114"/>
      <c r="S91" s="114"/>
      <c r="T91" s="114"/>
      <c r="U91" s="83"/>
      <c r="V91" s="83"/>
      <c r="W91" s="83"/>
      <c r="X91" s="83"/>
      <c r="Y91" s="83"/>
      <c r="Z91" s="83"/>
      <c r="AA91" s="83"/>
      <c r="AB91" s="83"/>
      <c r="AC91" s="84"/>
      <c r="AD91" s="83"/>
      <c r="AE91" s="84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</row>
    <row r="92" spans="2:59" x14ac:dyDescent="0.25">
      <c r="B92" s="117"/>
      <c r="C92" s="120"/>
      <c r="D92" s="118"/>
      <c r="E92" s="111"/>
      <c r="F92" s="111"/>
      <c r="G92" s="111"/>
      <c r="H92" s="112"/>
      <c r="I92" s="119"/>
      <c r="J92" s="119"/>
      <c r="K92" s="119"/>
      <c r="L92" s="119"/>
      <c r="M92" s="119"/>
      <c r="N92" s="114"/>
      <c r="O92" s="111"/>
      <c r="P92" s="111"/>
      <c r="Q92" s="114"/>
      <c r="R92" s="114"/>
      <c r="S92" s="114"/>
      <c r="T92" s="114"/>
      <c r="U92" s="83"/>
      <c r="V92" s="83"/>
      <c r="W92" s="83"/>
      <c r="X92" s="83"/>
      <c r="Y92" s="83"/>
      <c r="Z92" s="83"/>
      <c r="AA92" s="83"/>
      <c r="AB92" s="83"/>
      <c r="AC92" s="84"/>
      <c r="AD92" s="83"/>
      <c r="AE92" s="84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</row>
    <row r="93" spans="2:59" ht="13.8" thickBot="1" x14ac:dyDescent="0.3">
      <c r="B93" s="117"/>
      <c r="C93" s="120"/>
      <c r="D93" s="121"/>
      <c r="E93" s="111"/>
      <c r="F93" s="111"/>
      <c r="G93" s="111"/>
      <c r="H93" s="112"/>
      <c r="I93" s="119"/>
      <c r="J93" s="119"/>
      <c r="K93" s="119"/>
      <c r="L93" s="119"/>
      <c r="M93" s="119"/>
      <c r="N93" s="114"/>
      <c r="O93" s="114"/>
      <c r="P93" s="114"/>
      <c r="Q93" s="114"/>
      <c r="R93" s="114"/>
      <c r="S93" s="114"/>
      <c r="T93" s="114"/>
      <c r="U93" s="83"/>
      <c r="V93" s="83"/>
      <c r="W93" s="83"/>
      <c r="X93" s="83"/>
      <c r="Y93" s="83"/>
      <c r="Z93" s="83"/>
      <c r="AA93" s="83"/>
      <c r="AB93" s="83"/>
      <c r="AC93" s="84"/>
      <c r="AD93" s="83"/>
      <c r="AE93" s="84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</row>
    <row r="94" spans="2:59" x14ac:dyDescent="0.25">
      <c r="B94" s="117"/>
      <c r="C94" s="120"/>
      <c r="D94" s="122"/>
      <c r="E94" s="111"/>
      <c r="F94" s="111"/>
      <c r="G94" s="111"/>
      <c r="H94" s="112"/>
      <c r="I94" s="119"/>
      <c r="J94" s="119"/>
      <c r="K94" s="119"/>
      <c r="L94" s="119"/>
      <c r="M94" s="119"/>
      <c r="N94" s="114"/>
      <c r="O94" s="114"/>
      <c r="P94" s="114"/>
      <c r="Q94" s="114"/>
      <c r="R94" s="114"/>
      <c r="S94" s="114"/>
      <c r="T94" s="114"/>
      <c r="U94" s="83"/>
      <c r="V94" s="83"/>
      <c r="W94" s="83"/>
      <c r="X94" s="83"/>
      <c r="Y94" s="83"/>
      <c r="Z94" s="83"/>
      <c r="AA94" s="83"/>
      <c r="AB94" s="83"/>
      <c r="AC94" s="84"/>
      <c r="AD94" s="83"/>
      <c r="AE94" s="84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</row>
    <row r="95" spans="2:59" ht="13.8" thickBot="1" x14ac:dyDescent="0.3">
      <c r="B95" s="117"/>
      <c r="C95" s="120"/>
      <c r="D95" s="123"/>
      <c r="E95" s="111"/>
      <c r="F95" s="111"/>
      <c r="G95" s="111"/>
      <c r="H95" s="112"/>
      <c r="I95" s="119"/>
      <c r="J95" s="119"/>
      <c r="K95" s="119"/>
      <c r="L95" s="119"/>
      <c r="M95" s="119"/>
      <c r="N95" s="114"/>
      <c r="O95" s="114"/>
      <c r="P95" s="114"/>
      <c r="Q95" s="114"/>
      <c r="R95" s="114"/>
      <c r="S95" s="114"/>
      <c r="T95" s="114"/>
      <c r="U95" s="83"/>
      <c r="V95" s="83"/>
      <c r="W95" s="83"/>
      <c r="X95" s="83"/>
      <c r="Y95" s="83"/>
      <c r="Z95" s="83"/>
      <c r="AA95" s="83"/>
      <c r="AB95" s="83"/>
      <c r="AC95" s="84"/>
      <c r="AD95" s="83"/>
      <c r="AE95" s="84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</row>
    <row r="96" spans="2:59" ht="13.8" thickBot="1" x14ac:dyDescent="0.3">
      <c r="B96" s="124"/>
      <c r="C96" s="125"/>
      <c r="D96" s="123"/>
      <c r="E96" s="111"/>
      <c r="F96" s="111"/>
      <c r="G96" s="111"/>
      <c r="H96" s="112"/>
      <c r="I96" s="119"/>
      <c r="J96" s="119"/>
      <c r="K96" s="119"/>
      <c r="L96" s="119"/>
      <c r="M96" s="119"/>
      <c r="N96" s="114"/>
      <c r="O96" s="114"/>
      <c r="P96" s="114"/>
      <c r="Q96" s="114"/>
      <c r="R96" s="114"/>
      <c r="S96" s="114"/>
      <c r="T96" s="114"/>
      <c r="U96" s="83"/>
      <c r="V96" s="83"/>
      <c r="W96" s="83"/>
      <c r="X96" s="83"/>
      <c r="Y96" s="83"/>
      <c r="Z96" s="83"/>
      <c r="AA96" s="83"/>
      <c r="AB96" s="83"/>
      <c r="AC96" s="84"/>
      <c r="AD96" s="83"/>
      <c r="AE96" s="84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</row>
    <row r="97" spans="2:59" x14ac:dyDescent="0.25">
      <c r="B97" s="124"/>
      <c r="C97" s="125"/>
      <c r="D97" s="126"/>
      <c r="E97" s="111"/>
      <c r="F97" s="111"/>
      <c r="G97" s="111"/>
      <c r="H97" s="112"/>
      <c r="I97" s="119"/>
      <c r="J97" s="119"/>
      <c r="K97" s="119"/>
      <c r="L97" s="119"/>
      <c r="M97" s="119"/>
      <c r="N97" s="114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4"/>
      <c r="AD97" s="83"/>
      <c r="AE97" s="84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</row>
    <row r="98" spans="2:59" x14ac:dyDescent="0.25">
      <c r="B98" s="124"/>
      <c r="C98" s="125"/>
      <c r="D98" s="126"/>
      <c r="E98" s="111"/>
      <c r="F98" s="111"/>
      <c r="G98" s="111"/>
      <c r="H98" s="112"/>
      <c r="I98" s="119"/>
      <c r="J98" s="119"/>
      <c r="K98" s="119"/>
      <c r="L98" s="119"/>
      <c r="M98" s="119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4"/>
      <c r="AD98" s="83"/>
      <c r="AE98" s="84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</row>
    <row r="99" spans="2:59" x14ac:dyDescent="0.25">
      <c r="B99" s="124"/>
      <c r="C99" s="125"/>
      <c r="D99" s="126"/>
      <c r="E99" s="111"/>
      <c r="F99" s="111"/>
      <c r="G99" s="111"/>
      <c r="H99" s="112"/>
      <c r="I99" s="119"/>
      <c r="J99" s="119"/>
      <c r="K99" s="119"/>
      <c r="L99" s="119"/>
      <c r="M99" s="119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4"/>
      <c r="AD99" s="83"/>
      <c r="AE99" s="84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</row>
    <row r="100" spans="2:59" x14ac:dyDescent="0.25">
      <c r="B100" s="124"/>
      <c r="C100" s="125"/>
      <c r="D100" s="126"/>
      <c r="E100" s="111"/>
      <c r="F100" s="111"/>
      <c r="G100" s="111"/>
      <c r="H100" s="112"/>
      <c r="I100" s="119"/>
      <c r="J100" s="119"/>
      <c r="K100" s="119"/>
      <c r="L100" s="119"/>
      <c r="M100" s="119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4"/>
      <c r="AD100" s="83"/>
      <c r="AE100" s="84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</row>
    <row r="101" spans="2:59" x14ac:dyDescent="0.25">
      <c r="B101" s="124"/>
      <c r="C101" s="125"/>
      <c r="D101" s="126"/>
      <c r="E101" s="111"/>
      <c r="F101" s="111"/>
      <c r="G101" s="111"/>
      <c r="H101" s="112"/>
      <c r="I101" s="119"/>
      <c r="J101" s="119"/>
      <c r="K101" s="119"/>
      <c r="L101" s="119"/>
      <c r="M101" s="119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4"/>
      <c r="AD101" s="83"/>
      <c r="AE101" s="84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</row>
    <row r="102" spans="2:59" x14ac:dyDescent="0.25">
      <c r="B102" s="124"/>
      <c r="C102" s="125"/>
      <c r="D102" s="126"/>
      <c r="E102" s="111"/>
      <c r="F102" s="111"/>
      <c r="G102" s="111"/>
      <c r="H102" s="112"/>
      <c r="I102" s="119"/>
      <c r="J102" s="119"/>
      <c r="K102" s="119"/>
      <c r="L102" s="119"/>
      <c r="M102" s="119"/>
      <c r="N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4"/>
      <c r="AD102" s="83"/>
      <c r="AE102" s="84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</row>
    <row r="103" spans="2:59" x14ac:dyDescent="0.25">
      <c r="B103" s="124"/>
      <c r="C103" s="125"/>
      <c r="D103" s="126"/>
      <c r="E103" s="111"/>
      <c r="F103" s="111"/>
      <c r="G103" s="111"/>
      <c r="H103" s="112"/>
      <c r="I103" s="119"/>
      <c r="J103" s="119"/>
      <c r="K103" s="119"/>
      <c r="L103" s="119"/>
      <c r="M103" s="119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4"/>
      <c r="AD103" s="83"/>
      <c r="AE103" s="84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</row>
    <row r="104" spans="2:59" x14ac:dyDescent="0.25">
      <c r="B104" s="124"/>
      <c r="C104" s="125"/>
      <c r="D104" s="126"/>
      <c r="E104" s="111"/>
      <c r="F104" s="111"/>
      <c r="G104" s="111"/>
      <c r="H104" s="112"/>
      <c r="I104" s="119"/>
      <c r="J104" s="119"/>
      <c r="K104" s="119"/>
      <c r="L104" s="119"/>
      <c r="M104" s="119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4"/>
      <c r="AD104" s="83"/>
      <c r="AE104" s="84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</row>
    <row r="105" spans="2:59" x14ac:dyDescent="0.25">
      <c r="B105" s="124"/>
      <c r="C105" s="125"/>
      <c r="D105" s="126"/>
      <c r="E105" s="111"/>
      <c r="F105" s="111"/>
      <c r="G105" s="111"/>
      <c r="H105" s="112"/>
      <c r="I105" s="119"/>
      <c r="J105" s="119"/>
      <c r="K105" s="119"/>
      <c r="L105" s="119"/>
      <c r="M105" s="119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4"/>
      <c r="AD105" s="83"/>
      <c r="AE105" s="84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</row>
    <row r="106" spans="2:59" x14ac:dyDescent="0.25">
      <c r="B106" s="124"/>
      <c r="C106" s="125"/>
      <c r="D106" s="126"/>
      <c r="E106" s="111"/>
      <c r="F106" s="111"/>
      <c r="G106" s="111"/>
      <c r="H106" s="112"/>
      <c r="I106" s="119"/>
      <c r="J106" s="119"/>
      <c r="K106" s="119"/>
      <c r="L106" s="119"/>
      <c r="M106" s="119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4"/>
      <c r="AD106" s="83"/>
      <c r="AE106" s="84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</row>
    <row r="107" spans="2:59" x14ac:dyDescent="0.25">
      <c r="B107" s="124"/>
      <c r="C107" s="125"/>
      <c r="D107" s="126"/>
      <c r="E107" s="111"/>
      <c r="F107" s="111"/>
      <c r="G107" s="111"/>
      <c r="H107" s="112"/>
      <c r="I107" s="119"/>
      <c r="J107" s="119"/>
      <c r="K107" s="119"/>
      <c r="L107" s="119"/>
      <c r="M107" s="119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4"/>
      <c r="AD107" s="83"/>
      <c r="AE107" s="84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</row>
    <row r="108" spans="2:59" x14ac:dyDescent="0.25">
      <c r="B108" s="124"/>
      <c r="C108" s="125"/>
      <c r="D108" s="126"/>
      <c r="E108" s="111"/>
      <c r="F108" s="111"/>
      <c r="G108" s="111"/>
      <c r="H108" s="112"/>
      <c r="I108" s="119"/>
      <c r="J108" s="119"/>
      <c r="K108" s="119"/>
      <c r="L108" s="119"/>
      <c r="M108" s="119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4"/>
      <c r="AD108" s="83"/>
      <c r="AE108" s="84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</row>
    <row r="109" spans="2:59" x14ac:dyDescent="0.25">
      <c r="B109" s="124"/>
      <c r="C109" s="125"/>
      <c r="D109" s="126"/>
      <c r="E109" s="111"/>
      <c r="F109" s="111"/>
      <c r="G109" s="111"/>
      <c r="H109" s="112"/>
      <c r="I109" s="119"/>
      <c r="J109" s="119"/>
      <c r="K109" s="119"/>
      <c r="L109" s="119"/>
      <c r="M109" s="119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4"/>
      <c r="AD109" s="83"/>
      <c r="AE109" s="84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</row>
    <row r="110" spans="2:59" x14ac:dyDescent="0.25">
      <c r="B110" s="124"/>
      <c r="C110" s="125"/>
      <c r="D110" s="126"/>
      <c r="E110" s="111"/>
      <c r="F110" s="111"/>
      <c r="G110" s="111"/>
      <c r="H110" s="112"/>
      <c r="I110" s="119"/>
      <c r="J110" s="119"/>
      <c r="K110" s="119"/>
      <c r="L110" s="119"/>
      <c r="M110" s="119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4"/>
      <c r="AD110" s="83"/>
      <c r="AE110" s="84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</row>
    <row r="111" spans="2:59" x14ac:dyDescent="0.25">
      <c r="B111" s="124"/>
      <c r="C111" s="125"/>
      <c r="D111" s="126"/>
      <c r="E111" s="111"/>
      <c r="F111" s="111"/>
      <c r="G111" s="111"/>
      <c r="H111" s="112"/>
      <c r="I111" s="119"/>
      <c r="J111" s="119"/>
      <c r="K111" s="119"/>
      <c r="L111" s="119"/>
      <c r="M111" s="119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4"/>
      <c r="AD111" s="83"/>
      <c r="AE111" s="84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</row>
    <row r="112" spans="2:59" x14ac:dyDescent="0.25">
      <c r="B112" s="124"/>
      <c r="C112" s="125"/>
      <c r="D112" s="126"/>
      <c r="E112" s="111"/>
      <c r="F112" s="111"/>
      <c r="G112" s="111"/>
      <c r="H112" s="112"/>
      <c r="I112" s="119"/>
      <c r="J112" s="119"/>
      <c r="K112" s="119"/>
      <c r="L112" s="119"/>
      <c r="M112" s="119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4"/>
      <c r="AD112" s="83"/>
      <c r="AE112" s="84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</row>
    <row r="113" spans="2:59" x14ac:dyDescent="0.25">
      <c r="B113" s="124"/>
      <c r="C113" s="125"/>
      <c r="D113" s="126"/>
      <c r="E113" s="111"/>
      <c r="F113" s="111"/>
      <c r="G113" s="111"/>
      <c r="H113" s="112"/>
      <c r="I113" s="119"/>
      <c r="J113" s="119"/>
      <c r="K113" s="119"/>
      <c r="L113" s="119"/>
      <c r="M113" s="119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4"/>
      <c r="AD113" s="83"/>
      <c r="AE113" s="84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</row>
    <row r="114" spans="2:59" x14ac:dyDescent="0.25">
      <c r="B114" s="124"/>
      <c r="C114" s="125"/>
      <c r="D114" s="126"/>
      <c r="E114" s="111"/>
      <c r="F114" s="111"/>
      <c r="G114" s="111"/>
      <c r="H114" s="112"/>
      <c r="I114" s="119"/>
      <c r="J114" s="119"/>
      <c r="K114" s="119"/>
      <c r="L114" s="119"/>
      <c r="M114" s="119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4"/>
      <c r="AD114" s="83"/>
      <c r="AE114" s="84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</row>
    <row r="115" spans="2:59" x14ac:dyDescent="0.25">
      <c r="B115" s="124"/>
      <c r="C115" s="125"/>
      <c r="D115" s="126"/>
      <c r="E115" s="111"/>
      <c r="F115" s="111"/>
      <c r="G115" s="111"/>
      <c r="H115" s="112"/>
      <c r="I115" s="119"/>
      <c r="J115" s="119"/>
      <c r="K115" s="119"/>
      <c r="L115" s="119"/>
      <c r="M115" s="119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4"/>
      <c r="AD115" s="83"/>
      <c r="AE115" s="84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</row>
    <row r="116" spans="2:59" x14ac:dyDescent="0.25">
      <c r="B116" s="124"/>
      <c r="C116" s="125"/>
      <c r="D116" s="126"/>
      <c r="E116" s="111"/>
      <c r="F116" s="111"/>
      <c r="G116" s="111"/>
      <c r="H116" s="112"/>
      <c r="I116" s="119"/>
      <c r="J116" s="119"/>
      <c r="K116" s="119"/>
      <c r="L116" s="119"/>
      <c r="M116" s="119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4"/>
      <c r="AD116" s="83"/>
      <c r="AE116" s="84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</row>
    <row r="117" spans="2:59" x14ac:dyDescent="0.25">
      <c r="B117" s="124"/>
      <c r="C117" s="125"/>
      <c r="D117" s="126"/>
      <c r="E117" s="111"/>
      <c r="F117" s="111"/>
      <c r="G117" s="111"/>
      <c r="H117" s="112"/>
      <c r="I117" s="119"/>
      <c r="J117" s="119"/>
      <c r="K117" s="119"/>
      <c r="L117" s="119"/>
      <c r="M117" s="119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4"/>
      <c r="AD117" s="83"/>
      <c r="AE117" s="84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</row>
    <row r="118" spans="2:59" x14ac:dyDescent="0.25">
      <c r="B118" s="124"/>
      <c r="C118" s="125"/>
      <c r="D118" s="126"/>
      <c r="E118" s="111"/>
      <c r="F118" s="111"/>
      <c r="G118" s="111"/>
      <c r="H118" s="112"/>
      <c r="I118" s="119"/>
      <c r="J118" s="119"/>
      <c r="K118" s="119"/>
      <c r="L118" s="119"/>
      <c r="M118" s="119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4"/>
      <c r="AD118" s="83"/>
      <c r="AE118" s="84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</row>
    <row r="119" spans="2:59" x14ac:dyDescent="0.25">
      <c r="B119" s="124"/>
      <c r="C119" s="125"/>
      <c r="D119" s="126"/>
      <c r="E119" s="111"/>
      <c r="F119" s="111"/>
      <c r="G119" s="111"/>
      <c r="H119" s="112"/>
      <c r="I119" s="119"/>
      <c r="J119" s="119"/>
      <c r="K119" s="119"/>
      <c r="L119" s="119"/>
      <c r="M119" s="119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4"/>
      <c r="AD119" s="83"/>
      <c r="AE119" s="84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</row>
    <row r="120" spans="2:59" x14ac:dyDescent="0.25">
      <c r="B120" s="124"/>
      <c r="C120" s="125"/>
      <c r="D120" s="126"/>
      <c r="E120" s="111"/>
      <c r="F120" s="111"/>
      <c r="G120" s="111"/>
      <c r="H120" s="112"/>
      <c r="I120" s="119"/>
      <c r="J120" s="119"/>
      <c r="K120" s="119"/>
      <c r="L120" s="119"/>
      <c r="M120" s="119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4"/>
      <c r="AD120" s="83"/>
      <c r="AE120" s="84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</row>
    <row r="121" spans="2:59" x14ac:dyDescent="0.25">
      <c r="B121" s="124"/>
      <c r="C121" s="125"/>
      <c r="D121" s="126"/>
      <c r="E121" s="111"/>
      <c r="F121" s="111"/>
      <c r="G121" s="111"/>
      <c r="H121" s="112"/>
      <c r="I121" s="119"/>
      <c r="J121" s="119"/>
      <c r="K121" s="119"/>
      <c r="L121" s="119"/>
      <c r="M121" s="119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4"/>
      <c r="AD121" s="83"/>
      <c r="AE121" s="84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</row>
    <row r="122" spans="2:59" x14ac:dyDescent="0.25">
      <c r="B122" s="124"/>
      <c r="C122" s="125"/>
      <c r="D122" s="126"/>
      <c r="E122" s="111"/>
      <c r="F122" s="111"/>
      <c r="G122" s="111"/>
      <c r="H122" s="112"/>
      <c r="I122" s="119"/>
      <c r="J122" s="119"/>
      <c r="K122" s="119"/>
      <c r="L122" s="119"/>
      <c r="M122" s="119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4"/>
      <c r="AD122" s="83"/>
      <c r="AE122" s="84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</row>
    <row r="123" spans="2:59" x14ac:dyDescent="0.25">
      <c r="B123" s="124"/>
      <c r="C123" s="125"/>
      <c r="D123" s="126"/>
      <c r="E123" s="111"/>
      <c r="F123" s="111"/>
      <c r="G123" s="111"/>
      <c r="H123" s="112"/>
      <c r="I123" s="119"/>
      <c r="J123" s="119"/>
      <c r="K123" s="119"/>
      <c r="L123" s="119"/>
      <c r="M123" s="119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4"/>
      <c r="AD123" s="83"/>
      <c r="AE123" s="84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</row>
    <row r="124" spans="2:59" x14ac:dyDescent="0.25">
      <c r="B124" s="124"/>
      <c r="C124" s="125"/>
      <c r="D124" s="126"/>
      <c r="E124" s="111"/>
      <c r="F124" s="111"/>
      <c r="G124" s="111"/>
      <c r="H124" s="112"/>
      <c r="I124" s="119"/>
      <c r="J124" s="119"/>
      <c r="K124" s="119"/>
      <c r="L124" s="119"/>
      <c r="M124" s="119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4"/>
      <c r="AD124" s="83"/>
      <c r="AE124" s="84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</row>
    <row r="125" spans="2:59" x14ac:dyDescent="0.25">
      <c r="B125" s="124"/>
      <c r="C125" s="125"/>
      <c r="D125" s="126"/>
      <c r="E125" s="111"/>
      <c r="F125" s="111"/>
      <c r="G125" s="111"/>
      <c r="H125" s="112"/>
      <c r="I125" s="119"/>
      <c r="J125" s="119"/>
      <c r="K125" s="119"/>
      <c r="L125" s="119"/>
      <c r="M125" s="119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4"/>
      <c r="AD125" s="83"/>
      <c r="AE125" s="84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</row>
    <row r="126" spans="2:59" x14ac:dyDescent="0.25">
      <c r="B126" s="124"/>
      <c r="C126" s="125"/>
      <c r="D126" s="126"/>
      <c r="E126" s="111"/>
      <c r="F126" s="111"/>
      <c r="G126" s="111"/>
      <c r="H126" s="112"/>
      <c r="I126" s="119"/>
      <c r="J126" s="119"/>
      <c r="K126" s="119"/>
      <c r="L126" s="119"/>
      <c r="M126" s="119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4"/>
      <c r="AD126" s="83"/>
      <c r="AE126" s="84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</row>
    <row r="127" spans="2:59" x14ac:dyDescent="0.25">
      <c r="B127" s="127"/>
      <c r="C127" s="135"/>
      <c r="D127" s="126"/>
      <c r="E127" s="111"/>
      <c r="F127" s="111"/>
      <c r="G127" s="111"/>
      <c r="H127" s="112"/>
      <c r="I127" s="119"/>
      <c r="J127" s="119"/>
      <c r="K127" s="119"/>
      <c r="L127" s="119"/>
      <c r="M127" s="119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4"/>
      <c r="AD127" s="83"/>
      <c r="AE127" s="84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</row>
    <row r="128" spans="2:59" x14ac:dyDescent="0.25">
      <c r="B128" s="127"/>
      <c r="C128" s="135"/>
      <c r="D128" s="126"/>
      <c r="E128" s="111"/>
      <c r="F128" s="111"/>
      <c r="G128" s="111"/>
      <c r="H128" s="112"/>
      <c r="I128" s="119"/>
      <c r="J128" s="119"/>
      <c r="K128" s="119"/>
      <c r="L128" s="119"/>
      <c r="M128" s="119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4"/>
      <c r="AD128" s="83"/>
      <c r="AE128" s="84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</row>
    <row r="129" spans="2:59" x14ac:dyDescent="0.25">
      <c r="B129" s="127"/>
      <c r="C129" s="135"/>
      <c r="D129" s="126"/>
      <c r="E129" s="111"/>
      <c r="F129" s="111"/>
      <c r="G129" s="111"/>
      <c r="H129" s="112"/>
      <c r="I129" s="119"/>
      <c r="J129" s="119"/>
      <c r="K129" s="119"/>
      <c r="L129" s="119"/>
      <c r="M129" s="119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4"/>
      <c r="AD129" s="83"/>
      <c r="AE129" s="84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</row>
    <row r="130" spans="2:59" x14ac:dyDescent="0.25">
      <c r="B130" s="127"/>
      <c r="C130" s="135"/>
      <c r="D130" s="126"/>
      <c r="E130" s="111"/>
      <c r="F130" s="111"/>
      <c r="G130" s="111"/>
      <c r="H130" s="112"/>
      <c r="I130" s="119"/>
      <c r="J130" s="119"/>
      <c r="K130" s="119"/>
      <c r="L130" s="119"/>
      <c r="M130" s="119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4"/>
      <c r="AD130" s="83"/>
      <c r="AE130" s="84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</row>
    <row r="131" spans="2:59" x14ac:dyDescent="0.25">
      <c r="B131" s="127"/>
      <c r="C131" s="135"/>
      <c r="D131" s="126"/>
      <c r="E131" s="111"/>
      <c r="F131" s="111"/>
      <c r="G131" s="111"/>
      <c r="H131" s="112"/>
      <c r="I131" s="119"/>
      <c r="J131" s="119"/>
      <c r="K131" s="119"/>
      <c r="L131" s="119"/>
      <c r="M131" s="119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4"/>
      <c r="AD131" s="83"/>
      <c r="AE131" s="84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</row>
    <row r="132" spans="2:59" x14ac:dyDescent="0.25">
      <c r="B132" s="127"/>
      <c r="C132" s="135"/>
      <c r="D132" s="126"/>
      <c r="E132" s="111"/>
      <c r="F132" s="111"/>
      <c r="G132" s="111"/>
      <c r="H132" s="112"/>
      <c r="I132" s="119"/>
      <c r="J132" s="119"/>
      <c r="K132" s="119"/>
      <c r="L132" s="119"/>
      <c r="M132" s="119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4"/>
      <c r="AD132" s="83"/>
      <c r="AE132" s="84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</row>
    <row r="133" spans="2:59" x14ac:dyDescent="0.25">
      <c r="B133" s="127"/>
      <c r="C133" s="135"/>
      <c r="D133" s="126"/>
      <c r="E133" s="111"/>
      <c r="F133" s="111"/>
      <c r="G133" s="111"/>
      <c r="H133" s="112"/>
      <c r="I133" s="119"/>
      <c r="J133" s="119"/>
      <c r="K133" s="119"/>
      <c r="L133" s="119"/>
      <c r="M133" s="119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4"/>
      <c r="AD133" s="83"/>
      <c r="AE133" s="84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</row>
    <row r="134" spans="2:59" x14ac:dyDescent="0.25">
      <c r="B134" s="127"/>
      <c r="C134" s="135"/>
      <c r="D134" s="126"/>
      <c r="E134" s="111"/>
      <c r="F134" s="111"/>
      <c r="G134" s="111"/>
      <c r="H134" s="112"/>
      <c r="I134" s="119"/>
      <c r="J134" s="119"/>
      <c r="K134" s="119"/>
      <c r="L134" s="119"/>
      <c r="M134" s="119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4"/>
      <c r="AD134" s="83"/>
      <c r="AE134" s="84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</row>
    <row r="135" spans="2:59" x14ac:dyDescent="0.25">
      <c r="B135" s="127"/>
      <c r="C135" s="135"/>
      <c r="D135" s="126"/>
      <c r="E135" s="111"/>
      <c r="F135" s="111"/>
      <c r="G135" s="111"/>
      <c r="H135" s="112"/>
      <c r="I135" s="119"/>
      <c r="J135" s="119"/>
      <c r="K135" s="119"/>
      <c r="L135" s="119"/>
      <c r="M135" s="119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4"/>
      <c r="AD135" s="83"/>
      <c r="AE135" s="84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</row>
    <row r="136" spans="2:59" x14ac:dyDescent="0.25">
      <c r="B136" s="127"/>
      <c r="C136" s="135"/>
      <c r="D136" s="126"/>
      <c r="E136" s="111"/>
      <c r="F136" s="111"/>
      <c r="G136" s="111"/>
      <c r="H136" s="112"/>
      <c r="I136" s="119"/>
      <c r="J136" s="119"/>
      <c r="K136" s="119"/>
      <c r="L136" s="119"/>
      <c r="M136" s="119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4"/>
      <c r="AD136" s="83"/>
      <c r="AE136" s="84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</row>
    <row r="137" spans="2:59" x14ac:dyDescent="0.25">
      <c r="B137" s="127"/>
      <c r="C137" s="135"/>
      <c r="D137" s="126"/>
      <c r="E137" s="111"/>
      <c r="F137" s="111"/>
      <c r="G137" s="111"/>
      <c r="H137" s="112"/>
      <c r="I137" s="119"/>
      <c r="J137" s="119"/>
      <c r="K137" s="119"/>
      <c r="L137" s="119"/>
      <c r="M137" s="119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4"/>
      <c r="AD137" s="83"/>
      <c r="AE137" s="84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</row>
    <row r="138" spans="2:59" x14ac:dyDescent="0.25">
      <c r="B138" s="127"/>
      <c r="C138" s="135"/>
      <c r="D138" s="126"/>
      <c r="E138" s="111"/>
      <c r="F138" s="111"/>
      <c r="G138" s="111"/>
      <c r="H138" s="112"/>
      <c r="I138" s="119"/>
      <c r="J138" s="119"/>
      <c r="K138" s="119"/>
      <c r="L138" s="119"/>
      <c r="M138" s="119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4"/>
      <c r="AD138" s="83"/>
      <c r="AE138" s="84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</row>
    <row r="139" spans="2:59" x14ac:dyDescent="0.25">
      <c r="B139" s="127"/>
      <c r="C139" s="135"/>
      <c r="D139" s="126"/>
      <c r="E139" s="111"/>
      <c r="F139" s="111"/>
      <c r="G139" s="111"/>
      <c r="H139" s="112"/>
      <c r="I139" s="119"/>
      <c r="J139" s="119"/>
      <c r="K139" s="119"/>
      <c r="L139" s="119"/>
      <c r="M139" s="119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4"/>
      <c r="AD139" s="83"/>
      <c r="AE139" s="84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D180"/>
  <sheetViews>
    <sheetView workbookViewId="0">
      <selection activeCell="F9" sqref="F9"/>
    </sheetView>
  </sheetViews>
  <sheetFormatPr defaultRowHeight="13.2" x14ac:dyDescent="0.25"/>
  <cols>
    <col min="1" max="1" width="12.6640625" style="77" customWidth="1"/>
    <col min="2" max="2" width="9.5546875" style="77" bestFit="1" customWidth="1"/>
    <col min="3" max="4" width="9.109375" style="77" customWidth="1"/>
    <col min="5" max="5" width="10.109375" style="77" customWidth="1"/>
    <col min="6" max="10" width="9.109375" style="77" customWidth="1"/>
    <col min="11" max="11" width="10.44140625" style="77" bestFit="1" customWidth="1"/>
    <col min="12" max="13" width="9.109375" style="77" customWidth="1"/>
    <col min="14" max="14" width="10.109375" style="77" bestFit="1" customWidth="1"/>
    <col min="15" max="15" width="10" style="77" bestFit="1" customWidth="1"/>
    <col min="16" max="30" width="10" style="77" customWidth="1"/>
    <col min="31" max="49" width="9.109375" style="77" customWidth="1"/>
    <col min="51" max="60" width="9.109375" style="77" customWidth="1"/>
    <col min="62" max="71" width="9.109375" style="77" customWidth="1"/>
    <col min="73" max="82" width="9.109375" style="77" customWidth="1"/>
  </cols>
  <sheetData>
    <row r="1" spans="1:74" x14ac:dyDescent="0.25">
      <c r="A1" s="76"/>
      <c r="B1" s="158"/>
      <c r="C1" s="80"/>
      <c r="D1" s="57" t="s">
        <v>157</v>
      </c>
      <c r="E1" s="155">
        <f>summerstrip</f>
        <v>4.8109999999999999</v>
      </c>
      <c r="F1" s="57"/>
      <c r="G1" s="188" t="s">
        <v>34</v>
      </c>
      <c r="I1"/>
      <c r="J1"/>
      <c r="K1" t="s">
        <v>199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5">
      <c r="A2" s="76" t="s">
        <v>17</v>
      </c>
      <c r="B2" s="159">
        <f ca="1">TODAY()</f>
        <v>36769</v>
      </c>
      <c r="C2" s="80"/>
      <c r="D2" s="57" t="s">
        <v>158</v>
      </c>
      <c r="E2" s="155">
        <f>winterstrip</f>
        <v>4.5419999999999998</v>
      </c>
      <c r="F2" s="57"/>
      <c r="G2" s="57"/>
      <c r="I2"/>
      <c r="J2"/>
      <c r="L2" t="s">
        <v>193</v>
      </c>
      <c r="M2" t="s">
        <v>194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83"/>
      <c r="AL2" s="83"/>
      <c r="AM2" s="84"/>
      <c r="AN2" s="83"/>
      <c r="AO2" s="84"/>
      <c r="AY2" s="83"/>
      <c r="AZ2" s="84"/>
      <c r="BJ2" s="83"/>
      <c r="BK2" s="84"/>
      <c r="BU2" s="83"/>
      <c r="BV2" s="84"/>
    </row>
    <row r="3" spans="1:74" x14ac:dyDescent="0.25">
      <c r="A3" s="76"/>
      <c r="B3" s="158"/>
      <c r="D3" s="57" t="s">
        <v>213</v>
      </c>
      <c r="E3" s="155">
        <f>aproct</f>
        <v>3.9464285714285721</v>
      </c>
      <c r="F3" s="160" t="s">
        <v>95</v>
      </c>
      <c r="G3" s="57"/>
      <c r="I3"/>
      <c r="J3"/>
      <c r="K3" s="77">
        <v>-1</v>
      </c>
      <c r="L3" s="232">
        <f ca="1">B21</f>
        <v>1.0398776675707098</v>
      </c>
      <c r="M3" s="232">
        <f ca="1">B22</f>
        <v>0.44489249917506918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83"/>
      <c r="AL3" s="83"/>
      <c r="AM3" s="84"/>
      <c r="AN3" s="83"/>
      <c r="AO3" s="84"/>
      <c r="AY3" s="83"/>
      <c r="AZ3" s="84"/>
      <c r="BJ3" s="83"/>
      <c r="BK3" s="84"/>
      <c r="BU3" s="83"/>
      <c r="BV3" s="84"/>
    </row>
    <row r="4" spans="1:74" x14ac:dyDescent="0.25">
      <c r="A4" s="57" t="s">
        <v>115</v>
      </c>
      <c r="B4" s="160" t="s">
        <v>94</v>
      </c>
      <c r="C4" s="131"/>
      <c r="D4" s="160" t="s">
        <v>102</v>
      </c>
      <c r="E4" s="57"/>
      <c r="F4" s="160" t="s">
        <v>95</v>
      </c>
      <c r="G4" s="131"/>
      <c r="H4" s="160" t="s">
        <v>95</v>
      </c>
      <c r="I4" s="137"/>
      <c r="J4" s="140"/>
      <c r="K4" s="77">
        <v>1</v>
      </c>
      <c r="L4" s="232">
        <f ca="1">D21</f>
        <v>1.3675847832953889</v>
      </c>
      <c r="M4" s="232">
        <f ca="1">D22</f>
        <v>0.36833953715440082</v>
      </c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7"/>
      <c r="AF4" s="137"/>
      <c r="AG4" s="137"/>
      <c r="AK4" s="83"/>
      <c r="AL4" s="83"/>
      <c r="AM4" s="84"/>
      <c r="AN4" s="83"/>
      <c r="AO4" s="84"/>
      <c r="AY4" s="83"/>
      <c r="AZ4" s="84"/>
      <c r="BJ4" s="83"/>
      <c r="BK4" s="84"/>
      <c r="BU4" s="83"/>
      <c r="BV4" s="84"/>
    </row>
    <row r="5" spans="1:74" x14ac:dyDescent="0.25">
      <c r="A5" s="57"/>
      <c r="B5" s="57" t="s">
        <v>51</v>
      </c>
      <c r="D5" s="57" t="s">
        <v>52</v>
      </c>
      <c r="F5" s="57" t="s">
        <v>160</v>
      </c>
      <c r="H5" s="57" t="s">
        <v>159</v>
      </c>
      <c r="K5" s="77">
        <v>1</v>
      </c>
      <c r="L5" s="232">
        <f ca="1">F21</f>
        <v>0.43217505693092306</v>
      </c>
      <c r="M5" s="232">
        <f ca="1">F22</f>
        <v>0.54269281022485594</v>
      </c>
      <c r="AK5" s="83"/>
      <c r="AL5" s="83"/>
      <c r="AM5" s="84"/>
      <c r="AN5" s="83"/>
      <c r="AO5" s="84"/>
      <c r="AY5" s="83"/>
      <c r="AZ5" s="84"/>
      <c r="BJ5" s="83"/>
      <c r="BK5" s="84"/>
      <c r="BU5" s="83"/>
      <c r="BV5" s="84"/>
    </row>
    <row r="6" spans="1:74" x14ac:dyDescent="0.25">
      <c r="A6" s="57" t="s">
        <v>35</v>
      </c>
      <c r="B6" s="230">
        <v>36831</v>
      </c>
      <c r="C6" s="231"/>
      <c r="D6" s="230">
        <v>36831</v>
      </c>
      <c r="E6" s="231"/>
      <c r="F6" s="230">
        <v>36831</v>
      </c>
      <c r="G6" s="231"/>
      <c r="H6" s="230">
        <v>36861</v>
      </c>
      <c r="K6" s="77">
        <v>-1</v>
      </c>
      <c r="L6" s="232">
        <f ca="1">H21</f>
        <v>0.56667596584512747</v>
      </c>
      <c r="M6" s="232">
        <f ca="1">H22</f>
        <v>0.55236020276034437</v>
      </c>
      <c r="AK6" s="83"/>
      <c r="AL6" s="83"/>
      <c r="AM6" s="84"/>
      <c r="AN6" s="83"/>
      <c r="AO6" s="84"/>
      <c r="AY6" s="83"/>
      <c r="AZ6" s="84"/>
      <c r="BJ6" s="83"/>
      <c r="BK6" s="84"/>
      <c r="BU6" s="83"/>
      <c r="BV6" s="84"/>
    </row>
    <row r="7" spans="1:74" x14ac:dyDescent="0.25">
      <c r="A7" s="76" t="s">
        <v>53</v>
      </c>
      <c r="B7" s="230">
        <v>36831</v>
      </c>
      <c r="C7" s="231"/>
      <c r="D7" s="230">
        <v>36951</v>
      </c>
      <c r="E7" s="231"/>
      <c r="F7" s="230">
        <v>36831</v>
      </c>
      <c r="G7" s="231"/>
      <c r="H7" s="230">
        <v>36861</v>
      </c>
      <c r="J7" s="177"/>
      <c r="L7" s="184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F7" s="160" t="s">
        <v>95</v>
      </c>
      <c r="AG7" s="160"/>
      <c r="AK7" s="83"/>
      <c r="AL7" s="83"/>
      <c r="AM7" s="84"/>
      <c r="AN7" s="83"/>
      <c r="AO7" s="84"/>
      <c r="AY7" s="83"/>
      <c r="AZ7" s="84"/>
      <c r="BJ7" s="83"/>
      <c r="BK7" s="84"/>
      <c r="BU7" s="83"/>
      <c r="BV7" s="84"/>
    </row>
    <row r="8" spans="1:74" x14ac:dyDescent="0.25">
      <c r="I8" s="197"/>
      <c r="K8" s="160"/>
      <c r="L8" s="77">
        <f ca="1">(L3*$K3)+(L4*$K4)+(L5*$K5)+(L6*$K6)</f>
        <v>0.19320620681047473</v>
      </c>
      <c r="M8" s="77">
        <f ca="1">(M3*$K3)+(M4*$K4)+(M5*$K5)+(M6*$K6)</f>
        <v>-8.6220354556156786E-2</v>
      </c>
      <c r="AF8" s="160"/>
      <c r="AG8" s="160"/>
      <c r="AK8" s="83"/>
      <c r="AL8" s="83"/>
      <c r="AM8" s="84"/>
      <c r="AN8" s="83"/>
      <c r="AO8" s="84"/>
      <c r="AY8" s="83"/>
      <c r="AZ8" s="84"/>
      <c r="BJ8" s="83"/>
      <c r="BK8" s="84"/>
      <c r="BU8" s="83"/>
      <c r="BV8" s="84"/>
    </row>
    <row r="9" spans="1:74" x14ac:dyDescent="0.25">
      <c r="A9" s="75" t="s">
        <v>123</v>
      </c>
      <c r="B9" s="196">
        <f>AP24</f>
        <v>4.84</v>
      </c>
      <c r="C9" s="197"/>
      <c r="D9" s="196">
        <f>BA24</f>
        <v>5.2004304635761587</v>
      </c>
      <c r="E9" s="197"/>
      <c r="F9" s="196">
        <f>BL24</f>
        <v>4.8499999999999996</v>
      </c>
      <c r="G9" s="197"/>
      <c r="H9" s="196">
        <f>BW24</f>
        <v>4.92</v>
      </c>
      <c r="I9" s="197"/>
      <c r="AF9" s="160" t="s">
        <v>78</v>
      </c>
      <c r="AG9" s="160"/>
      <c r="AK9" s="83"/>
      <c r="AL9" s="83"/>
      <c r="AM9" s="84"/>
      <c r="AN9" s="83"/>
      <c r="AO9" s="84"/>
      <c r="AY9" s="83"/>
      <c r="AZ9" s="84"/>
      <c r="BJ9" s="83"/>
      <c r="BK9" s="84"/>
      <c r="BU9" s="83"/>
      <c r="BV9" s="84"/>
    </row>
    <row r="10" spans="1:74" x14ac:dyDescent="0.25">
      <c r="A10" s="75" t="s">
        <v>40</v>
      </c>
      <c r="B10" s="196">
        <f>AQ24</f>
        <v>5.625</v>
      </c>
      <c r="C10" s="197"/>
      <c r="D10" s="196">
        <f>BB24</f>
        <v>5.6013741721854302</v>
      </c>
      <c r="E10" s="197"/>
      <c r="F10" s="196">
        <f>BM24</f>
        <v>4.8199999999999994</v>
      </c>
      <c r="G10" s="197"/>
      <c r="H10" s="196">
        <f>BX24</f>
        <v>4.8549999999999995</v>
      </c>
      <c r="I10" s="197"/>
      <c r="K10" s="160"/>
      <c r="M10" s="160"/>
      <c r="N10" s="214"/>
      <c r="O10" s="160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G10" s="160"/>
      <c r="AK10" s="83"/>
      <c r="AL10" s="83"/>
      <c r="AM10" s="84"/>
      <c r="AN10" s="83"/>
      <c r="AO10" s="84"/>
      <c r="AY10" s="83"/>
      <c r="AZ10" s="84"/>
      <c r="BJ10" s="83"/>
      <c r="BK10" s="84"/>
      <c r="BU10" s="83"/>
      <c r="BV10" s="84"/>
    </row>
    <row r="11" spans="1:74" x14ac:dyDescent="0.25">
      <c r="A11" s="75" t="s">
        <v>36</v>
      </c>
      <c r="B11" s="196">
        <f>B10-B9</f>
        <v>0.78500000000000014</v>
      </c>
      <c r="C11" s="196"/>
      <c r="D11" s="196">
        <f>D10-D9</f>
        <v>0.40094370860927153</v>
      </c>
      <c r="E11" s="196"/>
      <c r="F11" s="196">
        <f>F10-F9</f>
        <v>-3.0000000000000249E-2</v>
      </c>
      <c r="G11" s="196"/>
      <c r="H11" s="196">
        <f>H10-H9</f>
        <v>-6.5000000000000391E-2</v>
      </c>
      <c r="I11" s="197"/>
      <c r="AF11" s="160"/>
      <c r="AG11" s="160"/>
      <c r="AK11" s="83"/>
      <c r="AL11" s="83"/>
      <c r="AM11" s="84"/>
      <c r="AN11" s="83"/>
      <c r="AO11" s="84"/>
      <c r="AY11" s="83"/>
      <c r="AZ11" s="84"/>
      <c r="BJ11" s="83"/>
      <c r="BK11" s="84"/>
      <c r="BU11" s="83"/>
      <c r="BV11" s="84"/>
    </row>
    <row r="12" spans="1:74" x14ac:dyDescent="0.25">
      <c r="A12" s="75"/>
      <c r="B12" s="196"/>
      <c r="C12" s="197"/>
      <c r="D12" s="196"/>
      <c r="E12" s="197"/>
      <c r="F12" s="196"/>
      <c r="G12" s="197"/>
      <c r="H12" s="196"/>
      <c r="I12" s="197"/>
      <c r="K12" s="160"/>
      <c r="L12" s="160" t="s">
        <v>95</v>
      </c>
      <c r="M12" s="160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F12" s="160"/>
      <c r="AG12" s="160"/>
      <c r="AK12" s="83"/>
      <c r="AL12" s="83"/>
      <c r="AM12" s="84"/>
      <c r="AN12" s="83"/>
      <c r="AO12" s="84"/>
      <c r="AY12" s="83"/>
      <c r="AZ12" s="84"/>
      <c r="BJ12" s="83"/>
      <c r="BK12" s="84"/>
      <c r="BU12" s="83"/>
      <c r="BV12" s="84"/>
    </row>
    <row r="13" spans="1:74" x14ac:dyDescent="0.25">
      <c r="A13" s="75" t="s">
        <v>172</v>
      </c>
      <c r="B13" s="222">
        <v>0</v>
      </c>
      <c r="C13" s="223"/>
      <c r="D13" s="222">
        <v>0.5</v>
      </c>
      <c r="E13" s="223"/>
      <c r="F13" s="222">
        <v>0.01</v>
      </c>
      <c r="G13" s="223"/>
      <c r="H13" s="222">
        <v>0.01</v>
      </c>
      <c r="I13" s="197"/>
      <c r="K13" s="160"/>
      <c r="L13" s="160" t="s">
        <v>82</v>
      </c>
      <c r="M13" s="160"/>
      <c r="N13" s="214"/>
      <c r="O13" s="160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G13" s="160"/>
      <c r="AK13" s="83"/>
      <c r="AL13" s="83"/>
      <c r="AM13" s="84"/>
      <c r="AN13" s="83"/>
      <c r="AO13" s="84"/>
      <c r="AY13" s="83"/>
      <c r="AZ13" s="84"/>
      <c r="BJ13" s="83"/>
      <c r="BK13" s="84"/>
      <c r="BU13" s="83"/>
      <c r="BV13" s="84"/>
    </row>
    <row r="14" spans="1:74" x14ac:dyDescent="0.25">
      <c r="A14" s="75" t="s">
        <v>121</v>
      </c>
      <c r="B14" s="222">
        <v>0</v>
      </c>
      <c r="C14" s="223"/>
      <c r="D14" s="222">
        <v>0</v>
      </c>
      <c r="E14" s="223"/>
      <c r="F14" s="222">
        <v>0</v>
      </c>
      <c r="G14" s="223"/>
      <c r="H14" s="222">
        <v>0</v>
      </c>
      <c r="I14" s="199"/>
      <c r="J14" s="83"/>
      <c r="K14" s="160"/>
      <c r="L14" s="160" t="s">
        <v>95</v>
      </c>
      <c r="M14" s="160"/>
      <c r="N14" s="83"/>
      <c r="O14" s="160"/>
      <c r="AG14" s="160"/>
      <c r="AJ14" s="137"/>
      <c r="AK14" s="83"/>
      <c r="AL14" s="83"/>
      <c r="AM14" s="84"/>
      <c r="AN14" s="83"/>
      <c r="AO14" s="84"/>
      <c r="AY14" s="83"/>
      <c r="AZ14" s="84"/>
      <c r="BJ14" s="83"/>
      <c r="BK14" s="84"/>
      <c r="BU14" s="83"/>
      <c r="BV14" s="84"/>
    </row>
    <row r="15" spans="1:74" x14ac:dyDescent="0.25">
      <c r="A15" s="62" t="s">
        <v>57</v>
      </c>
      <c r="B15" s="224">
        <v>0</v>
      </c>
      <c r="C15" s="224"/>
      <c r="D15" s="224">
        <v>0.01</v>
      </c>
      <c r="E15" s="224"/>
      <c r="F15" s="224">
        <v>0.01</v>
      </c>
      <c r="G15" s="224"/>
      <c r="H15" s="224">
        <v>0.01</v>
      </c>
      <c r="I15" s="205"/>
      <c r="J15" s="83"/>
      <c r="K15" s="83"/>
      <c r="L15" s="160" t="s">
        <v>78</v>
      </c>
      <c r="M15" s="160"/>
      <c r="N15" s="83"/>
      <c r="O15" s="160"/>
      <c r="AG15" s="160"/>
      <c r="AJ15" s="137"/>
      <c r="AK15" s="83"/>
      <c r="AL15" s="83"/>
      <c r="AM15" s="84"/>
      <c r="AN15" s="83"/>
      <c r="AO15" s="84"/>
      <c r="AY15" s="83"/>
      <c r="AZ15" s="84"/>
      <c r="BJ15" s="83"/>
      <c r="BK15" s="84"/>
      <c r="BU15" s="83"/>
      <c r="BV15" s="84"/>
    </row>
    <row r="16" spans="1:74" x14ac:dyDescent="0.25">
      <c r="A16" s="56" t="s">
        <v>162</v>
      </c>
      <c r="B16" s="225">
        <v>1</v>
      </c>
      <c r="C16" s="226"/>
      <c r="D16" s="227">
        <v>1</v>
      </c>
      <c r="E16" s="227"/>
      <c r="F16" s="227">
        <v>1</v>
      </c>
      <c r="G16" s="227"/>
      <c r="H16" s="227">
        <v>1</v>
      </c>
      <c r="I16" s="197"/>
      <c r="L16" s="160" t="s">
        <v>98</v>
      </c>
      <c r="AF16" s="160"/>
      <c r="AG16" s="160"/>
      <c r="AK16" s="83"/>
      <c r="AL16" s="83"/>
      <c r="AM16" s="84"/>
      <c r="AN16" s="83"/>
      <c r="AO16" s="84"/>
      <c r="AY16" s="83"/>
      <c r="AZ16" s="84"/>
      <c r="BJ16" s="83"/>
      <c r="BK16" s="84"/>
      <c r="BU16" s="83"/>
      <c r="BV16" s="84"/>
    </row>
    <row r="17" spans="1:82" x14ac:dyDescent="0.25">
      <c r="A17" s="75"/>
      <c r="B17" s="222"/>
      <c r="C17" s="223"/>
      <c r="D17" s="222"/>
      <c r="E17" s="223"/>
      <c r="F17" s="222"/>
      <c r="G17" s="223"/>
      <c r="H17" s="222"/>
      <c r="I17" s="199"/>
      <c r="L17" s="160" t="s">
        <v>70</v>
      </c>
      <c r="M17" s="160"/>
      <c r="N17" s="214"/>
      <c r="O17" s="160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G17" s="160"/>
      <c r="AK17" s="83"/>
      <c r="AL17" s="83"/>
      <c r="AM17" s="84"/>
      <c r="AN17" s="83"/>
      <c r="AO17" s="84"/>
      <c r="AY17" s="83"/>
      <c r="AZ17" s="84"/>
      <c r="BJ17" s="83"/>
      <c r="BK17" s="84"/>
      <c r="BU17" s="83"/>
      <c r="BV17" s="84"/>
    </row>
    <row r="18" spans="1:82" x14ac:dyDescent="0.25">
      <c r="A18" s="62" t="s">
        <v>119</v>
      </c>
      <c r="B18" s="256">
        <v>5.05</v>
      </c>
      <c r="C18" s="227"/>
      <c r="D18" s="256">
        <v>5.0999999999999996</v>
      </c>
      <c r="E18" s="256">
        <f>E10-0.01</f>
        <v>-0.01</v>
      </c>
      <c r="F18" s="256">
        <f>F10-0.01</f>
        <v>4.8099999999999996</v>
      </c>
      <c r="G18" s="256">
        <f>G10-0.01</f>
        <v>-0.01</v>
      </c>
      <c r="H18" s="256">
        <f>H10-0.01</f>
        <v>4.8449999999999998</v>
      </c>
      <c r="I18" s="199"/>
      <c r="J18" s="83"/>
      <c r="K18" s="160"/>
      <c r="L18" s="160" t="s">
        <v>100</v>
      </c>
      <c r="M18" s="160"/>
      <c r="N18" s="83"/>
      <c r="O18" s="160"/>
      <c r="AG18" s="160"/>
      <c r="AK18" s="83"/>
      <c r="AL18" s="83"/>
      <c r="AM18" s="84"/>
      <c r="AN18" s="83"/>
      <c r="AO18" s="84"/>
      <c r="AY18" s="83"/>
      <c r="AZ18" s="84"/>
      <c r="BJ18" s="83"/>
      <c r="BK18" s="84"/>
      <c r="BU18" s="83"/>
      <c r="BV18" s="84"/>
    </row>
    <row r="19" spans="1:82" x14ac:dyDescent="0.25">
      <c r="A19" s="62" t="s">
        <v>126</v>
      </c>
      <c r="B19" s="229">
        <v>3</v>
      </c>
      <c r="C19" s="227"/>
      <c r="D19" s="229">
        <v>3</v>
      </c>
      <c r="E19" s="227"/>
      <c r="F19" s="229">
        <v>1</v>
      </c>
      <c r="G19" s="227"/>
      <c r="H19" s="229">
        <v>1</v>
      </c>
      <c r="L19" s="160" t="s">
        <v>76</v>
      </c>
    </row>
    <row r="20" spans="1:82" x14ac:dyDescent="0.25">
      <c r="A20" s="131" t="s">
        <v>201</v>
      </c>
      <c r="L20" s="160" t="s">
        <v>102</v>
      </c>
    </row>
    <row r="21" spans="1:82" x14ac:dyDescent="0.25">
      <c r="A21" s="62" t="s">
        <v>38</v>
      </c>
      <c r="B21" s="194">
        <f ca="1">AU24</f>
        <v>1.0398776675707098</v>
      </c>
      <c r="C21" s="199"/>
      <c r="D21" s="194">
        <f ca="1">BF24</f>
        <v>1.3675847832953889</v>
      </c>
      <c r="E21" s="199"/>
      <c r="F21" s="194">
        <f ca="1">BQ24</f>
        <v>0.43217505693092306</v>
      </c>
      <c r="G21" s="199"/>
      <c r="H21" s="194">
        <f ca="1">CB24</f>
        <v>0.56667596584512747</v>
      </c>
      <c r="L21" s="160" t="s">
        <v>74</v>
      </c>
    </row>
    <row r="22" spans="1:82" x14ac:dyDescent="0.25">
      <c r="A22" s="62" t="s">
        <v>29</v>
      </c>
      <c r="B22" s="194">
        <f ca="1">AV24</f>
        <v>0.44489249917506918</v>
      </c>
      <c r="C22" s="199"/>
      <c r="D22" s="194">
        <f ca="1">BG24</f>
        <v>0.36833953715440082</v>
      </c>
      <c r="E22" s="199"/>
      <c r="F22" s="194">
        <f ca="1">BR24</f>
        <v>0.54269281022485594</v>
      </c>
      <c r="G22" s="199"/>
      <c r="H22" s="194">
        <f ca="1">CC24</f>
        <v>0.55236020276034437</v>
      </c>
      <c r="L22" s="160" t="s">
        <v>94</v>
      </c>
    </row>
    <row r="23" spans="1:82" x14ac:dyDescent="0.25">
      <c r="A23" s="62" t="str">
        <f>G1</f>
        <v>VEGA</v>
      </c>
      <c r="B23" s="194">
        <f ca="1">AW24</f>
        <v>1.4710907386072059E-2</v>
      </c>
      <c r="C23" s="199"/>
      <c r="D23" s="194">
        <f ca="1">BH24</f>
        <v>2.1194034355671954E-2</v>
      </c>
      <c r="E23" s="199"/>
      <c r="F23" s="194">
        <f ca="1">BS24</f>
        <v>7.462100326035781E-3</v>
      </c>
      <c r="G23" s="199"/>
      <c r="H23" s="194">
        <f ca="1">CD24</f>
        <v>9.2921707965119005E-3</v>
      </c>
      <c r="L23" s="160" t="s">
        <v>68</v>
      </c>
    </row>
    <row r="24" spans="1:82" x14ac:dyDescent="0.25">
      <c r="A24" s="83"/>
      <c r="B24" s="208"/>
      <c r="C24" s="83"/>
      <c r="D24" s="208"/>
      <c r="E24" s="83"/>
      <c r="F24" s="208"/>
      <c r="G24" s="83"/>
      <c r="H24" s="83"/>
      <c r="I24" s="83"/>
      <c r="J24" s="83"/>
      <c r="K24" s="160"/>
      <c r="L24" s="160" t="s">
        <v>89</v>
      </c>
      <c r="M24" s="83"/>
      <c r="N24" s="83"/>
      <c r="O24" s="160"/>
      <c r="AG24" s="160"/>
      <c r="AK24" s="83"/>
      <c r="AL24" s="83"/>
      <c r="AM24" s="84"/>
      <c r="AN24" s="83"/>
      <c r="AP24" s="77">
        <f>AP26/AN28</f>
        <v>4.84</v>
      </c>
      <c r="AQ24" s="77">
        <f>AQ26/AN28</f>
        <v>5.625</v>
      </c>
      <c r="AU24" s="132">
        <f ca="1">AU26/AN28</f>
        <v>1.0398776675707098</v>
      </c>
      <c r="AV24" s="132">
        <f ca="1">AV26/AN28</f>
        <v>0.44489249917506918</v>
      </c>
      <c r="AW24" s="132">
        <f ca="1">AW26/AN28</f>
        <v>1.4710907386072059E-2</v>
      </c>
      <c r="AY24" s="83"/>
      <c r="BA24" s="77">
        <f>BA26/AY28</f>
        <v>5.2004304635761587</v>
      </c>
      <c r="BB24" s="77">
        <f>BB26/AY28</f>
        <v>5.6013741721854302</v>
      </c>
      <c r="BF24" s="132">
        <f ca="1">BF26/AY28</f>
        <v>1.3675847832953889</v>
      </c>
      <c r="BG24" s="132">
        <f ca="1">BG26/AY28</f>
        <v>0.36833953715440082</v>
      </c>
      <c r="BH24" s="132">
        <f ca="1">BH26/AY28</f>
        <v>2.1194034355671954E-2</v>
      </c>
      <c r="BJ24" s="83"/>
      <c r="BL24" s="77">
        <f>BL26/BJ28</f>
        <v>4.8499999999999996</v>
      </c>
      <c r="BM24" s="77">
        <f>BM26/BJ28</f>
        <v>4.8199999999999994</v>
      </c>
      <c r="BQ24" s="132">
        <f ca="1">BQ26/BJ28</f>
        <v>0.43217505693092306</v>
      </c>
      <c r="BR24" s="132">
        <f ca="1">BR26/BJ28</f>
        <v>0.54269281022485594</v>
      </c>
      <c r="BS24" s="132">
        <f ca="1">BS26/BJ28</f>
        <v>7.462100326035781E-3</v>
      </c>
      <c r="BU24" s="83"/>
      <c r="BW24" s="77">
        <f>BW26/BU28</f>
        <v>4.92</v>
      </c>
      <c r="BX24" s="77">
        <f>BX26/BU28</f>
        <v>4.8549999999999995</v>
      </c>
      <c r="CB24" s="132">
        <f ca="1">CB26/BU28</f>
        <v>0.56667596584512747</v>
      </c>
      <c r="CC24" s="132">
        <f ca="1">CC26/BU28</f>
        <v>0.55236020276034437</v>
      </c>
      <c r="CD24" s="132">
        <f ca="1">CD26/BU28</f>
        <v>9.2921707965119005E-3</v>
      </c>
    </row>
    <row r="25" spans="1:82" x14ac:dyDescent="0.25">
      <c r="A25" s="83"/>
      <c r="B25" s="208">
        <f ca="1">B21-D21</f>
        <v>-0.32770711572467914</v>
      </c>
      <c r="C25" s="83"/>
      <c r="D25" s="83"/>
      <c r="E25" s="83"/>
      <c r="F25" s="208">
        <f ca="1">F21-H21</f>
        <v>-0.13450090891420441</v>
      </c>
      <c r="G25" s="83"/>
      <c r="H25" s="83"/>
      <c r="I25" s="83"/>
      <c r="J25" s="83"/>
      <c r="K25" s="160"/>
      <c r="L25" s="83"/>
      <c r="M25" s="83"/>
      <c r="N25" s="83"/>
      <c r="O25" s="160"/>
      <c r="AG25" s="160"/>
      <c r="AH25" s="88"/>
      <c r="AK25" s="83"/>
      <c r="AL25" s="83"/>
      <c r="AM25" s="84"/>
      <c r="AN25" s="83"/>
      <c r="AO25" s="78">
        <f>B6</f>
        <v>36831</v>
      </c>
      <c r="AW25"/>
      <c r="AY25" s="83"/>
      <c r="AZ25" s="78">
        <f>D6</f>
        <v>36831</v>
      </c>
      <c r="BH25"/>
      <c r="BJ25" s="83"/>
      <c r="BK25" s="78">
        <f>F6</f>
        <v>36831</v>
      </c>
      <c r="BS25"/>
      <c r="BU25" s="83"/>
      <c r="BV25" s="78">
        <f>H6</f>
        <v>36861</v>
      </c>
      <c r="CD25"/>
    </row>
    <row r="26" spans="1:82" x14ac:dyDescent="0.25">
      <c r="A26" s="83"/>
      <c r="B26" s="215"/>
      <c r="C26" s="83"/>
      <c r="D26" s="215"/>
      <c r="E26" s="83"/>
      <c r="F26" s="83"/>
      <c r="G26" s="83"/>
      <c r="H26" s="83"/>
      <c r="I26" s="83"/>
      <c r="J26" s="133"/>
      <c r="K26" s="133"/>
      <c r="L26" s="133"/>
      <c r="M26" s="133"/>
      <c r="N26" s="133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85"/>
      <c r="AF26" s="87"/>
      <c r="AG26" s="87"/>
      <c r="AH26" s="87"/>
      <c r="AI26" s="90"/>
      <c r="AJ26" s="91"/>
      <c r="AK26" s="83"/>
      <c r="AL26" s="83"/>
      <c r="AM26" s="84"/>
      <c r="AN26" s="83" t="s">
        <v>161</v>
      </c>
      <c r="AO26" s="78">
        <f>B7</f>
        <v>36831</v>
      </c>
      <c r="AP26" s="108">
        <f t="shared" ref="AP26:AW26" si="0">SUM(AP31:AP108)</f>
        <v>145.19999999999999</v>
      </c>
      <c r="AQ26" s="108">
        <f t="shared" si="0"/>
        <v>168.75</v>
      </c>
      <c r="AR26" s="108"/>
      <c r="AS26" s="108"/>
      <c r="AT26" s="108"/>
      <c r="AU26" s="108">
        <f t="shared" ca="1" si="0"/>
        <v>31.196330027121292</v>
      </c>
      <c r="AV26" s="108">
        <f t="shared" ca="1" si="0"/>
        <v>13.346774975252075</v>
      </c>
      <c r="AW26" s="108">
        <f t="shared" ca="1" si="0"/>
        <v>0.44132722158216176</v>
      </c>
      <c r="AY26" s="83" t="s">
        <v>176</v>
      </c>
      <c r="AZ26" s="78">
        <f>D7</f>
        <v>36951</v>
      </c>
      <c r="BA26" s="108">
        <f>SUM(BA31:BA108)</f>
        <v>785.26499999999999</v>
      </c>
      <c r="BB26" s="108">
        <f>SUM(BB31:BB108)</f>
        <v>845.8075</v>
      </c>
      <c r="BC26" s="108"/>
      <c r="BD26" s="108"/>
      <c r="BE26" s="108"/>
      <c r="BF26" s="108">
        <f ca="1">SUM(BF31:BF108)</f>
        <v>206.50530227760373</v>
      </c>
      <c r="BG26" s="108">
        <f ca="1">SUM(BG31:BG108)</f>
        <v>55.619270110314524</v>
      </c>
      <c r="BH26" s="108">
        <f ca="1">SUM(BH31:BH108)</f>
        <v>3.2002991877064648</v>
      </c>
      <c r="BJ26" s="83" t="s">
        <v>177</v>
      </c>
      <c r="BK26" s="78">
        <f>F7</f>
        <v>36831</v>
      </c>
      <c r="BL26" s="108">
        <f>SUM(BL31:BL108)</f>
        <v>145.5</v>
      </c>
      <c r="BM26" s="108">
        <f>SUM(BM31:BM108)</f>
        <v>144.6</v>
      </c>
      <c r="BN26" s="108"/>
      <c r="BO26" s="108"/>
      <c r="BP26" s="108"/>
      <c r="BQ26" s="108">
        <f ca="1">SUM(BQ31:BQ108)</f>
        <v>12.965251707927692</v>
      </c>
      <c r="BR26" s="108">
        <f ca="1">SUM(BR31:BR108)</f>
        <v>16.280784306745677</v>
      </c>
      <c r="BS26" s="108">
        <f ca="1">SUM(BS31:BS108)</f>
        <v>0.22386300978107343</v>
      </c>
      <c r="BU26" s="83" t="s">
        <v>178</v>
      </c>
      <c r="BV26" s="78">
        <f>H7</f>
        <v>36861</v>
      </c>
      <c r="BW26" s="108">
        <f>SUM(BW31:BW108)</f>
        <v>152.52000000000001</v>
      </c>
      <c r="BX26" s="108">
        <f>SUM(BX31:BX108)</f>
        <v>150.505</v>
      </c>
      <c r="BY26" s="108"/>
      <c r="BZ26" s="108"/>
      <c r="CA26" s="108"/>
      <c r="CB26" s="108">
        <f ca="1">SUM(CB31:CB108)</f>
        <v>17.566954941198951</v>
      </c>
      <c r="CC26" s="108">
        <f ca="1">SUM(CC31:CC108)</f>
        <v>17.123166285570676</v>
      </c>
      <c r="CD26" s="108">
        <f ca="1">SUM(CD31:CD108)</f>
        <v>0.28805729469186891</v>
      </c>
    </row>
    <row r="27" spans="1:82" x14ac:dyDescent="0.25">
      <c r="A27" s="83"/>
      <c r="B27" s="214"/>
      <c r="C27" s="83"/>
      <c r="D27" s="57" t="s">
        <v>51</v>
      </c>
      <c r="E27" s="83"/>
      <c r="F27" s="214"/>
      <c r="G27" s="83"/>
      <c r="H27" s="214"/>
      <c r="I27" s="83"/>
      <c r="J27" s="106"/>
      <c r="K27" s="57" t="s">
        <v>52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F27" s="106"/>
      <c r="AG27" s="106"/>
      <c r="AH27" s="106"/>
      <c r="AK27" s="83"/>
      <c r="AL27" s="83"/>
      <c r="AM27" s="84"/>
      <c r="AN27" s="83"/>
      <c r="AR27" s="77" t="s">
        <v>126</v>
      </c>
      <c r="AS27" s="77">
        <f>IF(B19=4,3,B19)</f>
        <v>3</v>
      </c>
      <c r="AW27"/>
      <c r="AY27" s="83"/>
      <c r="BC27" s="77" t="s">
        <v>126</v>
      </c>
      <c r="BD27" s="77">
        <f>IF(D19=4,3,D19)</f>
        <v>3</v>
      </c>
      <c r="BH27"/>
      <c r="BJ27" s="83"/>
      <c r="BN27" s="77" t="s">
        <v>126</v>
      </c>
      <c r="BO27" s="77">
        <f>IF(F19=4,3,F19)</f>
        <v>1</v>
      </c>
      <c r="BS27"/>
      <c r="BU27" s="83"/>
      <c r="BY27" s="77" t="s">
        <v>126</v>
      </c>
      <c r="BZ27" s="77">
        <f>IF(H19=4,3,H19)</f>
        <v>1</v>
      </c>
      <c r="CD27"/>
    </row>
    <row r="28" spans="1:82" x14ac:dyDescent="0.25">
      <c r="A28" s="83"/>
      <c r="B28" s="139"/>
      <c r="C28" s="139"/>
      <c r="D28" s="160" t="str">
        <f>B4</f>
        <v>IF-TRANSCO/Z6</v>
      </c>
      <c r="K28" s="160" t="str">
        <f>D4</f>
        <v>NGI-SOCAL</v>
      </c>
      <c r="Q28" s="94"/>
      <c r="R28" s="160" t="str">
        <f>F4</f>
        <v>IF-HPL/SHPCHAN</v>
      </c>
      <c r="Y28" s="160" t="str">
        <f>H4</f>
        <v>IF-HPL/SHPCHAN</v>
      </c>
      <c r="AF28" s="133"/>
      <c r="AG28" s="133"/>
      <c r="AH28" s="133"/>
      <c r="AM28" s="84"/>
      <c r="AN28" s="136">
        <f>SUM(AN31:AN108)</f>
        <v>30</v>
      </c>
      <c r="AR28" s="77" t="s">
        <v>167</v>
      </c>
      <c r="AS28" s="77">
        <f>IF($G$1="GAMMA",3,IF($G$1="THETA",4,5))</f>
        <v>5</v>
      </c>
      <c r="AW28"/>
      <c r="AY28" s="136">
        <f>SUM(AY31:AY108)</f>
        <v>151</v>
      </c>
      <c r="BC28" s="77" t="s">
        <v>167</v>
      </c>
      <c r="BD28" s="77">
        <f>IF($G$1="GAMMA",3,IF($G$1="THETA",4,5))</f>
        <v>5</v>
      </c>
      <c r="BH28"/>
      <c r="BJ28" s="136">
        <f>SUM(BJ31:BJ108)</f>
        <v>30</v>
      </c>
      <c r="BN28" s="77" t="s">
        <v>167</v>
      </c>
      <c r="BO28" s="77">
        <f>IF($G$1="GAMMA",3,IF($G$1="THETA",4,5))</f>
        <v>5</v>
      </c>
      <c r="BS28"/>
      <c r="BU28" s="136">
        <f>SUM(BU31:BU108)</f>
        <v>31</v>
      </c>
      <c r="BY28" s="77" t="s">
        <v>167</v>
      </c>
      <c r="BZ28" s="77">
        <f>IF($G$1="GAMMA",3,IF($G$1="THETA",4,5))</f>
        <v>5</v>
      </c>
      <c r="CD28"/>
    </row>
    <row r="29" spans="1:82" ht="13.8" thickBot="1" x14ac:dyDescent="0.3">
      <c r="B29" s="186"/>
      <c r="C29" s="186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5"/>
      <c r="AF29" s="77" t="s">
        <v>45</v>
      </c>
      <c r="AI29" s="83"/>
      <c r="AJ29" s="83"/>
      <c r="AL29" s="83"/>
      <c r="AO29" s="77" t="s">
        <v>41</v>
      </c>
      <c r="AP29" s="96" t="s">
        <v>37</v>
      </c>
      <c r="AQ29" s="96" t="s">
        <v>168</v>
      </c>
      <c r="AR29" s="96" t="s">
        <v>38</v>
      </c>
      <c r="AS29" s="96" t="s">
        <v>29</v>
      </c>
      <c r="AT29" s="96" t="str">
        <f>$G1</f>
        <v>VEGA</v>
      </c>
      <c r="AU29" s="80" t="s">
        <v>38</v>
      </c>
      <c r="AV29" s="80" t="s">
        <v>29</v>
      </c>
      <c r="AW29" s="80" t="str">
        <f>AT29</f>
        <v>VEGA</v>
      </c>
      <c r="AZ29" s="77" t="s">
        <v>41</v>
      </c>
      <c r="BA29" s="96" t="s">
        <v>37</v>
      </c>
      <c r="BB29" s="96" t="s">
        <v>168</v>
      </c>
      <c r="BC29" s="96" t="s">
        <v>38</v>
      </c>
      <c r="BD29" s="96" t="s">
        <v>29</v>
      </c>
      <c r="BE29" s="96" t="str">
        <f>$G1</f>
        <v>VEGA</v>
      </c>
      <c r="BF29" s="80" t="s">
        <v>38</v>
      </c>
      <c r="BG29" s="80" t="s">
        <v>29</v>
      </c>
      <c r="BH29" s="80" t="str">
        <f>BE29</f>
        <v>VEGA</v>
      </c>
      <c r="BK29" s="77" t="s">
        <v>41</v>
      </c>
      <c r="BL29" s="96" t="s">
        <v>37</v>
      </c>
      <c r="BM29" s="96" t="s">
        <v>168</v>
      </c>
      <c r="BN29" s="96" t="s">
        <v>38</v>
      </c>
      <c r="BO29" s="96" t="s">
        <v>29</v>
      </c>
      <c r="BP29" s="96" t="str">
        <f>$G1</f>
        <v>VEGA</v>
      </c>
      <c r="BQ29" s="80" t="s">
        <v>38</v>
      </c>
      <c r="BR29" s="80" t="s">
        <v>29</v>
      </c>
      <c r="BS29" s="80" t="str">
        <f>BP29</f>
        <v>VEGA</v>
      </c>
      <c r="BV29" s="77" t="s">
        <v>41</v>
      </c>
      <c r="BW29" s="96" t="s">
        <v>37</v>
      </c>
      <c r="BX29" s="96" t="s">
        <v>168</v>
      </c>
      <c r="BY29" s="96" t="s">
        <v>38</v>
      </c>
      <c r="BZ29" s="96" t="s">
        <v>29</v>
      </c>
      <c r="CA29" s="96" t="str">
        <f>$G1</f>
        <v>VEGA</v>
      </c>
      <c r="CB29" s="80" t="s">
        <v>38</v>
      </c>
      <c r="CC29" s="80" t="s">
        <v>29</v>
      </c>
      <c r="CD29" s="80" t="str">
        <f>CA29</f>
        <v>VEGA</v>
      </c>
    </row>
    <row r="30" spans="1:82" ht="14.4" thickTop="1" thickBot="1" x14ac:dyDescent="0.3">
      <c r="A30" s="100" t="s">
        <v>24</v>
      </c>
      <c r="B30" s="100" t="s">
        <v>61</v>
      </c>
      <c r="C30" s="100" t="s">
        <v>28</v>
      </c>
      <c r="D30" s="100" t="s">
        <v>36</v>
      </c>
      <c r="E30" s="100" t="s">
        <v>57</v>
      </c>
      <c r="F30" s="100" t="s">
        <v>25</v>
      </c>
      <c r="G30" s="100" t="s">
        <v>54</v>
      </c>
      <c r="H30" s="100" t="s">
        <v>124</v>
      </c>
      <c r="I30" s="100" t="s">
        <v>49</v>
      </c>
      <c r="K30" s="100" t="s">
        <v>36</v>
      </c>
      <c r="L30" s="100" t="s">
        <v>57</v>
      </c>
      <c r="M30" s="100" t="s">
        <v>25</v>
      </c>
      <c r="N30" s="100" t="s">
        <v>55</v>
      </c>
      <c r="O30" s="100" t="s">
        <v>125</v>
      </c>
      <c r="P30" s="100" t="s">
        <v>50</v>
      </c>
      <c r="R30" s="100" t="s">
        <v>36</v>
      </c>
      <c r="S30" s="100" t="s">
        <v>57</v>
      </c>
      <c r="T30" s="100" t="s">
        <v>25</v>
      </c>
      <c r="U30" s="100" t="s">
        <v>165</v>
      </c>
      <c r="V30" s="100" t="s">
        <v>169</v>
      </c>
      <c r="W30" s="100" t="s">
        <v>163</v>
      </c>
      <c r="X30" s="193"/>
      <c r="Y30" s="100" t="s">
        <v>36</v>
      </c>
      <c r="Z30" s="100" t="s">
        <v>57</v>
      </c>
      <c r="AA30" s="100" t="s">
        <v>25</v>
      </c>
      <c r="AB30" s="100" t="s">
        <v>166</v>
      </c>
      <c r="AC30" s="100" t="s">
        <v>170</v>
      </c>
      <c r="AD30" s="100" t="s">
        <v>164</v>
      </c>
      <c r="AF30" s="77" t="s">
        <v>197</v>
      </c>
      <c r="AG30" s="100" t="s">
        <v>198</v>
      </c>
      <c r="AH30" s="100" t="s">
        <v>27</v>
      </c>
      <c r="AI30" s="83"/>
      <c r="AL30" s="193"/>
      <c r="AN30" s="77" t="s">
        <v>46</v>
      </c>
      <c r="AQ30" s="84"/>
      <c r="AR30" s="83"/>
      <c r="AS30" s="83"/>
      <c r="AT30" s="83"/>
      <c r="AW30" t="s">
        <v>175</v>
      </c>
      <c r="AY30" s="77" t="s">
        <v>46</v>
      </c>
      <c r="BB30" s="84"/>
      <c r="BC30" s="83"/>
      <c r="BD30" s="83"/>
      <c r="BE30" s="83"/>
      <c r="BH30" t="s">
        <v>175</v>
      </c>
      <c r="BJ30" s="77" t="s">
        <v>46</v>
      </c>
      <c r="BM30" s="84"/>
      <c r="BN30" s="83"/>
      <c r="BO30" s="83"/>
      <c r="BP30" s="83"/>
      <c r="BS30" t="s">
        <v>175</v>
      </c>
      <c r="BU30" s="77" t="s">
        <v>46</v>
      </c>
      <c r="BX30" s="84"/>
      <c r="BY30" s="83"/>
      <c r="BZ30" s="83"/>
      <c r="CA30" s="83"/>
      <c r="CD30" t="s">
        <v>175</v>
      </c>
    </row>
    <row r="31" spans="1:82" ht="13.8" thickTop="1" x14ac:dyDescent="0.25">
      <c r="A31" s="101">
        <v>36800</v>
      </c>
      <c r="B31" s="102">
        <f>VLOOKUP(A31,STRADDLE,5,FALSE)</f>
        <v>4.782</v>
      </c>
      <c r="C31" s="80">
        <f>VLOOKUP(A31,STRADDLE,8,FALSE)</f>
        <v>0.54</v>
      </c>
      <c r="D31" s="102">
        <f t="shared" ref="D31:D62" si="1">IF(D$28="nymex",0,VLOOKUP($A31,curvesettle,HLOOKUP(D$28,curvesettle,2,FALSE)))</f>
        <v>0.44</v>
      </c>
      <c r="E31" s="106">
        <f t="shared" ref="E31:E62" si="2">IF(ISNUMBER(VLOOKUP($A31,VOLCURVES,HLOOKUP(D$28,VOLCURVES,2,FALSE),FALSE)),VLOOKUP($A31,VOLCURVES,HLOOKUP(D$28,VOLCURVES,2,FALSE),FALSE),1)</f>
        <v>0.98</v>
      </c>
      <c r="F31" s="105">
        <f t="shared" ref="F31:F62" ca="1" si="3">IF(D$28="NYMEX",$AG31,$AF31)</f>
        <v>27</v>
      </c>
      <c r="G31" s="80" t="e">
        <f t="shared" ref="G31:G62" si="4">(($C31+H31)*$E31)+B$15</f>
        <v>#DIV/0!</v>
      </c>
      <c r="H31" s="80" t="e">
        <f t="shared" ref="H31:H62" si="5">IF($B$16=1,VLOOKUP($A31,SkewTable,HLOOKUP(ROUND(I31-AO31,1),SkewTable,2,FALSE),FALSE)/100,0)</f>
        <v>#DIV/0!</v>
      </c>
      <c r="I31" s="104">
        <f t="shared" ref="I31:I62" si="6">IF($B$19=4,$AO31,$B$18)</f>
        <v>5.05</v>
      </c>
      <c r="K31" s="102">
        <f t="shared" ref="K31:K62" si="7">IF(K$28="nymex",0,VLOOKUP($A31,curvesettle,HLOOKUP(K$28,curvesettle,2,FALSE)))</f>
        <v>0.9</v>
      </c>
      <c r="L31" s="106">
        <f t="shared" ref="L31:L62" si="8">IF(ISNUMBER(VLOOKUP($A31,VOLCURVES,HLOOKUP(K$28,VOLCURVES,2,FALSE),FALSE)),VLOOKUP($A31,VOLCURVES,HLOOKUP(K$28,VOLCURVES,2,FALSE),FALSE),1)</f>
        <v>0.94</v>
      </c>
      <c r="M31" s="105">
        <f t="shared" ref="M31:M62" ca="1" si="9">IF(K$28="NYMEX",$AG31,$AF31)</f>
        <v>27</v>
      </c>
      <c r="N31" s="217" t="e">
        <f t="shared" ref="N31:N62" si="10">(($C31+O31)*$L31)+D$15</f>
        <v>#DIV/0!</v>
      </c>
      <c r="O31" s="80" t="e">
        <f t="shared" ref="O31:O62" si="11">IF($D$16=1,VLOOKUP($A31,SkewTable,HLOOKUP(ROUND(P31-AZ31,1),SkewTable,2,FALSE),FALSE)/100,0)</f>
        <v>#DIV/0!</v>
      </c>
      <c r="P31" s="104">
        <f t="shared" ref="P31:P62" si="12">IF($D$19=4,$AZ31,$D$18)</f>
        <v>5.0999999999999996</v>
      </c>
      <c r="R31" s="102">
        <f t="shared" ref="R31:R62" si="13">IF(R$28="nymex",0,VLOOKUP($A31,curvesettle,HLOOKUP(R$28,curvesettle,2,FALSE)))</f>
        <v>-1.2500000000000001E-2</v>
      </c>
      <c r="S31" s="106">
        <f t="shared" ref="S31:S62" si="14">IF(ISNUMBER(VLOOKUP($A31,VOLCURVES,HLOOKUP(R$28,VOLCURVES,2,FALSE),FALSE)),VLOOKUP($A31,VOLCURVES,HLOOKUP(R$28,VOLCURVES,2,FALSE),FALSE),1)</f>
        <v>1</v>
      </c>
      <c r="T31" s="105">
        <f t="shared" ref="T31:T62" ca="1" si="15">IF(R$28="NYMEX",$AG31,$AF31)</f>
        <v>27</v>
      </c>
      <c r="U31" s="217" t="e">
        <f t="shared" ref="U31:U62" si="16">(($C31+V31)*$S31)+F$15</f>
        <v>#DIV/0!</v>
      </c>
      <c r="V31" s="80" t="e">
        <f t="shared" ref="V31:V62" si="17">IF($F$16=1,VLOOKUP($A31,SkewTable,HLOOKUP(ROUND(W31-BK31,1),SkewTable,2,FALSE),FALSE)/100,0)</f>
        <v>#DIV/0!</v>
      </c>
      <c r="W31" s="104">
        <f t="shared" ref="W31:W62" si="18">IF($F$19=4,$BK31,$F$18)</f>
        <v>4.8099999999999996</v>
      </c>
      <c r="X31" s="105"/>
      <c r="Y31" s="102">
        <f t="shared" ref="Y31:Y62" si="19">IF(Y$28="nymex",0,VLOOKUP($A31,curvesettle,HLOOKUP(Y$28,curvesettle,2,FALSE)))</f>
        <v>-1.2500000000000001E-2</v>
      </c>
      <c r="Z31" s="106">
        <f t="shared" ref="Z31:Z62" si="20">IF(ISNUMBER(VLOOKUP($A31,VOLCURVES,HLOOKUP(Y$28,VOLCURVES,2,FALSE),FALSE)),VLOOKUP($A31,VOLCURVES,HLOOKUP(Y$28,VOLCURVES,2,FALSE),FALSE),1)</f>
        <v>1</v>
      </c>
      <c r="AA31" s="105">
        <f t="shared" ref="AA31:AA62" ca="1" si="21">IF(Y$28="NYMEX",$AG31,$AF31)</f>
        <v>27</v>
      </c>
      <c r="AB31" s="80" t="e">
        <f t="shared" ref="AB31:AB62" si="22">(($C31+AC31)*$Z31)+H$15</f>
        <v>#DIV/0!</v>
      </c>
      <c r="AC31" s="80" t="e">
        <f t="shared" ref="AC31:AC62" si="23">IF($H$16=1,VLOOKUP($A31,SkewTable,HLOOKUP(ROUND(AD31-BV31,1),SkewTable,2,FALSE),FALSE)/100,0)</f>
        <v>#DIV/0!</v>
      </c>
      <c r="AD31" s="104">
        <f t="shared" ref="AD31:AD62" si="24">IF($H$19=4,$BV31,$H$18)</f>
        <v>4.8449999999999998</v>
      </c>
      <c r="AF31" s="105">
        <f ca="1">VLOOKUP($A31,expiration,2,FALSE)-$B$2</f>
        <v>27</v>
      </c>
      <c r="AG31" s="105">
        <f ca="1">VLOOKUP($A31,expiration,3,FALSE)-$B$2</f>
        <v>26</v>
      </c>
      <c r="AH31" s="80">
        <f>VLOOKUP($A31,STRADDLE,12,FALSE)</f>
        <v>6.7998663678555019E-2</v>
      </c>
      <c r="AI31" s="182">
        <f t="shared" ref="AI31:AI94" si="25">A32-A31</f>
        <v>31</v>
      </c>
      <c r="AL31" s="105"/>
      <c r="AM31" s="82"/>
      <c r="AN31" s="82">
        <f t="shared" ref="AN31:AN62" si="26">IF($A31&gt;=AO$25,IF($A31&lt;=AO$26,$AI31,0),0)</f>
        <v>0</v>
      </c>
      <c r="AO31" s="82" t="e">
        <f>AQ31/AN31</f>
        <v>#DIV/0!</v>
      </c>
      <c r="AP31" s="77">
        <f t="shared" ref="AP31:AP62" si="27">AN31*($B31+B$13)</f>
        <v>0</v>
      </c>
      <c r="AQ31" s="108">
        <f t="shared" ref="AQ31:AQ62" si="28">IF(ISNUMBER(((AP31/AN31)+B$14+$D31)*AN31),((AP31/AN31)+B$14+$D31)*AN31,0)</f>
        <v>0</v>
      </c>
      <c r="AR31" s="107">
        <f t="shared" ref="AR31:AR62" si="29">IF(AN31=0,0,bsd(1,AS$27,AO31,$I31,$F31,$G31,$AH31,0.1))</f>
        <v>0</v>
      </c>
      <c r="AS31" s="107">
        <f>IF(AN31=0,0,bsd(2,AS$27,AO31,$I31,$F31,$G31,$AH31,0.1))</f>
        <v>0</v>
      </c>
      <c r="AT31" s="107">
        <f t="shared" ref="AT31:AT62" si="30">IF(AN31=0,0,bsd(AS$28,AS$27,AO31,$I31,$F31,$G31,$AH31,0.1))</f>
        <v>0</v>
      </c>
      <c r="AU31" s="109">
        <f>AN31*AR31</f>
        <v>0</v>
      </c>
      <c r="AV31" s="109">
        <f>AN31*AS31</f>
        <v>0</v>
      </c>
      <c r="AW31" s="109">
        <f>AN31*AT31</f>
        <v>0</v>
      </c>
      <c r="AY31" s="82">
        <f t="shared" ref="AY31:AY62" si="31">IF($A31&gt;=AZ$25,IF($A31&lt;=AZ$26,$AI31,0),0)</f>
        <v>0</v>
      </c>
      <c r="AZ31" s="82" t="e">
        <f>BB31/AY31</f>
        <v>#DIV/0!</v>
      </c>
      <c r="BA31" s="77">
        <f t="shared" ref="BA31:BA62" si="32">AY31*($B31+D$13)</f>
        <v>0</v>
      </c>
      <c r="BB31" s="108">
        <f t="shared" ref="BB31:BB62" si="33">IF(ISNUMBER(((BA31/AY31)+D$14+$K31)*AY31),((BA31/AY31)+D$14+$K31)*AY31,0)</f>
        <v>0</v>
      </c>
      <c r="BC31" s="107">
        <f t="shared" ref="BC31:BC62" si="34">IF(AY31=0,0,bsd(1,BD$27,AZ31,$P31,$M31,$N31,$AH31,0.1))</f>
        <v>0</v>
      </c>
      <c r="BD31" s="107">
        <f t="shared" ref="BD31:BD62" si="35">IF(AY31=0,0,bsd(2,BD$27,AZ31,$P31,$M31,$N31,$AH31,0.1))</f>
        <v>0</v>
      </c>
      <c r="BE31" s="107">
        <f t="shared" ref="BE31:BE62" si="36">IF(AY31=0,0,bsd(BD$28,BD$27,AZ31,$P31,$M31,$N31,$AH31,0.1))</f>
        <v>0</v>
      </c>
      <c r="BF31" s="109">
        <f>AY31*BC31</f>
        <v>0</v>
      </c>
      <c r="BG31" s="109">
        <f>AY31*BD31</f>
        <v>0</v>
      </c>
      <c r="BH31" s="109">
        <f>AY31*BE31</f>
        <v>0</v>
      </c>
      <c r="BJ31" s="82">
        <f t="shared" ref="BJ31:BJ62" si="37">IF($A31&gt;=BK$25,IF($A31&lt;=BK$26,$AI31,0),0)</f>
        <v>0</v>
      </c>
      <c r="BK31" s="82" t="e">
        <f>BM31/BJ31</f>
        <v>#DIV/0!</v>
      </c>
      <c r="BL31" s="77">
        <f t="shared" ref="BL31:BL62" si="38">BJ31*($B31+F$13)</f>
        <v>0</v>
      </c>
      <c r="BM31" s="108">
        <f t="shared" ref="BM31:BM62" si="39">IF(ISNUMBER(((BL31/BJ31)+F$14+$R31)*BJ31),((BL31/BJ31)+F$14+$R31)*BJ31,0)</f>
        <v>0</v>
      </c>
      <c r="BN31" s="107">
        <f t="shared" ref="BN31:BN62" si="40">IF(BJ31=0,0,bsd(1,BO$27,BK31,$W31,$T31,$U31,$AH31,0.1))</f>
        <v>0</v>
      </c>
      <c r="BO31" s="107">
        <f t="shared" ref="BO31:BO62" si="41">IF(BJ31=0,0,bsd(2,BO$27,BK31,$W31,$T31,$U31,$AH31,0.1))</f>
        <v>0</v>
      </c>
      <c r="BP31" s="107">
        <f t="shared" ref="BP31:BP62" si="42">IF(BJ31=0,0,bsd(BO$28,BO$27,BK31,$W31,$T31,$U31,$AH31,0.1))</f>
        <v>0</v>
      </c>
      <c r="BQ31" s="109">
        <f>BJ31*BN31</f>
        <v>0</v>
      </c>
      <c r="BR31" s="109">
        <f>BJ31*BO31</f>
        <v>0</v>
      </c>
      <c r="BS31" s="109">
        <f>BJ31*BP31</f>
        <v>0</v>
      </c>
      <c r="BU31" s="82">
        <f t="shared" ref="BU31:BU62" si="43">IF($A31&gt;=BV$25,IF($A31&lt;=BV$26,$AI31,0),0)</f>
        <v>0</v>
      </c>
      <c r="BV31" s="82" t="e">
        <f>BX31/BU31</f>
        <v>#DIV/0!</v>
      </c>
      <c r="BW31" s="77">
        <f t="shared" ref="BW31:BW62" si="44">BU31*($B31+H$13)</f>
        <v>0</v>
      </c>
      <c r="BX31" s="108">
        <f t="shared" ref="BX31:BX62" si="45">IF(ISNUMBER(((BW31/BU31)+H$14+$Y31)*BU31),((BW31/BU31)+H$14+$Y31)*BU31,0)</f>
        <v>0</v>
      </c>
      <c r="BY31" s="107">
        <f t="shared" ref="BY31:BY62" si="46">IF(BU31=0,0,bsd(1,BZ$27,BV31,$AD31,$AA31,$AB31,$AH31,0.1))</f>
        <v>0</v>
      </c>
      <c r="BZ31" s="107">
        <f t="shared" ref="BZ31:BZ62" si="47">IF(BU31=0,0,bsd(2,BZ$27,BV31,$AD31,$AA31,$AB31,$AH31,0.1))</f>
        <v>0</v>
      </c>
      <c r="CA31" s="107">
        <f t="shared" ref="CA31:CA62" si="48">IF(BU31=0,0,bsd(BZ$28,BZ$27,BV31,$AD31,$AA31,$AB31,$AH31,0.1))</f>
        <v>0</v>
      </c>
      <c r="CB31" s="109">
        <f>BU31*BY31</f>
        <v>0</v>
      </c>
      <c r="CC31" s="109">
        <f>BU31*BZ31</f>
        <v>0</v>
      </c>
      <c r="CD31" s="109">
        <f>BU31*CA31</f>
        <v>0</v>
      </c>
    </row>
    <row r="32" spans="1:82" x14ac:dyDescent="0.25">
      <c r="A32" s="101">
        <f t="shared" ref="A32:A89" si="49">DATE(YEAR(A31),MONTH(A31)+1,1)</f>
        <v>36831</v>
      </c>
      <c r="B32" s="102">
        <f t="shared" ref="B32:B108" si="50">VLOOKUP(A32,STRADDLE,5,FALSE)</f>
        <v>4.84</v>
      </c>
      <c r="C32" s="80">
        <f t="shared" ref="C32:C95" si="51">VLOOKUP(A32,STRADDLE,8,FALSE)</f>
        <v>0.55999999999999994</v>
      </c>
      <c r="D32" s="102">
        <f t="shared" si="1"/>
        <v>0.78500000000000003</v>
      </c>
      <c r="E32" s="106">
        <f t="shared" si="2"/>
        <v>1.05</v>
      </c>
      <c r="F32" s="105">
        <f t="shared" ca="1" si="3"/>
        <v>57</v>
      </c>
      <c r="G32" s="80">
        <f t="shared" si="4"/>
        <v>0.56103468749999996</v>
      </c>
      <c r="H32" s="80">
        <f t="shared" si="5"/>
        <v>-2.5681250000000003E-2</v>
      </c>
      <c r="I32" s="104">
        <f t="shared" si="6"/>
        <v>5.05</v>
      </c>
      <c r="K32" s="102">
        <f t="shared" si="7"/>
        <v>0.60250000000000004</v>
      </c>
      <c r="L32" s="106">
        <f t="shared" si="8"/>
        <v>0.97</v>
      </c>
      <c r="M32" s="105">
        <f t="shared" ca="1" si="9"/>
        <v>57</v>
      </c>
      <c r="N32" s="217">
        <f t="shared" si="10"/>
        <v>0.52693154821874988</v>
      </c>
      <c r="O32" s="80">
        <f t="shared" si="11"/>
        <v>-2.7080878125000006E-2</v>
      </c>
      <c r="P32" s="104">
        <f t="shared" si="12"/>
        <v>5.0999999999999996</v>
      </c>
      <c r="R32" s="102">
        <f t="shared" si="13"/>
        <v>-0.03</v>
      </c>
      <c r="S32" s="106">
        <f t="shared" si="14"/>
        <v>1</v>
      </c>
      <c r="T32" s="105">
        <f t="shared" ca="1" si="15"/>
        <v>57</v>
      </c>
      <c r="U32" s="217">
        <f t="shared" si="16"/>
        <v>0.56999999999999995</v>
      </c>
      <c r="V32" s="80">
        <f t="shared" si="17"/>
        <v>0</v>
      </c>
      <c r="W32" s="104">
        <f t="shared" si="18"/>
        <v>4.8099999999999996</v>
      </c>
      <c r="X32" s="105"/>
      <c r="Y32" s="102">
        <f t="shared" si="19"/>
        <v>-0.03</v>
      </c>
      <c r="Z32" s="106">
        <f t="shared" si="20"/>
        <v>1</v>
      </c>
      <c r="AA32" s="105">
        <f t="shared" ca="1" si="21"/>
        <v>57</v>
      </c>
      <c r="AB32" s="80" t="e">
        <f t="shared" si="22"/>
        <v>#DIV/0!</v>
      </c>
      <c r="AC32" s="80" t="e">
        <f t="shared" si="23"/>
        <v>#DIV/0!</v>
      </c>
      <c r="AD32" s="104">
        <f t="shared" si="24"/>
        <v>4.8449999999999998</v>
      </c>
      <c r="AF32" s="105">
        <f t="shared" ref="AF32:AF95" ca="1" si="52">VLOOKUP($A32,expiration,2,FALSE)-$B$2</f>
        <v>57</v>
      </c>
      <c r="AG32" s="105">
        <f t="shared" ref="AG32:AG95" ca="1" si="53">VLOOKUP($A32,expiration,3,FALSE)-$B$2</f>
        <v>56</v>
      </c>
      <c r="AH32" s="80">
        <f t="shared" ref="AH32:AH108" si="54">VLOOKUP($A32,STRADDLE,12,FALSE)</f>
        <v>6.8040372818879022E-2</v>
      </c>
      <c r="AI32" s="182">
        <f t="shared" si="25"/>
        <v>30</v>
      </c>
      <c r="AL32" s="105"/>
      <c r="AM32" s="82"/>
      <c r="AN32" s="82">
        <f t="shared" si="26"/>
        <v>30</v>
      </c>
      <c r="AO32" s="82">
        <f t="shared" ref="AO32:AO95" si="55">AQ32/AN32</f>
        <v>5.625</v>
      </c>
      <c r="AP32" s="77">
        <f t="shared" si="27"/>
        <v>145.19999999999999</v>
      </c>
      <c r="AQ32" s="108">
        <f t="shared" si="28"/>
        <v>168.75</v>
      </c>
      <c r="AR32" s="107">
        <f t="shared" ca="1" si="29"/>
        <v>1.0398776675707098</v>
      </c>
      <c r="AS32" s="107">
        <f t="shared" ref="AS32:AS62" ca="1" si="56">IF(AN32=0,0,bsd(2,AS$27,AO32,$I32,$F32,$G32,$AH32,0.1))</f>
        <v>0.44489249917506918</v>
      </c>
      <c r="AT32" s="107">
        <f t="shared" ca="1" si="30"/>
        <v>1.4710907386072059E-2</v>
      </c>
      <c r="AU32" s="109">
        <f t="shared" ref="AU32:AU95" ca="1" si="57">AN32*AR32</f>
        <v>31.196330027121292</v>
      </c>
      <c r="AV32" s="109">
        <f t="shared" ref="AV32:AV95" ca="1" si="58">AN32*AS32</f>
        <v>13.346774975252075</v>
      </c>
      <c r="AW32" s="109">
        <f t="shared" ref="AW32:AW95" ca="1" si="59">AN32*AT32</f>
        <v>0.44132722158216176</v>
      </c>
      <c r="AY32" s="82">
        <f t="shared" si="31"/>
        <v>30</v>
      </c>
      <c r="AZ32" s="82">
        <f t="shared" ref="AZ32:AZ95" si="60">BB32/AY32</f>
        <v>5.9424999999999999</v>
      </c>
      <c r="BA32" s="77">
        <f t="shared" si="32"/>
        <v>160.19999999999999</v>
      </c>
      <c r="BB32" s="108">
        <f t="shared" si="33"/>
        <v>178.27500000000001</v>
      </c>
      <c r="BC32" s="107">
        <f t="shared" ca="1" si="34"/>
        <v>1.1383863971723558</v>
      </c>
      <c r="BD32" s="107">
        <f t="shared" ca="1" si="35"/>
        <v>0.59184191853479962</v>
      </c>
      <c r="BE32" s="107">
        <f t="shared" ca="1" si="36"/>
        <v>1.3110216687146625E-2</v>
      </c>
      <c r="BF32" s="109">
        <f t="shared" ref="BF32:BF95" ca="1" si="61">AY32*BC32</f>
        <v>34.151591915170677</v>
      </c>
      <c r="BG32" s="109">
        <f t="shared" ref="BG32:BG95" ca="1" si="62">AY32*BD32</f>
        <v>17.75525755604399</v>
      </c>
      <c r="BH32" s="109">
        <f t="shared" ref="BH32:BH95" ca="1" si="63">AY32*BE32</f>
        <v>0.39330650061439876</v>
      </c>
      <c r="BJ32" s="82">
        <f t="shared" si="37"/>
        <v>30</v>
      </c>
      <c r="BK32" s="82">
        <f t="shared" ref="BK32:BK95" si="64">BM32/BJ32</f>
        <v>4.8199999999999994</v>
      </c>
      <c r="BL32" s="77">
        <f t="shared" si="38"/>
        <v>145.5</v>
      </c>
      <c r="BM32" s="108">
        <f t="shared" si="39"/>
        <v>144.6</v>
      </c>
      <c r="BN32" s="107">
        <f t="shared" ca="1" si="40"/>
        <v>0.43217505693092306</v>
      </c>
      <c r="BO32" s="107">
        <f t="shared" ca="1" si="41"/>
        <v>0.54269281022485594</v>
      </c>
      <c r="BP32" s="107">
        <f t="shared" ca="1" si="42"/>
        <v>7.462100326035781E-3</v>
      </c>
      <c r="BQ32" s="109">
        <f t="shared" ref="BQ32:BQ95" ca="1" si="65">BJ32*BN32</f>
        <v>12.965251707927692</v>
      </c>
      <c r="BR32" s="109">
        <f t="shared" ref="BR32:BR95" ca="1" si="66">BJ32*BO32</f>
        <v>16.280784306745677</v>
      </c>
      <c r="BS32" s="109">
        <f t="shared" ref="BS32:BS95" ca="1" si="67">BJ32*BP32</f>
        <v>0.22386300978107343</v>
      </c>
      <c r="BU32" s="82">
        <f t="shared" si="43"/>
        <v>0</v>
      </c>
      <c r="BV32" s="82" t="e">
        <f t="shared" ref="BV32:BV95" si="68">BX32/BU32</f>
        <v>#DIV/0!</v>
      </c>
      <c r="BW32" s="77">
        <f t="shared" si="44"/>
        <v>0</v>
      </c>
      <c r="BX32" s="108">
        <f t="shared" si="45"/>
        <v>0</v>
      </c>
      <c r="BY32" s="107">
        <f t="shared" si="46"/>
        <v>0</v>
      </c>
      <c r="BZ32" s="107">
        <f t="shared" si="47"/>
        <v>0</v>
      </c>
      <c r="CA32" s="107">
        <f t="shared" si="48"/>
        <v>0</v>
      </c>
      <c r="CB32" s="109">
        <f t="shared" ref="CB32:CB95" si="69">BU32*BY32</f>
        <v>0</v>
      </c>
      <c r="CC32" s="109">
        <f t="shared" ref="CC32:CC95" si="70">BU32*BZ32</f>
        <v>0</v>
      </c>
      <c r="CD32" s="109">
        <f t="shared" ref="CD32:CD95" si="71">BU32*CA32</f>
        <v>0</v>
      </c>
    </row>
    <row r="33" spans="1:82" x14ac:dyDescent="0.25">
      <c r="A33" s="101">
        <f t="shared" si="49"/>
        <v>36861</v>
      </c>
      <c r="B33" s="102">
        <f t="shared" si="50"/>
        <v>4.91</v>
      </c>
      <c r="C33" s="80">
        <f t="shared" si="51"/>
        <v>0.59</v>
      </c>
      <c r="D33" s="102">
        <f t="shared" si="1"/>
        <v>1.71</v>
      </c>
      <c r="E33" s="106">
        <f t="shared" si="2"/>
        <v>1.1499999999999999</v>
      </c>
      <c r="F33" s="105">
        <f t="shared" ca="1" si="3"/>
        <v>89</v>
      </c>
      <c r="G33" s="80" t="e">
        <f t="shared" si="4"/>
        <v>#DIV/0!</v>
      </c>
      <c r="H33" s="80" t="e">
        <f t="shared" si="5"/>
        <v>#DIV/0!</v>
      </c>
      <c r="I33" s="104">
        <f t="shared" si="6"/>
        <v>5.05</v>
      </c>
      <c r="K33" s="102">
        <f t="shared" si="7"/>
        <v>0.4425</v>
      </c>
      <c r="L33" s="106">
        <f t="shared" si="8"/>
        <v>0.97</v>
      </c>
      <c r="M33" s="105">
        <f t="shared" ca="1" si="9"/>
        <v>89</v>
      </c>
      <c r="N33" s="217">
        <f t="shared" si="10"/>
        <v>0.55603154821874989</v>
      </c>
      <c r="O33" s="80">
        <f t="shared" si="11"/>
        <v>-2.7080878125000006E-2</v>
      </c>
      <c r="P33" s="104">
        <f t="shared" si="12"/>
        <v>5.0999999999999996</v>
      </c>
      <c r="R33" s="102">
        <f t="shared" si="13"/>
        <v>-6.5000000000000002E-2</v>
      </c>
      <c r="S33" s="106">
        <f t="shared" si="14"/>
        <v>1</v>
      </c>
      <c r="T33" s="105">
        <f t="shared" ca="1" si="15"/>
        <v>89</v>
      </c>
      <c r="U33" s="217" t="e">
        <f t="shared" si="16"/>
        <v>#DIV/0!</v>
      </c>
      <c r="V33" s="80" t="e">
        <f t="shared" si="17"/>
        <v>#DIV/0!</v>
      </c>
      <c r="W33" s="104">
        <f t="shared" si="18"/>
        <v>4.8099999999999996</v>
      </c>
      <c r="X33" s="105"/>
      <c r="Y33" s="102">
        <f t="shared" si="19"/>
        <v>-6.5000000000000002E-2</v>
      </c>
      <c r="Z33" s="106">
        <f t="shared" si="20"/>
        <v>1</v>
      </c>
      <c r="AA33" s="105">
        <f t="shared" ca="1" si="21"/>
        <v>89</v>
      </c>
      <c r="AB33" s="80">
        <f t="shared" si="22"/>
        <v>0.6</v>
      </c>
      <c r="AC33" s="80">
        <f t="shared" si="23"/>
        <v>0</v>
      </c>
      <c r="AD33" s="104">
        <f t="shared" si="24"/>
        <v>4.8449999999999998</v>
      </c>
      <c r="AF33" s="105">
        <f t="shared" ca="1" si="52"/>
        <v>89</v>
      </c>
      <c r="AG33" s="105">
        <f t="shared" ca="1" si="53"/>
        <v>88</v>
      </c>
      <c r="AH33" s="80">
        <f t="shared" si="54"/>
        <v>6.8247886953399006E-2</v>
      </c>
      <c r="AI33" s="182">
        <f t="shared" si="25"/>
        <v>31</v>
      </c>
      <c r="AL33" s="105"/>
      <c r="AM33" s="82"/>
      <c r="AN33" s="82">
        <f t="shared" si="26"/>
        <v>0</v>
      </c>
      <c r="AO33" s="82" t="e">
        <f t="shared" si="55"/>
        <v>#DIV/0!</v>
      </c>
      <c r="AP33" s="77">
        <f t="shared" si="27"/>
        <v>0</v>
      </c>
      <c r="AQ33" s="108">
        <f t="shared" si="28"/>
        <v>0</v>
      </c>
      <c r="AR33" s="107">
        <f t="shared" si="29"/>
        <v>0</v>
      </c>
      <c r="AS33" s="107">
        <f t="shared" si="56"/>
        <v>0</v>
      </c>
      <c r="AT33" s="107">
        <f t="shared" si="30"/>
        <v>0</v>
      </c>
      <c r="AU33" s="109">
        <f t="shared" si="57"/>
        <v>0</v>
      </c>
      <c r="AV33" s="109">
        <f t="shared" si="58"/>
        <v>0</v>
      </c>
      <c r="AW33" s="109">
        <f t="shared" si="59"/>
        <v>0</v>
      </c>
      <c r="AY33" s="82">
        <f t="shared" si="31"/>
        <v>31</v>
      </c>
      <c r="AZ33" s="82">
        <f t="shared" si="60"/>
        <v>5.8525</v>
      </c>
      <c r="BA33" s="77">
        <f t="shared" si="32"/>
        <v>167.71</v>
      </c>
      <c r="BB33" s="108">
        <f t="shared" si="33"/>
        <v>181.42750000000001</v>
      </c>
      <c r="BC33" s="107">
        <f t="shared" ca="1" si="34"/>
        <v>1.3197624341448269</v>
      </c>
      <c r="BD33" s="107">
        <f t="shared" ca="1" si="35"/>
        <v>0.46900844478276077</v>
      </c>
      <c r="BE33" s="107">
        <f t="shared" ca="1" si="36"/>
        <v>1.8533432204116629E-2</v>
      </c>
      <c r="BF33" s="109">
        <f t="shared" ca="1" si="61"/>
        <v>40.912635458489632</v>
      </c>
      <c r="BG33" s="109">
        <f t="shared" ca="1" si="62"/>
        <v>14.539261788265584</v>
      </c>
      <c r="BH33" s="109">
        <f t="shared" ca="1" si="63"/>
        <v>0.57453639832761549</v>
      </c>
      <c r="BJ33" s="82">
        <f t="shared" si="37"/>
        <v>0</v>
      </c>
      <c r="BK33" s="82" t="e">
        <f t="shared" si="64"/>
        <v>#DIV/0!</v>
      </c>
      <c r="BL33" s="77">
        <f t="shared" si="38"/>
        <v>0</v>
      </c>
      <c r="BM33" s="108">
        <f t="shared" si="39"/>
        <v>0</v>
      </c>
      <c r="BN33" s="107">
        <f t="shared" si="40"/>
        <v>0</v>
      </c>
      <c r="BO33" s="107">
        <f t="shared" si="41"/>
        <v>0</v>
      </c>
      <c r="BP33" s="107">
        <f t="shared" si="42"/>
        <v>0</v>
      </c>
      <c r="BQ33" s="109">
        <f t="shared" si="65"/>
        <v>0</v>
      </c>
      <c r="BR33" s="109">
        <f t="shared" si="66"/>
        <v>0</v>
      </c>
      <c r="BS33" s="109">
        <f t="shared" si="67"/>
        <v>0</v>
      </c>
      <c r="BU33" s="82">
        <f t="shared" si="43"/>
        <v>31</v>
      </c>
      <c r="BV33" s="82">
        <f t="shared" si="68"/>
        <v>4.8549999999999995</v>
      </c>
      <c r="BW33" s="77">
        <f t="shared" si="44"/>
        <v>152.52000000000001</v>
      </c>
      <c r="BX33" s="108">
        <f t="shared" si="45"/>
        <v>150.505</v>
      </c>
      <c r="BY33" s="107">
        <f t="shared" ca="1" si="46"/>
        <v>0.56667596584512747</v>
      </c>
      <c r="BZ33" s="107">
        <f t="shared" ca="1" si="47"/>
        <v>0.55236020276034437</v>
      </c>
      <c r="CA33" s="107">
        <f t="shared" ca="1" si="48"/>
        <v>9.2921707965119005E-3</v>
      </c>
      <c r="CB33" s="109">
        <f t="shared" ca="1" si="69"/>
        <v>17.566954941198951</v>
      </c>
      <c r="CC33" s="109">
        <f t="shared" ca="1" si="70"/>
        <v>17.123166285570676</v>
      </c>
      <c r="CD33" s="109">
        <f t="shared" ca="1" si="71"/>
        <v>0.28805729469186891</v>
      </c>
    </row>
    <row r="34" spans="1:82" x14ac:dyDescent="0.25">
      <c r="A34" s="101">
        <f t="shared" si="49"/>
        <v>36892</v>
      </c>
      <c r="B34" s="102">
        <f t="shared" si="50"/>
        <v>4.8499999999999996</v>
      </c>
      <c r="C34" s="80">
        <f t="shared" si="51"/>
        <v>0.6</v>
      </c>
      <c r="D34" s="102">
        <f t="shared" si="1"/>
        <v>2.2450000000000001</v>
      </c>
      <c r="E34" s="106">
        <f t="shared" si="2"/>
        <v>1.1499999999999999</v>
      </c>
      <c r="F34" s="105">
        <f t="shared" ca="1" si="3"/>
        <v>118</v>
      </c>
      <c r="G34" s="80" t="e">
        <f t="shared" si="4"/>
        <v>#DIV/0!</v>
      </c>
      <c r="H34" s="80" t="e">
        <f t="shared" si="5"/>
        <v>#DIV/0!</v>
      </c>
      <c r="I34" s="104">
        <f t="shared" si="6"/>
        <v>5.05</v>
      </c>
      <c r="K34" s="102">
        <f t="shared" si="7"/>
        <v>0.42499999999999999</v>
      </c>
      <c r="L34" s="106">
        <f t="shared" si="8"/>
        <v>0.97</v>
      </c>
      <c r="M34" s="105">
        <f t="shared" ca="1" si="9"/>
        <v>118</v>
      </c>
      <c r="N34" s="217">
        <f t="shared" si="10"/>
        <v>0.56642837499999998</v>
      </c>
      <c r="O34" s="80">
        <f t="shared" si="11"/>
        <v>-2.6362500000000001E-2</v>
      </c>
      <c r="P34" s="104">
        <f t="shared" si="12"/>
        <v>5.0999999999999996</v>
      </c>
      <c r="R34" s="102">
        <f t="shared" si="13"/>
        <v>-7.0000000000000007E-2</v>
      </c>
      <c r="S34" s="106">
        <f t="shared" si="14"/>
        <v>1</v>
      </c>
      <c r="T34" s="105">
        <f t="shared" ca="1" si="15"/>
        <v>118</v>
      </c>
      <c r="U34" s="217" t="e">
        <f t="shared" si="16"/>
        <v>#DIV/0!</v>
      </c>
      <c r="V34" s="80" t="e">
        <f t="shared" si="17"/>
        <v>#DIV/0!</v>
      </c>
      <c r="W34" s="104">
        <f t="shared" si="18"/>
        <v>4.8099999999999996</v>
      </c>
      <c r="X34" s="105"/>
      <c r="Y34" s="102">
        <f t="shared" si="19"/>
        <v>-7.0000000000000007E-2</v>
      </c>
      <c r="Z34" s="106">
        <f t="shared" si="20"/>
        <v>1</v>
      </c>
      <c r="AA34" s="105">
        <f t="shared" ca="1" si="21"/>
        <v>118</v>
      </c>
      <c r="AB34" s="80" t="e">
        <f t="shared" si="22"/>
        <v>#DIV/0!</v>
      </c>
      <c r="AC34" s="80" t="e">
        <f t="shared" si="23"/>
        <v>#DIV/0!</v>
      </c>
      <c r="AD34" s="104">
        <f t="shared" si="24"/>
        <v>4.8449999999999998</v>
      </c>
      <c r="AF34" s="105">
        <f t="shared" ca="1" si="52"/>
        <v>118</v>
      </c>
      <c r="AG34" s="105">
        <f t="shared" ca="1" si="53"/>
        <v>117</v>
      </c>
      <c r="AH34" s="80">
        <f t="shared" si="54"/>
        <v>6.8245902043498008E-2</v>
      </c>
      <c r="AI34" s="182">
        <f t="shared" si="25"/>
        <v>31</v>
      </c>
      <c r="AL34" s="105"/>
      <c r="AM34" s="82"/>
      <c r="AN34" s="82">
        <f t="shared" si="26"/>
        <v>0</v>
      </c>
      <c r="AO34" s="82" t="e">
        <f t="shared" si="55"/>
        <v>#DIV/0!</v>
      </c>
      <c r="AP34" s="77">
        <f t="shared" si="27"/>
        <v>0</v>
      </c>
      <c r="AQ34" s="108">
        <f t="shared" si="28"/>
        <v>0</v>
      </c>
      <c r="AR34" s="107">
        <f t="shared" si="29"/>
        <v>0</v>
      </c>
      <c r="AS34" s="107">
        <f t="shared" si="56"/>
        <v>0</v>
      </c>
      <c r="AT34" s="107">
        <f t="shared" si="30"/>
        <v>0</v>
      </c>
      <c r="AU34" s="109">
        <f t="shared" si="57"/>
        <v>0</v>
      </c>
      <c r="AV34" s="109">
        <f t="shared" si="58"/>
        <v>0</v>
      </c>
      <c r="AW34" s="109">
        <f t="shared" si="59"/>
        <v>0</v>
      </c>
      <c r="AY34" s="82">
        <f t="shared" si="31"/>
        <v>31</v>
      </c>
      <c r="AZ34" s="82">
        <f t="shared" si="60"/>
        <v>5.7749999999999995</v>
      </c>
      <c r="BA34" s="77">
        <f t="shared" si="32"/>
        <v>165.85</v>
      </c>
      <c r="BB34" s="108">
        <f t="shared" si="33"/>
        <v>179.02499999999998</v>
      </c>
      <c r="BC34" s="107">
        <f t="shared" ca="1" si="34"/>
        <v>1.4599877569865318</v>
      </c>
      <c r="BD34" s="107">
        <f t="shared" ca="1" si="35"/>
        <v>0.40653559233501541</v>
      </c>
      <c r="BE34" s="107">
        <f t="shared" ca="1" si="36"/>
        <v>2.2090169170603247E-2</v>
      </c>
      <c r="BF34" s="109">
        <f t="shared" ca="1" si="61"/>
        <v>45.25962046658249</v>
      </c>
      <c r="BG34" s="109">
        <f t="shared" ca="1" si="62"/>
        <v>12.602603362385478</v>
      </c>
      <c r="BH34" s="109">
        <f t="shared" ca="1" si="63"/>
        <v>0.68479524428870064</v>
      </c>
      <c r="BJ34" s="82">
        <f t="shared" si="37"/>
        <v>0</v>
      </c>
      <c r="BK34" s="82" t="e">
        <f t="shared" si="64"/>
        <v>#DIV/0!</v>
      </c>
      <c r="BL34" s="77">
        <f t="shared" si="38"/>
        <v>0</v>
      </c>
      <c r="BM34" s="108">
        <f t="shared" si="39"/>
        <v>0</v>
      </c>
      <c r="BN34" s="107">
        <f t="shared" si="40"/>
        <v>0</v>
      </c>
      <c r="BO34" s="107">
        <f t="shared" si="41"/>
        <v>0</v>
      </c>
      <c r="BP34" s="107">
        <f t="shared" si="42"/>
        <v>0</v>
      </c>
      <c r="BQ34" s="109">
        <f t="shared" si="65"/>
        <v>0</v>
      </c>
      <c r="BR34" s="109">
        <f t="shared" si="66"/>
        <v>0</v>
      </c>
      <c r="BS34" s="109">
        <f t="shared" si="67"/>
        <v>0</v>
      </c>
      <c r="BU34" s="82">
        <f t="shared" si="43"/>
        <v>0</v>
      </c>
      <c r="BV34" s="82" t="e">
        <f t="shared" si="68"/>
        <v>#DIV/0!</v>
      </c>
      <c r="BW34" s="77">
        <f t="shared" si="44"/>
        <v>0</v>
      </c>
      <c r="BX34" s="108">
        <f t="shared" si="45"/>
        <v>0</v>
      </c>
      <c r="BY34" s="107">
        <f t="shared" si="46"/>
        <v>0</v>
      </c>
      <c r="BZ34" s="107">
        <f t="shared" si="47"/>
        <v>0</v>
      </c>
      <c r="CA34" s="107">
        <f t="shared" si="48"/>
        <v>0</v>
      </c>
      <c r="CB34" s="109">
        <f t="shared" si="69"/>
        <v>0</v>
      </c>
      <c r="CC34" s="109">
        <f t="shared" si="70"/>
        <v>0</v>
      </c>
      <c r="CD34" s="109">
        <f t="shared" si="71"/>
        <v>0</v>
      </c>
    </row>
    <row r="35" spans="1:82" x14ac:dyDescent="0.25">
      <c r="A35" s="101">
        <f t="shared" si="49"/>
        <v>36923</v>
      </c>
      <c r="B35" s="102">
        <f t="shared" si="50"/>
        <v>4.58</v>
      </c>
      <c r="C35" s="80">
        <f t="shared" si="51"/>
        <v>0.59250000000000003</v>
      </c>
      <c r="D35" s="102">
        <f t="shared" si="1"/>
        <v>2.1749999999999998</v>
      </c>
      <c r="E35" s="106">
        <f t="shared" si="2"/>
        <v>1.1499999999999999</v>
      </c>
      <c r="F35" s="105">
        <f t="shared" ca="1" si="3"/>
        <v>151</v>
      </c>
      <c r="G35" s="80" t="e">
        <f t="shared" si="4"/>
        <v>#DIV/0!</v>
      </c>
      <c r="H35" s="80" t="e">
        <f t="shared" si="5"/>
        <v>#DIV/0!</v>
      </c>
      <c r="I35" s="104">
        <f t="shared" si="6"/>
        <v>5.05</v>
      </c>
      <c r="K35" s="102">
        <f t="shared" si="7"/>
        <v>0.28499999999999998</v>
      </c>
      <c r="L35" s="106">
        <f t="shared" si="8"/>
        <v>0.97</v>
      </c>
      <c r="M35" s="105">
        <f t="shared" ca="1" si="9"/>
        <v>151</v>
      </c>
      <c r="N35" s="217">
        <f t="shared" si="10"/>
        <v>0.57017499999999999</v>
      </c>
      <c r="O35" s="80">
        <f t="shared" si="11"/>
        <v>-1.4999999999999999E-2</v>
      </c>
      <c r="P35" s="104">
        <f t="shared" si="12"/>
        <v>5.0999999999999996</v>
      </c>
      <c r="R35" s="102">
        <f t="shared" si="13"/>
        <v>-5.2499999999999998E-2</v>
      </c>
      <c r="S35" s="106">
        <f t="shared" si="14"/>
        <v>1</v>
      </c>
      <c r="T35" s="105">
        <f t="shared" ca="1" si="15"/>
        <v>151</v>
      </c>
      <c r="U35" s="217" t="e">
        <f t="shared" si="16"/>
        <v>#DIV/0!</v>
      </c>
      <c r="V35" s="80" t="e">
        <f t="shared" si="17"/>
        <v>#DIV/0!</v>
      </c>
      <c r="W35" s="104">
        <f t="shared" si="18"/>
        <v>4.8099999999999996</v>
      </c>
      <c r="X35" s="105"/>
      <c r="Y35" s="102">
        <f t="shared" si="19"/>
        <v>-5.2499999999999998E-2</v>
      </c>
      <c r="Z35" s="106">
        <f t="shared" si="20"/>
        <v>1</v>
      </c>
      <c r="AA35" s="105">
        <f t="shared" ca="1" si="21"/>
        <v>151</v>
      </c>
      <c r="AB35" s="80" t="e">
        <f t="shared" si="22"/>
        <v>#DIV/0!</v>
      </c>
      <c r="AC35" s="80" t="e">
        <f t="shared" si="23"/>
        <v>#DIV/0!</v>
      </c>
      <c r="AD35" s="104">
        <f t="shared" si="24"/>
        <v>4.8449999999999998</v>
      </c>
      <c r="AF35" s="105">
        <f t="shared" ca="1" si="52"/>
        <v>151</v>
      </c>
      <c r="AG35" s="105">
        <f t="shared" ca="1" si="53"/>
        <v>148</v>
      </c>
      <c r="AH35" s="80">
        <f t="shared" si="54"/>
        <v>6.8477342037279024E-2</v>
      </c>
      <c r="AI35" s="182">
        <f t="shared" si="25"/>
        <v>28</v>
      </c>
      <c r="AL35" s="105"/>
      <c r="AM35" s="82"/>
      <c r="AN35" s="82">
        <f t="shared" si="26"/>
        <v>0</v>
      </c>
      <c r="AO35" s="82" t="e">
        <f t="shared" si="55"/>
        <v>#DIV/0!</v>
      </c>
      <c r="AP35" s="77">
        <f t="shared" si="27"/>
        <v>0</v>
      </c>
      <c r="AQ35" s="108">
        <f t="shared" si="28"/>
        <v>0</v>
      </c>
      <c r="AR35" s="107">
        <f t="shared" si="29"/>
        <v>0</v>
      </c>
      <c r="AS35" s="107">
        <f t="shared" si="56"/>
        <v>0</v>
      </c>
      <c r="AT35" s="107">
        <f t="shared" si="30"/>
        <v>0</v>
      </c>
      <c r="AU35" s="109">
        <f t="shared" si="57"/>
        <v>0</v>
      </c>
      <c r="AV35" s="109">
        <f t="shared" si="58"/>
        <v>0</v>
      </c>
      <c r="AW35" s="109">
        <f t="shared" si="59"/>
        <v>0</v>
      </c>
      <c r="AY35" s="82">
        <f t="shared" si="31"/>
        <v>28</v>
      </c>
      <c r="AZ35" s="82">
        <f t="shared" si="60"/>
        <v>5.3650000000000002</v>
      </c>
      <c r="BA35" s="77">
        <f t="shared" si="32"/>
        <v>142.24</v>
      </c>
      <c r="BB35" s="108">
        <f t="shared" si="33"/>
        <v>150.22</v>
      </c>
      <c r="BC35" s="107">
        <f t="shared" ca="1" si="34"/>
        <v>1.4939614800932965</v>
      </c>
      <c r="BD35" s="107">
        <f t="shared" ca="1" si="35"/>
        <v>0.24512108726919679</v>
      </c>
      <c r="BE35" s="107">
        <f t="shared" ca="1" si="36"/>
        <v>2.5412597830854367E-2</v>
      </c>
      <c r="BF35" s="109">
        <f t="shared" ca="1" si="61"/>
        <v>41.830921442612301</v>
      </c>
      <c r="BG35" s="109">
        <f t="shared" ca="1" si="62"/>
        <v>6.8633904435375097</v>
      </c>
      <c r="BH35" s="109">
        <f t="shared" ca="1" si="63"/>
        <v>0.71155273926392226</v>
      </c>
      <c r="BJ35" s="82">
        <f t="shared" si="37"/>
        <v>0</v>
      </c>
      <c r="BK35" s="82" t="e">
        <f t="shared" si="64"/>
        <v>#DIV/0!</v>
      </c>
      <c r="BL35" s="77">
        <f t="shared" si="38"/>
        <v>0</v>
      </c>
      <c r="BM35" s="108">
        <f t="shared" si="39"/>
        <v>0</v>
      </c>
      <c r="BN35" s="107">
        <f t="shared" si="40"/>
        <v>0</v>
      </c>
      <c r="BO35" s="107">
        <f t="shared" si="41"/>
        <v>0</v>
      </c>
      <c r="BP35" s="107">
        <f t="shared" si="42"/>
        <v>0</v>
      </c>
      <c r="BQ35" s="109">
        <f t="shared" si="65"/>
        <v>0</v>
      </c>
      <c r="BR35" s="109">
        <f t="shared" si="66"/>
        <v>0</v>
      </c>
      <c r="BS35" s="109">
        <f t="shared" si="67"/>
        <v>0</v>
      </c>
      <c r="BU35" s="82">
        <f t="shared" si="43"/>
        <v>0</v>
      </c>
      <c r="BV35" s="82" t="e">
        <f t="shared" si="68"/>
        <v>#DIV/0!</v>
      </c>
      <c r="BW35" s="77">
        <f t="shared" si="44"/>
        <v>0</v>
      </c>
      <c r="BX35" s="108">
        <f t="shared" si="45"/>
        <v>0</v>
      </c>
      <c r="BY35" s="107">
        <f>IF(BU35=0,0,bsd(1,BZ$27,BV35,$AD35,$AA35,$AB35,$AH35,0.1))</f>
        <v>0</v>
      </c>
      <c r="BZ35" s="107">
        <f t="shared" si="47"/>
        <v>0</v>
      </c>
      <c r="CA35" s="107">
        <f t="shared" si="48"/>
        <v>0</v>
      </c>
      <c r="CB35" s="109">
        <f t="shared" si="69"/>
        <v>0</v>
      </c>
      <c r="CC35" s="109">
        <f t="shared" si="70"/>
        <v>0</v>
      </c>
      <c r="CD35" s="109">
        <f t="shared" si="71"/>
        <v>0</v>
      </c>
    </row>
    <row r="36" spans="1:82" x14ac:dyDescent="0.25">
      <c r="A36" s="101">
        <f t="shared" si="49"/>
        <v>36951</v>
      </c>
      <c r="B36" s="102">
        <f t="shared" si="50"/>
        <v>4.3150000000000004</v>
      </c>
      <c r="C36" s="80">
        <f t="shared" si="51"/>
        <v>0.53</v>
      </c>
      <c r="D36" s="102">
        <f t="shared" si="1"/>
        <v>1.135</v>
      </c>
      <c r="E36" s="106">
        <f t="shared" si="2"/>
        <v>1.1499999999999999</v>
      </c>
      <c r="F36" s="105">
        <f t="shared" ca="1" si="3"/>
        <v>179</v>
      </c>
      <c r="G36" s="80" t="e">
        <f t="shared" si="4"/>
        <v>#DIV/0!</v>
      </c>
      <c r="H36" s="80" t="e">
        <f t="shared" si="5"/>
        <v>#DIV/0!</v>
      </c>
      <c r="I36" s="104">
        <f t="shared" si="6"/>
        <v>5.05</v>
      </c>
      <c r="J36" s="132">
        <f>ROUND(I36-B36,1)</f>
        <v>0.7</v>
      </c>
      <c r="K36" s="102">
        <f t="shared" si="7"/>
        <v>0.245</v>
      </c>
      <c r="L36" s="106">
        <f t="shared" si="8"/>
        <v>0.97</v>
      </c>
      <c r="M36" s="105">
        <f t="shared" ca="1" si="9"/>
        <v>179</v>
      </c>
      <c r="N36" s="217">
        <f t="shared" si="10"/>
        <v>0.52410000000000001</v>
      </c>
      <c r="O36" s="80">
        <f t="shared" si="11"/>
        <v>0</v>
      </c>
      <c r="P36" s="104">
        <f t="shared" si="12"/>
        <v>5.0999999999999996</v>
      </c>
      <c r="R36" s="102">
        <f t="shared" si="13"/>
        <v>-3.5000000000000003E-2</v>
      </c>
      <c r="S36" s="106">
        <f t="shared" si="14"/>
        <v>1</v>
      </c>
      <c r="T36" s="105">
        <f t="shared" ca="1" si="15"/>
        <v>179</v>
      </c>
      <c r="U36" s="217" t="e">
        <f t="shared" si="16"/>
        <v>#DIV/0!</v>
      </c>
      <c r="V36" s="80" t="e">
        <f t="shared" si="17"/>
        <v>#DIV/0!</v>
      </c>
      <c r="W36" s="104">
        <f t="shared" si="18"/>
        <v>4.8099999999999996</v>
      </c>
      <c r="X36" s="105"/>
      <c r="Y36" s="102">
        <f t="shared" si="19"/>
        <v>-3.5000000000000003E-2</v>
      </c>
      <c r="Z36" s="106">
        <f t="shared" si="20"/>
        <v>1</v>
      </c>
      <c r="AA36" s="105">
        <f t="shared" ca="1" si="21"/>
        <v>179</v>
      </c>
      <c r="AB36" s="80" t="e">
        <f t="shared" si="22"/>
        <v>#DIV/0!</v>
      </c>
      <c r="AC36" s="80" t="e">
        <f t="shared" si="23"/>
        <v>#DIV/0!</v>
      </c>
      <c r="AD36" s="104">
        <f t="shared" si="24"/>
        <v>4.8449999999999998</v>
      </c>
      <c r="AF36" s="105">
        <f t="shared" ca="1" si="52"/>
        <v>179</v>
      </c>
      <c r="AG36" s="105">
        <f t="shared" ca="1" si="53"/>
        <v>176</v>
      </c>
      <c r="AH36" s="80">
        <f t="shared" si="54"/>
        <v>6.8686384627542008E-2</v>
      </c>
      <c r="AI36" s="182">
        <f t="shared" si="25"/>
        <v>31</v>
      </c>
      <c r="AL36" s="105"/>
      <c r="AM36" s="82"/>
      <c r="AN36" s="82">
        <f t="shared" si="26"/>
        <v>0</v>
      </c>
      <c r="AO36" s="82" t="e">
        <f t="shared" si="55"/>
        <v>#DIV/0!</v>
      </c>
      <c r="AP36" s="77">
        <f t="shared" si="27"/>
        <v>0</v>
      </c>
      <c r="AQ36" s="108">
        <f t="shared" si="28"/>
        <v>0</v>
      </c>
      <c r="AR36" s="107">
        <f t="shared" si="29"/>
        <v>0</v>
      </c>
      <c r="AS36" s="107">
        <f t="shared" si="56"/>
        <v>0</v>
      </c>
      <c r="AT36" s="107">
        <f t="shared" si="30"/>
        <v>0</v>
      </c>
      <c r="AU36" s="109">
        <f t="shared" si="57"/>
        <v>0</v>
      </c>
      <c r="AV36" s="109">
        <f t="shared" si="58"/>
        <v>0</v>
      </c>
      <c r="AW36" s="109">
        <f t="shared" si="59"/>
        <v>0</v>
      </c>
      <c r="AY36" s="82">
        <f t="shared" si="31"/>
        <v>31</v>
      </c>
      <c r="AZ36" s="82">
        <f t="shared" si="60"/>
        <v>5.0600000000000005</v>
      </c>
      <c r="BA36" s="77">
        <f t="shared" si="32"/>
        <v>149.26500000000001</v>
      </c>
      <c r="BB36" s="108">
        <f t="shared" si="33"/>
        <v>156.86000000000001</v>
      </c>
      <c r="BC36" s="107">
        <f t="shared" ca="1" si="34"/>
        <v>1.4306623546693098</v>
      </c>
      <c r="BD36" s="107">
        <f t="shared" ca="1" si="35"/>
        <v>0.12447603097038562</v>
      </c>
      <c r="BE36" s="107">
        <f t="shared" ca="1" si="36"/>
        <v>2.6971235651994441E-2</v>
      </c>
      <c r="BF36" s="109">
        <f t="shared" ca="1" si="61"/>
        <v>44.350532994748605</v>
      </c>
      <c r="BG36" s="109">
        <f t="shared" ca="1" si="62"/>
        <v>3.858756960081954</v>
      </c>
      <c r="BH36" s="109">
        <f t="shared" ca="1" si="63"/>
        <v>0.83610830521182766</v>
      </c>
      <c r="BJ36" s="82">
        <f t="shared" si="37"/>
        <v>0</v>
      </c>
      <c r="BK36" s="82" t="e">
        <f t="shared" si="64"/>
        <v>#DIV/0!</v>
      </c>
      <c r="BL36" s="77">
        <f t="shared" si="38"/>
        <v>0</v>
      </c>
      <c r="BM36" s="108">
        <f t="shared" si="39"/>
        <v>0</v>
      </c>
      <c r="BN36" s="107">
        <f t="shared" si="40"/>
        <v>0</v>
      </c>
      <c r="BO36" s="107">
        <f t="shared" si="41"/>
        <v>0</v>
      </c>
      <c r="BP36" s="107">
        <f t="shared" si="42"/>
        <v>0</v>
      </c>
      <c r="BQ36" s="109">
        <f t="shared" si="65"/>
        <v>0</v>
      </c>
      <c r="BR36" s="109">
        <f t="shared" si="66"/>
        <v>0</v>
      </c>
      <c r="BS36" s="109">
        <f t="shared" si="67"/>
        <v>0</v>
      </c>
      <c r="BU36" s="82">
        <f t="shared" si="43"/>
        <v>0</v>
      </c>
      <c r="BV36" s="82" t="e">
        <f t="shared" si="68"/>
        <v>#DIV/0!</v>
      </c>
      <c r="BW36" s="77">
        <f t="shared" si="44"/>
        <v>0</v>
      </c>
      <c r="BX36" s="108">
        <f t="shared" si="45"/>
        <v>0</v>
      </c>
      <c r="BY36" s="107">
        <f t="shared" si="46"/>
        <v>0</v>
      </c>
      <c r="BZ36" s="107">
        <f t="shared" si="47"/>
        <v>0</v>
      </c>
      <c r="CA36" s="107">
        <f t="shared" si="48"/>
        <v>0</v>
      </c>
      <c r="CB36" s="109">
        <f t="shared" si="69"/>
        <v>0</v>
      </c>
      <c r="CC36" s="109">
        <f t="shared" si="70"/>
        <v>0</v>
      </c>
      <c r="CD36" s="109">
        <f t="shared" si="71"/>
        <v>0</v>
      </c>
    </row>
    <row r="37" spans="1:82" x14ac:dyDescent="0.25">
      <c r="A37" s="101">
        <f t="shared" si="49"/>
        <v>36982</v>
      </c>
      <c r="B37" s="102">
        <f t="shared" si="50"/>
        <v>4.0549999999999997</v>
      </c>
      <c r="C37" s="80">
        <f t="shared" si="51"/>
        <v>0.435</v>
      </c>
      <c r="D37" s="102">
        <f t="shared" si="1"/>
        <v>0.52</v>
      </c>
      <c r="E37" s="106">
        <f t="shared" si="2"/>
        <v>0.98</v>
      </c>
      <c r="F37" s="105">
        <f t="shared" ca="1" si="3"/>
        <v>209</v>
      </c>
      <c r="G37" s="80" t="e">
        <f t="shared" si="4"/>
        <v>#DIV/0!</v>
      </c>
      <c r="H37" s="80" t="e">
        <f t="shared" si="5"/>
        <v>#DIV/0!</v>
      </c>
      <c r="I37" s="104">
        <f t="shared" si="6"/>
        <v>5.05</v>
      </c>
      <c r="K37" s="102">
        <f t="shared" si="7"/>
        <v>0.18</v>
      </c>
      <c r="L37" s="106">
        <f t="shared" si="8"/>
        <v>1</v>
      </c>
      <c r="M37" s="105">
        <f t="shared" ca="1" si="9"/>
        <v>209</v>
      </c>
      <c r="N37" s="217" t="e">
        <f t="shared" si="10"/>
        <v>#DIV/0!</v>
      </c>
      <c r="O37" s="80" t="e">
        <f t="shared" si="11"/>
        <v>#DIV/0!</v>
      </c>
      <c r="P37" s="104">
        <f t="shared" si="12"/>
        <v>5.0999999999999996</v>
      </c>
      <c r="R37" s="102">
        <f t="shared" si="13"/>
        <v>5.0000000000000001E-3</v>
      </c>
      <c r="S37" s="106">
        <f t="shared" si="14"/>
        <v>1</v>
      </c>
      <c r="T37" s="105">
        <f t="shared" ca="1" si="15"/>
        <v>209</v>
      </c>
      <c r="U37" s="217" t="e">
        <f t="shared" si="16"/>
        <v>#DIV/0!</v>
      </c>
      <c r="V37" s="80" t="e">
        <f t="shared" si="17"/>
        <v>#DIV/0!</v>
      </c>
      <c r="W37" s="104">
        <f t="shared" si="18"/>
        <v>4.8099999999999996</v>
      </c>
      <c r="X37" s="105"/>
      <c r="Y37" s="102">
        <f t="shared" si="19"/>
        <v>5.0000000000000001E-3</v>
      </c>
      <c r="Z37" s="106">
        <f t="shared" si="20"/>
        <v>1</v>
      </c>
      <c r="AA37" s="105">
        <f t="shared" ca="1" si="21"/>
        <v>209</v>
      </c>
      <c r="AB37" s="80" t="e">
        <f t="shared" si="22"/>
        <v>#DIV/0!</v>
      </c>
      <c r="AC37" s="80" t="e">
        <f t="shared" si="23"/>
        <v>#DIV/0!</v>
      </c>
      <c r="AD37" s="104">
        <f t="shared" si="24"/>
        <v>4.8449999999999998</v>
      </c>
      <c r="AF37" s="105">
        <f t="shared" ca="1" si="52"/>
        <v>209</v>
      </c>
      <c r="AG37" s="105">
        <f t="shared" ca="1" si="53"/>
        <v>208</v>
      </c>
      <c r="AH37" s="80">
        <f t="shared" si="54"/>
        <v>6.8834971958648017E-2</v>
      </c>
      <c r="AI37" s="182">
        <f t="shared" si="25"/>
        <v>30</v>
      </c>
      <c r="AL37" s="105"/>
      <c r="AM37" s="82"/>
      <c r="AN37" s="82">
        <f t="shared" si="26"/>
        <v>0</v>
      </c>
      <c r="AO37" s="82" t="e">
        <f t="shared" si="55"/>
        <v>#DIV/0!</v>
      </c>
      <c r="AP37" s="77">
        <f t="shared" si="27"/>
        <v>0</v>
      </c>
      <c r="AQ37" s="108">
        <f t="shared" si="28"/>
        <v>0</v>
      </c>
      <c r="AR37" s="107">
        <f t="shared" si="29"/>
        <v>0</v>
      </c>
      <c r="AS37" s="107">
        <f t="shared" si="56"/>
        <v>0</v>
      </c>
      <c r="AT37" s="107">
        <f t="shared" si="30"/>
        <v>0</v>
      </c>
      <c r="AU37" s="109">
        <f t="shared" si="57"/>
        <v>0</v>
      </c>
      <c r="AV37" s="109">
        <f t="shared" si="58"/>
        <v>0</v>
      </c>
      <c r="AW37" s="109">
        <f t="shared" si="59"/>
        <v>0</v>
      </c>
      <c r="AY37" s="82">
        <f t="shared" si="31"/>
        <v>0</v>
      </c>
      <c r="AZ37" s="82" t="e">
        <f t="shared" si="60"/>
        <v>#DIV/0!</v>
      </c>
      <c r="BA37" s="77">
        <f t="shared" si="32"/>
        <v>0</v>
      </c>
      <c r="BB37" s="108">
        <f t="shared" si="33"/>
        <v>0</v>
      </c>
      <c r="BC37" s="107">
        <f t="shared" si="34"/>
        <v>0</v>
      </c>
      <c r="BD37" s="107">
        <f t="shared" si="35"/>
        <v>0</v>
      </c>
      <c r="BE37" s="107">
        <f t="shared" si="36"/>
        <v>0</v>
      </c>
      <c r="BF37" s="109">
        <f t="shared" si="61"/>
        <v>0</v>
      </c>
      <c r="BG37" s="109">
        <f t="shared" si="62"/>
        <v>0</v>
      </c>
      <c r="BH37" s="109">
        <f t="shared" si="63"/>
        <v>0</v>
      </c>
      <c r="BJ37" s="82">
        <f t="shared" si="37"/>
        <v>0</v>
      </c>
      <c r="BK37" s="82" t="e">
        <f t="shared" si="64"/>
        <v>#DIV/0!</v>
      </c>
      <c r="BL37" s="77">
        <f t="shared" si="38"/>
        <v>0</v>
      </c>
      <c r="BM37" s="108">
        <f t="shared" si="39"/>
        <v>0</v>
      </c>
      <c r="BN37" s="107">
        <f t="shared" si="40"/>
        <v>0</v>
      </c>
      <c r="BO37" s="107">
        <f t="shared" si="41"/>
        <v>0</v>
      </c>
      <c r="BP37" s="107">
        <f t="shared" si="42"/>
        <v>0</v>
      </c>
      <c r="BQ37" s="109">
        <f t="shared" si="65"/>
        <v>0</v>
      </c>
      <c r="BR37" s="109">
        <f t="shared" si="66"/>
        <v>0</v>
      </c>
      <c r="BS37" s="109">
        <f t="shared" si="67"/>
        <v>0</v>
      </c>
      <c r="BU37" s="82">
        <f t="shared" si="43"/>
        <v>0</v>
      </c>
      <c r="BV37" s="82" t="e">
        <f t="shared" si="68"/>
        <v>#DIV/0!</v>
      </c>
      <c r="BW37" s="77">
        <f t="shared" si="44"/>
        <v>0</v>
      </c>
      <c r="BX37" s="108">
        <f t="shared" si="45"/>
        <v>0</v>
      </c>
      <c r="BY37" s="107">
        <f t="shared" si="46"/>
        <v>0</v>
      </c>
      <c r="BZ37" s="107">
        <f t="shared" si="47"/>
        <v>0</v>
      </c>
      <c r="CA37" s="107">
        <f t="shared" si="48"/>
        <v>0</v>
      </c>
      <c r="CB37" s="109">
        <f t="shared" si="69"/>
        <v>0</v>
      </c>
      <c r="CC37" s="109">
        <f t="shared" si="70"/>
        <v>0</v>
      </c>
      <c r="CD37" s="109">
        <f t="shared" si="71"/>
        <v>0</v>
      </c>
    </row>
    <row r="38" spans="1:82" x14ac:dyDescent="0.25">
      <c r="A38" s="101">
        <f t="shared" si="49"/>
        <v>37012</v>
      </c>
      <c r="B38" s="102">
        <f t="shared" si="50"/>
        <v>3.95</v>
      </c>
      <c r="C38" s="80">
        <f t="shared" si="51"/>
        <v>0.4</v>
      </c>
      <c r="D38" s="102">
        <f t="shared" si="1"/>
        <v>0.40500000000000003</v>
      </c>
      <c r="E38" s="106">
        <f t="shared" si="2"/>
        <v>0.98</v>
      </c>
      <c r="F38" s="105">
        <f t="shared" ca="1" si="3"/>
        <v>238</v>
      </c>
      <c r="G38" s="80" t="e">
        <f t="shared" si="4"/>
        <v>#DIV/0!</v>
      </c>
      <c r="H38" s="80" t="e">
        <f t="shared" si="5"/>
        <v>#DIV/0!</v>
      </c>
      <c r="I38" s="104">
        <f t="shared" si="6"/>
        <v>5.05</v>
      </c>
      <c r="K38" s="102">
        <f t="shared" si="7"/>
        <v>0.21249999999999999</v>
      </c>
      <c r="L38" s="106">
        <f t="shared" si="8"/>
        <v>1</v>
      </c>
      <c r="M38" s="105">
        <f t="shared" ca="1" si="9"/>
        <v>238</v>
      </c>
      <c r="N38" s="217" t="e">
        <f t="shared" si="10"/>
        <v>#DIV/0!</v>
      </c>
      <c r="O38" s="80" t="e">
        <f t="shared" si="11"/>
        <v>#DIV/0!</v>
      </c>
      <c r="P38" s="104">
        <f t="shared" si="12"/>
        <v>5.0999999999999996</v>
      </c>
      <c r="R38" s="102">
        <f t="shared" si="13"/>
        <v>7.4999999999999997E-3</v>
      </c>
      <c r="S38" s="106">
        <f t="shared" si="14"/>
        <v>1</v>
      </c>
      <c r="T38" s="105">
        <f t="shared" ca="1" si="15"/>
        <v>238</v>
      </c>
      <c r="U38" s="217" t="e">
        <f t="shared" si="16"/>
        <v>#DIV/0!</v>
      </c>
      <c r="V38" s="80" t="e">
        <f t="shared" si="17"/>
        <v>#DIV/0!</v>
      </c>
      <c r="W38" s="104">
        <f t="shared" si="18"/>
        <v>4.8099999999999996</v>
      </c>
      <c r="X38" s="105"/>
      <c r="Y38" s="102">
        <f t="shared" si="19"/>
        <v>7.4999999999999997E-3</v>
      </c>
      <c r="Z38" s="106">
        <f t="shared" si="20"/>
        <v>1</v>
      </c>
      <c r="AA38" s="105">
        <f t="shared" ca="1" si="21"/>
        <v>238</v>
      </c>
      <c r="AB38" s="80" t="e">
        <f t="shared" si="22"/>
        <v>#DIV/0!</v>
      </c>
      <c r="AC38" s="80" t="e">
        <f t="shared" si="23"/>
        <v>#DIV/0!</v>
      </c>
      <c r="AD38" s="104">
        <f t="shared" si="24"/>
        <v>4.8449999999999998</v>
      </c>
      <c r="AF38" s="105">
        <f t="shared" ca="1" si="52"/>
        <v>238</v>
      </c>
      <c r="AG38" s="105">
        <f t="shared" ca="1" si="53"/>
        <v>237</v>
      </c>
      <c r="AH38" s="80">
        <f t="shared" si="54"/>
        <v>6.8844146311537027E-2</v>
      </c>
      <c r="AI38" s="182">
        <f t="shared" si="25"/>
        <v>31</v>
      </c>
      <c r="AL38" s="105"/>
      <c r="AM38" s="82"/>
      <c r="AN38" s="82">
        <f t="shared" si="26"/>
        <v>0</v>
      </c>
      <c r="AO38" s="82" t="e">
        <f t="shared" si="55"/>
        <v>#DIV/0!</v>
      </c>
      <c r="AP38" s="77">
        <f t="shared" si="27"/>
        <v>0</v>
      </c>
      <c r="AQ38" s="108">
        <f t="shared" si="28"/>
        <v>0</v>
      </c>
      <c r="AR38" s="107">
        <f t="shared" si="29"/>
        <v>0</v>
      </c>
      <c r="AS38" s="107">
        <f t="shared" si="56"/>
        <v>0</v>
      </c>
      <c r="AT38" s="107">
        <f t="shared" si="30"/>
        <v>0</v>
      </c>
      <c r="AU38" s="109">
        <f t="shared" si="57"/>
        <v>0</v>
      </c>
      <c r="AV38" s="109">
        <f t="shared" si="58"/>
        <v>0</v>
      </c>
      <c r="AW38" s="109">
        <f t="shared" si="59"/>
        <v>0</v>
      </c>
      <c r="AY38" s="82">
        <f t="shared" si="31"/>
        <v>0</v>
      </c>
      <c r="AZ38" s="82" t="e">
        <f t="shared" si="60"/>
        <v>#DIV/0!</v>
      </c>
      <c r="BA38" s="77">
        <f t="shared" si="32"/>
        <v>0</v>
      </c>
      <c r="BB38" s="108">
        <f t="shared" si="33"/>
        <v>0</v>
      </c>
      <c r="BC38" s="107">
        <f t="shared" si="34"/>
        <v>0</v>
      </c>
      <c r="BD38" s="107">
        <f t="shared" si="35"/>
        <v>0</v>
      </c>
      <c r="BE38" s="107">
        <f t="shared" si="36"/>
        <v>0</v>
      </c>
      <c r="BF38" s="109">
        <f t="shared" si="61"/>
        <v>0</v>
      </c>
      <c r="BG38" s="109">
        <f t="shared" si="62"/>
        <v>0</v>
      </c>
      <c r="BH38" s="109">
        <f t="shared" si="63"/>
        <v>0</v>
      </c>
      <c r="BJ38" s="82">
        <f t="shared" si="37"/>
        <v>0</v>
      </c>
      <c r="BK38" s="82" t="e">
        <f t="shared" si="64"/>
        <v>#DIV/0!</v>
      </c>
      <c r="BL38" s="77">
        <f t="shared" si="38"/>
        <v>0</v>
      </c>
      <c r="BM38" s="108">
        <f t="shared" si="39"/>
        <v>0</v>
      </c>
      <c r="BN38" s="107">
        <f t="shared" si="40"/>
        <v>0</v>
      </c>
      <c r="BO38" s="107">
        <f t="shared" si="41"/>
        <v>0</v>
      </c>
      <c r="BP38" s="107">
        <f t="shared" si="42"/>
        <v>0</v>
      </c>
      <c r="BQ38" s="109">
        <f t="shared" si="65"/>
        <v>0</v>
      </c>
      <c r="BR38" s="109">
        <f t="shared" si="66"/>
        <v>0</v>
      </c>
      <c r="BS38" s="109">
        <f t="shared" si="67"/>
        <v>0</v>
      </c>
      <c r="BU38" s="82">
        <f t="shared" si="43"/>
        <v>0</v>
      </c>
      <c r="BV38" s="82" t="e">
        <f t="shared" si="68"/>
        <v>#DIV/0!</v>
      </c>
      <c r="BW38" s="77">
        <f t="shared" si="44"/>
        <v>0</v>
      </c>
      <c r="BX38" s="108">
        <f t="shared" si="45"/>
        <v>0</v>
      </c>
      <c r="BY38" s="107">
        <f t="shared" si="46"/>
        <v>0</v>
      </c>
      <c r="BZ38" s="107">
        <f t="shared" si="47"/>
        <v>0</v>
      </c>
      <c r="CA38" s="107">
        <f t="shared" si="48"/>
        <v>0</v>
      </c>
      <c r="CB38" s="109">
        <f t="shared" si="69"/>
        <v>0</v>
      </c>
      <c r="CC38" s="109">
        <f t="shared" si="70"/>
        <v>0</v>
      </c>
      <c r="CD38" s="109">
        <f t="shared" si="71"/>
        <v>0</v>
      </c>
    </row>
    <row r="39" spans="1:82" x14ac:dyDescent="0.25">
      <c r="A39" s="101">
        <f t="shared" si="49"/>
        <v>37043</v>
      </c>
      <c r="B39" s="102">
        <f t="shared" si="50"/>
        <v>3.9350000000000001</v>
      </c>
      <c r="C39" s="80">
        <f t="shared" si="51"/>
        <v>0.39500000000000002</v>
      </c>
      <c r="D39" s="102">
        <f t="shared" si="1"/>
        <v>0.39500000000000002</v>
      </c>
      <c r="E39" s="106">
        <f t="shared" si="2"/>
        <v>0.98</v>
      </c>
      <c r="F39" s="105">
        <f t="shared" ca="1" si="3"/>
        <v>271</v>
      </c>
      <c r="G39" s="80" t="e">
        <f t="shared" si="4"/>
        <v>#DIV/0!</v>
      </c>
      <c r="H39" s="80" t="e">
        <f t="shared" si="5"/>
        <v>#DIV/0!</v>
      </c>
      <c r="I39" s="104">
        <f t="shared" si="6"/>
        <v>5.05</v>
      </c>
      <c r="K39" s="102">
        <f t="shared" si="7"/>
        <v>0.23250000000000001</v>
      </c>
      <c r="L39" s="106">
        <f t="shared" si="8"/>
        <v>1</v>
      </c>
      <c r="M39" s="105">
        <f t="shared" ca="1" si="9"/>
        <v>271</v>
      </c>
      <c r="N39" s="217" t="e">
        <f t="shared" si="10"/>
        <v>#DIV/0!</v>
      </c>
      <c r="O39" s="80" t="e">
        <f t="shared" si="11"/>
        <v>#DIV/0!</v>
      </c>
      <c r="P39" s="104">
        <f t="shared" si="12"/>
        <v>5.0999999999999996</v>
      </c>
      <c r="R39" s="102">
        <f t="shared" si="13"/>
        <v>1.4999999999999999E-2</v>
      </c>
      <c r="S39" s="106">
        <f t="shared" si="14"/>
        <v>1</v>
      </c>
      <c r="T39" s="105">
        <f t="shared" ca="1" si="15"/>
        <v>271</v>
      </c>
      <c r="U39" s="217" t="e">
        <f t="shared" si="16"/>
        <v>#DIV/0!</v>
      </c>
      <c r="V39" s="80" t="e">
        <f t="shared" si="17"/>
        <v>#DIV/0!</v>
      </c>
      <c r="W39" s="104">
        <f t="shared" si="18"/>
        <v>4.8099999999999996</v>
      </c>
      <c r="X39" s="105"/>
      <c r="Y39" s="102">
        <f t="shared" si="19"/>
        <v>1.4999999999999999E-2</v>
      </c>
      <c r="Z39" s="106">
        <f t="shared" si="20"/>
        <v>1</v>
      </c>
      <c r="AA39" s="105">
        <f t="shared" ca="1" si="21"/>
        <v>271</v>
      </c>
      <c r="AB39" s="80" t="e">
        <f t="shared" si="22"/>
        <v>#DIV/0!</v>
      </c>
      <c r="AC39" s="80" t="e">
        <f t="shared" si="23"/>
        <v>#DIV/0!</v>
      </c>
      <c r="AD39" s="104">
        <f t="shared" si="24"/>
        <v>4.8449999999999998</v>
      </c>
      <c r="AF39" s="105">
        <f t="shared" ca="1" si="52"/>
        <v>271</v>
      </c>
      <c r="AG39" s="105">
        <f t="shared" ca="1" si="53"/>
        <v>267</v>
      </c>
      <c r="AH39" s="80">
        <f t="shared" si="54"/>
        <v>6.8853626476217011E-2</v>
      </c>
      <c r="AI39" s="182">
        <f t="shared" si="25"/>
        <v>30</v>
      </c>
      <c r="AL39" s="105"/>
      <c r="AM39" s="82"/>
      <c r="AN39" s="82">
        <f t="shared" si="26"/>
        <v>0</v>
      </c>
      <c r="AO39" s="82" t="e">
        <f t="shared" si="55"/>
        <v>#DIV/0!</v>
      </c>
      <c r="AP39" s="77">
        <f t="shared" si="27"/>
        <v>0</v>
      </c>
      <c r="AQ39" s="108">
        <f t="shared" si="28"/>
        <v>0</v>
      </c>
      <c r="AR39" s="107">
        <f t="shared" si="29"/>
        <v>0</v>
      </c>
      <c r="AS39" s="107">
        <f t="shared" si="56"/>
        <v>0</v>
      </c>
      <c r="AT39" s="107">
        <f t="shared" si="30"/>
        <v>0</v>
      </c>
      <c r="AU39" s="109">
        <f t="shared" si="57"/>
        <v>0</v>
      </c>
      <c r="AV39" s="109">
        <f t="shared" si="58"/>
        <v>0</v>
      </c>
      <c r="AW39" s="109">
        <f t="shared" si="59"/>
        <v>0</v>
      </c>
      <c r="AY39" s="82">
        <f t="shared" si="31"/>
        <v>0</v>
      </c>
      <c r="AZ39" s="82" t="e">
        <f t="shared" si="60"/>
        <v>#DIV/0!</v>
      </c>
      <c r="BA39" s="77">
        <f t="shared" si="32"/>
        <v>0</v>
      </c>
      <c r="BB39" s="108">
        <f t="shared" si="33"/>
        <v>0</v>
      </c>
      <c r="BC39" s="107">
        <f t="shared" si="34"/>
        <v>0</v>
      </c>
      <c r="BD39" s="107">
        <f t="shared" si="35"/>
        <v>0</v>
      </c>
      <c r="BE39" s="107">
        <f t="shared" si="36"/>
        <v>0</v>
      </c>
      <c r="BF39" s="109">
        <f t="shared" si="61"/>
        <v>0</v>
      </c>
      <c r="BG39" s="109">
        <f t="shared" si="62"/>
        <v>0</v>
      </c>
      <c r="BH39" s="109">
        <f t="shared" si="63"/>
        <v>0</v>
      </c>
      <c r="BJ39" s="82">
        <f t="shared" si="37"/>
        <v>0</v>
      </c>
      <c r="BK39" s="82" t="e">
        <f t="shared" si="64"/>
        <v>#DIV/0!</v>
      </c>
      <c r="BL39" s="77">
        <f t="shared" si="38"/>
        <v>0</v>
      </c>
      <c r="BM39" s="108">
        <f t="shared" si="39"/>
        <v>0</v>
      </c>
      <c r="BN39" s="107">
        <f t="shared" si="40"/>
        <v>0</v>
      </c>
      <c r="BO39" s="107">
        <f t="shared" si="41"/>
        <v>0</v>
      </c>
      <c r="BP39" s="107">
        <f t="shared" si="42"/>
        <v>0</v>
      </c>
      <c r="BQ39" s="109">
        <f t="shared" si="65"/>
        <v>0</v>
      </c>
      <c r="BR39" s="109">
        <f t="shared" si="66"/>
        <v>0</v>
      </c>
      <c r="BS39" s="109">
        <f t="shared" si="67"/>
        <v>0</v>
      </c>
      <c r="BU39" s="82">
        <f t="shared" si="43"/>
        <v>0</v>
      </c>
      <c r="BV39" s="82" t="e">
        <f t="shared" si="68"/>
        <v>#DIV/0!</v>
      </c>
      <c r="BW39" s="77">
        <f t="shared" si="44"/>
        <v>0</v>
      </c>
      <c r="BX39" s="108">
        <f t="shared" si="45"/>
        <v>0</v>
      </c>
      <c r="BY39" s="107">
        <f t="shared" si="46"/>
        <v>0</v>
      </c>
      <c r="BZ39" s="107">
        <f t="shared" si="47"/>
        <v>0</v>
      </c>
      <c r="CA39" s="107">
        <f t="shared" si="48"/>
        <v>0</v>
      </c>
      <c r="CB39" s="109">
        <f t="shared" si="69"/>
        <v>0</v>
      </c>
      <c r="CC39" s="109">
        <f t="shared" si="70"/>
        <v>0</v>
      </c>
      <c r="CD39" s="109">
        <f t="shared" si="71"/>
        <v>0</v>
      </c>
    </row>
    <row r="40" spans="1:82" x14ac:dyDescent="0.25">
      <c r="A40" s="101">
        <f t="shared" si="49"/>
        <v>37073</v>
      </c>
      <c r="B40" s="102">
        <f t="shared" si="50"/>
        <v>3.92</v>
      </c>
      <c r="C40" s="80">
        <f t="shared" si="51"/>
        <v>0.39500000000000002</v>
      </c>
      <c r="D40" s="102">
        <f t="shared" si="1"/>
        <v>0.46</v>
      </c>
      <c r="E40" s="106">
        <f t="shared" si="2"/>
        <v>0.98</v>
      </c>
      <c r="F40" s="105">
        <f t="shared" ca="1" si="3"/>
        <v>300</v>
      </c>
      <c r="G40" s="80" t="e">
        <f t="shared" si="4"/>
        <v>#DIV/0!</v>
      </c>
      <c r="H40" s="80" t="e">
        <f t="shared" si="5"/>
        <v>#DIV/0!</v>
      </c>
      <c r="I40" s="104">
        <f t="shared" si="6"/>
        <v>5.05</v>
      </c>
      <c r="K40" s="102">
        <f t="shared" si="7"/>
        <v>0.86750000000000005</v>
      </c>
      <c r="L40" s="106">
        <f t="shared" si="8"/>
        <v>1</v>
      </c>
      <c r="M40" s="105">
        <f t="shared" ca="1" si="9"/>
        <v>300</v>
      </c>
      <c r="N40" s="217" t="e">
        <f t="shared" si="10"/>
        <v>#DIV/0!</v>
      </c>
      <c r="O40" s="80" t="e">
        <f t="shared" si="11"/>
        <v>#DIV/0!</v>
      </c>
      <c r="P40" s="104">
        <f t="shared" si="12"/>
        <v>5.0999999999999996</v>
      </c>
      <c r="R40" s="102">
        <f t="shared" si="13"/>
        <v>0.02</v>
      </c>
      <c r="S40" s="106">
        <f t="shared" si="14"/>
        <v>1</v>
      </c>
      <c r="T40" s="105">
        <f t="shared" ca="1" si="15"/>
        <v>300</v>
      </c>
      <c r="U40" s="217" t="e">
        <f t="shared" si="16"/>
        <v>#DIV/0!</v>
      </c>
      <c r="V40" s="80" t="e">
        <f t="shared" si="17"/>
        <v>#DIV/0!</v>
      </c>
      <c r="W40" s="104">
        <f t="shared" si="18"/>
        <v>4.8099999999999996</v>
      </c>
      <c r="X40" s="105"/>
      <c r="Y40" s="102">
        <f t="shared" si="19"/>
        <v>0.02</v>
      </c>
      <c r="Z40" s="106">
        <f t="shared" si="20"/>
        <v>1</v>
      </c>
      <c r="AA40" s="105">
        <f t="shared" ca="1" si="21"/>
        <v>300</v>
      </c>
      <c r="AB40" s="80" t="e">
        <f t="shared" si="22"/>
        <v>#DIV/0!</v>
      </c>
      <c r="AC40" s="80" t="e">
        <f t="shared" si="23"/>
        <v>#DIV/0!</v>
      </c>
      <c r="AD40" s="104">
        <f t="shared" si="24"/>
        <v>4.8449999999999998</v>
      </c>
      <c r="AF40" s="105">
        <f t="shared" ca="1" si="52"/>
        <v>300</v>
      </c>
      <c r="AG40" s="105">
        <f t="shared" ca="1" si="53"/>
        <v>299</v>
      </c>
      <c r="AH40" s="80">
        <f t="shared" si="54"/>
        <v>6.8863830234299026E-2</v>
      </c>
      <c r="AI40" s="182">
        <f t="shared" si="25"/>
        <v>31</v>
      </c>
      <c r="AL40" s="105"/>
      <c r="AM40" s="82"/>
      <c r="AN40" s="82">
        <f t="shared" si="26"/>
        <v>0</v>
      </c>
      <c r="AO40" s="82" t="e">
        <f t="shared" si="55"/>
        <v>#DIV/0!</v>
      </c>
      <c r="AP40" s="77">
        <f t="shared" si="27"/>
        <v>0</v>
      </c>
      <c r="AQ40" s="108">
        <f t="shared" si="28"/>
        <v>0</v>
      </c>
      <c r="AR40" s="107">
        <f t="shared" si="29"/>
        <v>0</v>
      </c>
      <c r="AS40" s="107">
        <f t="shared" si="56"/>
        <v>0</v>
      </c>
      <c r="AT40" s="107">
        <f t="shared" si="30"/>
        <v>0</v>
      </c>
      <c r="AU40" s="109">
        <f t="shared" si="57"/>
        <v>0</v>
      </c>
      <c r="AV40" s="109">
        <f t="shared" si="58"/>
        <v>0</v>
      </c>
      <c r="AW40" s="109">
        <f t="shared" si="59"/>
        <v>0</v>
      </c>
      <c r="AY40" s="82">
        <f t="shared" si="31"/>
        <v>0</v>
      </c>
      <c r="AZ40" s="82" t="e">
        <f t="shared" si="60"/>
        <v>#DIV/0!</v>
      </c>
      <c r="BA40" s="77">
        <f t="shared" si="32"/>
        <v>0</v>
      </c>
      <c r="BB40" s="108">
        <f t="shared" si="33"/>
        <v>0</v>
      </c>
      <c r="BC40" s="107">
        <f t="shared" si="34"/>
        <v>0</v>
      </c>
      <c r="BD40" s="107">
        <f t="shared" si="35"/>
        <v>0</v>
      </c>
      <c r="BE40" s="107">
        <f t="shared" si="36"/>
        <v>0</v>
      </c>
      <c r="BF40" s="109">
        <f t="shared" si="61"/>
        <v>0</v>
      </c>
      <c r="BG40" s="109">
        <f t="shared" si="62"/>
        <v>0</v>
      </c>
      <c r="BH40" s="109">
        <f t="shared" si="63"/>
        <v>0</v>
      </c>
      <c r="BJ40" s="82">
        <f t="shared" si="37"/>
        <v>0</v>
      </c>
      <c r="BK40" s="82" t="e">
        <f t="shared" si="64"/>
        <v>#DIV/0!</v>
      </c>
      <c r="BL40" s="77">
        <f t="shared" si="38"/>
        <v>0</v>
      </c>
      <c r="BM40" s="108">
        <f t="shared" si="39"/>
        <v>0</v>
      </c>
      <c r="BN40" s="107">
        <f t="shared" si="40"/>
        <v>0</v>
      </c>
      <c r="BO40" s="107">
        <f t="shared" si="41"/>
        <v>0</v>
      </c>
      <c r="BP40" s="107">
        <f t="shared" si="42"/>
        <v>0</v>
      </c>
      <c r="BQ40" s="109">
        <f t="shared" si="65"/>
        <v>0</v>
      </c>
      <c r="BR40" s="109">
        <f t="shared" si="66"/>
        <v>0</v>
      </c>
      <c r="BS40" s="109">
        <f t="shared" si="67"/>
        <v>0</v>
      </c>
      <c r="BU40" s="82">
        <f t="shared" si="43"/>
        <v>0</v>
      </c>
      <c r="BV40" s="82" t="e">
        <f t="shared" si="68"/>
        <v>#DIV/0!</v>
      </c>
      <c r="BW40" s="77">
        <f t="shared" si="44"/>
        <v>0</v>
      </c>
      <c r="BX40" s="108">
        <f t="shared" si="45"/>
        <v>0</v>
      </c>
      <c r="BY40" s="107">
        <f t="shared" si="46"/>
        <v>0</v>
      </c>
      <c r="BZ40" s="107">
        <f t="shared" si="47"/>
        <v>0</v>
      </c>
      <c r="CA40" s="107">
        <f t="shared" si="48"/>
        <v>0</v>
      </c>
      <c r="CB40" s="109">
        <f t="shared" si="69"/>
        <v>0</v>
      </c>
      <c r="CC40" s="109">
        <f t="shared" si="70"/>
        <v>0</v>
      </c>
      <c r="CD40" s="109">
        <f t="shared" si="71"/>
        <v>0</v>
      </c>
    </row>
    <row r="41" spans="1:82" x14ac:dyDescent="0.25">
      <c r="A41" s="101">
        <f t="shared" si="49"/>
        <v>37104</v>
      </c>
      <c r="B41" s="102">
        <f t="shared" si="50"/>
        <v>3.92</v>
      </c>
      <c r="C41" s="80">
        <f t="shared" si="51"/>
        <v>0.39500000000000002</v>
      </c>
      <c r="D41" s="102">
        <f t="shared" si="1"/>
        <v>0.46</v>
      </c>
      <c r="E41" s="106">
        <f t="shared" si="2"/>
        <v>0.98</v>
      </c>
      <c r="F41" s="105">
        <f t="shared" ca="1" si="3"/>
        <v>330</v>
      </c>
      <c r="G41" s="80" t="e">
        <f t="shared" si="4"/>
        <v>#DIV/0!</v>
      </c>
      <c r="H41" s="80" t="e">
        <f t="shared" si="5"/>
        <v>#DIV/0!</v>
      </c>
      <c r="I41" s="104">
        <f t="shared" si="6"/>
        <v>5.05</v>
      </c>
      <c r="K41" s="102">
        <f t="shared" si="7"/>
        <v>0.91749999999999998</v>
      </c>
      <c r="L41" s="106">
        <f t="shared" si="8"/>
        <v>1</v>
      </c>
      <c r="M41" s="105">
        <f t="shared" ca="1" si="9"/>
        <v>330</v>
      </c>
      <c r="N41" s="217" t="e">
        <f t="shared" si="10"/>
        <v>#DIV/0!</v>
      </c>
      <c r="O41" s="80" t="e">
        <f t="shared" si="11"/>
        <v>#DIV/0!</v>
      </c>
      <c r="P41" s="104">
        <f t="shared" si="12"/>
        <v>5.0999999999999996</v>
      </c>
      <c r="R41" s="102">
        <f t="shared" si="13"/>
        <v>0.02</v>
      </c>
      <c r="S41" s="106">
        <f t="shared" si="14"/>
        <v>1</v>
      </c>
      <c r="T41" s="105">
        <f t="shared" ca="1" si="15"/>
        <v>330</v>
      </c>
      <c r="U41" s="217" t="e">
        <f t="shared" si="16"/>
        <v>#DIV/0!</v>
      </c>
      <c r="V41" s="80" t="e">
        <f t="shared" si="17"/>
        <v>#DIV/0!</v>
      </c>
      <c r="W41" s="104">
        <f t="shared" si="18"/>
        <v>4.8099999999999996</v>
      </c>
      <c r="X41" s="105"/>
      <c r="Y41" s="102">
        <f t="shared" si="19"/>
        <v>0.02</v>
      </c>
      <c r="Z41" s="106">
        <f t="shared" si="20"/>
        <v>1</v>
      </c>
      <c r="AA41" s="105">
        <f t="shared" ca="1" si="21"/>
        <v>330</v>
      </c>
      <c r="AB41" s="80" t="e">
        <f t="shared" si="22"/>
        <v>#DIV/0!</v>
      </c>
      <c r="AC41" s="80" t="e">
        <f t="shared" si="23"/>
        <v>#DIV/0!</v>
      </c>
      <c r="AD41" s="104">
        <f t="shared" si="24"/>
        <v>4.8449999999999998</v>
      </c>
      <c r="AF41" s="105">
        <f t="shared" ca="1" si="52"/>
        <v>330</v>
      </c>
      <c r="AG41" s="105">
        <f t="shared" ca="1" si="53"/>
        <v>329</v>
      </c>
      <c r="AH41" s="80">
        <f t="shared" si="54"/>
        <v>6.8876303277673023E-2</v>
      </c>
      <c r="AI41" s="182">
        <f t="shared" si="25"/>
        <v>31</v>
      </c>
      <c r="AL41" s="105"/>
      <c r="AM41" s="82"/>
      <c r="AN41" s="82">
        <f t="shared" si="26"/>
        <v>0</v>
      </c>
      <c r="AO41" s="82" t="e">
        <f t="shared" si="55"/>
        <v>#DIV/0!</v>
      </c>
      <c r="AP41" s="77">
        <f t="shared" si="27"/>
        <v>0</v>
      </c>
      <c r="AQ41" s="108">
        <f t="shared" si="28"/>
        <v>0</v>
      </c>
      <c r="AR41" s="107">
        <f t="shared" si="29"/>
        <v>0</v>
      </c>
      <c r="AS41" s="107">
        <f t="shared" si="56"/>
        <v>0</v>
      </c>
      <c r="AT41" s="107">
        <f t="shared" si="30"/>
        <v>0</v>
      </c>
      <c r="AU41" s="109">
        <f t="shared" si="57"/>
        <v>0</v>
      </c>
      <c r="AV41" s="109">
        <f t="shared" si="58"/>
        <v>0</v>
      </c>
      <c r="AW41" s="109">
        <f t="shared" si="59"/>
        <v>0</v>
      </c>
      <c r="AY41" s="82">
        <f t="shared" si="31"/>
        <v>0</v>
      </c>
      <c r="AZ41" s="82" t="e">
        <f t="shared" si="60"/>
        <v>#DIV/0!</v>
      </c>
      <c r="BA41" s="77">
        <f t="shared" si="32"/>
        <v>0</v>
      </c>
      <c r="BB41" s="108">
        <f t="shared" si="33"/>
        <v>0</v>
      </c>
      <c r="BC41" s="107">
        <f t="shared" si="34"/>
        <v>0</v>
      </c>
      <c r="BD41" s="107">
        <f t="shared" si="35"/>
        <v>0</v>
      </c>
      <c r="BE41" s="107">
        <f t="shared" si="36"/>
        <v>0</v>
      </c>
      <c r="BF41" s="109">
        <f t="shared" si="61"/>
        <v>0</v>
      </c>
      <c r="BG41" s="109">
        <f t="shared" si="62"/>
        <v>0</v>
      </c>
      <c r="BH41" s="109">
        <f t="shared" si="63"/>
        <v>0</v>
      </c>
      <c r="BJ41" s="82">
        <f t="shared" si="37"/>
        <v>0</v>
      </c>
      <c r="BK41" s="82" t="e">
        <f t="shared" si="64"/>
        <v>#DIV/0!</v>
      </c>
      <c r="BL41" s="77">
        <f t="shared" si="38"/>
        <v>0</v>
      </c>
      <c r="BM41" s="108">
        <f t="shared" si="39"/>
        <v>0</v>
      </c>
      <c r="BN41" s="107">
        <f t="shared" si="40"/>
        <v>0</v>
      </c>
      <c r="BO41" s="107">
        <f t="shared" si="41"/>
        <v>0</v>
      </c>
      <c r="BP41" s="107">
        <f t="shared" si="42"/>
        <v>0</v>
      </c>
      <c r="BQ41" s="109">
        <f t="shared" si="65"/>
        <v>0</v>
      </c>
      <c r="BR41" s="109">
        <f t="shared" si="66"/>
        <v>0</v>
      </c>
      <c r="BS41" s="109">
        <f t="shared" si="67"/>
        <v>0</v>
      </c>
      <c r="BU41" s="82">
        <f t="shared" si="43"/>
        <v>0</v>
      </c>
      <c r="BV41" s="82" t="e">
        <f t="shared" si="68"/>
        <v>#DIV/0!</v>
      </c>
      <c r="BW41" s="77">
        <f t="shared" si="44"/>
        <v>0</v>
      </c>
      <c r="BX41" s="108">
        <f t="shared" si="45"/>
        <v>0</v>
      </c>
      <c r="BY41" s="107">
        <f t="shared" si="46"/>
        <v>0</v>
      </c>
      <c r="BZ41" s="107">
        <f t="shared" si="47"/>
        <v>0</v>
      </c>
      <c r="CA41" s="107">
        <f t="shared" si="48"/>
        <v>0</v>
      </c>
      <c r="CB41" s="109">
        <f t="shared" si="69"/>
        <v>0</v>
      </c>
      <c r="CC41" s="109">
        <f t="shared" si="70"/>
        <v>0</v>
      </c>
      <c r="CD41" s="109">
        <f t="shared" si="71"/>
        <v>0</v>
      </c>
    </row>
    <row r="42" spans="1:82" x14ac:dyDescent="0.25">
      <c r="A42" s="101">
        <f t="shared" si="49"/>
        <v>37135</v>
      </c>
      <c r="B42" s="102">
        <f t="shared" si="50"/>
        <v>3.9</v>
      </c>
      <c r="C42" s="80">
        <f t="shared" si="51"/>
        <v>0.39500000000000002</v>
      </c>
      <c r="D42" s="102">
        <f t="shared" si="1"/>
        <v>0.39500000000000002</v>
      </c>
      <c r="E42" s="106">
        <f t="shared" si="2"/>
        <v>0.98</v>
      </c>
      <c r="F42" s="105">
        <f t="shared" ca="1" si="3"/>
        <v>363</v>
      </c>
      <c r="G42" s="80" t="e">
        <f t="shared" si="4"/>
        <v>#DIV/0!</v>
      </c>
      <c r="H42" s="80" t="e">
        <f t="shared" si="5"/>
        <v>#DIV/0!</v>
      </c>
      <c r="I42" s="104">
        <f t="shared" si="6"/>
        <v>5.05</v>
      </c>
      <c r="K42" s="102">
        <f t="shared" si="7"/>
        <v>0.89500000000000002</v>
      </c>
      <c r="L42" s="106">
        <f t="shared" si="8"/>
        <v>1</v>
      </c>
      <c r="M42" s="105">
        <f t="shared" ca="1" si="9"/>
        <v>363</v>
      </c>
      <c r="N42" s="217" t="e">
        <f t="shared" si="10"/>
        <v>#DIV/0!</v>
      </c>
      <c r="O42" s="80" t="e">
        <f t="shared" si="11"/>
        <v>#DIV/0!</v>
      </c>
      <c r="P42" s="104">
        <f t="shared" si="12"/>
        <v>5.0999999999999996</v>
      </c>
      <c r="R42" s="102">
        <f t="shared" si="13"/>
        <v>1.4999999999999999E-2</v>
      </c>
      <c r="S42" s="106">
        <f t="shared" si="14"/>
        <v>1</v>
      </c>
      <c r="T42" s="105">
        <f t="shared" ca="1" si="15"/>
        <v>363</v>
      </c>
      <c r="U42" s="217" t="e">
        <f t="shared" si="16"/>
        <v>#DIV/0!</v>
      </c>
      <c r="V42" s="80" t="e">
        <f t="shared" si="17"/>
        <v>#DIV/0!</v>
      </c>
      <c r="W42" s="104">
        <f t="shared" si="18"/>
        <v>4.8099999999999996</v>
      </c>
      <c r="X42" s="105"/>
      <c r="Y42" s="102">
        <f t="shared" si="19"/>
        <v>1.4999999999999999E-2</v>
      </c>
      <c r="Z42" s="106">
        <f t="shared" si="20"/>
        <v>1</v>
      </c>
      <c r="AA42" s="105">
        <f t="shared" ca="1" si="21"/>
        <v>363</v>
      </c>
      <c r="AB42" s="80" t="e">
        <f t="shared" si="22"/>
        <v>#DIV/0!</v>
      </c>
      <c r="AC42" s="80" t="e">
        <f t="shared" si="23"/>
        <v>#DIV/0!</v>
      </c>
      <c r="AD42" s="104">
        <f t="shared" si="24"/>
        <v>4.8449999999999998</v>
      </c>
      <c r="AF42" s="105">
        <f t="shared" ca="1" si="52"/>
        <v>363</v>
      </c>
      <c r="AG42" s="105">
        <f t="shared" ca="1" si="53"/>
        <v>362</v>
      </c>
      <c r="AH42" s="80">
        <f t="shared" si="54"/>
        <v>6.8888776321097023E-2</v>
      </c>
      <c r="AI42" s="182">
        <f t="shared" si="25"/>
        <v>30</v>
      </c>
      <c r="AL42" s="105"/>
      <c r="AM42" s="82"/>
      <c r="AN42" s="82">
        <f t="shared" si="26"/>
        <v>0</v>
      </c>
      <c r="AO42" s="82" t="e">
        <f t="shared" si="55"/>
        <v>#DIV/0!</v>
      </c>
      <c r="AP42" s="77">
        <f t="shared" si="27"/>
        <v>0</v>
      </c>
      <c r="AQ42" s="108">
        <f t="shared" si="28"/>
        <v>0</v>
      </c>
      <c r="AR42" s="107">
        <f t="shared" si="29"/>
        <v>0</v>
      </c>
      <c r="AS42" s="107">
        <f t="shared" si="56"/>
        <v>0</v>
      </c>
      <c r="AT42" s="107">
        <f t="shared" si="30"/>
        <v>0</v>
      </c>
      <c r="AU42" s="109">
        <f t="shared" si="57"/>
        <v>0</v>
      </c>
      <c r="AV42" s="109">
        <f t="shared" si="58"/>
        <v>0</v>
      </c>
      <c r="AW42" s="109">
        <f t="shared" si="59"/>
        <v>0</v>
      </c>
      <c r="AY42" s="82">
        <f t="shared" si="31"/>
        <v>0</v>
      </c>
      <c r="AZ42" s="82" t="e">
        <f t="shared" si="60"/>
        <v>#DIV/0!</v>
      </c>
      <c r="BA42" s="77">
        <f t="shared" si="32"/>
        <v>0</v>
      </c>
      <c r="BB42" s="108">
        <f t="shared" si="33"/>
        <v>0</v>
      </c>
      <c r="BC42" s="107">
        <f t="shared" si="34"/>
        <v>0</v>
      </c>
      <c r="BD42" s="107">
        <f t="shared" si="35"/>
        <v>0</v>
      </c>
      <c r="BE42" s="107">
        <f t="shared" si="36"/>
        <v>0</v>
      </c>
      <c r="BF42" s="109">
        <f t="shared" si="61"/>
        <v>0</v>
      </c>
      <c r="BG42" s="109">
        <f t="shared" si="62"/>
        <v>0</v>
      </c>
      <c r="BH42" s="109">
        <f t="shared" si="63"/>
        <v>0</v>
      </c>
      <c r="BJ42" s="82">
        <f t="shared" si="37"/>
        <v>0</v>
      </c>
      <c r="BK42" s="82" t="e">
        <f t="shared" si="64"/>
        <v>#DIV/0!</v>
      </c>
      <c r="BL42" s="77">
        <f t="shared" si="38"/>
        <v>0</v>
      </c>
      <c r="BM42" s="108">
        <f t="shared" si="39"/>
        <v>0</v>
      </c>
      <c r="BN42" s="107">
        <f t="shared" si="40"/>
        <v>0</v>
      </c>
      <c r="BO42" s="107">
        <f t="shared" si="41"/>
        <v>0</v>
      </c>
      <c r="BP42" s="107">
        <f t="shared" si="42"/>
        <v>0</v>
      </c>
      <c r="BQ42" s="109">
        <f t="shared" si="65"/>
        <v>0</v>
      </c>
      <c r="BR42" s="109">
        <f t="shared" si="66"/>
        <v>0</v>
      </c>
      <c r="BS42" s="109">
        <f t="shared" si="67"/>
        <v>0</v>
      </c>
      <c r="BU42" s="82">
        <f t="shared" si="43"/>
        <v>0</v>
      </c>
      <c r="BV42" s="82" t="e">
        <f t="shared" si="68"/>
        <v>#DIV/0!</v>
      </c>
      <c r="BW42" s="77">
        <f t="shared" si="44"/>
        <v>0</v>
      </c>
      <c r="BX42" s="108">
        <f t="shared" si="45"/>
        <v>0</v>
      </c>
      <c r="BY42" s="107">
        <f t="shared" si="46"/>
        <v>0</v>
      </c>
      <c r="BZ42" s="107">
        <f t="shared" si="47"/>
        <v>0</v>
      </c>
      <c r="CA42" s="107">
        <f t="shared" si="48"/>
        <v>0</v>
      </c>
      <c r="CB42" s="109">
        <f t="shared" si="69"/>
        <v>0</v>
      </c>
      <c r="CC42" s="109">
        <f t="shared" si="70"/>
        <v>0</v>
      </c>
      <c r="CD42" s="109">
        <f t="shared" si="71"/>
        <v>0</v>
      </c>
    </row>
    <row r="43" spans="1:82" x14ac:dyDescent="0.25">
      <c r="A43" s="101">
        <f t="shared" si="49"/>
        <v>37165</v>
      </c>
      <c r="B43" s="102">
        <f t="shared" si="50"/>
        <v>3.8849999999999998</v>
      </c>
      <c r="C43" s="80">
        <f t="shared" si="51"/>
        <v>0.39750000000000002</v>
      </c>
      <c r="D43" s="102">
        <f t="shared" si="1"/>
        <v>0.46100000000000002</v>
      </c>
      <c r="E43" s="106">
        <f t="shared" si="2"/>
        <v>0.98</v>
      </c>
      <c r="F43" s="105">
        <f t="shared" ca="1" si="3"/>
        <v>391</v>
      </c>
      <c r="G43" s="80" t="e">
        <f t="shared" si="4"/>
        <v>#DIV/0!</v>
      </c>
      <c r="H43" s="80" t="e">
        <f t="shared" si="5"/>
        <v>#DIV/0!</v>
      </c>
      <c r="I43" s="104">
        <f t="shared" si="6"/>
        <v>5.05</v>
      </c>
      <c r="K43" s="102">
        <f t="shared" si="7"/>
        <v>0.34</v>
      </c>
      <c r="L43" s="106">
        <f t="shared" si="8"/>
        <v>1</v>
      </c>
      <c r="M43" s="105">
        <f t="shared" ca="1" si="9"/>
        <v>391</v>
      </c>
      <c r="N43" s="217" t="e">
        <f t="shared" si="10"/>
        <v>#DIV/0!</v>
      </c>
      <c r="O43" s="80" t="e">
        <f t="shared" si="11"/>
        <v>#DIV/0!</v>
      </c>
      <c r="P43" s="104">
        <f t="shared" si="12"/>
        <v>5.0999999999999996</v>
      </c>
      <c r="R43" s="102">
        <f t="shared" si="13"/>
        <v>5.0000000000000001E-3</v>
      </c>
      <c r="S43" s="106">
        <f t="shared" si="14"/>
        <v>1</v>
      </c>
      <c r="T43" s="105">
        <f t="shared" ca="1" si="15"/>
        <v>391</v>
      </c>
      <c r="U43" s="217" t="e">
        <f t="shared" si="16"/>
        <v>#DIV/0!</v>
      </c>
      <c r="V43" s="80" t="e">
        <f t="shared" si="17"/>
        <v>#DIV/0!</v>
      </c>
      <c r="W43" s="104">
        <f t="shared" si="18"/>
        <v>4.8099999999999996</v>
      </c>
      <c r="X43" s="105"/>
      <c r="Y43" s="102">
        <f t="shared" si="19"/>
        <v>5.0000000000000001E-3</v>
      </c>
      <c r="Z43" s="106">
        <f t="shared" si="20"/>
        <v>1</v>
      </c>
      <c r="AA43" s="105">
        <f t="shared" ca="1" si="21"/>
        <v>391</v>
      </c>
      <c r="AB43" s="80" t="e">
        <f t="shared" si="22"/>
        <v>#DIV/0!</v>
      </c>
      <c r="AC43" s="80" t="e">
        <f t="shared" si="23"/>
        <v>#DIV/0!</v>
      </c>
      <c r="AD43" s="104">
        <f t="shared" si="24"/>
        <v>4.8449999999999998</v>
      </c>
      <c r="AF43" s="105">
        <f t="shared" ca="1" si="52"/>
        <v>391</v>
      </c>
      <c r="AG43" s="105">
        <f t="shared" ca="1" si="53"/>
        <v>390</v>
      </c>
      <c r="AH43" s="80">
        <f t="shared" si="54"/>
        <v>6.890251912361102E-2</v>
      </c>
      <c r="AI43" s="182">
        <f t="shared" si="25"/>
        <v>31</v>
      </c>
      <c r="AL43" s="105"/>
      <c r="AM43" s="82"/>
      <c r="AN43" s="82">
        <f t="shared" si="26"/>
        <v>0</v>
      </c>
      <c r="AO43" s="82" t="e">
        <f t="shared" si="55"/>
        <v>#DIV/0!</v>
      </c>
      <c r="AP43" s="77">
        <f t="shared" si="27"/>
        <v>0</v>
      </c>
      <c r="AQ43" s="108">
        <f t="shared" si="28"/>
        <v>0</v>
      </c>
      <c r="AR43" s="107">
        <f t="shared" si="29"/>
        <v>0</v>
      </c>
      <c r="AS43" s="107">
        <f t="shared" si="56"/>
        <v>0</v>
      </c>
      <c r="AT43" s="107">
        <f t="shared" si="30"/>
        <v>0</v>
      </c>
      <c r="AU43" s="109">
        <f t="shared" si="57"/>
        <v>0</v>
      </c>
      <c r="AV43" s="109">
        <f t="shared" si="58"/>
        <v>0</v>
      </c>
      <c r="AW43" s="109">
        <f t="shared" si="59"/>
        <v>0</v>
      </c>
      <c r="AY43" s="82">
        <f t="shared" si="31"/>
        <v>0</v>
      </c>
      <c r="AZ43" s="82" t="e">
        <f t="shared" si="60"/>
        <v>#DIV/0!</v>
      </c>
      <c r="BA43" s="77">
        <f t="shared" si="32"/>
        <v>0</v>
      </c>
      <c r="BB43" s="108">
        <f t="shared" si="33"/>
        <v>0</v>
      </c>
      <c r="BC43" s="107">
        <f t="shared" si="34"/>
        <v>0</v>
      </c>
      <c r="BD43" s="107">
        <f t="shared" si="35"/>
        <v>0</v>
      </c>
      <c r="BE43" s="107">
        <f t="shared" si="36"/>
        <v>0</v>
      </c>
      <c r="BF43" s="109">
        <f t="shared" si="61"/>
        <v>0</v>
      </c>
      <c r="BG43" s="109">
        <f t="shared" si="62"/>
        <v>0</v>
      </c>
      <c r="BH43" s="109">
        <f t="shared" si="63"/>
        <v>0</v>
      </c>
      <c r="BJ43" s="82">
        <f t="shared" si="37"/>
        <v>0</v>
      </c>
      <c r="BK43" s="82" t="e">
        <f t="shared" si="64"/>
        <v>#DIV/0!</v>
      </c>
      <c r="BL43" s="77">
        <f t="shared" si="38"/>
        <v>0</v>
      </c>
      <c r="BM43" s="108">
        <f t="shared" si="39"/>
        <v>0</v>
      </c>
      <c r="BN43" s="107">
        <f t="shared" si="40"/>
        <v>0</v>
      </c>
      <c r="BO43" s="107">
        <f t="shared" si="41"/>
        <v>0</v>
      </c>
      <c r="BP43" s="107">
        <f t="shared" si="42"/>
        <v>0</v>
      </c>
      <c r="BQ43" s="109">
        <f t="shared" si="65"/>
        <v>0</v>
      </c>
      <c r="BR43" s="109">
        <f t="shared" si="66"/>
        <v>0</v>
      </c>
      <c r="BS43" s="109">
        <f t="shared" si="67"/>
        <v>0</v>
      </c>
      <c r="BU43" s="82">
        <f t="shared" si="43"/>
        <v>0</v>
      </c>
      <c r="BV43" s="82" t="e">
        <f t="shared" si="68"/>
        <v>#DIV/0!</v>
      </c>
      <c r="BW43" s="77">
        <f t="shared" si="44"/>
        <v>0</v>
      </c>
      <c r="BX43" s="108">
        <f t="shared" si="45"/>
        <v>0</v>
      </c>
      <c r="BY43" s="107">
        <f t="shared" si="46"/>
        <v>0</v>
      </c>
      <c r="BZ43" s="107">
        <f t="shared" si="47"/>
        <v>0</v>
      </c>
      <c r="CA43" s="107">
        <f t="shared" si="48"/>
        <v>0</v>
      </c>
      <c r="CB43" s="109">
        <f t="shared" si="69"/>
        <v>0</v>
      </c>
      <c r="CC43" s="109">
        <f t="shared" si="70"/>
        <v>0</v>
      </c>
      <c r="CD43" s="109">
        <f t="shared" si="71"/>
        <v>0</v>
      </c>
    </row>
    <row r="44" spans="1:82" x14ac:dyDescent="0.25">
      <c r="A44" s="101">
        <f t="shared" si="49"/>
        <v>37196</v>
      </c>
      <c r="B44" s="102">
        <f t="shared" si="50"/>
        <v>3.99</v>
      </c>
      <c r="C44" s="80">
        <f t="shared" si="51"/>
        <v>0.40749999999999997</v>
      </c>
      <c r="D44" s="102">
        <f t="shared" si="1"/>
        <v>0.93</v>
      </c>
      <c r="E44" s="106">
        <f t="shared" si="2"/>
        <v>1.1000000000000001</v>
      </c>
      <c r="F44" s="105">
        <f t="shared" ca="1" si="3"/>
        <v>424</v>
      </c>
      <c r="G44" s="80" t="e">
        <f t="shared" si="4"/>
        <v>#DIV/0!</v>
      </c>
      <c r="H44" s="80" t="e">
        <f t="shared" si="5"/>
        <v>#DIV/0!</v>
      </c>
      <c r="I44" s="104">
        <f t="shared" si="6"/>
        <v>5.05</v>
      </c>
      <c r="K44" s="102">
        <f t="shared" si="7"/>
        <v>0.34</v>
      </c>
      <c r="L44" s="106">
        <f t="shared" si="8"/>
        <v>1</v>
      </c>
      <c r="M44" s="105">
        <f t="shared" ca="1" si="9"/>
        <v>424</v>
      </c>
      <c r="N44" s="217" t="e">
        <f t="shared" si="10"/>
        <v>#DIV/0!</v>
      </c>
      <c r="O44" s="80" t="e">
        <f t="shared" si="11"/>
        <v>#DIV/0!</v>
      </c>
      <c r="P44" s="104">
        <f t="shared" si="12"/>
        <v>5.0999999999999996</v>
      </c>
      <c r="R44" s="102">
        <f t="shared" si="13"/>
        <v>-4.2500000000000003E-2</v>
      </c>
      <c r="S44" s="106">
        <f t="shared" si="14"/>
        <v>1</v>
      </c>
      <c r="T44" s="105">
        <f t="shared" ca="1" si="15"/>
        <v>424</v>
      </c>
      <c r="U44" s="217" t="e">
        <f t="shared" si="16"/>
        <v>#DIV/0!</v>
      </c>
      <c r="V44" s="80" t="e">
        <f t="shared" si="17"/>
        <v>#DIV/0!</v>
      </c>
      <c r="W44" s="104">
        <f t="shared" si="18"/>
        <v>4.8099999999999996</v>
      </c>
      <c r="X44" s="105"/>
      <c r="Y44" s="102">
        <f t="shared" si="19"/>
        <v>-4.2500000000000003E-2</v>
      </c>
      <c r="Z44" s="106">
        <f t="shared" si="20"/>
        <v>1</v>
      </c>
      <c r="AA44" s="105">
        <f t="shared" ca="1" si="21"/>
        <v>424</v>
      </c>
      <c r="AB44" s="80" t="e">
        <f t="shared" si="22"/>
        <v>#DIV/0!</v>
      </c>
      <c r="AC44" s="80" t="e">
        <f t="shared" si="23"/>
        <v>#DIV/0!</v>
      </c>
      <c r="AD44" s="104">
        <f t="shared" si="24"/>
        <v>4.8449999999999998</v>
      </c>
      <c r="AF44" s="105">
        <f t="shared" ca="1" si="52"/>
        <v>424</v>
      </c>
      <c r="AG44" s="105">
        <f t="shared" ca="1" si="53"/>
        <v>421</v>
      </c>
      <c r="AH44" s="80">
        <f t="shared" si="54"/>
        <v>6.8919453955852014E-2</v>
      </c>
      <c r="AI44" s="182">
        <f t="shared" si="25"/>
        <v>30</v>
      </c>
      <c r="AL44" s="105"/>
      <c r="AM44" s="82"/>
      <c r="AN44" s="82">
        <f t="shared" si="26"/>
        <v>0</v>
      </c>
      <c r="AO44" s="82" t="e">
        <f t="shared" si="55"/>
        <v>#DIV/0!</v>
      </c>
      <c r="AP44" s="77">
        <f t="shared" si="27"/>
        <v>0</v>
      </c>
      <c r="AQ44" s="108">
        <f t="shared" si="28"/>
        <v>0</v>
      </c>
      <c r="AR44" s="107">
        <f t="shared" si="29"/>
        <v>0</v>
      </c>
      <c r="AS44" s="107">
        <f t="shared" si="56"/>
        <v>0</v>
      </c>
      <c r="AT44" s="107">
        <f t="shared" si="30"/>
        <v>0</v>
      </c>
      <c r="AU44" s="109">
        <f t="shared" si="57"/>
        <v>0</v>
      </c>
      <c r="AV44" s="109">
        <f t="shared" si="58"/>
        <v>0</v>
      </c>
      <c r="AW44" s="109">
        <f t="shared" si="59"/>
        <v>0</v>
      </c>
      <c r="AY44" s="82">
        <f t="shared" si="31"/>
        <v>0</v>
      </c>
      <c r="AZ44" s="82" t="e">
        <f t="shared" si="60"/>
        <v>#DIV/0!</v>
      </c>
      <c r="BA44" s="77">
        <f t="shared" si="32"/>
        <v>0</v>
      </c>
      <c r="BB44" s="108">
        <f t="shared" si="33"/>
        <v>0</v>
      </c>
      <c r="BC44" s="107">
        <f t="shared" si="34"/>
        <v>0</v>
      </c>
      <c r="BD44" s="107">
        <f t="shared" si="35"/>
        <v>0</v>
      </c>
      <c r="BE44" s="107">
        <f t="shared" si="36"/>
        <v>0</v>
      </c>
      <c r="BF44" s="109">
        <f t="shared" si="61"/>
        <v>0</v>
      </c>
      <c r="BG44" s="109">
        <f t="shared" si="62"/>
        <v>0</v>
      </c>
      <c r="BH44" s="109">
        <f t="shared" si="63"/>
        <v>0</v>
      </c>
      <c r="BJ44" s="82">
        <f t="shared" si="37"/>
        <v>0</v>
      </c>
      <c r="BK44" s="82" t="e">
        <f t="shared" si="64"/>
        <v>#DIV/0!</v>
      </c>
      <c r="BL44" s="77">
        <f t="shared" si="38"/>
        <v>0</v>
      </c>
      <c r="BM44" s="108">
        <f t="shared" si="39"/>
        <v>0</v>
      </c>
      <c r="BN44" s="107">
        <f t="shared" si="40"/>
        <v>0</v>
      </c>
      <c r="BO44" s="107">
        <f t="shared" si="41"/>
        <v>0</v>
      </c>
      <c r="BP44" s="107">
        <f t="shared" si="42"/>
        <v>0</v>
      </c>
      <c r="BQ44" s="109">
        <f t="shared" si="65"/>
        <v>0</v>
      </c>
      <c r="BR44" s="109">
        <f t="shared" si="66"/>
        <v>0</v>
      </c>
      <c r="BS44" s="109">
        <f t="shared" si="67"/>
        <v>0</v>
      </c>
      <c r="BU44" s="82">
        <f t="shared" si="43"/>
        <v>0</v>
      </c>
      <c r="BV44" s="82" t="e">
        <f t="shared" si="68"/>
        <v>#DIV/0!</v>
      </c>
      <c r="BW44" s="77">
        <f t="shared" si="44"/>
        <v>0</v>
      </c>
      <c r="BX44" s="108">
        <f t="shared" si="45"/>
        <v>0</v>
      </c>
      <c r="BY44" s="107">
        <f t="shared" si="46"/>
        <v>0</v>
      </c>
      <c r="BZ44" s="107">
        <f t="shared" si="47"/>
        <v>0</v>
      </c>
      <c r="CA44" s="107">
        <f t="shared" si="48"/>
        <v>0</v>
      </c>
      <c r="CB44" s="109">
        <f t="shared" si="69"/>
        <v>0</v>
      </c>
      <c r="CC44" s="109">
        <f t="shared" si="70"/>
        <v>0</v>
      </c>
      <c r="CD44" s="109">
        <f t="shared" si="71"/>
        <v>0</v>
      </c>
    </row>
    <row r="45" spans="1:82" x14ac:dyDescent="0.25">
      <c r="A45" s="101">
        <f t="shared" si="49"/>
        <v>37226</v>
      </c>
      <c r="B45" s="102">
        <f t="shared" si="50"/>
        <v>4.0750000000000002</v>
      </c>
      <c r="C45" s="80">
        <f t="shared" si="51"/>
        <v>0.41249999999999998</v>
      </c>
      <c r="D45" s="102">
        <f t="shared" si="1"/>
        <v>1.35</v>
      </c>
      <c r="E45" s="106">
        <f t="shared" si="2"/>
        <v>1.1000000000000001</v>
      </c>
      <c r="F45" s="105">
        <f t="shared" ca="1" si="3"/>
        <v>454</v>
      </c>
      <c r="G45" s="80" t="e">
        <f t="shared" si="4"/>
        <v>#DIV/0!</v>
      </c>
      <c r="H45" s="80" t="e">
        <f t="shared" si="5"/>
        <v>#DIV/0!</v>
      </c>
      <c r="I45" s="104">
        <f t="shared" si="6"/>
        <v>5.05</v>
      </c>
      <c r="K45" s="102">
        <f t="shared" si="7"/>
        <v>0.34</v>
      </c>
      <c r="L45" s="106">
        <f t="shared" si="8"/>
        <v>1</v>
      </c>
      <c r="M45" s="105">
        <f t="shared" ca="1" si="9"/>
        <v>454</v>
      </c>
      <c r="N45" s="217" t="e">
        <f t="shared" si="10"/>
        <v>#DIV/0!</v>
      </c>
      <c r="O45" s="80" t="e">
        <f t="shared" si="11"/>
        <v>#DIV/0!</v>
      </c>
      <c r="P45" s="104">
        <f t="shared" si="12"/>
        <v>5.0999999999999996</v>
      </c>
      <c r="R45" s="102">
        <f t="shared" si="13"/>
        <v>-6.5000000000000002E-2</v>
      </c>
      <c r="S45" s="106">
        <f t="shared" si="14"/>
        <v>1</v>
      </c>
      <c r="T45" s="105">
        <f t="shared" ca="1" si="15"/>
        <v>454</v>
      </c>
      <c r="U45" s="217" t="e">
        <f t="shared" si="16"/>
        <v>#DIV/0!</v>
      </c>
      <c r="V45" s="80" t="e">
        <f t="shared" si="17"/>
        <v>#DIV/0!</v>
      </c>
      <c r="W45" s="104">
        <f t="shared" si="18"/>
        <v>4.8099999999999996</v>
      </c>
      <c r="X45" s="105"/>
      <c r="Y45" s="102">
        <f t="shared" si="19"/>
        <v>-6.5000000000000002E-2</v>
      </c>
      <c r="Z45" s="106">
        <f t="shared" si="20"/>
        <v>1</v>
      </c>
      <c r="AA45" s="105">
        <f t="shared" ca="1" si="21"/>
        <v>454</v>
      </c>
      <c r="AB45" s="80" t="e">
        <f t="shared" si="22"/>
        <v>#DIV/0!</v>
      </c>
      <c r="AC45" s="80" t="e">
        <f t="shared" si="23"/>
        <v>#DIV/0!</v>
      </c>
      <c r="AD45" s="104">
        <f t="shared" si="24"/>
        <v>4.8449999999999998</v>
      </c>
      <c r="AF45" s="105">
        <f t="shared" ca="1" si="52"/>
        <v>454</v>
      </c>
      <c r="AG45" s="105">
        <f t="shared" ca="1" si="53"/>
        <v>453</v>
      </c>
      <c r="AH45" s="80">
        <f t="shared" si="54"/>
        <v>6.8935842503271005E-2</v>
      </c>
      <c r="AI45" s="182">
        <f t="shared" si="25"/>
        <v>31</v>
      </c>
      <c r="AL45" s="105"/>
      <c r="AM45" s="82"/>
      <c r="AN45" s="82">
        <f t="shared" si="26"/>
        <v>0</v>
      </c>
      <c r="AO45" s="82" t="e">
        <f t="shared" si="55"/>
        <v>#DIV/0!</v>
      </c>
      <c r="AP45" s="77">
        <f t="shared" si="27"/>
        <v>0</v>
      </c>
      <c r="AQ45" s="108">
        <f t="shared" si="28"/>
        <v>0</v>
      </c>
      <c r="AR45" s="107">
        <f t="shared" si="29"/>
        <v>0</v>
      </c>
      <c r="AS45" s="107">
        <f t="shared" si="56"/>
        <v>0</v>
      </c>
      <c r="AT45" s="107">
        <f t="shared" si="30"/>
        <v>0</v>
      </c>
      <c r="AU45" s="109">
        <f t="shared" si="57"/>
        <v>0</v>
      </c>
      <c r="AV45" s="109">
        <f t="shared" si="58"/>
        <v>0</v>
      </c>
      <c r="AW45" s="109">
        <f t="shared" si="59"/>
        <v>0</v>
      </c>
      <c r="AY45" s="82">
        <f t="shared" si="31"/>
        <v>0</v>
      </c>
      <c r="AZ45" s="82" t="e">
        <f t="shared" si="60"/>
        <v>#DIV/0!</v>
      </c>
      <c r="BA45" s="77">
        <f t="shared" si="32"/>
        <v>0</v>
      </c>
      <c r="BB45" s="108">
        <f t="shared" si="33"/>
        <v>0</v>
      </c>
      <c r="BC45" s="107">
        <f t="shared" si="34"/>
        <v>0</v>
      </c>
      <c r="BD45" s="107">
        <f t="shared" si="35"/>
        <v>0</v>
      </c>
      <c r="BE45" s="107">
        <f t="shared" si="36"/>
        <v>0</v>
      </c>
      <c r="BF45" s="109">
        <f t="shared" si="61"/>
        <v>0</v>
      </c>
      <c r="BG45" s="109">
        <f t="shared" si="62"/>
        <v>0</v>
      </c>
      <c r="BH45" s="109">
        <f t="shared" si="63"/>
        <v>0</v>
      </c>
      <c r="BJ45" s="82">
        <f t="shared" si="37"/>
        <v>0</v>
      </c>
      <c r="BK45" s="82" t="e">
        <f t="shared" si="64"/>
        <v>#DIV/0!</v>
      </c>
      <c r="BL45" s="77">
        <f t="shared" si="38"/>
        <v>0</v>
      </c>
      <c r="BM45" s="108">
        <f t="shared" si="39"/>
        <v>0</v>
      </c>
      <c r="BN45" s="107">
        <f t="shared" si="40"/>
        <v>0</v>
      </c>
      <c r="BO45" s="107">
        <f t="shared" si="41"/>
        <v>0</v>
      </c>
      <c r="BP45" s="107">
        <f t="shared" si="42"/>
        <v>0</v>
      </c>
      <c r="BQ45" s="109">
        <f t="shared" si="65"/>
        <v>0</v>
      </c>
      <c r="BR45" s="109">
        <f t="shared" si="66"/>
        <v>0</v>
      </c>
      <c r="BS45" s="109">
        <f t="shared" si="67"/>
        <v>0</v>
      </c>
      <c r="BU45" s="82">
        <f t="shared" si="43"/>
        <v>0</v>
      </c>
      <c r="BV45" s="82" t="e">
        <f t="shared" si="68"/>
        <v>#DIV/0!</v>
      </c>
      <c r="BW45" s="77">
        <f t="shared" si="44"/>
        <v>0</v>
      </c>
      <c r="BX45" s="108">
        <f t="shared" si="45"/>
        <v>0</v>
      </c>
      <c r="BY45" s="107">
        <f t="shared" si="46"/>
        <v>0</v>
      </c>
      <c r="BZ45" s="107">
        <f t="shared" si="47"/>
        <v>0</v>
      </c>
      <c r="CA45" s="107">
        <f t="shared" si="48"/>
        <v>0</v>
      </c>
      <c r="CB45" s="109">
        <f t="shared" si="69"/>
        <v>0</v>
      </c>
      <c r="CC45" s="109">
        <f t="shared" si="70"/>
        <v>0</v>
      </c>
      <c r="CD45" s="109">
        <f t="shared" si="71"/>
        <v>0</v>
      </c>
    </row>
    <row r="46" spans="1:82" x14ac:dyDescent="0.25">
      <c r="A46" s="101">
        <f t="shared" si="49"/>
        <v>37257</v>
      </c>
      <c r="B46" s="102">
        <f t="shared" si="50"/>
        <v>4.0449999999999999</v>
      </c>
      <c r="C46" s="80">
        <f t="shared" si="51"/>
        <v>0.41749999999999998</v>
      </c>
      <c r="D46" s="102">
        <f t="shared" si="1"/>
        <v>1.61</v>
      </c>
      <c r="E46" s="106">
        <f t="shared" si="2"/>
        <v>1.1000000000000001</v>
      </c>
      <c r="F46" s="105">
        <f t="shared" ca="1" si="3"/>
        <v>483</v>
      </c>
      <c r="G46" s="80" t="e">
        <f t="shared" si="4"/>
        <v>#DIV/0!</v>
      </c>
      <c r="H46" s="80" t="e">
        <f t="shared" si="5"/>
        <v>#DIV/0!</v>
      </c>
      <c r="I46" s="104">
        <f t="shared" si="6"/>
        <v>5.05</v>
      </c>
      <c r="K46" s="102">
        <f t="shared" si="7"/>
        <v>0.34</v>
      </c>
      <c r="L46" s="106">
        <f t="shared" si="8"/>
        <v>1</v>
      </c>
      <c r="M46" s="105">
        <f t="shared" ca="1" si="9"/>
        <v>483</v>
      </c>
      <c r="N46" s="217" t="e">
        <f t="shared" si="10"/>
        <v>#DIV/0!</v>
      </c>
      <c r="O46" s="80" t="e">
        <f t="shared" si="11"/>
        <v>#DIV/0!</v>
      </c>
      <c r="P46" s="104">
        <f t="shared" si="12"/>
        <v>5.0999999999999996</v>
      </c>
      <c r="R46" s="102">
        <f t="shared" si="13"/>
        <v>-6.7500000000000004E-2</v>
      </c>
      <c r="S46" s="106">
        <f t="shared" si="14"/>
        <v>1</v>
      </c>
      <c r="T46" s="105">
        <f t="shared" ca="1" si="15"/>
        <v>483</v>
      </c>
      <c r="U46" s="217" t="e">
        <f t="shared" si="16"/>
        <v>#DIV/0!</v>
      </c>
      <c r="V46" s="80" t="e">
        <f t="shared" si="17"/>
        <v>#DIV/0!</v>
      </c>
      <c r="W46" s="104">
        <f t="shared" si="18"/>
        <v>4.8099999999999996</v>
      </c>
      <c r="X46" s="105"/>
      <c r="Y46" s="102">
        <f t="shared" si="19"/>
        <v>-6.7500000000000004E-2</v>
      </c>
      <c r="Z46" s="106">
        <f t="shared" si="20"/>
        <v>1</v>
      </c>
      <c r="AA46" s="105">
        <f t="shared" ca="1" si="21"/>
        <v>483</v>
      </c>
      <c r="AB46" s="80" t="e">
        <f t="shared" si="22"/>
        <v>#DIV/0!</v>
      </c>
      <c r="AC46" s="80" t="e">
        <f t="shared" si="23"/>
        <v>#DIV/0!</v>
      </c>
      <c r="AD46" s="104">
        <f t="shared" si="24"/>
        <v>4.8449999999999998</v>
      </c>
      <c r="AF46" s="105">
        <f t="shared" ca="1" si="52"/>
        <v>483</v>
      </c>
      <c r="AG46" s="105">
        <f t="shared" ca="1" si="53"/>
        <v>482</v>
      </c>
      <c r="AH46" s="80">
        <f t="shared" si="54"/>
        <v>6.896655729440701E-2</v>
      </c>
      <c r="AI46" s="182">
        <f t="shared" si="25"/>
        <v>31</v>
      </c>
      <c r="AL46" s="105"/>
      <c r="AM46" s="82"/>
      <c r="AN46" s="82">
        <f t="shared" si="26"/>
        <v>0</v>
      </c>
      <c r="AO46" s="82" t="e">
        <f t="shared" si="55"/>
        <v>#DIV/0!</v>
      </c>
      <c r="AP46" s="77">
        <f t="shared" si="27"/>
        <v>0</v>
      </c>
      <c r="AQ46" s="108">
        <f t="shared" si="28"/>
        <v>0</v>
      </c>
      <c r="AR46" s="107">
        <f t="shared" si="29"/>
        <v>0</v>
      </c>
      <c r="AS46" s="107">
        <f t="shared" si="56"/>
        <v>0</v>
      </c>
      <c r="AT46" s="107">
        <f t="shared" si="30"/>
        <v>0</v>
      </c>
      <c r="AU46" s="109">
        <f t="shared" si="57"/>
        <v>0</v>
      </c>
      <c r="AV46" s="109">
        <f t="shared" si="58"/>
        <v>0</v>
      </c>
      <c r="AW46" s="109">
        <f t="shared" si="59"/>
        <v>0</v>
      </c>
      <c r="AY46" s="82">
        <f t="shared" si="31"/>
        <v>0</v>
      </c>
      <c r="AZ46" s="82" t="e">
        <f t="shared" si="60"/>
        <v>#DIV/0!</v>
      </c>
      <c r="BA46" s="77">
        <f t="shared" si="32"/>
        <v>0</v>
      </c>
      <c r="BB46" s="108">
        <f t="shared" si="33"/>
        <v>0</v>
      </c>
      <c r="BC46" s="107">
        <f t="shared" si="34"/>
        <v>0</v>
      </c>
      <c r="BD46" s="107">
        <f t="shared" si="35"/>
        <v>0</v>
      </c>
      <c r="BE46" s="107">
        <f t="shared" si="36"/>
        <v>0</v>
      </c>
      <c r="BF46" s="109">
        <f t="shared" si="61"/>
        <v>0</v>
      </c>
      <c r="BG46" s="109">
        <f t="shared" si="62"/>
        <v>0</v>
      </c>
      <c r="BH46" s="109">
        <f t="shared" si="63"/>
        <v>0</v>
      </c>
      <c r="BJ46" s="82">
        <f t="shared" si="37"/>
        <v>0</v>
      </c>
      <c r="BK46" s="82" t="e">
        <f t="shared" si="64"/>
        <v>#DIV/0!</v>
      </c>
      <c r="BL46" s="77">
        <f t="shared" si="38"/>
        <v>0</v>
      </c>
      <c r="BM46" s="108">
        <f t="shared" si="39"/>
        <v>0</v>
      </c>
      <c r="BN46" s="107">
        <f t="shared" si="40"/>
        <v>0</v>
      </c>
      <c r="BO46" s="107">
        <f t="shared" si="41"/>
        <v>0</v>
      </c>
      <c r="BP46" s="107">
        <f t="shared" si="42"/>
        <v>0</v>
      </c>
      <c r="BQ46" s="109">
        <f t="shared" si="65"/>
        <v>0</v>
      </c>
      <c r="BR46" s="109">
        <f t="shared" si="66"/>
        <v>0</v>
      </c>
      <c r="BS46" s="109">
        <f t="shared" si="67"/>
        <v>0</v>
      </c>
      <c r="BU46" s="82">
        <f t="shared" si="43"/>
        <v>0</v>
      </c>
      <c r="BV46" s="82" t="e">
        <f t="shared" si="68"/>
        <v>#DIV/0!</v>
      </c>
      <c r="BW46" s="77">
        <f t="shared" si="44"/>
        <v>0</v>
      </c>
      <c r="BX46" s="108">
        <f t="shared" si="45"/>
        <v>0</v>
      </c>
      <c r="BY46" s="107">
        <f t="shared" si="46"/>
        <v>0</v>
      </c>
      <c r="BZ46" s="107">
        <f t="shared" si="47"/>
        <v>0</v>
      </c>
      <c r="CA46" s="107">
        <f t="shared" si="48"/>
        <v>0</v>
      </c>
      <c r="CB46" s="109">
        <f t="shared" si="69"/>
        <v>0</v>
      </c>
      <c r="CC46" s="109">
        <f t="shared" si="70"/>
        <v>0</v>
      </c>
      <c r="CD46" s="109">
        <f t="shared" si="71"/>
        <v>0</v>
      </c>
    </row>
    <row r="47" spans="1:82" x14ac:dyDescent="0.25">
      <c r="A47" s="101">
        <f t="shared" si="49"/>
        <v>37288</v>
      </c>
      <c r="B47" s="102">
        <f t="shared" si="50"/>
        <v>3.8740000000000006</v>
      </c>
      <c r="C47" s="80">
        <f t="shared" si="51"/>
        <v>0.4</v>
      </c>
      <c r="D47" s="102">
        <f t="shared" si="1"/>
        <v>1.6</v>
      </c>
      <c r="E47" s="106">
        <f t="shared" si="2"/>
        <v>1.1000000000000001</v>
      </c>
      <c r="F47" s="105">
        <f t="shared" ca="1" si="3"/>
        <v>516</v>
      </c>
      <c r="G47" s="80" t="e">
        <f t="shared" si="4"/>
        <v>#DIV/0!</v>
      </c>
      <c r="H47" s="80" t="e">
        <f t="shared" si="5"/>
        <v>#DIV/0!</v>
      </c>
      <c r="I47" s="104">
        <f t="shared" si="6"/>
        <v>5.05</v>
      </c>
      <c r="K47" s="102">
        <f t="shared" si="7"/>
        <v>0.34</v>
      </c>
      <c r="L47" s="106">
        <f t="shared" si="8"/>
        <v>1</v>
      </c>
      <c r="M47" s="105">
        <f t="shared" ca="1" si="9"/>
        <v>516</v>
      </c>
      <c r="N47" s="217" t="e">
        <f t="shared" si="10"/>
        <v>#DIV/0!</v>
      </c>
      <c r="O47" s="80" t="e">
        <f t="shared" si="11"/>
        <v>#DIV/0!</v>
      </c>
      <c r="P47" s="104">
        <f t="shared" si="12"/>
        <v>5.0999999999999996</v>
      </c>
      <c r="R47" s="102">
        <f t="shared" si="13"/>
        <v>-0.05</v>
      </c>
      <c r="S47" s="106">
        <f t="shared" si="14"/>
        <v>1</v>
      </c>
      <c r="T47" s="105">
        <f t="shared" ca="1" si="15"/>
        <v>516</v>
      </c>
      <c r="U47" s="217" t="e">
        <f t="shared" si="16"/>
        <v>#DIV/0!</v>
      </c>
      <c r="V47" s="80" t="e">
        <f t="shared" si="17"/>
        <v>#DIV/0!</v>
      </c>
      <c r="W47" s="104">
        <f t="shared" si="18"/>
        <v>4.8099999999999996</v>
      </c>
      <c r="X47" s="105"/>
      <c r="Y47" s="102">
        <f t="shared" si="19"/>
        <v>-0.05</v>
      </c>
      <c r="Z47" s="106">
        <f t="shared" si="20"/>
        <v>1</v>
      </c>
      <c r="AA47" s="105">
        <f t="shared" ca="1" si="21"/>
        <v>516</v>
      </c>
      <c r="AB47" s="80" t="e">
        <f t="shared" si="22"/>
        <v>#DIV/0!</v>
      </c>
      <c r="AC47" s="80" t="e">
        <f t="shared" si="23"/>
        <v>#DIV/0!</v>
      </c>
      <c r="AD47" s="104">
        <f t="shared" si="24"/>
        <v>4.8449999999999998</v>
      </c>
      <c r="AF47" s="105">
        <f t="shared" ca="1" si="52"/>
        <v>516</v>
      </c>
      <c r="AG47" s="105">
        <f t="shared" ca="1" si="53"/>
        <v>515</v>
      </c>
      <c r="AH47" s="80">
        <f t="shared" si="54"/>
        <v>6.9016352028977018E-2</v>
      </c>
      <c r="AI47" s="182">
        <f t="shared" si="25"/>
        <v>28</v>
      </c>
      <c r="AL47" s="105"/>
      <c r="AM47" s="82"/>
      <c r="AN47" s="82">
        <f t="shared" si="26"/>
        <v>0</v>
      </c>
      <c r="AO47" s="82" t="e">
        <f t="shared" si="55"/>
        <v>#DIV/0!</v>
      </c>
      <c r="AP47" s="77">
        <f t="shared" si="27"/>
        <v>0</v>
      </c>
      <c r="AQ47" s="108">
        <f t="shared" si="28"/>
        <v>0</v>
      </c>
      <c r="AR47" s="107">
        <f t="shared" si="29"/>
        <v>0</v>
      </c>
      <c r="AS47" s="107">
        <f t="shared" si="56"/>
        <v>0</v>
      </c>
      <c r="AT47" s="107">
        <f t="shared" si="30"/>
        <v>0</v>
      </c>
      <c r="AU47" s="109">
        <f t="shared" si="57"/>
        <v>0</v>
      </c>
      <c r="AV47" s="109">
        <f t="shared" si="58"/>
        <v>0</v>
      </c>
      <c r="AW47" s="109">
        <f t="shared" si="59"/>
        <v>0</v>
      </c>
      <c r="AY47" s="82">
        <f t="shared" si="31"/>
        <v>0</v>
      </c>
      <c r="AZ47" s="82" t="e">
        <f t="shared" si="60"/>
        <v>#DIV/0!</v>
      </c>
      <c r="BA47" s="77">
        <f t="shared" si="32"/>
        <v>0</v>
      </c>
      <c r="BB47" s="108">
        <f t="shared" si="33"/>
        <v>0</v>
      </c>
      <c r="BC47" s="107">
        <f t="shared" si="34"/>
        <v>0</v>
      </c>
      <c r="BD47" s="107">
        <f t="shared" si="35"/>
        <v>0</v>
      </c>
      <c r="BE47" s="107">
        <f t="shared" si="36"/>
        <v>0</v>
      </c>
      <c r="BF47" s="109">
        <f t="shared" si="61"/>
        <v>0</v>
      </c>
      <c r="BG47" s="109">
        <f t="shared" si="62"/>
        <v>0</v>
      </c>
      <c r="BH47" s="109">
        <f t="shared" si="63"/>
        <v>0</v>
      </c>
      <c r="BJ47" s="82">
        <f t="shared" si="37"/>
        <v>0</v>
      </c>
      <c r="BK47" s="82" t="e">
        <f t="shared" si="64"/>
        <v>#DIV/0!</v>
      </c>
      <c r="BL47" s="77">
        <f t="shared" si="38"/>
        <v>0</v>
      </c>
      <c r="BM47" s="108">
        <f t="shared" si="39"/>
        <v>0</v>
      </c>
      <c r="BN47" s="107">
        <f t="shared" si="40"/>
        <v>0</v>
      </c>
      <c r="BO47" s="107">
        <f t="shared" si="41"/>
        <v>0</v>
      </c>
      <c r="BP47" s="107">
        <f t="shared" si="42"/>
        <v>0</v>
      </c>
      <c r="BQ47" s="109">
        <f t="shared" si="65"/>
        <v>0</v>
      </c>
      <c r="BR47" s="109">
        <f t="shared" si="66"/>
        <v>0</v>
      </c>
      <c r="BS47" s="109">
        <f t="shared" si="67"/>
        <v>0</v>
      </c>
      <c r="BU47" s="82">
        <f t="shared" si="43"/>
        <v>0</v>
      </c>
      <c r="BV47" s="82" t="e">
        <f t="shared" si="68"/>
        <v>#DIV/0!</v>
      </c>
      <c r="BW47" s="77">
        <f t="shared" si="44"/>
        <v>0</v>
      </c>
      <c r="BX47" s="108">
        <f t="shared" si="45"/>
        <v>0</v>
      </c>
      <c r="BY47" s="107">
        <f t="shared" si="46"/>
        <v>0</v>
      </c>
      <c r="BZ47" s="107">
        <f t="shared" si="47"/>
        <v>0</v>
      </c>
      <c r="CA47" s="107">
        <f t="shared" si="48"/>
        <v>0</v>
      </c>
      <c r="CB47" s="109">
        <f t="shared" si="69"/>
        <v>0</v>
      </c>
      <c r="CC47" s="109">
        <f t="shared" si="70"/>
        <v>0</v>
      </c>
      <c r="CD47" s="109">
        <f t="shared" si="71"/>
        <v>0</v>
      </c>
    </row>
    <row r="48" spans="1:82" x14ac:dyDescent="0.25">
      <c r="A48" s="101">
        <f t="shared" si="49"/>
        <v>37316</v>
      </c>
      <c r="B48" s="102">
        <f t="shared" si="50"/>
        <v>3.7090000000000005</v>
      </c>
      <c r="C48" s="80">
        <f t="shared" si="51"/>
        <v>0.36749999999999999</v>
      </c>
      <c r="D48" s="102">
        <f t="shared" si="1"/>
        <v>1.03</v>
      </c>
      <c r="E48" s="106">
        <f t="shared" si="2"/>
        <v>1.1000000000000001</v>
      </c>
      <c r="F48" s="105">
        <f t="shared" ca="1" si="3"/>
        <v>544</v>
      </c>
      <c r="G48" s="80" t="e">
        <f t="shared" si="4"/>
        <v>#DIV/0!</v>
      </c>
      <c r="H48" s="80" t="e">
        <f t="shared" si="5"/>
        <v>#DIV/0!</v>
      </c>
      <c r="I48" s="104">
        <f t="shared" si="6"/>
        <v>5.05</v>
      </c>
      <c r="K48" s="102">
        <f t="shared" si="7"/>
        <v>0.34</v>
      </c>
      <c r="L48" s="106">
        <f t="shared" si="8"/>
        <v>1</v>
      </c>
      <c r="M48" s="105">
        <f t="shared" ca="1" si="9"/>
        <v>544</v>
      </c>
      <c r="N48" s="217" t="e">
        <f t="shared" si="10"/>
        <v>#DIV/0!</v>
      </c>
      <c r="O48" s="80" t="e">
        <f t="shared" si="11"/>
        <v>#DIV/0!</v>
      </c>
      <c r="P48" s="104">
        <f t="shared" si="12"/>
        <v>5.0999999999999996</v>
      </c>
      <c r="R48" s="102">
        <f t="shared" si="13"/>
        <v>-3.7499999999999999E-2</v>
      </c>
      <c r="S48" s="106">
        <f t="shared" si="14"/>
        <v>1</v>
      </c>
      <c r="T48" s="105">
        <f t="shared" ca="1" si="15"/>
        <v>544</v>
      </c>
      <c r="U48" s="217" t="e">
        <f t="shared" si="16"/>
        <v>#DIV/0!</v>
      </c>
      <c r="V48" s="80" t="e">
        <f t="shared" si="17"/>
        <v>#DIV/0!</v>
      </c>
      <c r="W48" s="104">
        <f t="shared" si="18"/>
        <v>4.8099999999999996</v>
      </c>
      <c r="X48" s="105"/>
      <c r="Y48" s="102">
        <f t="shared" si="19"/>
        <v>-3.7499999999999999E-2</v>
      </c>
      <c r="Z48" s="106">
        <f t="shared" si="20"/>
        <v>1</v>
      </c>
      <c r="AA48" s="105">
        <f t="shared" ca="1" si="21"/>
        <v>544</v>
      </c>
      <c r="AB48" s="80" t="e">
        <f t="shared" si="22"/>
        <v>#DIV/0!</v>
      </c>
      <c r="AC48" s="80" t="e">
        <f t="shared" si="23"/>
        <v>#DIV/0!</v>
      </c>
      <c r="AD48" s="104">
        <f t="shared" si="24"/>
        <v>4.8449999999999998</v>
      </c>
      <c r="AF48" s="105">
        <f t="shared" ca="1" si="52"/>
        <v>544</v>
      </c>
      <c r="AG48" s="105">
        <f t="shared" ca="1" si="53"/>
        <v>543</v>
      </c>
      <c r="AH48" s="80">
        <f t="shared" si="54"/>
        <v>6.9061327918971016E-2</v>
      </c>
      <c r="AI48" s="182">
        <f t="shared" si="25"/>
        <v>31</v>
      </c>
      <c r="AL48" s="105"/>
      <c r="AM48" s="82"/>
      <c r="AN48" s="82">
        <f t="shared" si="26"/>
        <v>0</v>
      </c>
      <c r="AO48" s="82" t="e">
        <f t="shared" si="55"/>
        <v>#DIV/0!</v>
      </c>
      <c r="AP48" s="77">
        <f t="shared" si="27"/>
        <v>0</v>
      </c>
      <c r="AQ48" s="108">
        <f t="shared" si="28"/>
        <v>0</v>
      </c>
      <c r="AR48" s="107">
        <f t="shared" si="29"/>
        <v>0</v>
      </c>
      <c r="AS48" s="107">
        <f t="shared" si="56"/>
        <v>0</v>
      </c>
      <c r="AT48" s="107">
        <f t="shared" si="30"/>
        <v>0</v>
      </c>
      <c r="AU48" s="109">
        <f t="shared" si="57"/>
        <v>0</v>
      </c>
      <c r="AV48" s="109">
        <f t="shared" si="58"/>
        <v>0</v>
      </c>
      <c r="AW48" s="109">
        <f t="shared" si="59"/>
        <v>0</v>
      </c>
      <c r="AY48" s="82">
        <f t="shared" si="31"/>
        <v>0</v>
      </c>
      <c r="AZ48" s="82" t="e">
        <f t="shared" si="60"/>
        <v>#DIV/0!</v>
      </c>
      <c r="BA48" s="77">
        <f t="shared" si="32"/>
        <v>0</v>
      </c>
      <c r="BB48" s="108">
        <f t="shared" si="33"/>
        <v>0</v>
      </c>
      <c r="BC48" s="107">
        <f t="shared" si="34"/>
        <v>0</v>
      </c>
      <c r="BD48" s="107">
        <f t="shared" si="35"/>
        <v>0</v>
      </c>
      <c r="BE48" s="107">
        <f t="shared" si="36"/>
        <v>0</v>
      </c>
      <c r="BF48" s="109">
        <f t="shared" si="61"/>
        <v>0</v>
      </c>
      <c r="BG48" s="109">
        <f t="shared" si="62"/>
        <v>0</v>
      </c>
      <c r="BH48" s="109">
        <f t="shared" si="63"/>
        <v>0</v>
      </c>
      <c r="BJ48" s="82">
        <f t="shared" si="37"/>
        <v>0</v>
      </c>
      <c r="BK48" s="82" t="e">
        <f t="shared" si="64"/>
        <v>#DIV/0!</v>
      </c>
      <c r="BL48" s="77">
        <f t="shared" si="38"/>
        <v>0</v>
      </c>
      <c r="BM48" s="108">
        <f t="shared" si="39"/>
        <v>0</v>
      </c>
      <c r="BN48" s="107">
        <f t="shared" si="40"/>
        <v>0</v>
      </c>
      <c r="BO48" s="107">
        <f t="shared" si="41"/>
        <v>0</v>
      </c>
      <c r="BP48" s="107">
        <f t="shared" si="42"/>
        <v>0</v>
      </c>
      <c r="BQ48" s="109">
        <f t="shared" si="65"/>
        <v>0</v>
      </c>
      <c r="BR48" s="109">
        <f t="shared" si="66"/>
        <v>0</v>
      </c>
      <c r="BS48" s="109">
        <f t="shared" si="67"/>
        <v>0</v>
      </c>
      <c r="BU48" s="82">
        <f t="shared" si="43"/>
        <v>0</v>
      </c>
      <c r="BV48" s="82" t="e">
        <f t="shared" si="68"/>
        <v>#DIV/0!</v>
      </c>
      <c r="BW48" s="77">
        <f t="shared" si="44"/>
        <v>0</v>
      </c>
      <c r="BX48" s="108">
        <f t="shared" si="45"/>
        <v>0</v>
      </c>
      <c r="BY48" s="107">
        <f t="shared" si="46"/>
        <v>0</v>
      </c>
      <c r="BZ48" s="107">
        <f t="shared" si="47"/>
        <v>0</v>
      </c>
      <c r="CA48" s="107">
        <f t="shared" si="48"/>
        <v>0</v>
      </c>
      <c r="CB48" s="109">
        <f t="shared" si="69"/>
        <v>0</v>
      </c>
      <c r="CC48" s="109">
        <f t="shared" si="70"/>
        <v>0</v>
      </c>
      <c r="CD48" s="109">
        <f t="shared" si="71"/>
        <v>0</v>
      </c>
    </row>
    <row r="49" spans="1:82" x14ac:dyDescent="0.25">
      <c r="A49" s="101">
        <f t="shared" si="49"/>
        <v>37347</v>
      </c>
      <c r="B49" s="102">
        <f t="shared" si="50"/>
        <v>3.532</v>
      </c>
      <c r="C49" s="80">
        <f t="shared" si="51"/>
        <v>0.30249999999999999</v>
      </c>
      <c r="D49" s="102">
        <f t="shared" si="1"/>
        <v>0.45</v>
      </c>
      <c r="E49" s="106">
        <f t="shared" si="2"/>
        <v>0.98</v>
      </c>
      <c r="F49" s="105">
        <f t="shared" ca="1" si="3"/>
        <v>572</v>
      </c>
      <c r="G49" s="80" t="e">
        <f t="shared" si="4"/>
        <v>#DIV/0!</v>
      </c>
      <c r="H49" s="80" t="e">
        <f t="shared" si="5"/>
        <v>#DIV/0!</v>
      </c>
      <c r="I49" s="104">
        <f t="shared" si="6"/>
        <v>5.05</v>
      </c>
      <c r="K49" s="102">
        <f t="shared" si="7"/>
        <v>0.37</v>
      </c>
      <c r="L49" s="106">
        <f t="shared" si="8"/>
        <v>1</v>
      </c>
      <c r="M49" s="105">
        <f t="shared" ca="1" si="9"/>
        <v>572</v>
      </c>
      <c r="N49" s="217" t="e">
        <f t="shared" si="10"/>
        <v>#DIV/0!</v>
      </c>
      <c r="O49" s="80" t="e">
        <f t="shared" si="11"/>
        <v>#DIV/0!</v>
      </c>
      <c r="P49" s="104">
        <f t="shared" si="12"/>
        <v>5.0999999999999996</v>
      </c>
      <c r="R49" s="102">
        <f t="shared" si="13"/>
        <v>1.4999999999999999E-2</v>
      </c>
      <c r="S49" s="106">
        <f t="shared" si="14"/>
        <v>1</v>
      </c>
      <c r="T49" s="105">
        <f t="shared" ca="1" si="15"/>
        <v>572</v>
      </c>
      <c r="U49" s="217" t="e">
        <f t="shared" si="16"/>
        <v>#DIV/0!</v>
      </c>
      <c r="V49" s="80" t="e">
        <f t="shared" si="17"/>
        <v>#DIV/0!</v>
      </c>
      <c r="W49" s="104">
        <f t="shared" si="18"/>
        <v>4.8099999999999996</v>
      </c>
      <c r="X49" s="105"/>
      <c r="Y49" s="102">
        <f t="shared" si="19"/>
        <v>1.4999999999999999E-2</v>
      </c>
      <c r="Z49" s="106">
        <f t="shared" si="20"/>
        <v>1</v>
      </c>
      <c r="AA49" s="105">
        <f t="shared" ca="1" si="21"/>
        <v>572</v>
      </c>
      <c r="AB49" s="80" t="e">
        <f t="shared" si="22"/>
        <v>#DIV/0!</v>
      </c>
      <c r="AC49" s="80" t="e">
        <f t="shared" si="23"/>
        <v>#DIV/0!</v>
      </c>
      <c r="AD49" s="104">
        <f t="shared" si="24"/>
        <v>4.8449999999999998</v>
      </c>
      <c r="AF49" s="105">
        <f t="shared" ca="1" si="52"/>
        <v>572</v>
      </c>
      <c r="AG49" s="105">
        <f t="shared" ca="1" si="53"/>
        <v>571</v>
      </c>
      <c r="AH49" s="80">
        <f t="shared" si="54"/>
        <v>6.9092023437082997E-2</v>
      </c>
      <c r="AI49" s="182">
        <f t="shared" si="25"/>
        <v>30</v>
      </c>
      <c r="AL49" s="105"/>
      <c r="AM49" s="82"/>
      <c r="AN49" s="82">
        <f t="shared" si="26"/>
        <v>0</v>
      </c>
      <c r="AO49" s="82" t="e">
        <f t="shared" si="55"/>
        <v>#DIV/0!</v>
      </c>
      <c r="AP49" s="77">
        <f t="shared" si="27"/>
        <v>0</v>
      </c>
      <c r="AQ49" s="108">
        <f t="shared" si="28"/>
        <v>0</v>
      </c>
      <c r="AR49" s="107">
        <f t="shared" si="29"/>
        <v>0</v>
      </c>
      <c r="AS49" s="107">
        <f t="shared" si="56"/>
        <v>0</v>
      </c>
      <c r="AT49" s="107">
        <f t="shared" si="30"/>
        <v>0</v>
      </c>
      <c r="AU49" s="109">
        <f t="shared" si="57"/>
        <v>0</v>
      </c>
      <c r="AV49" s="109">
        <f t="shared" si="58"/>
        <v>0</v>
      </c>
      <c r="AW49" s="109">
        <f t="shared" si="59"/>
        <v>0</v>
      </c>
      <c r="AY49" s="82">
        <f t="shared" si="31"/>
        <v>0</v>
      </c>
      <c r="AZ49" s="82" t="e">
        <f t="shared" si="60"/>
        <v>#DIV/0!</v>
      </c>
      <c r="BA49" s="77">
        <f t="shared" si="32"/>
        <v>0</v>
      </c>
      <c r="BB49" s="108">
        <f t="shared" si="33"/>
        <v>0</v>
      </c>
      <c r="BC49" s="107">
        <f t="shared" si="34"/>
        <v>0</v>
      </c>
      <c r="BD49" s="107">
        <f t="shared" si="35"/>
        <v>0</v>
      </c>
      <c r="BE49" s="107">
        <f t="shared" si="36"/>
        <v>0</v>
      </c>
      <c r="BF49" s="109">
        <f t="shared" si="61"/>
        <v>0</v>
      </c>
      <c r="BG49" s="109">
        <f t="shared" si="62"/>
        <v>0</v>
      </c>
      <c r="BH49" s="109">
        <f t="shared" si="63"/>
        <v>0</v>
      </c>
      <c r="BJ49" s="82">
        <f t="shared" si="37"/>
        <v>0</v>
      </c>
      <c r="BK49" s="82" t="e">
        <f t="shared" si="64"/>
        <v>#DIV/0!</v>
      </c>
      <c r="BL49" s="77">
        <f t="shared" si="38"/>
        <v>0</v>
      </c>
      <c r="BM49" s="108">
        <f t="shared" si="39"/>
        <v>0</v>
      </c>
      <c r="BN49" s="107">
        <f t="shared" si="40"/>
        <v>0</v>
      </c>
      <c r="BO49" s="107">
        <f t="shared" si="41"/>
        <v>0</v>
      </c>
      <c r="BP49" s="107">
        <f t="shared" si="42"/>
        <v>0</v>
      </c>
      <c r="BQ49" s="109">
        <f t="shared" si="65"/>
        <v>0</v>
      </c>
      <c r="BR49" s="109">
        <f t="shared" si="66"/>
        <v>0</v>
      </c>
      <c r="BS49" s="109">
        <f t="shared" si="67"/>
        <v>0</v>
      </c>
      <c r="BU49" s="82">
        <f t="shared" si="43"/>
        <v>0</v>
      </c>
      <c r="BV49" s="82" t="e">
        <f t="shared" si="68"/>
        <v>#DIV/0!</v>
      </c>
      <c r="BW49" s="77">
        <f t="shared" si="44"/>
        <v>0</v>
      </c>
      <c r="BX49" s="108">
        <f t="shared" si="45"/>
        <v>0</v>
      </c>
      <c r="BY49" s="107">
        <f t="shared" si="46"/>
        <v>0</v>
      </c>
      <c r="BZ49" s="107">
        <f t="shared" si="47"/>
        <v>0</v>
      </c>
      <c r="CA49" s="107">
        <f t="shared" si="48"/>
        <v>0</v>
      </c>
      <c r="CB49" s="109">
        <f t="shared" si="69"/>
        <v>0</v>
      </c>
      <c r="CC49" s="109">
        <f t="shared" si="70"/>
        <v>0</v>
      </c>
      <c r="CD49" s="109">
        <f t="shared" si="71"/>
        <v>0</v>
      </c>
    </row>
    <row r="50" spans="1:82" x14ac:dyDescent="0.25">
      <c r="A50" s="101">
        <f t="shared" si="49"/>
        <v>37377</v>
      </c>
      <c r="B50" s="102">
        <f t="shared" si="50"/>
        <v>3.4470000000000001</v>
      </c>
      <c r="C50" s="80">
        <f t="shared" si="51"/>
        <v>0.28749999999999998</v>
      </c>
      <c r="D50" s="102">
        <f t="shared" si="1"/>
        <v>0.40500000000000003</v>
      </c>
      <c r="E50" s="106">
        <f t="shared" si="2"/>
        <v>0.98</v>
      </c>
      <c r="F50" s="105">
        <f t="shared" ca="1" si="3"/>
        <v>603</v>
      </c>
      <c r="G50" s="80" t="e">
        <f t="shared" si="4"/>
        <v>#DIV/0!</v>
      </c>
      <c r="H50" s="80" t="e">
        <f t="shared" si="5"/>
        <v>#DIV/0!</v>
      </c>
      <c r="I50" s="104">
        <f t="shared" si="6"/>
        <v>5.05</v>
      </c>
      <c r="K50" s="102">
        <f t="shared" si="7"/>
        <v>0.37</v>
      </c>
      <c r="L50" s="106">
        <f t="shared" si="8"/>
        <v>1</v>
      </c>
      <c r="M50" s="105">
        <f t="shared" ca="1" si="9"/>
        <v>603</v>
      </c>
      <c r="N50" s="217" t="e">
        <f t="shared" si="10"/>
        <v>#DIV/0!</v>
      </c>
      <c r="O50" s="80" t="e">
        <f t="shared" si="11"/>
        <v>#DIV/0!</v>
      </c>
      <c r="P50" s="104">
        <f t="shared" si="12"/>
        <v>5.0999999999999996</v>
      </c>
      <c r="R50" s="102">
        <f t="shared" si="13"/>
        <v>1.4999999999999999E-2</v>
      </c>
      <c r="S50" s="106">
        <f t="shared" si="14"/>
        <v>1</v>
      </c>
      <c r="T50" s="105">
        <f t="shared" ca="1" si="15"/>
        <v>603</v>
      </c>
      <c r="U50" s="217" t="e">
        <f t="shared" si="16"/>
        <v>#DIV/0!</v>
      </c>
      <c r="V50" s="80" t="e">
        <f t="shared" si="17"/>
        <v>#DIV/0!</v>
      </c>
      <c r="W50" s="104">
        <f t="shared" si="18"/>
        <v>4.8099999999999996</v>
      </c>
      <c r="X50" s="105"/>
      <c r="Y50" s="102">
        <f t="shared" si="19"/>
        <v>1.4999999999999999E-2</v>
      </c>
      <c r="Z50" s="106">
        <f t="shared" si="20"/>
        <v>1</v>
      </c>
      <c r="AA50" s="105">
        <f t="shared" ca="1" si="21"/>
        <v>603</v>
      </c>
      <c r="AB50" s="80" t="e">
        <f t="shared" si="22"/>
        <v>#DIV/0!</v>
      </c>
      <c r="AC50" s="80" t="e">
        <f t="shared" si="23"/>
        <v>#DIV/0!</v>
      </c>
      <c r="AD50" s="104">
        <f t="shared" si="24"/>
        <v>4.8449999999999998</v>
      </c>
      <c r="AF50" s="105">
        <f t="shared" ca="1" si="52"/>
        <v>603</v>
      </c>
      <c r="AG50" s="105">
        <f t="shared" ca="1" si="53"/>
        <v>602</v>
      </c>
      <c r="AH50" s="80">
        <f t="shared" si="54"/>
        <v>6.909369805104501E-2</v>
      </c>
      <c r="AI50" s="182">
        <f t="shared" si="25"/>
        <v>31</v>
      </c>
      <c r="AL50" s="105"/>
      <c r="AM50" s="82"/>
      <c r="AN50" s="82">
        <f t="shared" si="26"/>
        <v>0</v>
      </c>
      <c r="AO50" s="82" t="e">
        <f t="shared" si="55"/>
        <v>#DIV/0!</v>
      </c>
      <c r="AP50" s="77">
        <f t="shared" si="27"/>
        <v>0</v>
      </c>
      <c r="AQ50" s="108">
        <f t="shared" si="28"/>
        <v>0</v>
      </c>
      <c r="AR50" s="107">
        <f t="shared" si="29"/>
        <v>0</v>
      </c>
      <c r="AS50" s="107">
        <f t="shared" si="56"/>
        <v>0</v>
      </c>
      <c r="AT50" s="107">
        <f t="shared" si="30"/>
        <v>0</v>
      </c>
      <c r="AU50" s="109">
        <f t="shared" si="57"/>
        <v>0</v>
      </c>
      <c r="AV50" s="109">
        <f t="shared" si="58"/>
        <v>0</v>
      </c>
      <c r="AW50" s="109">
        <f t="shared" si="59"/>
        <v>0</v>
      </c>
      <c r="AY50" s="82">
        <f t="shared" si="31"/>
        <v>0</v>
      </c>
      <c r="AZ50" s="82" t="e">
        <f t="shared" si="60"/>
        <v>#DIV/0!</v>
      </c>
      <c r="BA50" s="77">
        <f t="shared" si="32"/>
        <v>0</v>
      </c>
      <c r="BB50" s="108">
        <f t="shared" si="33"/>
        <v>0</v>
      </c>
      <c r="BC50" s="107">
        <f t="shared" si="34"/>
        <v>0</v>
      </c>
      <c r="BD50" s="107">
        <f t="shared" si="35"/>
        <v>0</v>
      </c>
      <c r="BE50" s="107">
        <f t="shared" si="36"/>
        <v>0</v>
      </c>
      <c r="BF50" s="109">
        <f t="shared" si="61"/>
        <v>0</v>
      </c>
      <c r="BG50" s="109">
        <f t="shared" si="62"/>
        <v>0</v>
      </c>
      <c r="BH50" s="109">
        <f t="shared" si="63"/>
        <v>0</v>
      </c>
      <c r="BJ50" s="82">
        <f t="shared" si="37"/>
        <v>0</v>
      </c>
      <c r="BK50" s="82" t="e">
        <f t="shared" si="64"/>
        <v>#DIV/0!</v>
      </c>
      <c r="BL50" s="77">
        <f t="shared" si="38"/>
        <v>0</v>
      </c>
      <c r="BM50" s="108">
        <f t="shared" si="39"/>
        <v>0</v>
      </c>
      <c r="BN50" s="107">
        <f t="shared" si="40"/>
        <v>0</v>
      </c>
      <c r="BO50" s="107">
        <f t="shared" si="41"/>
        <v>0</v>
      </c>
      <c r="BP50" s="107">
        <f t="shared" si="42"/>
        <v>0</v>
      </c>
      <c r="BQ50" s="109">
        <f t="shared" si="65"/>
        <v>0</v>
      </c>
      <c r="BR50" s="109">
        <f t="shared" si="66"/>
        <v>0</v>
      </c>
      <c r="BS50" s="109">
        <f t="shared" si="67"/>
        <v>0</v>
      </c>
      <c r="BU50" s="82">
        <f t="shared" si="43"/>
        <v>0</v>
      </c>
      <c r="BV50" s="82" t="e">
        <f t="shared" si="68"/>
        <v>#DIV/0!</v>
      </c>
      <c r="BW50" s="77">
        <f t="shared" si="44"/>
        <v>0</v>
      </c>
      <c r="BX50" s="108">
        <f t="shared" si="45"/>
        <v>0</v>
      </c>
      <c r="BY50" s="107">
        <f t="shared" si="46"/>
        <v>0</v>
      </c>
      <c r="BZ50" s="107">
        <f t="shared" si="47"/>
        <v>0</v>
      </c>
      <c r="CA50" s="107">
        <f t="shared" si="48"/>
        <v>0</v>
      </c>
      <c r="CB50" s="109">
        <f t="shared" si="69"/>
        <v>0</v>
      </c>
      <c r="CC50" s="109">
        <f t="shared" si="70"/>
        <v>0</v>
      </c>
      <c r="CD50" s="109">
        <f t="shared" si="71"/>
        <v>0</v>
      </c>
    </row>
    <row r="51" spans="1:82" x14ac:dyDescent="0.25">
      <c r="A51" s="101">
        <f t="shared" si="49"/>
        <v>37408</v>
      </c>
      <c r="B51" s="102">
        <f t="shared" si="50"/>
        <v>3.427</v>
      </c>
      <c r="C51" s="80">
        <f t="shared" si="51"/>
        <v>0.28499999999999998</v>
      </c>
      <c r="D51" s="102">
        <f t="shared" si="1"/>
        <v>0.39500000000000002</v>
      </c>
      <c r="E51" s="106">
        <f t="shared" si="2"/>
        <v>0.98</v>
      </c>
      <c r="F51" s="105">
        <f t="shared" ca="1" si="3"/>
        <v>636</v>
      </c>
      <c r="G51" s="80" t="e">
        <f t="shared" si="4"/>
        <v>#DIV/0!</v>
      </c>
      <c r="H51" s="80" t="e">
        <f t="shared" si="5"/>
        <v>#DIV/0!</v>
      </c>
      <c r="I51" s="104">
        <f t="shared" si="6"/>
        <v>5.05</v>
      </c>
      <c r="K51" s="102">
        <f t="shared" si="7"/>
        <v>0.37</v>
      </c>
      <c r="L51" s="106">
        <f t="shared" si="8"/>
        <v>1</v>
      </c>
      <c r="M51" s="105">
        <f t="shared" ca="1" si="9"/>
        <v>636</v>
      </c>
      <c r="N51" s="217" t="e">
        <f t="shared" si="10"/>
        <v>#DIV/0!</v>
      </c>
      <c r="O51" s="80" t="e">
        <f t="shared" si="11"/>
        <v>#DIV/0!</v>
      </c>
      <c r="P51" s="104">
        <f t="shared" si="12"/>
        <v>5.0999999999999996</v>
      </c>
      <c r="R51" s="102">
        <f t="shared" si="13"/>
        <v>0.02</v>
      </c>
      <c r="S51" s="106">
        <f t="shared" si="14"/>
        <v>1</v>
      </c>
      <c r="T51" s="105">
        <f t="shared" ca="1" si="15"/>
        <v>636</v>
      </c>
      <c r="U51" s="217" t="e">
        <f t="shared" si="16"/>
        <v>#DIV/0!</v>
      </c>
      <c r="V51" s="80" t="e">
        <f t="shared" si="17"/>
        <v>#DIV/0!</v>
      </c>
      <c r="W51" s="104">
        <f t="shared" si="18"/>
        <v>4.8099999999999996</v>
      </c>
      <c r="X51" s="105"/>
      <c r="Y51" s="102">
        <f t="shared" si="19"/>
        <v>0.02</v>
      </c>
      <c r="Z51" s="106">
        <f t="shared" si="20"/>
        <v>1</v>
      </c>
      <c r="AA51" s="105">
        <f t="shared" ca="1" si="21"/>
        <v>636</v>
      </c>
      <c r="AB51" s="80" t="e">
        <f t="shared" si="22"/>
        <v>#DIV/0!</v>
      </c>
      <c r="AC51" s="80" t="e">
        <f t="shared" si="23"/>
        <v>#DIV/0!</v>
      </c>
      <c r="AD51" s="104">
        <f t="shared" si="24"/>
        <v>4.8449999999999998</v>
      </c>
      <c r="AF51" s="105">
        <f t="shared" ca="1" si="52"/>
        <v>636</v>
      </c>
      <c r="AG51" s="105">
        <f t="shared" ca="1" si="53"/>
        <v>635</v>
      </c>
      <c r="AH51" s="80">
        <f t="shared" si="54"/>
        <v>6.9095428485473995E-2</v>
      </c>
      <c r="AI51" s="182">
        <f t="shared" si="25"/>
        <v>30</v>
      </c>
      <c r="AL51" s="105"/>
      <c r="AM51" s="82"/>
      <c r="AN51" s="82">
        <f t="shared" si="26"/>
        <v>0</v>
      </c>
      <c r="AO51" s="82" t="e">
        <f t="shared" si="55"/>
        <v>#DIV/0!</v>
      </c>
      <c r="AP51" s="77">
        <f t="shared" si="27"/>
        <v>0</v>
      </c>
      <c r="AQ51" s="108">
        <f t="shared" si="28"/>
        <v>0</v>
      </c>
      <c r="AR51" s="107">
        <f t="shared" si="29"/>
        <v>0</v>
      </c>
      <c r="AS51" s="107">
        <f t="shared" si="56"/>
        <v>0</v>
      </c>
      <c r="AT51" s="107">
        <f t="shared" si="30"/>
        <v>0</v>
      </c>
      <c r="AU51" s="109">
        <f t="shared" si="57"/>
        <v>0</v>
      </c>
      <c r="AV51" s="109">
        <f t="shared" si="58"/>
        <v>0</v>
      </c>
      <c r="AW51" s="109">
        <f t="shared" si="59"/>
        <v>0</v>
      </c>
      <c r="AY51" s="82">
        <f t="shared" si="31"/>
        <v>0</v>
      </c>
      <c r="AZ51" s="82" t="e">
        <f t="shared" si="60"/>
        <v>#DIV/0!</v>
      </c>
      <c r="BA51" s="77">
        <f t="shared" si="32"/>
        <v>0</v>
      </c>
      <c r="BB51" s="108">
        <f t="shared" si="33"/>
        <v>0</v>
      </c>
      <c r="BC51" s="107">
        <f t="shared" si="34"/>
        <v>0</v>
      </c>
      <c r="BD51" s="107">
        <f t="shared" si="35"/>
        <v>0</v>
      </c>
      <c r="BE51" s="107">
        <f t="shared" si="36"/>
        <v>0</v>
      </c>
      <c r="BF51" s="109">
        <f t="shared" si="61"/>
        <v>0</v>
      </c>
      <c r="BG51" s="109">
        <f t="shared" si="62"/>
        <v>0</v>
      </c>
      <c r="BH51" s="109">
        <f t="shared" si="63"/>
        <v>0</v>
      </c>
      <c r="BJ51" s="82">
        <f t="shared" si="37"/>
        <v>0</v>
      </c>
      <c r="BK51" s="82" t="e">
        <f t="shared" si="64"/>
        <v>#DIV/0!</v>
      </c>
      <c r="BL51" s="77">
        <f t="shared" si="38"/>
        <v>0</v>
      </c>
      <c r="BM51" s="108">
        <f t="shared" si="39"/>
        <v>0</v>
      </c>
      <c r="BN51" s="107">
        <f t="shared" si="40"/>
        <v>0</v>
      </c>
      <c r="BO51" s="107">
        <f t="shared" si="41"/>
        <v>0</v>
      </c>
      <c r="BP51" s="107">
        <f t="shared" si="42"/>
        <v>0</v>
      </c>
      <c r="BQ51" s="109">
        <f t="shared" si="65"/>
        <v>0</v>
      </c>
      <c r="BR51" s="109">
        <f t="shared" si="66"/>
        <v>0</v>
      </c>
      <c r="BS51" s="109">
        <f t="shared" si="67"/>
        <v>0</v>
      </c>
      <c r="BU51" s="82">
        <f t="shared" si="43"/>
        <v>0</v>
      </c>
      <c r="BV51" s="82" t="e">
        <f t="shared" si="68"/>
        <v>#DIV/0!</v>
      </c>
      <c r="BW51" s="77">
        <f t="shared" si="44"/>
        <v>0</v>
      </c>
      <c r="BX51" s="108">
        <f t="shared" si="45"/>
        <v>0</v>
      </c>
      <c r="BY51" s="107">
        <f t="shared" si="46"/>
        <v>0</v>
      </c>
      <c r="BZ51" s="107">
        <f t="shared" si="47"/>
        <v>0</v>
      </c>
      <c r="CA51" s="107">
        <f t="shared" si="48"/>
        <v>0</v>
      </c>
      <c r="CB51" s="109">
        <f t="shared" si="69"/>
        <v>0</v>
      </c>
      <c r="CC51" s="109">
        <f t="shared" si="70"/>
        <v>0</v>
      </c>
      <c r="CD51" s="109">
        <f t="shared" si="71"/>
        <v>0</v>
      </c>
    </row>
    <row r="52" spans="1:82" x14ac:dyDescent="0.25">
      <c r="A52" s="101">
        <f t="shared" si="49"/>
        <v>37438</v>
      </c>
      <c r="B52" s="102">
        <f t="shared" si="50"/>
        <v>3.42</v>
      </c>
      <c r="C52" s="80">
        <f t="shared" si="51"/>
        <v>0.28499999999999998</v>
      </c>
      <c r="D52" s="102">
        <f t="shared" si="1"/>
        <v>0.43</v>
      </c>
      <c r="E52" s="106">
        <f t="shared" si="2"/>
        <v>0.98</v>
      </c>
      <c r="F52" s="105">
        <f t="shared" ca="1" si="3"/>
        <v>664</v>
      </c>
      <c r="G52" s="80" t="e">
        <f t="shared" si="4"/>
        <v>#DIV/0!</v>
      </c>
      <c r="H52" s="80" t="e">
        <f t="shared" si="5"/>
        <v>#DIV/0!</v>
      </c>
      <c r="I52" s="104">
        <f t="shared" si="6"/>
        <v>5.05</v>
      </c>
      <c r="K52" s="102">
        <f t="shared" si="7"/>
        <v>0.37</v>
      </c>
      <c r="L52" s="106">
        <f t="shared" si="8"/>
        <v>1</v>
      </c>
      <c r="M52" s="105">
        <f t="shared" ca="1" si="9"/>
        <v>664</v>
      </c>
      <c r="N52" s="217" t="e">
        <f t="shared" si="10"/>
        <v>#DIV/0!</v>
      </c>
      <c r="O52" s="80" t="e">
        <f t="shared" si="11"/>
        <v>#DIV/0!</v>
      </c>
      <c r="P52" s="104">
        <f t="shared" si="12"/>
        <v>5.0999999999999996</v>
      </c>
      <c r="R52" s="102">
        <f t="shared" si="13"/>
        <v>2.2499999999999999E-2</v>
      </c>
      <c r="S52" s="106">
        <f t="shared" si="14"/>
        <v>1</v>
      </c>
      <c r="T52" s="105">
        <f t="shared" ca="1" si="15"/>
        <v>664</v>
      </c>
      <c r="U52" s="217" t="e">
        <f t="shared" si="16"/>
        <v>#DIV/0!</v>
      </c>
      <c r="V52" s="80" t="e">
        <f t="shared" si="17"/>
        <v>#DIV/0!</v>
      </c>
      <c r="W52" s="104">
        <f t="shared" si="18"/>
        <v>4.8099999999999996</v>
      </c>
      <c r="X52" s="105"/>
      <c r="Y52" s="102">
        <f t="shared" si="19"/>
        <v>2.2499999999999999E-2</v>
      </c>
      <c r="Z52" s="106">
        <f t="shared" si="20"/>
        <v>1</v>
      </c>
      <c r="AA52" s="105">
        <f t="shared" ca="1" si="21"/>
        <v>664</v>
      </c>
      <c r="AB52" s="80" t="e">
        <f t="shared" si="22"/>
        <v>#DIV/0!</v>
      </c>
      <c r="AC52" s="80" t="e">
        <f t="shared" si="23"/>
        <v>#DIV/0!</v>
      </c>
      <c r="AD52" s="104">
        <f t="shared" si="24"/>
        <v>4.8449999999999998</v>
      </c>
      <c r="AF52" s="105">
        <f t="shared" ca="1" si="52"/>
        <v>664</v>
      </c>
      <c r="AG52" s="105">
        <f t="shared" ca="1" si="53"/>
        <v>663</v>
      </c>
      <c r="AH52" s="80">
        <f t="shared" si="54"/>
        <v>6.9097118524442017E-2</v>
      </c>
      <c r="AI52" s="182">
        <f t="shared" si="25"/>
        <v>31</v>
      </c>
      <c r="AL52" s="105"/>
      <c r="AM52" s="82"/>
      <c r="AN52" s="82">
        <f t="shared" si="26"/>
        <v>0</v>
      </c>
      <c r="AO52" s="82" t="e">
        <f t="shared" si="55"/>
        <v>#DIV/0!</v>
      </c>
      <c r="AP52" s="77">
        <f t="shared" si="27"/>
        <v>0</v>
      </c>
      <c r="AQ52" s="108">
        <f t="shared" si="28"/>
        <v>0</v>
      </c>
      <c r="AR52" s="107">
        <f t="shared" si="29"/>
        <v>0</v>
      </c>
      <c r="AS52" s="107">
        <f t="shared" si="56"/>
        <v>0</v>
      </c>
      <c r="AT52" s="107">
        <f t="shared" si="30"/>
        <v>0</v>
      </c>
      <c r="AU52" s="109">
        <f t="shared" si="57"/>
        <v>0</v>
      </c>
      <c r="AV52" s="109">
        <f t="shared" si="58"/>
        <v>0</v>
      </c>
      <c r="AW52" s="109">
        <f t="shared" si="59"/>
        <v>0</v>
      </c>
      <c r="AY52" s="82">
        <f t="shared" si="31"/>
        <v>0</v>
      </c>
      <c r="AZ52" s="82" t="e">
        <f t="shared" si="60"/>
        <v>#DIV/0!</v>
      </c>
      <c r="BA52" s="77">
        <f t="shared" si="32"/>
        <v>0</v>
      </c>
      <c r="BB52" s="108">
        <f t="shared" si="33"/>
        <v>0</v>
      </c>
      <c r="BC52" s="107">
        <f t="shared" si="34"/>
        <v>0</v>
      </c>
      <c r="BD52" s="107">
        <f t="shared" si="35"/>
        <v>0</v>
      </c>
      <c r="BE52" s="107">
        <f t="shared" si="36"/>
        <v>0</v>
      </c>
      <c r="BF52" s="109">
        <f t="shared" si="61"/>
        <v>0</v>
      </c>
      <c r="BG52" s="109">
        <f t="shared" si="62"/>
        <v>0</v>
      </c>
      <c r="BH52" s="109">
        <f t="shared" si="63"/>
        <v>0</v>
      </c>
      <c r="BJ52" s="82">
        <f t="shared" si="37"/>
        <v>0</v>
      </c>
      <c r="BK52" s="82" t="e">
        <f t="shared" si="64"/>
        <v>#DIV/0!</v>
      </c>
      <c r="BL52" s="77">
        <f t="shared" si="38"/>
        <v>0</v>
      </c>
      <c r="BM52" s="108">
        <f t="shared" si="39"/>
        <v>0</v>
      </c>
      <c r="BN52" s="107">
        <f t="shared" si="40"/>
        <v>0</v>
      </c>
      <c r="BO52" s="107">
        <f t="shared" si="41"/>
        <v>0</v>
      </c>
      <c r="BP52" s="107">
        <f t="shared" si="42"/>
        <v>0</v>
      </c>
      <c r="BQ52" s="109">
        <f t="shared" si="65"/>
        <v>0</v>
      </c>
      <c r="BR52" s="109">
        <f t="shared" si="66"/>
        <v>0</v>
      </c>
      <c r="BS52" s="109">
        <f t="shared" si="67"/>
        <v>0</v>
      </c>
      <c r="BU52" s="82">
        <f t="shared" si="43"/>
        <v>0</v>
      </c>
      <c r="BV52" s="82" t="e">
        <f t="shared" si="68"/>
        <v>#DIV/0!</v>
      </c>
      <c r="BW52" s="77">
        <f t="shared" si="44"/>
        <v>0</v>
      </c>
      <c r="BX52" s="108">
        <f t="shared" si="45"/>
        <v>0</v>
      </c>
      <c r="BY52" s="107">
        <f t="shared" si="46"/>
        <v>0</v>
      </c>
      <c r="BZ52" s="107">
        <f t="shared" si="47"/>
        <v>0</v>
      </c>
      <c r="CA52" s="107">
        <f t="shared" si="48"/>
        <v>0</v>
      </c>
      <c r="CB52" s="109">
        <f t="shared" si="69"/>
        <v>0</v>
      </c>
      <c r="CC52" s="109">
        <f t="shared" si="70"/>
        <v>0</v>
      </c>
      <c r="CD52" s="109">
        <f t="shared" si="71"/>
        <v>0</v>
      </c>
    </row>
    <row r="53" spans="1:82" x14ac:dyDescent="0.25">
      <c r="A53" s="101">
        <f t="shared" si="49"/>
        <v>37469</v>
      </c>
      <c r="B53" s="102">
        <f t="shared" si="50"/>
        <v>3.4249999999999998</v>
      </c>
      <c r="C53" s="80">
        <f t="shared" si="51"/>
        <v>0.28499999999999998</v>
      </c>
      <c r="D53" s="102">
        <f t="shared" si="1"/>
        <v>0.495</v>
      </c>
      <c r="E53" s="106">
        <f t="shared" si="2"/>
        <v>0.98</v>
      </c>
      <c r="F53" s="105">
        <f t="shared" ca="1" si="3"/>
        <v>697</v>
      </c>
      <c r="G53" s="80" t="e">
        <f t="shared" si="4"/>
        <v>#DIV/0!</v>
      </c>
      <c r="H53" s="80" t="e">
        <f t="shared" si="5"/>
        <v>#DIV/0!</v>
      </c>
      <c r="I53" s="104">
        <f t="shared" si="6"/>
        <v>5.05</v>
      </c>
      <c r="K53" s="102">
        <f t="shared" si="7"/>
        <v>0.37</v>
      </c>
      <c r="L53" s="106">
        <f t="shared" si="8"/>
        <v>1</v>
      </c>
      <c r="M53" s="105">
        <f t="shared" ca="1" si="9"/>
        <v>697</v>
      </c>
      <c r="N53" s="217" t="e">
        <f t="shared" si="10"/>
        <v>#DIV/0!</v>
      </c>
      <c r="O53" s="80" t="e">
        <f t="shared" si="11"/>
        <v>#DIV/0!</v>
      </c>
      <c r="P53" s="104">
        <f t="shared" si="12"/>
        <v>5.0999999999999996</v>
      </c>
      <c r="R53" s="102">
        <f t="shared" si="13"/>
        <v>2.5000000000000001E-2</v>
      </c>
      <c r="S53" s="106">
        <f t="shared" si="14"/>
        <v>1</v>
      </c>
      <c r="T53" s="105">
        <f t="shared" ca="1" si="15"/>
        <v>697</v>
      </c>
      <c r="U53" s="217" t="e">
        <f t="shared" si="16"/>
        <v>#DIV/0!</v>
      </c>
      <c r="V53" s="80" t="e">
        <f t="shared" si="17"/>
        <v>#DIV/0!</v>
      </c>
      <c r="W53" s="104">
        <f t="shared" si="18"/>
        <v>4.8099999999999996</v>
      </c>
      <c r="X53" s="105"/>
      <c r="Y53" s="102">
        <f t="shared" si="19"/>
        <v>2.5000000000000001E-2</v>
      </c>
      <c r="Z53" s="106">
        <f t="shared" si="20"/>
        <v>1</v>
      </c>
      <c r="AA53" s="105">
        <f t="shared" ca="1" si="21"/>
        <v>697</v>
      </c>
      <c r="AB53" s="80" t="e">
        <f t="shared" si="22"/>
        <v>#DIV/0!</v>
      </c>
      <c r="AC53" s="80" t="e">
        <f t="shared" si="23"/>
        <v>#DIV/0!</v>
      </c>
      <c r="AD53" s="104">
        <f t="shared" si="24"/>
        <v>4.8449999999999998</v>
      </c>
      <c r="AF53" s="105">
        <f t="shared" ca="1" si="52"/>
        <v>697</v>
      </c>
      <c r="AG53" s="105">
        <f t="shared" ca="1" si="53"/>
        <v>694</v>
      </c>
      <c r="AH53" s="80">
        <f t="shared" si="54"/>
        <v>6.9098892085220007E-2</v>
      </c>
      <c r="AI53" s="182">
        <f t="shared" si="25"/>
        <v>31</v>
      </c>
      <c r="AL53" s="105"/>
      <c r="AM53" s="82"/>
      <c r="AN53" s="82">
        <f t="shared" si="26"/>
        <v>0</v>
      </c>
      <c r="AO53" s="82" t="e">
        <f t="shared" si="55"/>
        <v>#DIV/0!</v>
      </c>
      <c r="AP53" s="77">
        <f t="shared" si="27"/>
        <v>0</v>
      </c>
      <c r="AQ53" s="108">
        <f t="shared" si="28"/>
        <v>0</v>
      </c>
      <c r="AR53" s="107">
        <f t="shared" si="29"/>
        <v>0</v>
      </c>
      <c r="AS53" s="107">
        <f t="shared" si="56"/>
        <v>0</v>
      </c>
      <c r="AT53" s="107">
        <f t="shared" si="30"/>
        <v>0</v>
      </c>
      <c r="AU53" s="109">
        <f t="shared" si="57"/>
        <v>0</v>
      </c>
      <c r="AV53" s="109">
        <f t="shared" si="58"/>
        <v>0</v>
      </c>
      <c r="AW53" s="109">
        <f t="shared" si="59"/>
        <v>0</v>
      </c>
      <c r="AY53" s="82">
        <f t="shared" si="31"/>
        <v>0</v>
      </c>
      <c r="AZ53" s="82" t="e">
        <f t="shared" si="60"/>
        <v>#DIV/0!</v>
      </c>
      <c r="BA53" s="77">
        <f t="shared" si="32"/>
        <v>0</v>
      </c>
      <c r="BB53" s="108">
        <f t="shared" si="33"/>
        <v>0</v>
      </c>
      <c r="BC53" s="107">
        <f t="shared" si="34"/>
        <v>0</v>
      </c>
      <c r="BD53" s="107">
        <f t="shared" si="35"/>
        <v>0</v>
      </c>
      <c r="BE53" s="107">
        <f t="shared" si="36"/>
        <v>0</v>
      </c>
      <c r="BF53" s="109">
        <f t="shared" si="61"/>
        <v>0</v>
      </c>
      <c r="BG53" s="109">
        <f t="shared" si="62"/>
        <v>0</v>
      </c>
      <c r="BH53" s="109">
        <f t="shared" si="63"/>
        <v>0</v>
      </c>
      <c r="BJ53" s="82">
        <f t="shared" si="37"/>
        <v>0</v>
      </c>
      <c r="BK53" s="82" t="e">
        <f t="shared" si="64"/>
        <v>#DIV/0!</v>
      </c>
      <c r="BL53" s="77">
        <f t="shared" si="38"/>
        <v>0</v>
      </c>
      <c r="BM53" s="108">
        <f t="shared" si="39"/>
        <v>0</v>
      </c>
      <c r="BN53" s="107">
        <f t="shared" si="40"/>
        <v>0</v>
      </c>
      <c r="BO53" s="107">
        <f t="shared" si="41"/>
        <v>0</v>
      </c>
      <c r="BP53" s="107">
        <f t="shared" si="42"/>
        <v>0</v>
      </c>
      <c r="BQ53" s="109">
        <f t="shared" si="65"/>
        <v>0</v>
      </c>
      <c r="BR53" s="109">
        <f t="shared" si="66"/>
        <v>0</v>
      </c>
      <c r="BS53" s="109">
        <f t="shared" si="67"/>
        <v>0</v>
      </c>
      <c r="BU53" s="82">
        <f t="shared" si="43"/>
        <v>0</v>
      </c>
      <c r="BV53" s="82" t="e">
        <f t="shared" si="68"/>
        <v>#DIV/0!</v>
      </c>
      <c r="BW53" s="77">
        <f t="shared" si="44"/>
        <v>0</v>
      </c>
      <c r="BX53" s="108">
        <f t="shared" si="45"/>
        <v>0</v>
      </c>
      <c r="BY53" s="107">
        <f t="shared" si="46"/>
        <v>0</v>
      </c>
      <c r="BZ53" s="107">
        <f t="shared" si="47"/>
        <v>0</v>
      </c>
      <c r="CA53" s="107">
        <f t="shared" si="48"/>
        <v>0</v>
      </c>
      <c r="CB53" s="109">
        <f t="shared" si="69"/>
        <v>0</v>
      </c>
      <c r="CC53" s="109">
        <f t="shared" si="70"/>
        <v>0</v>
      </c>
      <c r="CD53" s="109">
        <f t="shared" si="71"/>
        <v>0</v>
      </c>
    </row>
    <row r="54" spans="1:82" x14ac:dyDescent="0.25">
      <c r="A54" s="101">
        <f t="shared" si="49"/>
        <v>37500</v>
      </c>
      <c r="B54" s="102">
        <f t="shared" si="50"/>
        <v>3.42</v>
      </c>
      <c r="C54" s="80">
        <f t="shared" si="51"/>
        <v>0.28499999999999998</v>
      </c>
      <c r="D54" s="102">
        <f t="shared" si="1"/>
        <v>0.39500000000000002</v>
      </c>
      <c r="E54" s="106">
        <f t="shared" si="2"/>
        <v>0.98</v>
      </c>
      <c r="F54" s="105">
        <f t="shared" ca="1" si="3"/>
        <v>727</v>
      </c>
      <c r="G54" s="80" t="e">
        <f t="shared" si="4"/>
        <v>#DIV/0!</v>
      </c>
      <c r="H54" s="80" t="e">
        <f t="shared" si="5"/>
        <v>#DIV/0!</v>
      </c>
      <c r="I54" s="104">
        <f t="shared" si="6"/>
        <v>5.05</v>
      </c>
      <c r="K54" s="102">
        <f t="shared" si="7"/>
        <v>0.37</v>
      </c>
      <c r="L54" s="106">
        <f t="shared" si="8"/>
        <v>1</v>
      </c>
      <c r="M54" s="105">
        <f t="shared" ca="1" si="9"/>
        <v>727</v>
      </c>
      <c r="N54" s="217" t="e">
        <f t="shared" si="10"/>
        <v>#DIV/0!</v>
      </c>
      <c r="O54" s="80" t="e">
        <f t="shared" si="11"/>
        <v>#DIV/0!</v>
      </c>
      <c r="P54" s="104">
        <f t="shared" si="12"/>
        <v>5.0999999999999996</v>
      </c>
      <c r="R54" s="102">
        <f t="shared" si="13"/>
        <v>1.7500000000000002E-2</v>
      </c>
      <c r="S54" s="106">
        <f t="shared" si="14"/>
        <v>1</v>
      </c>
      <c r="T54" s="105">
        <f t="shared" ca="1" si="15"/>
        <v>727</v>
      </c>
      <c r="U54" s="217" t="e">
        <f t="shared" si="16"/>
        <v>#DIV/0!</v>
      </c>
      <c r="V54" s="80" t="e">
        <f t="shared" si="17"/>
        <v>#DIV/0!</v>
      </c>
      <c r="W54" s="104">
        <f t="shared" si="18"/>
        <v>4.8099999999999996</v>
      </c>
      <c r="X54" s="105"/>
      <c r="Y54" s="102">
        <f t="shared" si="19"/>
        <v>1.7500000000000002E-2</v>
      </c>
      <c r="Z54" s="106">
        <f t="shared" si="20"/>
        <v>1</v>
      </c>
      <c r="AA54" s="105">
        <f t="shared" ca="1" si="21"/>
        <v>727</v>
      </c>
      <c r="AB54" s="80" t="e">
        <f t="shared" si="22"/>
        <v>#DIV/0!</v>
      </c>
      <c r="AC54" s="80" t="e">
        <f t="shared" si="23"/>
        <v>#DIV/0!</v>
      </c>
      <c r="AD54" s="104">
        <f t="shared" si="24"/>
        <v>4.8449999999999998</v>
      </c>
      <c r="AF54" s="105">
        <f t="shared" ca="1" si="52"/>
        <v>727</v>
      </c>
      <c r="AG54" s="105">
        <f t="shared" ca="1" si="53"/>
        <v>726</v>
      </c>
      <c r="AH54" s="80">
        <f t="shared" si="54"/>
        <v>6.9100665646000009E-2</v>
      </c>
      <c r="AI54" s="182">
        <f t="shared" si="25"/>
        <v>30</v>
      </c>
      <c r="AL54" s="105"/>
      <c r="AM54" s="82"/>
      <c r="AN54" s="82">
        <f t="shared" si="26"/>
        <v>0</v>
      </c>
      <c r="AO54" s="82" t="e">
        <f t="shared" si="55"/>
        <v>#DIV/0!</v>
      </c>
      <c r="AP54" s="77">
        <f t="shared" si="27"/>
        <v>0</v>
      </c>
      <c r="AQ54" s="108">
        <f t="shared" si="28"/>
        <v>0</v>
      </c>
      <c r="AR54" s="107">
        <f t="shared" si="29"/>
        <v>0</v>
      </c>
      <c r="AS54" s="107">
        <f t="shared" si="56"/>
        <v>0</v>
      </c>
      <c r="AT54" s="107">
        <f t="shared" si="30"/>
        <v>0</v>
      </c>
      <c r="AU54" s="109">
        <f t="shared" si="57"/>
        <v>0</v>
      </c>
      <c r="AV54" s="109">
        <f t="shared" si="58"/>
        <v>0</v>
      </c>
      <c r="AW54" s="109">
        <f t="shared" si="59"/>
        <v>0</v>
      </c>
      <c r="AY54" s="82">
        <f t="shared" si="31"/>
        <v>0</v>
      </c>
      <c r="AZ54" s="82" t="e">
        <f t="shared" si="60"/>
        <v>#DIV/0!</v>
      </c>
      <c r="BA54" s="77">
        <f t="shared" si="32"/>
        <v>0</v>
      </c>
      <c r="BB54" s="108">
        <f t="shared" si="33"/>
        <v>0</v>
      </c>
      <c r="BC54" s="107">
        <f t="shared" si="34"/>
        <v>0</v>
      </c>
      <c r="BD54" s="107">
        <f t="shared" si="35"/>
        <v>0</v>
      </c>
      <c r="BE54" s="107">
        <f t="shared" si="36"/>
        <v>0</v>
      </c>
      <c r="BF54" s="109">
        <f t="shared" si="61"/>
        <v>0</v>
      </c>
      <c r="BG54" s="109">
        <f t="shared" si="62"/>
        <v>0</v>
      </c>
      <c r="BH54" s="109">
        <f t="shared" si="63"/>
        <v>0</v>
      </c>
      <c r="BJ54" s="82">
        <f t="shared" si="37"/>
        <v>0</v>
      </c>
      <c r="BK54" s="82" t="e">
        <f t="shared" si="64"/>
        <v>#DIV/0!</v>
      </c>
      <c r="BL54" s="77">
        <f t="shared" si="38"/>
        <v>0</v>
      </c>
      <c r="BM54" s="108">
        <f t="shared" si="39"/>
        <v>0</v>
      </c>
      <c r="BN54" s="107">
        <f t="shared" si="40"/>
        <v>0</v>
      </c>
      <c r="BO54" s="107">
        <f t="shared" si="41"/>
        <v>0</v>
      </c>
      <c r="BP54" s="107">
        <f t="shared" si="42"/>
        <v>0</v>
      </c>
      <c r="BQ54" s="109">
        <f t="shared" si="65"/>
        <v>0</v>
      </c>
      <c r="BR54" s="109">
        <f t="shared" si="66"/>
        <v>0</v>
      </c>
      <c r="BS54" s="109">
        <f t="shared" si="67"/>
        <v>0</v>
      </c>
      <c r="BU54" s="82">
        <f t="shared" si="43"/>
        <v>0</v>
      </c>
      <c r="BV54" s="82" t="e">
        <f t="shared" si="68"/>
        <v>#DIV/0!</v>
      </c>
      <c r="BW54" s="77">
        <f t="shared" si="44"/>
        <v>0</v>
      </c>
      <c r="BX54" s="108">
        <f t="shared" si="45"/>
        <v>0</v>
      </c>
      <c r="BY54" s="107">
        <f t="shared" si="46"/>
        <v>0</v>
      </c>
      <c r="BZ54" s="107">
        <f t="shared" si="47"/>
        <v>0</v>
      </c>
      <c r="CA54" s="107">
        <f t="shared" si="48"/>
        <v>0</v>
      </c>
      <c r="CB54" s="109">
        <f t="shared" si="69"/>
        <v>0</v>
      </c>
      <c r="CC54" s="109">
        <f t="shared" si="70"/>
        <v>0</v>
      </c>
      <c r="CD54" s="109">
        <f t="shared" si="71"/>
        <v>0</v>
      </c>
    </row>
    <row r="55" spans="1:82" x14ac:dyDescent="0.25">
      <c r="A55" s="101">
        <f t="shared" si="49"/>
        <v>37530</v>
      </c>
      <c r="B55" s="102">
        <f t="shared" si="50"/>
        <v>3.4350000000000001</v>
      </c>
      <c r="C55" s="80">
        <f t="shared" si="51"/>
        <v>0.28749999999999998</v>
      </c>
      <c r="D55" s="102">
        <f t="shared" si="1"/>
        <v>0.46100000000000002</v>
      </c>
      <c r="E55" s="106">
        <f t="shared" si="2"/>
        <v>0.98</v>
      </c>
      <c r="F55" s="105">
        <f t="shared" ca="1" si="3"/>
        <v>756</v>
      </c>
      <c r="G55" s="80" t="e">
        <f t="shared" si="4"/>
        <v>#DIV/0!</v>
      </c>
      <c r="H55" s="80" t="e">
        <f t="shared" si="5"/>
        <v>#DIV/0!</v>
      </c>
      <c r="I55" s="104">
        <f t="shared" si="6"/>
        <v>5.05</v>
      </c>
      <c r="K55" s="102">
        <f t="shared" si="7"/>
        <v>0.37</v>
      </c>
      <c r="L55" s="106">
        <f t="shared" si="8"/>
        <v>1</v>
      </c>
      <c r="M55" s="105">
        <f t="shared" ca="1" si="9"/>
        <v>756</v>
      </c>
      <c r="N55" s="217" t="e">
        <f t="shared" si="10"/>
        <v>#DIV/0!</v>
      </c>
      <c r="O55" s="80" t="e">
        <f t="shared" si="11"/>
        <v>#DIV/0!</v>
      </c>
      <c r="P55" s="104">
        <f t="shared" si="12"/>
        <v>5.0999999999999996</v>
      </c>
      <c r="R55" s="102">
        <f t="shared" si="13"/>
        <v>7.4999999999999997E-3</v>
      </c>
      <c r="S55" s="106">
        <f t="shared" si="14"/>
        <v>1</v>
      </c>
      <c r="T55" s="105">
        <f t="shared" ca="1" si="15"/>
        <v>756</v>
      </c>
      <c r="U55" s="217" t="e">
        <f t="shared" si="16"/>
        <v>#DIV/0!</v>
      </c>
      <c r="V55" s="80" t="e">
        <f t="shared" si="17"/>
        <v>#DIV/0!</v>
      </c>
      <c r="W55" s="104">
        <f t="shared" si="18"/>
        <v>4.8099999999999996</v>
      </c>
      <c r="X55" s="105"/>
      <c r="Y55" s="102">
        <f t="shared" si="19"/>
        <v>7.4999999999999997E-3</v>
      </c>
      <c r="Z55" s="106">
        <f t="shared" si="20"/>
        <v>1</v>
      </c>
      <c r="AA55" s="105">
        <f t="shared" ca="1" si="21"/>
        <v>756</v>
      </c>
      <c r="AB55" s="80" t="e">
        <f t="shared" si="22"/>
        <v>#DIV/0!</v>
      </c>
      <c r="AC55" s="80" t="e">
        <f t="shared" si="23"/>
        <v>#DIV/0!</v>
      </c>
      <c r="AD55" s="104">
        <f t="shared" si="24"/>
        <v>4.8449999999999998</v>
      </c>
      <c r="AF55" s="105">
        <f t="shared" ca="1" si="52"/>
        <v>756</v>
      </c>
      <c r="AG55" s="105">
        <f t="shared" ca="1" si="53"/>
        <v>755</v>
      </c>
      <c r="AH55" s="80">
        <f t="shared" si="54"/>
        <v>6.9099982062237011E-2</v>
      </c>
      <c r="AI55" s="182">
        <f t="shared" si="25"/>
        <v>31</v>
      </c>
      <c r="AL55" s="105"/>
      <c r="AM55" s="82"/>
      <c r="AN55" s="82">
        <f t="shared" si="26"/>
        <v>0</v>
      </c>
      <c r="AO55" s="82" t="e">
        <f t="shared" si="55"/>
        <v>#DIV/0!</v>
      </c>
      <c r="AP55" s="77">
        <f t="shared" si="27"/>
        <v>0</v>
      </c>
      <c r="AQ55" s="108">
        <f t="shared" si="28"/>
        <v>0</v>
      </c>
      <c r="AR55" s="107">
        <f t="shared" si="29"/>
        <v>0</v>
      </c>
      <c r="AS55" s="107">
        <f t="shared" si="56"/>
        <v>0</v>
      </c>
      <c r="AT55" s="107">
        <f t="shared" si="30"/>
        <v>0</v>
      </c>
      <c r="AU55" s="109">
        <f t="shared" si="57"/>
        <v>0</v>
      </c>
      <c r="AV55" s="109">
        <f t="shared" si="58"/>
        <v>0</v>
      </c>
      <c r="AW55" s="109">
        <f t="shared" si="59"/>
        <v>0</v>
      </c>
      <c r="AY55" s="82">
        <f t="shared" si="31"/>
        <v>0</v>
      </c>
      <c r="AZ55" s="82" t="e">
        <f t="shared" si="60"/>
        <v>#DIV/0!</v>
      </c>
      <c r="BA55" s="77">
        <f t="shared" si="32"/>
        <v>0</v>
      </c>
      <c r="BB55" s="108">
        <f t="shared" si="33"/>
        <v>0</v>
      </c>
      <c r="BC55" s="107">
        <f t="shared" si="34"/>
        <v>0</v>
      </c>
      <c r="BD55" s="107">
        <f t="shared" si="35"/>
        <v>0</v>
      </c>
      <c r="BE55" s="107">
        <f t="shared" si="36"/>
        <v>0</v>
      </c>
      <c r="BF55" s="109">
        <f t="shared" si="61"/>
        <v>0</v>
      </c>
      <c r="BG55" s="109">
        <f t="shared" si="62"/>
        <v>0</v>
      </c>
      <c r="BH55" s="109">
        <f t="shared" si="63"/>
        <v>0</v>
      </c>
      <c r="BJ55" s="82">
        <f t="shared" si="37"/>
        <v>0</v>
      </c>
      <c r="BK55" s="82" t="e">
        <f t="shared" si="64"/>
        <v>#DIV/0!</v>
      </c>
      <c r="BL55" s="77">
        <f t="shared" si="38"/>
        <v>0</v>
      </c>
      <c r="BM55" s="108">
        <f t="shared" si="39"/>
        <v>0</v>
      </c>
      <c r="BN55" s="107">
        <f t="shared" si="40"/>
        <v>0</v>
      </c>
      <c r="BO55" s="107">
        <f t="shared" si="41"/>
        <v>0</v>
      </c>
      <c r="BP55" s="107">
        <f t="shared" si="42"/>
        <v>0</v>
      </c>
      <c r="BQ55" s="109">
        <f t="shared" si="65"/>
        <v>0</v>
      </c>
      <c r="BR55" s="109">
        <f t="shared" si="66"/>
        <v>0</v>
      </c>
      <c r="BS55" s="109">
        <f t="shared" si="67"/>
        <v>0</v>
      </c>
      <c r="BU55" s="82">
        <f t="shared" si="43"/>
        <v>0</v>
      </c>
      <c r="BV55" s="82" t="e">
        <f t="shared" si="68"/>
        <v>#DIV/0!</v>
      </c>
      <c r="BW55" s="77">
        <f t="shared" si="44"/>
        <v>0</v>
      </c>
      <c r="BX55" s="108">
        <f t="shared" si="45"/>
        <v>0</v>
      </c>
      <c r="BY55" s="107">
        <f t="shared" si="46"/>
        <v>0</v>
      </c>
      <c r="BZ55" s="107">
        <f t="shared" si="47"/>
        <v>0</v>
      </c>
      <c r="CA55" s="107">
        <f t="shared" si="48"/>
        <v>0</v>
      </c>
      <c r="CB55" s="109">
        <f t="shared" si="69"/>
        <v>0</v>
      </c>
      <c r="CC55" s="109">
        <f t="shared" si="70"/>
        <v>0</v>
      </c>
      <c r="CD55" s="109">
        <f t="shared" si="71"/>
        <v>0</v>
      </c>
    </row>
    <row r="56" spans="1:82" x14ac:dyDescent="0.25">
      <c r="A56" s="101">
        <f t="shared" si="49"/>
        <v>37561</v>
      </c>
      <c r="B56" s="102">
        <f t="shared" si="50"/>
        <v>3.5270000000000001</v>
      </c>
      <c r="C56" s="80">
        <f t="shared" si="51"/>
        <v>0.29499999999999998</v>
      </c>
      <c r="D56" s="102">
        <f t="shared" si="1"/>
        <v>0.75249999999999995</v>
      </c>
      <c r="E56" s="106">
        <f t="shared" si="2"/>
        <v>1.1000000000000001</v>
      </c>
      <c r="F56" s="105">
        <f t="shared" ca="1" si="3"/>
        <v>789</v>
      </c>
      <c r="G56" s="80" t="e">
        <f t="shared" si="4"/>
        <v>#DIV/0!</v>
      </c>
      <c r="H56" s="80" t="e">
        <f t="shared" si="5"/>
        <v>#DIV/0!</v>
      </c>
      <c r="I56" s="104">
        <f t="shared" si="6"/>
        <v>5.05</v>
      </c>
      <c r="K56" s="102">
        <f t="shared" si="7"/>
        <v>0.25</v>
      </c>
      <c r="L56" s="106">
        <f t="shared" si="8"/>
        <v>1</v>
      </c>
      <c r="M56" s="105">
        <f t="shared" ca="1" si="9"/>
        <v>789</v>
      </c>
      <c r="N56" s="217" t="e">
        <f t="shared" si="10"/>
        <v>#DIV/0!</v>
      </c>
      <c r="O56" s="80" t="e">
        <f t="shared" si="11"/>
        <v>#DIV/0!</v>
      </c>
      <c r="P56" s="104">
        <f t="shared" si="12"/>
        <v>5.0999999999999996</v>
      </c>
      <c r="R56" s="102">
        <f t="shared" si="13"/>
        <v>-3.2500000000000001E-2</v>
      </c>
      <c r="S56" s="106">
        <f t="shared" si="14"/>
        <v>1</v>
      </c>
      <c r="T56" s="105">
        <f t="shared" ca="1" si="15"/>
        <v>789</v>
      </c>
      <c r="U56" s="217" t="e">
        <f t="shared" si="16"/>
        <v>#DIV/0!</v>
      </c>
      <c r="V56" s="80" t="e">
        <f t="shared" si="17"/>
        <v>#DIV/0!</v>
      </c>
      <c r="W56" s="104">
        <f t="shared" si="18"/>
        <v>4.8099999999999996</v>
      </c>
      <c r="X56" s="105"/>
      <c r="Y56" s="102">
        <f t="shared" si="19"/>
        <v>-3.2500000000000001E-2</v>
      </c>
      <c r="Z56" s="106">
        <f t="shared" si="20"/>
        <v>1</v>
      </c>
      <c r="AA56" s="105">
        <f t="shared" ca="1" si="21"/>
        <v>789</v>
      </c>
      <c r="AB56" s="80" t="e">
        <f t="shared" si="22"/>
        <v>#DIV/0!</v>
      </c>
      <c r="AC56" s="80" t="e">
        <f t="shared" si="23"/>
        <v>#DIV/0!</v>
      </c>
      <c r="AD56" s="104">
        <f t="shared" si="24"/>
        <v>4.8449999999999998</v>
      </c>
      <c r="AF56" s="105">
        <f t="shared" ca="1" si="52"/>
        <v>789</v>
      </c>
      <c r="AG56" s="105">
        <f t="shared" ca="1" si="53"/>
        <v>788</v>
      </c>
      <c r="AH56" s="80">
        <f t="shared" si="54"/>
        <v>6.9095832436425003E-2</v>
      </c>
      <c r="AI56" s="182">
        <f t="shared" si="25"/>
        <v>30</v>
      </c>
      <c r="AL56" s="105"/>
      <c r="AM56" s="82"/>
      <c r="AN56" s="82">
        <f t="shared" si="26"/>
        <v>0</v>
      </c>
      <c r="AO56" s="82" t="e">
        <f t="shared" si="55"/>
        <v>#DIV/0!</v>
      </c>
      <c r="AP56" s="77">
        <f t="shared" si="27"/>
        <v>0</v>
      </c>
      <c r="AQ56" s="108">
        <f t="shared" si="28"/>
        <v>0</v>
      </c>
      <c r="AR56" s="107">
        <f t="shared" si="29"/>
        <v>0</v>
      </c>
      <c r="AS56" s="107">
        <f t="shared" si="56"/>
        <v>0</v>
      </c>
      <c r="AT56" s="107">
        <f t="shared" si="30"/>
        <v>0</v>
      </c>
      <c r="AU56" s="109">
        <f t="shared" si="57"/>
        <v>0</v>
      </c>
      <c r="AV56" s="109">
        <f t="shared" si="58"/>
        <v>0</v>
      </c>
      <c r="AW56" s="109">
        <f t="shared" si="59"/>
        <v>0</v>
      </c>
      <c r="AY56" s="82">
        <f t="shared" si="31"/>
        <v>0</v>
      </c>
      <c r="AZ56" s="82" t="e">
        <f t="shared" si="60"/>
        <v>#DIV/0!</v>
      </c>
      <c r="BA56" s="77">
        <f t="shared" si="32"/>
        <v>0</v>
      </c>
      <c r="BB56" s="108">
        <f t="shared" si="33"/>
        <v>0</v>
      </c>
      <c r="BC56" s="107">
        <f t="shared" si="34"/>
        <v>0</v>
      </c>
      <c r="BD56" s="107">
        <f t="shared" si="35"/>
        <v>0</v>
      </c>
      <c r="BE56" s="107">
        <f t="shared" si="36"/>
        <v>0</v>
      </c>
      <c r="BF56" s="109">
        <f t="shared" si="61"/>
        <v>0</v>
      </c>
      <c r="BG56" s="109">
        <f t="shared" si="62"/>
        <v>0</v>
      </c>
      <c r="BH56" s="109">
        <f t="shared" si="63"/>
        <v>0</v>
      </c>
      <c r="BJ56" s="82">
        <f t="shared" si="37"/>
        <v>0</v>
      </c>
      <c r="BK56" s="82" t="e">
        <f t="shared" si="64"/>
        <v>#DIV/0!</v>
      </c>
      <c r="BL56" s="77">
        <f t="shared" si="38"/>
        <v>0</v>
      </c>
      <c r="BM56" s="108">
        <f t="shared" si="39"/>
        <v>0</v>
      </c>
      <c r="BN56" s="107">
        <f t="shared" si="40"/>
        <v>0</v>
      </c>
      <c r="BO56" s="107">
        <f t="shared" si="41"/>
        <v>0</v>
      </c>
      <c r="BP56" s="107">
        <f t="shared" si="42"/>
        <v>0</v>
      </c>
      <c r="BQ56" s="109">
        <f t="shared" si="65"/>
        <v>0</v>
      </c>
      <c r="BR56" s="109">
        <f t="shared" si="66"/>
        <v>0</v>
      </c>
      <c r="BS56" s="109">
        <f t="shared" si="67"/>
        <v>0</v>
      </c>
      <c r="BU56" s="82">
        <f t="shared" si="43"/>
        <v>0</v>
      </c>
      <c r="BV56" s="82" t="e">
        <f t="shared" si="68"/>
        <v>#DIV/0!</v>
      </c>
      <c r="BW56" s="77">
        <f t="shared" si="44"/>
        <v>0</v>
      </c>
      <c r="BX56" s="108">
        <f t="shared" si="45"/>
        <v>0</v>
      </c>
      <c r="BY56" s="107">
        <f t="shared" si="46"/>
        <v>0</v>
      </c>
      <c r="BZ56" s="107">
        <f t="shared" si="47"/>
        <v>0</v>
      </c>
      <c r="CA56" s="107">
        <f t="shared" si="48"/>
        <v>0</v>
      </c>
      <c r="CB56" s="109">
        <f t="shared" si="69"/>
        <v>0</v>
      </c>
      <c r="CC56" s="109">
        <f t="shared" si="70"/>
        <v>0</v>
      </c>
      <c r="CD56" s="109">
        <f t="shared" si="71"/>
        <v>0</v>
      </c>
    </row>
    <row r="57" spans="1:82" x14ac:dyDescent="0.25">
      <c r="A57" s="101">
        <f t="shared" si="49"/>
        <v>37591</v>
      </c>
      <c r="B57" s="102">
        <f t="shared" si="50"/>
        <v>3.6090000000000004</v>
      </c>
      <c r="C57" s="80">
        <f t="shared" si="51"/>
        <v>0.29749999999999999</v>
      </c>
      <c r="D57" s="102">
        <f t="shared" si="1"/>
        <v>1.1599999999999999</v>
      </c>
      <c r="E57" s="106">
        <f t="shared" si="2"/>
        <v>1.1000000000000001</v>
      </c>
      <c r="F57" s="105">
        <f t="shared" ca="1" si="3"/>
        <v>817</v>
      </c>
      <c r="G57" s="80" t="e">
        <f t="shared" si="4"/>
        <v>#DIV/0!</v>
      </c>
      <c r="H57" s="80" t="e">
        <f t="shared" si="5"/>
        <v>#DIV/0!</v>
      </c>
      <c r="I57" s="104">
        <f t="shared" si="6"/>
        <v>5.05</v>
      </c>
      <c r="K57" s="102">
        <f t="shared" si="7"/>
        <v>0.25</v>
      </c>
      <c r="L57" s="106">
        <f t="shared" si="8"/>
        <v>1</v>
      </c>
      <c r="M57" s="105">
        <f t="shared" ca="1" si="9"/>
        <v>817</v>
      </c>
      <c r="N57" s="217" t="e">
        <f t="shared" si="10"/>
        <v>#DIV/0!</v>
      </c>
      <c r="O57" s="80" t="e">
        <f t="shared" si="11"/>
        <v>#DIV/0!</v>
      </c>
      <c r="P57" s="104">
        <f t="shared" si="12"/>
        <v>5.0999999999999996</v>
      </c>
      <c r="R57" s="102">
        <f t="shared" si="13"/>
        <v>-5.5E-2</v>
      </c>
      <c r="S57" s="106">
        <f t="shared" si="14"/>
        <v>1</v>
      </c>
      <c r="T57" s="105">
        <f t="shared" ca="1" si="15"/>
        <v>817</v>
      </c>
      <c r="U57" s="217" t="e">
        <f t="shared" si="16"/>
        <v>#DIV/0!</v>
      </c>
      <c r="V57" s="80" t="e">
        <f t="shared" si="17"/>
        <v>#DIV/0!</v>
      </c>
      <c r="W57" s="104">
        <f t="shared" si="18"/>
        <v>4.8099999999999996</v>
      </c>
      <c r="X57" s="105"/>
      <c r="Y57" s="102">
        <f t="shared" si="19"/>
        <v>-5.5E-2</v>
      </c>
      <c r="Z57" s="106">
        <f t="shared" si="20"/>
        <v>1</v>
      </c>
      <c r="AA57" s="105">
        <f t="shared" ca="1" si="21"/>
        <v>817</v>
      </c>
      <c r="AB57" s="80" t="e">
        <f t="shared" si="22"/>
        <v>#DIV/0!</v>
      </c>
      <c r="AC57" s="80" t="e">
        <f t="shared" si="23"/>
        <v>#DIV/0!</v>
      </c>
      <c r="AD57" s="104">
        <f t="shared" si="24"/>
        <v>4.8449999999999998</v>
      </c>
      <c r="AF57" s="105">
        <f t="shared" ca="1" si="52"/>
        <v>817</v>
      </c>
      <c r="AG57" s="105">
        <f t="shared" ca="1" si="53"/>
        <v>816</v>
      </c>
      <c r="AH57" s="80">
        <f t="shared" si="54"/>
        <v>6.9091816669514014E-2</v>
      </c>
      <c r="AI57" s="182">
        <f t="shared" si="25"/>
        <v>31</v>
      </c>
      <c r="AL57" s="105"/>
      <c r="AM57" s="82"/>
      <c r="AN57" s="82">
        <f t="shared" si="26"/>
        <v>0</v>
      </c>
      <c r="AO57" s="82" t="e">
        <f t="shared" si="55"/>
        <v>#DIV/0!</v>
      </c>
      <c r="AP57" s="77">
        <f t="shared" si="27"/>
        <v>0</v>
      </c>
      <c r="AQ57" s="108">
        <f t="shared" si="28"/>
        <v>0</v>
      </c>
      <c r="AR57" s="107">
        <f t="shared" si="29"/>
        <v>0</v>
      </c>
      <c r="AS57" s="107">
        <f t="shared" si="56"/>
        <v>0</v>
      </c>
      <c r="AT57" s="107">
        <f t="shared" si="30"/>
        <v>0</v>
      </c>
      <c r="AU57" s="109">
        <f t="shared" si="57"/>
        <v>0</v>
      </c>
      <c r="AV57" s="109">
        <f t="shared" si="58"/>
        <v>0</v>
      </c>
      <c r="AW57" s="109">
        <f t="shared" si="59"/>
        <v>0</v>
      </c>
      <c r="AY57" s="82">
        <f t="shared" si="31"/>
        <v>0</v>
      </c>
      <c r="AZ57" s="82" t="e">
        <f t="shared" si="60"/>
        <v>#DIV/0!</v>
      </c>
      <c r="BA57" s="77">
        <f t="shared" si="32"/>
        <v>0</v>
      </c>
      <c r="BB57" s="108">
        <f t="shared" si="33"/>
        <v>0</v>
      </c>
      <c r="BC57" s="107">
        <f t="shared" si="34"/>
        <v>0</v>
      </c>
      <c r="BD57" s="107">
        <f t="shared" si="35"/>
        <v>0</v>
      </c>
      <c r="BE57" s="107">
        <f t="shared" si="36"/>
        <v>0</v>
      </c>
      <c r="BF57" s="109">
        <f t="shared" si="61"/>
        <v>0</v>
      </c>
      <c r="BG57" s="109">
        <f t="shared" si="62"/>
        <v>0</v>
      </c>
      <c r="BH57" s="109">
        <f t="shared" si="63"/>
        <v>0</v>
      </c>
      <c r="BJ57" s="82">
        <f t="shared" si="37"/>
        <v>0</v>
      </c>
      <c r="BK57" s="82" t="e">
        <f t="shared" si="64"/>
        <v>#DIV/0!</v>
      </c>
      <c r="BL57" s="77">
        <f t="shared" si="38"/>
        <v>0</v>
      </c>
      <c r="BM57" s="108">
        <f t="shared" si="39"/>
        <v>0</v>
      </c>
      <c r="BN57" s="107">
        <f t="shared" si="40"/>
        <v>0</v>
      </c>
      <c r="BO57" s="107">
        <f t="shared" si="41"/>
        <v>0</v>
      </c>
      <c r="BP57" s="107">
        <f t="shared" si="42"/>
        <v>0</v>
      </c>
      <c r="BQ57" s="109">
        <f t="shared" si="65"/>
        <v>0</v>
      </c>
      <c r="BR57" s="109">
        <f t="shared" si="66"/>
        <v>0</v>
      </c>
      <c r="BS57" s="109">
        <f t="shared" si="67"/>
        <v>0</v>
      </c>
      <c r="BU57" s="82">
        <f t="shared" si="43"/>
        <v>0</v>
      </c>
      <c r="BV57" s="82" t="e">
        <f t="shared" si="68"/>
        <v>#DIV/0!</v>
      </c>
      <c r="BW57" s="77">
        <f t="shared" si="44"/>
        <v>0</v>
      </c>
      <c r="BX57" s="108">
        <f t="shared" si="45"/>
        <v>0</v>
      </c>
      <c r="BY57" s="107">
        <f t="shared" si="46"/>
        <v>0</v>
      </c>
      <c r="BZ57" s="107">
        <f t="shared" si="47"/>
        <v>0</v>
      </c>
      <c r="CA57" s="107">
        <f t="shared" si="48"/>
        <v>0</v>
      </c>
      <c r="CB57" s="109">
        <f t="shared" si="69"/>
        <v>0</v>
      </c>
      <c r="CC57" s="109">
        <f t="shared" si="70"/>
        <v>0</v>
      </c>
      <c r="CD57" s="109">
        <f t="shared" si="71"/>
        <v>0</v>
      </c>
    </row>
    <row r="58" spans="1:82" x14ac:dyDescent="0.25">
      <c r="A58" s="101">
        <f t="shared" si="49"/>
        <v>37622</v>
      </c>
      <c r="B58" s="102">
        <f t="shared" si="50"/>
        <v>3.6019999999999999</v>
      </c>
      <c r="C58" s="80">
        <f t="shared" si="51"/>
        <v>0.28499999999999998</v>
      </c>
      <c r="D58" s="102">
        <f t="shared" si="1"/>
        <v>1.48</v>
      </c>
      <c r="E58" s="106">
        <f t="shared" si="2"/>
        <v>1.1000000000000001</v>
      </c>
      <c r="F58" s="105">
        <f t="shared" ca="1" si="3"/>
        <v>848</v>
      </c>
      <c r="G58" s="80" t="e">
        <f t="shared" si="4"/>
        <v>#DIV/0!</v>
      </c>
      <c r="H58" s="80" t="e">
        <f t="shared" si="5"/>
        <v>#DIV/0!</v>
      </c>
      <c r="I58" s="104">
        <f t="shared" si="6"/>
        <v>5.05</v>
      </c>
      <c r="K58" s="102">
        <f t="shared" si="7"/>
        <v>0.25</v>
      </c>
      <c r="L58" s="106">
        <f t="shared" si="8"/>
        <v>1</v>
      </c>
      <c r="M58" s="105">
        <f t="shared" ca="1" si="9"/>
        <v>848</v>
      </c>
      <c r="N58" s="217" t="e">
        <f t="shared" si="10"/>
        <v>#DIV/0!</v>
      </c>
      <c r="O58" s="80" t="e">
        <f t="shared" si="11"/>
        <v>#DIV/0!</v>
      </c>
      <c r="P58" s="104">
        <f t="shared" si="12"/>
        <v>5.0999999999999996</v>
      </c>
      <c r="R58" s="102">
        <f t="shared" si="13"/>
        <v>-5.7500000000000002E-2</v>
      </c>
      <c r="S58" s="106">
        <f t="shared" si="14"/>
        <v>1</v>
      </c>
      <c r="T58" s="105">
        <f t="shared" ca="1" si="15"/>
        <v>848</v>
      </c>
      <c r="U58" s="217" t="e">
        <f t="shared" si="16"/>
        <v>#DIV/0!</v>
      </c>
      <c r="V58" s="80" t="e">
        <f t="shared" si="17"/>
        <v>#DIV/0!</v>
      </c>
      <c r="W58" s="104">
        <f t="shared" si="18"/>
        <v>4.8099999999999996</v>
      </c>
      <c r="X58" s="105"/>
      <c r="Y58" s="102">
        <f t="shared" si="19"/>
        <v>-5.7500000000000002E-2</v>
      </c>
      <c r="Z58" s="106">
        <f t="shared" si="20"/>
        <v>1</v>
      </c>
      <c r="AA58" s="105">
        <f t="shared" ca="1" si="21"/>
        <v>848</v>
      </c>
      <c r="AB58" s="80" t="e">
        <f t="shared" si="22"/>
        <v>#DIV/0!</v>
      </c>
      <c r="AC58" s="80" t="e">
        <f t="shared" si="23"/>
        <v>#DIV/0!</v>
      </c>
      <c r="AD58" s="104">
        <f t="shared" si="24"/>
        <v>4.8449999999999998</v>
      </c>
      <c r="AF58" s="105">
        <f t="shared" ca="1" si="52"/>
        <v>848</v>
      </c>
      <c r="AG58" s="105">
        <f t="shared" ca="1" si="53"/>
        <v>847</v>
      </c>
      <c r="AH58" s="80">
        <f t="shared" si="54"/>
        <v>6.9095762126817992E-2</v>
      </c>
      <c r="AI58" s="182">
        <f t="shared" si="25"/>
        <v>31</v>
      </c>
      <c r="AL58" s="105"/>
      <c r="AM58" s="82"/>
      <c r="AN58" s="82">
        <f t="shared" si="26"/>
        <v>0</v>
      </c>
      <c r="AO58" s="82" t="e">
        <f t="shared" si="55"/>
        <v>#DIV/0!</v>
      </c>
      <c r="AP58" s="77">
        <f t="shared" si="27"/>
        <v>0</v>
      </c>
      <c r="AQ58" s="108">
        <f t="shared" si="28"/>
        <v>0</v>
      </c>
      <c r="AR58" s="107">
        <f t="shared" si="29"/>
        <v>0</v>
      </c>
      <c r="AS58" s="107">
        <f t="shared" si="56"/>
        <v>0</v>
      </c>
      <c r="AT58" s="107">
        <f t="shared" si="30"/>
        <v>0</v>
      </c>
      <c r="AU58" s="109">
        <f t="shared" si="57"/>
        <v>0</v>
      </c>
      <c r="AV58" s="109">
        <f t="shared" si="58"/>
        <v>0</v>
      </c>
      <c r="AW58" s="109">
        <f t="shared" si="59"/>
        <v>0</v>
      </c>
      <c r="AY58" s="82">
        <f t="shared" si="31"/>
        <v>0</v>
      </c>
      <c r="AZ58" s="82" t="e">
        <f t="shared" si="60"/>
        <v>#DIV/0!</v>
      </c>
      <c r="BA58" s="77">
        <f t="shared" si="32"/>
        <v>0</v>
      </c>
      <c r="BB58" s="108">
        <f t="shared" si="33"/>
        <v>0</v>
      </c>
      <c r="BC58" s="107">
        <f t="shared" si="34"/>
        <v>0</v>
      </c>
      <c r="BD58" s="107">
        <f t="shared" si="35"/>
        <v>0</v>
      </c>
      <c r="BE58" s="107">
        <f t="shared" si="36"/>
        <v>0</v>
      </c>
      <c r="BF58" s="109">
        <f t="shared" si="61"/>
        <v>0</v>
      </c>
      <c r="BG58" s="109">
        <f t="shared" si="62"/>
        <v>0</v>
      </c>
      <c r="BH58" s="109">
        <f t="shared" si="63"/>
        <v>0</v>
      </c>
      <c r="BJ58" s="82">
        <f t="shared" si="37"/>
        <v>0</v>
      </c>
      <c r="BK58" s="82" t="e">
        <f t="shared" si="64"/>
        <v>#DIV/0!</v>
      </c>
      <c r="BL58" s="77">
        <f t="shared" si="38"/>
        <v>0</v>
      </c>
      <c r="BM58" s="108">
        <f t="shared" si="39"/>
        <v>0</v>
      </c>
      <c r="BN58" s="107">
        <f t="shared" si="40"/>
        <v>0</v>
      </c>
      <c r="BO58" s="107">
        <f t="shared" si="41"/>
        <v>0</v>
      </c>
      <c r="BP58" s="107">
        <f t="shared" si="42"/>
        <v>0</v>
      </c>
      <c r="BQ58" s="109">
        <f t="shared" si="65"/>
        <v>0</v>
      </c>
      <c r="BR58" s="109">
        <f t="shared" si="66"/>
        <v>0</v>
      </c>
      <c r="BS58" s="109">
        <f t="shared" si="67"/>
        <v>0</v>
      </c>
      <c r="BU58" s="82">
        <f t="shared" si="43"/>
        <v>0</v>
      </c>
      <c r="BV58" s="82" t="e">
        <f t="shared" si="68"/>
        <v>#DIV/0!</v>
      </c>
      <c r="BW58" s="77">
        <f t="shared" si="44"/>
        <v>0</v>
      </c>
      <c r="BX58" s="108">
        <f t="shared" si="45"/>
        <v>0</v>
      </c>
      <c r="BY58" s="107">
        <f t="shared" si="46"/>
        <v>0</v>
      </c>
      <c r="BZ58" s="107">
        <f t="shared" si="47"/>
        <v>0</v>
      </c>
      <c r="CA58" s="107">
        <f t="shared" si="48"/>
        <v>0</v>
      </c>
      <c r="CB58" s="109">
        <f t="shared" si="69"/>
        <v>0</v>
      </c>
      <c r="CC58" s="109">
        <f t="shared" si="70"/>
        <v>0</v>
      </c>
      <c r="CD58" s="109">
        <f t="shared" si="71"/>
        <v>0</v>
      </c>
    </row>
    <row r="59" spans="1:82" x14ac:dyDescent="0.25">
      <c r="A59" s="101">
        <f t="shared" si="49"/>
        <v>37653</v>
      </c>
      <c r="B59" s="102">
        <f t="shared" si="50"/>
        <v>3.46</v>
      </c>
      <c r="C59" s="80">
        <f t="shared" si="51"/>
        <v>0.28499999999999998</v>
      </c>
      <c r="D59" s="102">
        <f t="shared" si="1"/>
        <v>1.41</v>
      </c>
      <c r="E59" s="106">
        <f t="shared" si="2"/>
        <v>1.1000000000000001</v>
      </c>
      <c r="F59" s="105">
        <f t="shared" ca="1" si="3"/>
        <v>881</v>
      </c>
      <c r="G59" s="80" t="e">
        <f t="shared" si="4"/>
        <v>#DIV/0!</v>
      </c>
      <c r="H59" s="80" t="e">
        <f t="shared" si="5"/>
        <v>#DIV/0!</v>
      </c>
      <c r="I59" s="104">
        <f t="shared" si="6"/>
        <v>5.05</v>
      </c>
      <c r="K59" s="102">
        <f t="shared" si="7"/>
        <v>0.25</v>
      </c>
      <c r="L59" s="106">
        <f t="shared" si="8"/>
        <v>1</v>
      </c>
      <c r="M59" s="105">
        <f t="shared" ca="1" si="9"/>
        <v>881</v>
      </c>
      <c r="N59" s="217" t="e">
        <f t="shared" si="10"/>
        <v>#DIV/0!</v>
      </c>
      <c r="O59" s="80" t="e">
        <f t="shared" si="11"/>
        <v>#DIV/0!</v>
      </c>
      <c r="P59" s="104">
        <f t="shared" si="12"/>
        <v>5.0999999999999996</v>
      </c>
      <c r="R59" s="102">
        <f t="shared" si="13"/>
        <v>-0.04</v>
      </c>
      <c r="S59" s="106">
        <f t="shared" si="14"/>
        <v>1</v>
      </c>
      <c r="T59" s="105">
        <f t="shared" ca="1" si="15"/>
        <v>881</v>
      </c>
      <c r="U59" s="217" t="e">
        <f t="shared" si="16"/>
        <v>#DIV/0!</v>
      </c>
      <c r="V59" s="80" t="e">
        <f t="shared" si="17"/>
        <v>#DIV/0!</v>
      </c>
      <c r="W59" s="104">
        <f t="shared" si="18"/>
        <v>4.8099999999999996</v>
      </c>
      <c r="X59" s="105"/>
      <c r="Y59" s="102">
        <f t="shared" si="19"/>
        <v>-0.04</v>
      </c>
      <c r="Z59" s="106">
        <f t="shared" si="20"/>
        <v>1</v>
      </c>
      <c r="AA59" s="105">
        <f t="shared" ca="1" si="21"/>
        <v>881</v>
      </c>
      <c r="AB59" s="80" t="e">
        <f t="shared" si="22"/>
        <v>#DIV/0!</v>
      </c>
      <c r="AC59" s="80" t="e">
        <f t="shared" si="23"/>
        <v>#DIV/0!</v>
      </c>
      <c r="AD59" s="104">
        <f t="shared" si="24"/>
        <v>4.8449999999999998</v>
      </c>
      <c r="AF59" s="105">
        <f t="shared" ca="1" si="52"/>
        <v>881</v>
      </c>
      <c r="AG59" s="105">
        <f t="shared" ca="1" si="53"/>
        <v>880</v>
      </c>
      <c r="AH59" s="80">
        <f t="shared" si="54"/>
        <v>6.9109537327938009E-2</v>
      </c>
      <c r="AI59" s="182">
        <f t="shared" si="25"/>
        <v>28</v>
      </c>
      <c r="AL59" s="105"/>
      <c r="AM59" s="82"/>
      <c r="AN59" s="82">
        <f t="shared" si="26"/>
        <v>0</v>
      </c>
      <c r="AO59" s="82" t="e">
        <f t="shared" si="55"/>
        <v>#DIV/0!</v>
      </c>
      <c r="AP59" s="77">
        <f t="shared" si="27"/>
        <v>0</v>
      </c>
      <c r="AQ59" s="108">
        <f t="shared" si="28"/>
        <v>0</v>
      </c>
      <c r="AR59" s="107">
        <f t="shared" si="29"/>
        <v>0</v>
      </c>
      <c r="AS59" s="107">
        <f t="shared" si="56"/>
        <v>0</v>
      </c>
      <c r="AT59" s="107">
        <f t="shared" si="30"/>
        <v>0</v>
      </c>
      <c r="AU59" s="109">
        <f t="shared" si="57"/>
        <v>0</v>
      </c>
      <c r="AV59" s="109">
        <f t="shared" si="58"/>
        <v>0</v>
      </c>
      <c r="AW59" s="109">
        <f t="shared" si="59"/>
        <v>0</v>
      </c>
      <c r="AY59" s="82">
        <f t="shared" si="31"/>
        <v>0</v>
      </c>
      <c r="AZ59" s="82" t="e">
        <f t="shared" si="60"/>
        <v>#DIV/0!</v>
      </c>
      <c r="BA59" s="77">
        <f t="shared" si="32"/>
        <v>0</v>
      </c>
      <c r="BB59" s="108">
        <f t="shared" si="33"/>
        <v>0</v>
      </c>
      <c r="BC59" s="107">
        <f t="shared" si="34"/>
        <v>0</v>
      </c>
      <c r="BD59" s="107">
        <f t="shared" si="35"/>
        <v>0</v>
      </c>
      <c r="BE59" s="107">
        <f t="shared" si="36"/>
        <v>0</v>
      </c>
      <c r="BF59" s="109">
        <f t="shared" si="61"/>
        <v>0</v>
      </c>
      <c r="BG59" s="109">
        <f t="shared" si="62"/>
        <v>0</v>
      </c>
      <c r="BH59" s="109">
        <f t="shared" si="63"/>
        <v>0</v>
      </c>
      <c r="BJ59" s="82">
        <f t="shared" si="37"/>
        <v>0</v>
      </c>
      <c r="BK59" s="82" t="e">
        <f t="shared" si="64"/>
        <v>#DIV/0!</v>
      </c>
      <c r="BL59" s="77">
        <f t="shared" si="38"/>
        <v>0</v>
      </c>
      <c r="BM59" s="108">
        <f t="shared" si="39"/>
        <v>0</v>
      </c>
      <c r="BN59" s="107">
        <f t="shared" si="40"/>
        <v>0</v>
      </c>
      <c r="BO59" s="107">
        <f t="shared" si="41"/>
        <v>0</v>
      </c>
      <c r="BP59" s="107">
        <f t="shared" si="42"/>
        <v>0</v>
      </c>
      <c r="BQ59" s="109">
        <f t="shared" si="65"/>
        <v>0</v>
      </c>
      <c r="BR59" s="109">
        <f t="shared" si="66"/>
        <v>0</v>
      </c>
      <c r="BS59" s="109">
        <f t="shared" si="67"/>
        <v>0</v>
      </c>
      <c r="BU59" s="82">
        <f t="shared" si="43"/>
        <v>0</v>
      </c>
      <c r="BV59" s="82" t="e">
        <f t="shared" si="68"/>
        <v>#DIV/0!</v>
      </c>
      <c r="BW59" s="77">
        <f t="shared" si="44"/>
        <v>0</v>
      </c>
      <c r="BX59" s="108">
        <f t="shared" si="45"/>
        <v>0</v>
      </c>
      <c r="BY59" s="107">
        <f t="shared" si="46"/>
        <v>0</v>
      </c>
      <c r="BZ59" s="107">
        <f t="shared" si="47"/>
        <v>0</v>
      </c>
      <c r="CA59" s="107">
        <f t="shared" si="48"/>
        <v>0</v>
      </c>
      <c r="CB59" s="109">
        <f t="shared" si="69"/>
        <v>0</v>
      </c>
      <c r="CC59" s="109">
        <f t="shared" si="70"/>
        <v>0</v>
      </c>
      <c r="CD59" s="109">
        <f t="shared" si="71"/>
        <v>0</v>
      </c>
    </row>
    <row r="60" spans="1:82" x14ac:dyDescent="0.25">
      <c r="A60" s="101">
        <f t="shared" si="49"/>
        <v>37681</v>
      </c>
      <c r="B60" s="102">
        <f t="shared" si="50"/>
        <v>3.29</v>
      </c>
      <c r="C60" s="80">
        <f t="shared" si="51"/>
        <v>0.27500000000000002</v>
      </c>
      <c r="D60" s="102">
        <f t="shared" si="1"/>
        <v>0.82</v>
      </c>
      <c r="E60" s="106">
        <f t="shared" si="2"/>
        <v>1.1000000000000001</v>
      </c>
      <c r="F60" s="105">
        <f t="shared" ca="1" si="3"/>
        <v>909</v>
      </c>
      <c r="G60" s="80" t="e">
        <f t="shared" si="4"/>
        <v>#DIV/0!</v>
      </c>
      <c r="H60" s="80" t="e">
        <f t="shared" si="5"/>
        <v>#DIV/0!</v>
      </c>
      <c r="I60" s="104">
        <f t="shared" si="6"/>
        <v>5.05</v>
      </c>
      <c r="K60" s="102">
        <f t="shared" si="7"/>
        <v>0.25</v>
      </c>
      <c r="L60" s="106">
        <f t="shared" si="8"/>
        <v>1</v>
      </c>
      <c r="M60" s="105">
        <f t="shared" ca="1" si="9"/>
        <v>909</v>
      </c>
      <c r="N60" s="217" t="e">
        <f t="shared" si="10"/>
        <v>#DIV/0!</v>
      </c>
      <c r="O60" s="80" t="e">
        <f t="shared" si="11"/>
        <v>#DIV/0!</v>
      </c>
      <c r="P60" s="104">
        <f t="shared" si="12"/>
        <v>5.0999999999999996</v>
      </c>
      <c r="R60" s="102">
        <f t="shared" si="13"/>
        <v>-2.75E-2</v>
      </c>
      <c r="S60" s="106">
        <f t="shared" si="14"/>
        <v>1</v>
      </c>
      <c r="T60" s="105">
        <f t="shared" ca="1" si="15"/>
        <v>909</v>
      </c>
      <c r="U60" s="217" t="e">
        <f t="shared" si="16"/>
        <v>#DIV/0!</v>
      </c>
      <c r="V60" s="80" t="e">
        <f t="shared" si="17"/>
        <v>#DIV/0!</v>
      </c>
      <c r="W60" s="104">
        <f t="shared" si="18"/>
        <v>4.8099999999999996</v>
      </c>
      <c r="X60" s="105"/>
      <c r="Y60" s="102">
        <f t="shared" si="19"/>
        <v>-2.75E-2</v>
      </c>
      <c r="Z60" s="106">
        <f t="shared" si="20"/>
        <v>1</v>
      </c>
      <c r="AA60" s="105">
        <f t="shared" ca="1" si="21"/>
        <v>909</v>
      </c>
      <c r="AB60" s="80" t="e">
        <f t="shared" si="22"/>
        <v>#DIV/0!</v>
      </c>
      <c r="AC60" s="80" t="e">
        <f t="shared" si="23"/>
        <v>#DIV/0!</v>
      </c>
      <c r="AD60" s="104">
        <f t="shared" si="24"/>
        <v>4.8449999999999998</v>
      </c>
      <c r="AF60" s="105">
        <f t="shared" ca="1" si="52"/>
        <v>909</v>
      </c>
      <c r="AG60" s="105">
        <f t="shared" ca="1" si="53"/>
        <v>908</v>
      </c>
      <c r="AH60" s="80">
        <f t="shared" si="54"/>
        <v>6.9121979445132001E-2</v>
      </c>
      <c r="AI60" s="182">
        <f t="shared" si="25"/>
        <v>31</v>
      </c>
      <c r="AL60" s="105"/>
      <c r="AM60" s="82"/>
      <c r="AN60" s="82">
        <f t="shared" si="26"/>
        <v>0</v>
      </c>
      <c r="AO60" s="82" t="e">
        <f t="shared" si="55"/>
        <v>#DIV/0!</v>
      </c>
      <c r="AP60" s="77">
        <f t="shared" si="27"/>
        <v>0</v>
      </c>
      <c r="AQ60" s="108">
        <f t="shared" si="28"/>
        <v>0</v>
      </c>
      <c r="AR60" s="107">
        <f t="shared" si="29"/>
        <v>0</v>
      </c>
      <c r="AS60" s="107">
        <f t="shared" si="56"/>
        <v>0</v>
      </c>
      <c r="AT60" s="107">
        <f t="shared" si="30"/>
        <v>0</v>
      </c>
      <c r="AU60" s="109">
        <f t="shared" si="57"/>
        <v>0</v>
      </c>
      <c r="AV60" s="109">
        <f t="shared" si="58"/>
        <v>0</v>
      </c>
      <c r="AW60" s="109">
        <f t="shared" si="59"/>
        <v>0</v>
      </c>
      <c r="AY60" s="82">
        <f t="shared" si="31"/>
        <v>0</v>
      </c>
      <c r="AZ60" s="82" t="e">
        <f t="shared" si="60"/>
        <v>#DIV/0!</v>
      </c>
      <c r="BA60" s="77">
        <f t="shared" si="32"/>
        <v>0</v>
      </c>
      <c r="BB60" s="108">
        <f t="shared" si="33"/>
        <v>0</v>
      </c>
      <c r="BC60" s="107">
        <f t="shared" si="34"/>
        <v>0</v>
      </c>
      <c r="BD60" s="107">
        <f t="shared" si="35"/>
        <v>0</v>
      </c>
      <c r="BE60" s="107">
        <f t="shared" si="36"/>
        <v>0</v>
      </c>
      <c r="BF60" s="109">
        <f t="shared" si="61"/>
        <v>0</v>
      </c>
      <c r="BG60" s="109">
        <f t="shared" si="62"/>
        <v>0</v>
      </c>
      <c r="BH60" s="109">
        <f t="shared" si="63"/>
        <v>0</v>
      </c>
      <c r="BJ60" s="82">
        <f t="shared" si="37"/>
        <v>0</v>
      </c>
      <c r="BK60" s="82" t="e">
        <f t="shared" si="64"/>
        <v>#DIV/0!</v>
      </c>
      <c r="BL60" s="77">
        <f t="shared" si="38"/>
        <v>0</v>
      </c>
      <c r="BM60" s="108">
        <f t="shared" si="39"/>
        <v>0</v>
      </c>
      <c r="BN60" s="107">
        <f t="shared" si="40"/>
        <v>0</v>
      </c>
      <c r="BO60" s="107">
        <f t="shared" si="41"/>
        <v>0</v>
      </c>
      <c r="BP60" s="107">
        <f t="shared" si="42"/>
        <v>0</v>
      </c>
      <c r="BQ60" s="109">
        <f t="shared" si="65"/>
        <v>0</v>
      </c>
      <c r="BR60" s="109">
        <f t="shared" si="66"/>
        <v>0</v>
      </c>
      <c r="BS60" s="109">
        <f t="shared" si="67"/>
        <v>0</v>
      </c>
      <c r="BU60" s="82">
        <f t="shared" si="43"/>
        <v>0</v>
      </c>
      <c r="BV60" s="82" t="e">
        <f t="shared" si="68"/>
        <v>#DIV/0!</v>
      </c>
      <c r="BW60" s="77">
        <f t="shared" si="44"/>
        <v>0</v>
      </c>
      <c r="BX60" s="108">
        <f t="shared" si="45"/>
        <v>0</v>
      </c>
      <c r="BY60" s="107">
        <f t="shared" si="46"/>
        <v>0</v>
      </c>
      <c r="BZ60" s="107">
        <f t="shared" si="47"/>
        <v>0</v>
      </c>
      <c r="CA60" s="107">
        <f t="shared" si="48"/>
        <v>0</v>
      </c>
      <c r="CB60" s="109">
        <f t="shared" si="69"/>
        <v>0</v>
      </c>
      <c r="CC60" s="109">
        <f t="shared" si="70"/>
        <v>0</v>
      </c>
      <c r="CD60" s="109">
        <f t="shared" si="71"/>
        <v>0</v>
      </c>
    </row>
    <row r="61" spans="1:82" x14ac:dyDescent="0.25">
      <c r="A61" s="101">
        <f t="shared" si="49"/>
        <v>37712</v>
      </c>
      <c r="B61" s="102">
        <f t="shared" si="50"/>
        <v>3.1120000000000001</v>
      </c>
      <c r="C61" s="80">
        <f t="shared" si="51"/>
        <v>0.26250000000000001</v>
      </c>
      <c r="D61" s="102">
        <f t="shared" si="1"/>
        <v>0.45</v>
      </c>
      <c r="E61" s="106">
        <f t="shared" si="2"/>
        <v>0.98</v>
      </c>
      <c r="F61" s="105">
        <f t="shared" ca="1" si="3"/>
        <v>938</v>
      </c>
      <c r="G61" s="80" t="e">
        <f t="shared" si="4"/>
        <v>#DIV/0!</v>
      </c>
      <c r="H61" s="80" t="e">
        <f t="shared" si="5"/>
        <v>#DIV/0!</v>
      </c>
      <c r="I61" s="104">
        <f t="shared" si="6"/>
        <v>5.05</v>
      </c>
      <c r="K61" s="102">
        <f t="shared" si="7"/>
        <v>0.28000000000000003</v>
      </c>
      <c r="L61" s="106">
        <f t="shared" si="8"/>
        <v>1</v>
      </c>
      <c r="M61" s="105">
        <f t="shared" ca="1" si="9"/>
        <v>938</v>
      </c>
      <c r="N61" s="217" t="e">
        <f t="shared" si="10"/>
        <v>#DIV/0!</v>
      </c>
      <c r="O61" s="80" t="e">
        <f t="shared" si="11"/>
        <v>#DIV/0!</v>
      </c>
      <c r="P61" s="104">
        <f t="shared" si="12"/>
        <v>5.0999999999999996</v>
      </c>
      <c r="R61" s="102">
        <f t="shared" si="13"/>
        <v>1.4999999999999999E-2</v>
      </c>
      <c r="S61" s="106">
        <f t="shared" si="14"/>
        <v>1</v>
      </c>
      <c r="T61" s="105">
        <f t="shared" ca="1" si="15"/>
        <v>938</v>
      </c>
      <c r="U61" s="217" t="e">
        <f t="shared" si="16"/>
        <v>#DIV/0!</v>
      </c>
      <c r="V61" s="80" t="e">
        <f t="shared" si="17"/>
        <v>#DIV/0!</v>
      </c>
      <c r="W61" s="104">
        <f t="shared" si="18"/>
        <v>4.8099999999999996</v>
      </c>
      <c r="X61" s="105"/>
      <c r="Y61" s="102">
        <f t="shared" si="19"/>
        <v>1.4999999999999999E-2</v>
      </c>
      <c r="Z61" s="106">
        <f t="shared" si="20"/>
        <v>1</v>
      </c>
      <c r="AA61" s="105">
        <f t="shared" ca="1" si="21"/>
        <v>938</v>
      </c>
      <c r="AB61" s="80" t="e">
        <f t="shared" si="22"/>
        <v>#DIV/0!</v>
      </c>
      <c r="AC61" s="80" t="e">
        <f t="shared" si="23"/>
        <v>#DIV/0!</v>
      </c>
      <c r="AD61" s="104">
        <f t="shared" si="24"/>
        <v>4.8449999999999998</v>
      </c>
      <c r="AF61" s="105">
        <f t="shared" ca="1" si="52"/>
        <v>938</v>
      </c>
      <c r="AG61" s="105">
        <f t="shared" ca="1" si="53"/>
        <v>937</v>
      </c>
      <c r="AH61" s="80">
        <f t="shared" si="54"/>
        <v>6.9125864762811004E-2</v>
      </c>
      <c r="AI61" s="182">
        <f t="shared" si="25"/>
        <v>30</v>
      </c>
      <c r="AL61" s="105"/>
      <c r="AM61" s="82"/>
      <c r="AN61" s="82">
        <f t="shared" si="26"/>
        <v>0</v>
      </c>
      <c r="AO61" s="82" t="e">
        <f t="shared" si="55"/>
        <v>#DIV/0!</v>
      </c>
      <c r="AP61" s="77">
        <f t="shared" si="27"/>
        <v>0</v>
      </c>
      <c r="AQ61" s="108">
        <f t="shared" si="28"/>
        <v>0</v>
      </c>
      <c r="AR61" s="107">
        <f t="shared" si="29"/>
        <v>0</v>
      </c>
      <c r="AS61" s="107">
        <f t="shared" si="56"/>
        <v>0</v>
      </c>
      <c r="AT61" s="107">
        <f t="shared" si="30"/>
        <v>0</v>
      </c>
      <c r="AU61" s="109">
        <f t="shared" si="57"/>
        <v>0</v>
      </c>
      <c r="AV61" s="109">
        <f t="shared" si="58"/>
        <v>0</v>
      </c>
      <c r="AW61" s="109">
        <f t="shared" si="59"/>
        <v>0</v>
      </c>
      <c r="AY61" s="82">
        <f t="shared" si="31"/>
        <v>0</v>
      </c>
      <c r="AZ61" s="82" t="e">
        <f t="shared" si="60"/>
        <v>#DIV/0!</v>
      </c>
      <c r="BA61" s="77">
        <f t="shared" si="32"/>
        <v>0</v>
      </c>
      <c r="BB61" s="108">
        <f t="shared" si="33"/>
        <v>0</v>
      </c>
      <c r="BC61" s="107">
        <f t="shared" si="34"/>
        <v>0</v>
      </c>
      <c r="BD61" s="107">
        <f t="shared" si="35"/>
        <v>0</v>
      </c>
      <c r="BE61" s="107">
        <f t="shared" si="36"/>
        <v>0</v>
      </c>
      <c r="BF61" s="109">
        <f t="shared" si="61"/>
        <v>0</v>
      </c>
      <c r="BG61" s="109">
        <f t="shared" si="62"/>
        <v>0</v>
      </c>
      <c r="BH61" s="109">
        <f t="shared" si="63"/>
        <v>0</v>
      </c>
      <c r="BJ61" s="82">
        <f t="shared" si="37"/>
        <v>0</v>
      </c>
      <c r="BK61" s="82" t="e">
        <f t="shared" si="64"/>
        <v>#DIV/0!</v>
      </c>
      <c r="BL61" s="77">
        <f t="shared" si="38"/>
        <v>0</v>
      </c>
      <c r="BM61" s="108">
        <f t="shared" si="39"/>
        <v>0</v>
      </c>
      <c r="BN61" s="107">
        <f t="shared" si="40"/>
        <v>0</v>
      </c>
      <c r="BO61" s="107">
        <f t="shared" si="41"/>
        <v>0</v>
      </c>
      <c r="BP61" s="107">
        <f t="shared" si="42"/>
        <v>0</v>
      </c>
      <c r="BQ61" s="109">
        <f t="shared" si="65"/>
        <v>0</v>
      </c>
      <c r="BR61" s="109">
        <f t="shared" si="66"/>
        <v>0</v>
      </c>
      <c r="BS61" s="109">
        <f t="shared" si="67"/>
        <v>0</v>
      </c>
      <c r="BU61" s="82">
        <f t="shared" si="43"/>
        <v>0</v>
      </c>
      <c r="BV61" s="82" t="e">
        <f t="shared" si="68"/>
        <v>#DIV/0!</v>
      </c>
      <c r="BW61" s="77">
        <f t="shared" si="44"/>
        <v>0</v>
      </c>
      <c r="BX61" s="108">
        <f t="shared" si="45"/>
        <v>0</v>
      </c>
      <c r="BY61" s="107">
        <f t="shared" si="46"/>
        <v>0</v>
      </c>
      <c r="BZ61" s="107">
        <f t="shared" si="47"/>
        <v>0</v>
      </c>
      <c r="CA61" s="107">
        <f t="shared" si="48"/>
        <v>0</v>
      </c>
      <c r="CB61" s="109">
        <f t="shared" si="69"/>
        <v>0</v>
      </c>
      <c r="CC61" s="109">
        <f t="shared" si="70"/>
        <v>0</v>
      </c>
      <c r="CD61" s="109">
        <f t="shared" si="71"/>
        <v>0</v>
      </c>
    </row>
    <row r="62" spans="1:82" x14ac:dyDescent="0.25">
      <c r="A62" s="101">
        <f t="shared" si="49"/>
        <v>37742</v>
      </c>
      <c r="B62" s="102">
        <f t="shared" si="50"/>
        <v>3.097</v>
      </c>
      <c r="C62" s="80">
        <f t="shared" si="51"/>
        <v>0.25750000000000001</v>
      </c>
      <c r="D62" s="102">
        <f t="shared" si="1"/>
        <v>0.40500000000000003</v>
      </c>
      <c r="E62" s="106">
        <f t="shared" si="2"/>
        <v>0.98</v>
      </c>
      <c r="F62" s="105">
        <f t="shared" ca="1" si="3"/>
        <v>970</v>
      </c>
      <c r="G62" s="80" t="e">
        <f t="shared" si="4"/>
        <v>#DIV/0!</v>
      </c>
      <c r="H62" s="80" t="e">
        <f t="shared" si="5"/>
        <v>#DIV/0!</v>
      </c>
      <c r="I62" s="104">
        <f t="shared" si="6"/>
        <v>5.05</v>
      </c>
      <c r="K62" s="102">
        <f t="shared" si="7"/>
        <v>0.28000000000000003</v>
      </c>
      <c r="L62" s="106">
        <f t="shared" si="8"/>
        <v>1</v>
      </c>
      <c r="M62" s="105">
        <f t="shared" ca="1" si="9"/>
        <v>970</v>
      </c>
      <c r="N62" s="217" t="e">
        <f t="shared" si="10"/>
        <v>#DIV/0!</v>
      </c>
      <c r="O62" s="80" t="e">
        <f t="shared" si="11"/>
        <v>#DIV/0!</v>
      </c>
      <c r="P62" s="104">
        <f t="shared" si="12"/>
        <v>5.0999999999999996</v>
      </c>
      <c r="R62" s="102">
        <f t="shared" si="13"/>
        <v>1.4999999999999999E-2</v>
      </c>
      <c r="S62" s="106">
        <f t="shared" si="14"/>
        <v>1</v>
      </c>
      <c r="T62" s="105">
        <f t="shared" ca="1" si="15"/>
        <v>970</v>
      </c>
      <c r="U62" s="217" t="e">
        <f t="shared" si="16"/>
        <v>#DIV/0!</v>
      </c>
      <c r="V62" s="80" t="e">
        <f t="shared" si="17"/>
        <v>#DIV/0!</v>
      </c>
      <c r="W62" s="104">
        <f t="shared" si="18"/>
        <v>4.8099999999999996</v>
      </c>
      <c r="X62" s="105"/>
      <c r="Y62" s="102">
        <f t="shared" si="19"/>
        <v>1.4999999999999999E-2</v>
      </c>
      <c r="Z62" s="106">
        <f t="shared" si="20"/>
        <v>1</v>
      </c>
      <c r="AA62" s="105">
        <f t="shared" ca="1" si="21"/>
        <v>970</v>
      </c>
      <c r="AB62" s="80" t="e">
        <f t="shared" si="22"/>
        <v>#DIV/0!</v>
      </c>
      <c r="AC62" s="80" t="e">
        <f t="shared" si="23"/>
        <v>#DIV/0!</v>
      </c>
      <c r="AD62" s="104">
        <f t="shared" si="24"/>
        <v>4.8449999999999998</v>
      </c>
      <c r="AF62" s="105">
        <f t="shared" ca="1" si="52"/>
        <v>970</v>
      </c>
      <c r="AG62" s="105">
        <f t="shared" ca="1" si="53"/>
        <v>967</v>
      </c>
      <c r="AH62" s="80">
        <f t="shared" si="54"/>
        <v>6.9116714336692017E-2</v>
      </c>
      <c r="AI62" s="182">
        <f t="shared" si="25"/>
        <v>31</v>
      </c>
      <c r="AL62" s="105"/>
      <c r="AM62" s="82"/>
      <c r="AN62" s="82">
        <f t="shared" si="26"/>
        <v>0</v>
      </c>
      <c r="AO62" s="82" t="e">
        <f t="shared" si="55"/>
        <v>#DIV/0!</v>
      </c>
      <c r="AP62" s="77">
        <f t="shared" si="27"/>
        <v>0</v>
      </c>
      <c r="AQ62" s="108">
        <f t="shared" si="28"/>
        <v>0</v>
      </c>
      <c r="AR62" s="107">
        <f t="shared" si="29"/>
        <v>0</v>
      </c>
      <c r="AS62" s="107">
        <f t="shared" si="56"/>
        <v>0</v>
      </c>
      <c r="AT62" s="107">
        <f t="shared" si="30"/>
        <v>0</v>
      </c>
      <c r="AU62" s="109">
        <f t="shared" si="57"/>
        <v>0</v>
      </c>
      <c r="AV62" s="109">
        <f t="shared" si="58"/>
        <v>0</v>
      </c>
      <c r="AW62" s="109">
        <f t="shared" si="59"/>
        <v>0</v>
      </c>
      <c r="AY62" s="82">
        <f t="shared" si="31"/>
        <v>0</v>
      </c>
      <c r="AZ62" s="82" t="e">
        <f t="shared" si="60"/>
        <v>#DIV/0!</v>
      </c>
      <c r="BA62" s="77">
        <f t="shared" si="32"/>
        <v>0</v>
      </c>
      <c r="BB62" s="108">
        <f t="shared" si="33"/>
        <v>0</v>
      </c>
      <c r="BC62" s="107">
        <f t="shared" si="34"/>
        <v>0</v>
      </c>
      <c r="BD62" s="107">
        <f t="shared" si="35"/>
        <v>0</v>
      </c>
      <c r="BE62" s="107">
        <f t="shared" si="36"/>
        <v>0</v>
      </c>
      <c r="BF62" s="109">
        <f t="shared" si="61"/>
        <v>0</v>
      </c>
      <c r="BG62" s="109">
        <f t="shared" si="62"/>
        <v>0</v>
      </c>
      <c r="BH62" s="109">
        <f t="shared" si="63"/>
        <v>0</v>
      </c>
      <c r="BJ62" s="82">
        <f t="shared" si="37"/>
        <v>0</v>
      </c>
      <c r="BK62" s="82" t="e">
        <f t="shared" si="64"/>
        <v>#DIV/0!</v>
      </c>
      <c r="BL62" s="77">
        <f t="shared" si="38"/>
        <v>0</v>
      </c>
      <c r="BM62" s="108">
        <f t="shared" si="39"/>
        <v>0</v>
      </c>
      <c r="BN62" s="107">
        <f t="shared" si="40"/>
        <v>0</v>
      </c>
      <c r="BO62" s="107">
        <f t="shared" si="41"/>
        <v>0</v>
      </c>
      <c r="BP62" s="107">
        <f t="shared" si="42"/>
        <v>0</v>
      </c>
      <c r="BQ62" s="109">
        <f t="shared" si="65"/>
        <v>0</v>
      </c>
      <c r="BR62" s="109">
        <f t="shared" si="66"/>
        <v>0</v>
      </c>
      <c r="BS62" s="109">
        <f t="shared" si="67"/>
        <v>0</v>
      </c>
      <c r="BU62" s="82">
        <f t="shared" si="43"/>
        <v>0</v>
      </c>
      <c r="BV62" s="82" t="e">
        <f t="shared" si="68"/>
        <v>#DIV/0!</v>
      </c>
      <c r="BW62" s="77">
        <f t="shared" si="44"/>
        <v>0</v>
      </c>
      <c r="BX62" s="108">
        <f t="shared" si="45"/>
        <v>0</v>
      </c>
      <c r="BY62" s="107">
        <f t="shared" si="46"/>
        <v>0</v>
      </c>
      <c r="BZ62" s="107">
        <f t="shared" si="47"/>
        <v>0</v>
      </c>
      <c r="CA62" s="107">
        <f t="shared" si="48"/>
        <v>0</v>
      </c>
      <c r="CB62" s="109">
        <f t="shared" si="69"/>
        <v>0</v>
      </c>
      <c r="CC62" s="109">
        <f t="shared" si="70"/>
        <v>0</v>
      </c>
      <c r="CD62" s="109">
        <f t="shared" si="71"/>
        <v>0</v>
      </c>
    </row>
    <row r="63" spans="1:82" x14ac:dyDescent="0.25">
      <c r="A63" s="101">
        <f t="shared" si="49"/>
        <v>37773</v>
      </c>
      <c r="B63" s="102">
        <f t="shared" si="50"/>
        <v>3.117</v>
      </c>
      <c r="C63" s="80">
        <f t="shared" si="51"/>
        <v>0.255</v>
      </c>
      <c r="D63" s="102">
        <f t="shared" ref="D63:D94" si="72">IF(D$28="nymex",0,VLOOKUP($A63,curvesettle,HLOOKUP(D$28,curvesettle,2,FALSE)))</f>
        <v>0.39500000000000002</v>
      </c>
      <c r="E63" s="106">
        <f t="shared" ref="E63:E94" si="73">IF(ISNUMBER(VLOOKUP($A63,VOLCURVES,HLOOKUP(D$28,VOLCURVES,2,FALSE),FALSE)),VLOOKUP($A63,VOLCURVES,HLOOKUP(D$28,VOLCURVES,2,FALSE),FALSE),1)</f>
        <v>0.98</v>
      </c>
      <c r="F63" s="105">
        <f t="shared" ref="F63:F94" ca="1" si="74">IF(D$28="NYMEX",$AG63,$AF63)</f>
        <v>1000</v>
      </c>
      <c r="G63" s="80" t="e">
        <f t="shared" ref="G63:G94" si="75">(($C63+H63)*$E63)+B$15</f>
        <v>#DIV/0!</v>
      </c>
      <c r="H63" s="80" t="e">
        <f t="shared" ref="H63:H94" si="76">IF($B$16=1,VLOOKUP($A63,SkewTable,HLOOKUP(ROUND(I63-AO63,1),SkewTable,2,FALSE),FALSE)/100,0)</f>
        <v>#DIV/0!</v>
      </c>
      <c r="I63" s="104">
        <f t="shared" ref="I63:I94" si="77">IF($B$19=4,$AO63,$B$18)</f>
        <v>5.05</v>
      </c>
      <c r="K63" s="102">
        <f t="shared" ref="K63:K94" si="78">IF(K$28="nymex",0,VLOOKUP($A63,curvesettle,HLOOKUP(K$28,curvesettle,2,FALSE)))</f>
        <v>0.28000000000000003</v>
      </c>
      <c r="L63" s="106">
        <f t="shared" ref="L63:L94" si="79">IF(ISNUMBER(VLOOKUP($A63,VOLCURVES,HLOOKUP(K$28,VOLCURVES,2,FALSE),FALSE)),VLOOKUP($A63,VOLCURVES,HLOOKUP(K$28,VOLCURVES,2,FALSE),FALSE),1)</f>
        <v>1</v>
      </c>
      <c r="M63" s="105">
        <f t="shared" ref="M63:M94" ca="1" si="80">IF(K$28="NYMEX",$AG63,$AF63)</f>
        <v>1000</v>
      </c>
      <c r="N63" s="217" t="e">
        <f t="shared" ref="N63:N94" si="81">(($C63+O63)*$L63)+D$15</f>
        <v>#DIV/0!</v>
      </c>
      <c r="O63" s="80" t="e">
        <f t="shared" ref="O63:O94" si="82">IF($D$16=1,VLOOKUP($A63,SkewTable,HLOOKUP(ROUND(P63-AZ63,1),SkewTable,2,FALSE),FALSE)/100,0)</f>
        <v>#DIV/0!</v>
      </c>
      <c r="P63" s="104">
        <f t="shared" ref="P63:P94" si="83">IF($D$19=4,$AZ63,$D$18)</f>
        <v>5.0999999999999996</v>
      </c>
      <c r="R63" s="102">
        <f t="shared" ref="R63:R94" si="84">IF(R$28="nymex",0,VLOOKUP($A63,curvesettle,HLOOKUP(R$28,curvesettle,2,FALSE)))</f>
        <v>0.02</v>
      </c>
      <c r="S63" s="106">
        <f t="shared" ref="S63:S94" si="85">IF(ISNUMBER(VLOOKUP($A63,VOLCURVES,HLOOKUP(R$28,VOLCURVES,2,FALSE),FALSE)),VLOOKUP($A63,VOLCURVES,HLOOKUP(R$28,VOLCURVES,2,FALSE),FALSE),1)</f>
        <v>1</v>
      </c>
      <c r="T63" s="105">
        <f t="shared" ref="T63:T94" ca="1" si="86">IF(R$28="NYMEX",$AG63,$AF63)</f>
        <v>1000</v>
      </c>
      <c r="U63" s="217" t="e">
        <f t="shared" ref="U63:U94" si="87">(($C63+V63)*$S63)+F$15</f>
        <v>#DIV/0!</v>
      </c>
      <c r="V63" s="80" t="e">
        <f t="shared" ref="V63:V94" si="88">IF($F$16=1,VLOOKUP($A63,SkewTable,HLOOKUP(ROUND(W63-BK63,1),SkewTable,2,FALSE),FALSE)/100,0)</f>
        <v>#DIV/0!</v>
      </c>
      <c r="W63" s="104">
        <f t="shared" ref="W63:W94" si="89">IF($F$19=4,$BK63,$F$18)</f>
        <v>4.8099999999999996</v>
      </c>
      <c r="X63" s="105"/>
      <c r="Y63" s="102">
        <f t="shared" ref="Y63:Y94" si="90">IF(Y$28="nymex",0,VLOOKUP($A63,curvesettle,HLOOKUP(Y$28,curvesettle,2,FALSE)))</f>
        <v>0.02</v>
      </c>
      <c r="Z63" s="106">
        <f t="shared" ref="Z63:Z94" si="91">IF(ISNUMBER(VLOOKUP($A63,VOLCURVES,HLOOKUP(Y$28,VOLCURVES,2,FALSE),FALSE)),VLOOKUP($A63,VOLCURVES,HLOOKUP(Y$28,VOLCURVES,2,FALSE),FALSE),1)</f>
        <v>1</v>
      </c>
      <c r="AA63" s="105">
        <f t="shared" ref="AA63:AA94" ca="1" si="92">IF(Y$28="NYMEX",$AG63,$AF63)</f>
        <v>1000</v>
      </c>
      <c r="AB63" s="80" t="e">
        <f t="shared" ref="AB63:AB94" si="93">(($C63+AC63)*$Z63)+H$15</f>
        <v>#DIV/0!</v>
      </c>
      <c r="AC63" s="80" t="e">
        <f t="shared" ref="AC63:AC94" si="94">IF($H$16=1,VLOOKUP($A63,SkewTable,HLOOKUP(ROUND(AD63-BV63,1),SkewTable,2,FALSE),FALSE)/100,0)</f>
        <v>#DIV/0!</v>
      </c>
      <c r="AD63" s="104">
        <f t="shared" ref="AD63:AD94" si="95">IF($H$19=4,$BV63,$H$18)</f>
        <v>4.8449999999999998</v>
      </c>
      <c r="AF63" s="105">
        <f t="shared" ca="1" si="52"/>
        <v>1000</v>
      </c>
      <c r="AG63" s="105">
        <f t="shared" ca="1" si="53"/>
        <v>999</v>
      </c>
      <c r="AH63" s="80">
        <f t="shared" si="54"/>
        <v>6.9107258896399015E-2</v>
      </c>
      <c r="AI63" s="182">
        <f t="shared" si="25"/>
        <v>30</v>
      </c>
      <c r="AL63" s="105"/>
      <c r="AM63" s="82"/>
      <c r="AN63" s="82">
        <f t="shared" ref="AN63:AN94" si="96">IF($A63&gt;=AO$25,IF($A63&lt;=AO$26,$AI63,0),0)</f>
        <v>0</v>
      </c>
      <c r="AO63" s="82" t="e">
        <f t="shared" si="55"/>
        <v>#DIV/0!</v>
      </c>
      <c r="AP63" s="77">
        <f t="shared" ref="AP63:AP94" si="97">AN63*($B63+B$13)</f>
        <v>0</v>
      </c>
      <c r="AQ63" s="108">
        <f t="shared" ref="AQ63:AQ94" si="98">IF(ISNUMBER(((AP63/AN63)+B$14+$D63)*AN63),((AP63/AN63)+B$14+$D63)*AN63,0)</f>
        <v>0</v>
      </c>
      <c r="AR63" s="107">
        <f t="shared" ref="AR63:AR94" si="99">IF(AN63=0,0,bsd(1,AS$27,AO63,$I63,$F63,$G63,$AH63,0.1))</f>
        <v>0</v>
      </c>
      <c r="AS63" s="107">
        <f t="shared" ref="AS63:AS94" si="100">IF(AN63=0,0,bsd(2,AS$27,AO63,$I63,$F63,$G63,$AH63,0.1))</f>
        <v>0</v>
      </c>
      <c r="AT63" s="107">
        <f t="shared" ref="AT63:AT94" si="101">IF(AN63=0,0,bsd(AS$28,AS$27,AO63,$I63,$F63,$G63,$AH63,0.1))</f>
        <v>0</v>
      </c>
      <c r="AU63" s="109">
        <f t="shared" si="57"/>
        <v>0</v>
      </c>
      <c r="AV63" s="109">
        <f t="shared" si="58"/>
        <v>0</v>
      </c>
      <c r="AW63" s="109">
        <f t="shared" si="59"/>
        <v>0</v>
      </c>
      <c r="AY63" s="82">
        <f t="shared" ref="AY63:AY94" si="102">IF($A63&gt;=AZ$25,IF($A63&lt;=AZ$26,$AI63,0),0)</f>
        <v>0</v>
      </c>
      <c r="AZ63" s="82" t="e">
        <f t="shared" si="60"/>
        <v>#DIV/0!</v>
      </c>
      <c r="BA63" s="77">
        <f t="shared" ref="BA63:BA94" si="103">AY63*($B63+D$13)</f>
        <v>0</v>
      </c>
      <c r="BB63" s="108">
        <f t="shared" ref="BB63:BB94" si="104">IF(ISNUMBER(((BA63/AY63)+D$14+$K63)*AY63),((BA63/AY63)+D$14+$K63)*AY63,0)</f>
        <v>0</v>
      </c>
      <c r="BC63" s="107">
        <f t="shared" ref="BC63:BC94" si="105">IF(AY63=0,0,bsd(1,BD$27,AZ63,$P63,$M63,$N63,$AH63,0.1))</f>
        <v>0</v>
      </c>
      <c r="BD63" s="107">
        <f t="shared" ref="BD63:BD94" si="106">IF(AY63=0,0,bsd(2,BD$27,AZ63,$P63,$M63,$N63,$AH63,0.1))</f>
        <v>0</v>
      </c>
      <c r="BE63" s="107">
        <f t="shared" ref="BE63:BE94" si="107">IF(AY63=0,0,bsd(BD$28,BD$27,AZ63,$P63,$M63,$N63,$AH63,0.1))</f>
        <v>0</v>
      </c>
      <c r="BF63" s="109">
        <f t="shared" si="61"/>
        <v>0</v>
      </c>
      <c r="BG63" s="109">
        <f t="shared" si="62"/>
        <v>0</v>
      </c>
      <c r="BH63" s="109">
        <f t="shared" si="63"/>
        <v>0</v>
      </c>
      <c r="BJ63" s="82">
        <f t="shared" ref="BJ63:BJ94" si="108">IF($A63&gt;=BK$25,IF($A63&lt;=BK$26,$AI63,0),0)</f>
        <v>0</v>
      </c>
      <c r="BK63" s="82" t="e">
        <f t="shared" si="64"/>
        <v>#DIV/0!</v>
      </c>
      <c r="BL63" s="77">
        <f t="shared" ref="BL63:BL94" si="109">BJ63*($B63+F$13)</f>
        <v>0</v>
      </c>
      <c r="BM63" s="108">
        <f t="shared" ref="BM63:BM94" si="110">IF(ISNUMBER(((BL63/BJ63)+F$14+$R63)*BJ63),((BL63/BJ63)+F$14+$R63)*BJ63,0)</f>
        <v>0</v>
      </c>
      <c r="BN63" s="107">
        <f t="shared" ref="BN63:BN94" si="111">IF(BJ63=0,0,bsd(1,BO$27,BK63,$W63,$T63,$U63,$AH63,0.1))</f>
        <v>0</v>
      </c>
      <c r="BO63" s="107">
        <f t="shared" ref="BO63:BO94" si="112">IF(BJ63=0,0,bsd(2,BO$27,BK63,$W63,$T63,$U63,$AH63,0.1))</f>
        <v>0</v>
      </c>
      <c r="BP63" s="107">
        <f t="shared" ref="BP63:BP94" si="113">IF(BJ63=0,0,bsd(BO$28,BO$27,BK63,$W63,$T63,$U63,$AH63,0.1))</f>
        <v>0</v>
      </c>
      <c r="BQ63" s="109">
        <f t="shared" si="65"/>
        <v>0</v>
      </c>
      <c r="BR63" s="109">
        <f t="shared" si="66"/>
        <v>0</v>
      </c>
      <c r="BS63" s="109">
        <f t="shared" si="67"/>
        <v>0</v>
      </c>
      <c r="BU63" s="82">
        <f t="shared" ref="BU63:BU94" si="114">IF($A63&gt;=BV$25,IF($A63&lt;=BV$26,$AI63,0),0)</f>
        <v>0</v>
      </c>
      <c r="BV63" s="82" t="e">
        <f t="shared" si="68"/>
        <v>#DIV/0!</v>
      </c>
      <c r="BW63" s="77">
        <f t="shared" ref="BW63:BW94" si="115">BU63*($B63+H$13)</f>
        <v>0</v>
      </c>
      <c r="BX63" s="108">
        <f t="shared" ref="BX63:BX94" si="116">IF(ISNUMBER(((BW63/BU63)+H$14+$Y63)*BU63),((BW63/BU63)+H$14+$Y63)*BU63,0)</f>
        <v>0</v>
      </c>
      <c r="BY63" s="107">
        <f t="shared" ref="BY63:BY94" si="117">IF(BU63=0,0,bsd(1,BZ$27,BV63,$AD63,$AA63,$AB63,$AH63,0.1))</f>
        <v>0</v>
      </c>
      <c r="BZ63" s="107">
        <f t="shared" ref="BZ63:BZ94" si="118">IF(BU63=0,0,bsd(2,BZ$27,BV63,$AD63,$AA63,$AB63,$AH63,0.1))</f>
        <v>0</v>
      </c>
      <c r="CA63" s="107">
        <f t="shared" ref="CA63:CA94" si="119">IF(BU63=0,0,bsd(BZ$28,BZ$27,BV63,$AD63,$AA63,$AB63,$AH63,0.1))</f>
        <v>0</v>
      </c>
      <c r="CB63" s="109">
        <f t="shared" si="69"/>
        <v>0</v>
      </c>
      <c r="CC63" s="109">
        <f t="shared" si="70"/>
        <v>0</v>
      </c>
      <c r="CD63" s="109">
        <f t="shared" si="71"/>
        <v>0</v>
      </c>
    </row>
    <row r="64" spans="1:82" x14ac:dyDescent="0.25">
      <c r="A64" s="101">
        <f t="shared" si="49"/>
        <v>37803</v>
      </c>
      <c r="B64" s="102">
        <f t="shared" si="50"/>
        <v>3.1390000000000002</v>
      </c>
      <c r="C64" s="80">
        <f t="shared" si="51"/>
        <v>0.255</v>
      </c>
      <c r="D64" s="102">
        <f t="shared" si="72"/>
        <v>0.43</v>
      </c>
      <c r="E64" s="106">
        <f t="shared" si="73"/>
        <v>0.98</v>
      </c>
      <c r="F64" s="105">
        <f t="shared" ca="1" si="74"/>
        <v>1029</v>
      </c>
      <c r="G64" s="80" t="e">
        <f t="shared" si="75"/>
        <v>#DIV/0!</v>
      </c>
      <c r="H64" s="80" t="e">
        <f t="shared" si="76"/>
        <v>#DIV/0!</v>
      </c>
      <c r="I64" s="104">
        <f t="shared" si="77"/>
        <v>5.05</v>
      </c>
      <c r="K64" s="102">
        <f t="shared" si="78"/>
        <v>0.28000000000000003</v>
      </c>
      <c r="L64" s="106">
        <f t="shared" si="79"/>
        <v>1</v>
      </c>
      <c r="M64" s="105">
        <f t="shared" ca="1" si="80"/>
        <v>1029</v>
      </c>
      <c r="N64" s="217" t="e">
        <f t="shared" si="81"/>
        <v>#DIV/0!</v>
      </c>
      <c r="O64" s="80" t="e">
        <f t="shared" si="82"/>
        <v>#DIV/0!</v>
      </c>
      <c r="P64" s="104">
        <f t="shared" si="83"/>
        <v>5.0999999999999996</v>
      </c>
      <c r="R64" s="102">
        <f t="shared" si="84"/>
        <v>2.2499999999999999E-2</v>
      </c>
      <c r="S64" s="106">
        <f t="shared" si="85"/>
        <v>1</v>
      </c>
      <c r="T64" s="105">
        <f t="shared" ca="1" si="86"/>
        <v>1029</v>
      </c>
      <c r="U64" s="217" t="e">
        <f t="shared" si="87"/>
        <v>#DIV/0!</v>
      </c>
      <c r="V64" s="80" t="e">
        <f t="shared" si="88"/>
        <v>#DIV/0!</v>
      </c>
      <c r="W64" s="104">
        <f t="shared" si="89"/>
        <v>4.8099999999999996</v>
      </c>
      <c r="X64" s="105"/>
      <c r="Y64" s="102">
        <f t="shared" si="90"/>
        <v>2.2499999999999999E-2</v>
      </c>
      <c r="Z64" s="106">
        <f t="shared" si="91"/>
        <v>1</v>
      </c>
      <c r="AA64" s="105">
        <f t="shared" ca="1" si="92"/>
        <v>1029</v>
      </c>
      <c r="AB64" s="80" t="e">
        <f t="shared" si="93"/>
        <v>#DIV/0!</v>
      </c>
      <c r="AC64" s="80" t="e">
        <f t="shared" si="94"/>
        <v>#DIV/0!</v>
      </c>
      <c r="AD64" s="104">
        <f t="shared" si="95"/>
        <v>4.8449999999999998</v>
      </c>
      <c r="AF64" s="105">
        <f t="shared" ca="1" si="52"/>
        <v>1029</v>
      </c>
      <c r="AG64" s="105">
        <f t="shared" ca="1" si="53"/>
        <v>1028</v>
      </c>
      <c r="AH64" s="80">
        <f t="shared" si="54"/>
        <v>6.9098977225039007E-2</v>
      </c>
      <c r="AI64" s="182">
        <f t="shared" si="25"/>
        <v>31</v>
      </c>
      <c r="AL64" s="105"/>
      <c r="AM64" s="82"/>
      <c r="AN64" s="82">
        <f t="shared" si="96"/>
        <v>0</v>
      </c>
      <c r="AO64" s="82" t="e">
        <f t="shared" si="55"/>
        <v>#DIV/0!</v>
      </c>
      <c r="AP64" s="77">
        <f t="shared" si="97"/>
        <v>0</v>
      </c>
      <c r="AQ64" s="108">
        <f t="shared" si="98"/>
        <v>0</v>
      </c>
      <c r="AR64" s="107">
        <f t="shared" si="99"/>
        <v>0</v>
      </c>
      <c r="AS64" s="107">
        <f t="shared" si="100"/>
        <v>0</v>
      </c>
      <c r="AT64" s="107">
        <f t="shared" si="101"/>
        <v>0</v>
      </c>
      <c r="AU64" s="109">
        <f t="shared" si="57"/>
        <v>0</v>
      </c>
      <c r="AV64" s="109">
        <f t="shared" si="58"/>
        <v>0</v>
      </c>
      <c r="AW64" s="109">
        <f t="shared" si="59"/>
        <v>0</v>
      </c>
      <c r="AY64" s="82">
        <f t="shared" si="102"/>
        <v>0</v>
      </c>
      <c r="AZ64" s="82" t="e">
        <f t="shared" si="60"/>
        <v>#DIV/0!</v>
      </c>
      <c r="BA64" s="77">
        <f t="shared" si="103"/>
        <v>0</v>
      </c>
      <c r="BB64" s="108">
        <f t="shared" si="104"/>
        <v>0</v>
      </c>
      <c r="BC64" s="107">
        <f t="shared" si="105"/>
        <v>0</v>
      </c>
      <c r="BD64" s="107">
        <f t="shared" si="106"/>
        <v>0</v>
      </c>
      <c r="BE64" s="107">
        <f t="shared" si="107"/>
        <v>0</v>
      </c>
      <c r="BF64" s="109">
        <f t="shared" si="61"/>
        <v>0</v>
      </c>
      <c r="BG64" s="109">
        <f t="shared" si="62"/>
        <v>0</v>
      </c>
      <c r="BH64" s="109">
        <f t="shared" si="63"/>
        <v>0</v>
      </c>
      <c r="BJ64" s="82">
        <f t="shared" si="108"/>
        <v>0</v>
      </c>
      <c r="BK64" s="82" t="e">
        <f t="shared" si="64"/>
        <v>#DIV/0!</v>
      </c>
      <c r="BL64" s="77">
        <f t="shared" si="109"/>
        <v>0</v>
      </c>
      <c r="BM64" s="108">
        <f t="shared" si="110"/>
        <v>0</v>
      </c>
      <c r="BN64" s="107">
        <f t="shared" si="111"/>
        <v>0</v>
      </c>
      <c r="BO64" s="107">
        <f t="shared" si="112"/>
        <v>0</v>
      </c>
      <c r="BP64" s="107">
        <f t="shared" si="113"/>
        <v>0</v>
      </c>
      <c r="BQ64" s="109">
        <f t="shared" si="65"/>
        <v>0</v>
      </c>
      <c r="BR64" s="109">
        <f t="shared" si="66"/>
        <v>0</v>
      </c>
      <c r="BS64" s="109">
        <f t="shared" si="67"/>
        <v>0</v>
      </c>
      <c r="BU64" s="82">
        <f t="shared" si="114"/>
        <v>0</v>
      </c>
      <c r="BV64" s="82" t="e">
        <f t="shared" si="68"/>
        <v>#DIV/0!</v>
      </c>
      <c r="BW64" s="77">
        <f t="shared" si="115"/>
        <v>0</v>
      </c>
      <c r="BX64" s="108">
        <f t="shared" si="116"/>
        <v>0</v>
      </c>
      <c r="BY64" s="107">
        <f t="shared" si="117"/>
        <v>0</v>
      </c>
      <c r="BZ64" s="107">
        <f t="shared" si="118"/>
        <v>0</v>
      </c>
      <c r="CA64" s="107">
        <f t="shared" si="119"/>
        <v>0</v>
      </c>
      <c r="CB64" s="109">
        <f t="shared" si="69"/>
        <v>0</v>
      </c>
      <c r="CC64" s="109">
        <f t="shared" si="70"/>
        <v>0</v>
      </c>
      <c r="CD64" s="109">
        <f t="shared" si="71"/>
        <v>0</v>
      </c>
    </row>
    <row r="65" spans="1:82" x14ac:dyDescent="0.25">
      <c r="A65" s="101">
        <f t="shared" si="49"/>
        <v>37834</v>
      </c>
      <c r="B65" s="102">
        <f t="shared" si="50"/>
        <v>3.16</v>
      </c>
      <c r="C65" s="80">
        <f t="shared" si="51"/>
        <v>0.255</v>
      </c>
      <c r="D65" s="102">
        <f t="shared" si="72"/>
        <v>0.495</v>
      </c>
      <c r="E65" s="106">
        <f t="shared" si="73"/>
        <v>0.98</v>
      </c>
      <c r="F65" s="105">
        <f t="shared" ca="1" si="74"/>
        <v>1062</v>
      </c>
      <c r="G65" s="80" t="e">
        <f t="shared" si="75"/>
        <v>#DIV/0!</v>
      </c>
      <c r="H65" s="80" t="e">
        <f t="shared" si="76"/>
        <v>#DIV/0!</v>
      </c>
      <c r="I65" s="104">
        <f t="shared" si="77"/>
        <v>5.05</v>
      </c>
      <c r="K65" s="102">
        <f t="shared" si="78"/>
        <v>0.28000000000000003</v>
      </c>
      <c r="L65" s="106">
        <f t="shared" si="79"/>
        <v>1</v>
      </c>
      <c r="M65" s="105">
        <f t="shared" ca="1" si="80"/>
        <v>1062</v>
      </c>
      <c r="N65" s="217" t="e">
        <f t="shared" si="81"/>
        <v>#DIV/0!</v>
      </c>
      <c r="O65" s="80" t="e">
        <f t="shared" si="82"/>
        <v>#DIV/0!</v>
      </c>
      <c r="P65" s="104">
        <f t="shared" si="83"/>
        <v>5.0999999999999996</v>
      </c>
      <c r="R65" s="102">
        <f t="shared" si="84"/>
        <v>2.5000000000000001E-2</v>
      </c>
      <c r="S65" s="106">
        <f t="shared" si="85"/>
        <v>1</v>
      </c>
      <c r="T65" s="105">
        <f t="shared" ca="1" si="86"/>
        <v>1062</v>
      </c>
      <c r="U65" s="217" t="e">
        <f t="shared" si="87"/>
        <v>#DIV/0!</v>
      </c>
      <c r="V65" s="80" t="e">
        <f t="shared" si="88"/>
        <v>#DIV/0!</v>
      </c>
      <c r="W65" s="104">
        <f t="shared" si="89"/>
        <v>4.8099999999999996</v>
      </c>
      <c r="X65" s="105"/>
      <c r="Y65" s="102">
        <f t="shared" si="90"/>
        <v>2.5000000000000001E-2</v>
      </c>
      <c r="Z65" s="106">
        <f t="shared" si="91"/>
        <v>1</v>
      </c>
      <c r="AA65" s="105">
        <f t="shared" ca="1" si="92"/>
        <v>1062</v>
      </c>
      <c r="AB65" s="80" t="e">
        <f t="shared" si="93"/>
        <v>#DIV/0!</v>
      </c>
      <c r="AC65" s="80" t="e">
        <f t="shared" si="94"/>
        <v>#DIV/0!</v>
      </c>
      <c r="AD65" s="104">
        <f t="shared" si="95"/>
        <v>4.8449999999999998</v>
      </c>
      <c r="AF65" s="105">
        <f t="shared" ca="1" si="52"/>
        <v>1062</v>
      </c>
      <c r="AG65" s="105">
        <f t="shared" ca="1" si="53"/>
        <v>1061</v>
      </c>
      <c r="AH65" s="80">
        <f t="shared" si="54"/>
        <v>6.9091668761529015E-2</v>
      </c>
      <c r="AI65" s="182">
        <f t="shared" si="25"/>
        <v>31</v>
      </c>
      <c r="AL65" s="105"/>
      <c r="AM65" s="82"/>
      <c r="AN65" s="82">
        <f t="shared" si="96"/>
        <v>0</v>
      </c>
      <c r="AO65" s="82" t="e">
        <f t="shared" si="55"/>
        <v>#DIV/0!</v>
      </c>
      <c r="AP65" s="77">
        <f t="shared" si="97"/>
        <v>0</v>
      </c>
      <c r="AQ65" s="108">
        <f t="shared" si="98"/>
        <v>0</v>
      </c>
      <c r="AR65" s="107">
        <f t="shared" si="99"/>
        <v>0</v>
      </c>
      <c r="AS65" s="107">
        <f t="shared" si="100"/>
        <v>0</v>
      </c>
      <c r="AT65" s="107">
        <f t="shared" si="101"/>
        <v>0</v>
      </c>
      <c r="AU65" s="109">
        <f t="shared" si="57"/>
        <v>0</v>
      </c>
      <c r="AV65" s="109">
        <f t="shared" si="58"/>
        <v>0</v>
      </c>
      <c r="AW65" s="109">
        <f t="shared" si="59"/>
        <v>0</v>
      </c>
      <c r="AY65" s="82">
        <f t="shared" si="102"/>
        <v>0</v>
      </c>
      <c r="AZ65" s="82" t="e">
        <f t="shared" si="60"/>
        <v>#DIV/0!</v>
      </c>
      <c r="BA65" s="77">
        <f t="shared" si="103"/>
        <v>0</v>
      </c>
      <c r="BB65" s="108">
        <f t="shared" si="104"/>
        <v>0</v>
      </c>
      <c r="BC65" s="107">
        <f t="shared" si="105"/>
        <v>0</v>
      </c>
      <c r="BD65" s="107">
        <f t="shared" si="106"/>
        <v>0</v>
      </c>
      <c r="BE65" s="107">
        <f t="shared" si="107"/>
        <v>0</v>
      </c>
      <c r="BF65" s="109">
        <f t="shared" si="61"/>
        <v>0</v>
      </c>
      <c r="BG65" s="109">
        <f t="shared" si="62"/>
        <v>0</v>
      </c>
      <c r="BH65" s="109">
        <f t="shared" si="63"/>
        <v>0</v>
      </c>
      <c r="BJ65" s="82">
        <f t="shared" si="108"/>
        <v>0</v>
      </c>
      <c r="BK65" s="82" t="e">
        <f t="shared" si="64"/>
        <v>#DIV/0!</v>
      </c>
      <c r="BL65" s="77">
        <f t="shared" si="109"/>
        <v>0</v>
      </c>
      <c r="BM65" s="108">
        <f t="shared" si="110"/>
        <v>0</v>
      </c>
      <c r="BN65" s="107">
        <f t="shared" si="111"/>
        <v>0</v>
      </c>
      <c r="BO65" s="107">
        <f t="shared" si="112"/>
        <v>0</v>
      </c>
      <c r="BP65" s="107">
        <f t="shared" si="113"/>
        <v>0</v>
      </c>
      <c r="BQ65" s="109">
        <f t="shared" si="65"/>
        <v>0</v>
      </c>
      <c r="BR65" s="109">
        <f t="shared" si="66"/>
        <v>0</v>
      </c>
      <c r="BS65" s="109">
        <f t="shared" si="67"/>
        <v>0</v>
      </c>
      <c r="BU65" s="82">
        <f t="shared" si="114"/>
        <v>0</v>
      </c>
      <c r="BV65" s="82" t="e">
        <f t="shared" si="68"/>
        <v>#DIV/0!</v>
      </c>
      <c r="BW65" s="77">
        <f t="shared" si="115"/>
        <v>0</v>
      </c>
      <c r="BX65" s="108">
        <f t="shared" si="116"/>
        <v>0</v>
      </c>
      <c r="BY65" s="107">
        <f t="shared" si="117"/>
        <v>0</v>
      </c>
      <c r="BZ65" s="107">
        <f t="shared" si="118"/>
        <v>0</v>
      </c>
      <c r="CA65" s="107">
        <f t="shared" si="119"/>
        <v>0</v>
      </c>
      <c r="CB65" s="109">
        <f t="shared" si="69"/>
        <v>0</v>
      </c>
      <c r="CC65" s="109">
        <f t="shared" si="70"/>
        <v>0</v>
      </c>
      <c r="CD65" s="109">
        <f t="shared" si="71"/>
        <v>0</v>
      </c>
    </row>
    <row r="66" spans="1:82" x14ac:dyDescent="0.25">
      <c r="A66" s="101">
        <f t="shared" si="49"/>
        <v>37865</v>
      </c>
      <c r="B66" s="102">
        <f t="shared" si="50"/>
        <v>3.15</v>
      </c>
      <c r="C66" s="80">
        <f t="shared" si="51"/>
        <v>0.255</v>
      </c>
      <c r="D66" s="102">
        <f t="shared" si="72"/>
        <v>0.39500000000000002</v>
      </c>
      <c r="E66" s="106">
        <f t="shared" si="73"/>
        <v>0.98</v>
      </c>
      <c r="F66" s="105">
        <f t="shared" ca="1" si="74"/>
        <v>1091</v>
      </c>
      <c r="G66" s="80" t="e">
        <f t="shared" si="75"/>
        <v>#DIV/0!</v>
      </c>
      <c r="H66" s="80" t="e">
        <f t="shared" si="76"/>
        <v>#DIV/0!</v>
      </c>
      <c r="I66" s="104">
        <f t="shared" si="77"/>
        <v>5.05</v>
      </c>
      <c r="K66" s="102">
        <f t="shared" si="78"/>
        <v>0.28000000000000003</v>
      </c>
      <c r="L66" s="106">
        <f t="shared" si="79"/>
        <v>1</v>
      </c>
      <c r="M66" s="105">
        <f t="shared" ca="1" si="80"/>
        <v>1091</v>
      </c>
      <c r="N66" s="217" t="e">
        <f t="shared" si="81"/>
        <v>#DIV/0!</v>
      </c>
      <c r="O66" s="80" t="e">
        <f t="shared" si="82"/>
        <v>#DIV/0!</v>
      </c>
      <c r="P66" s="104">
        <f t="shared" si="83"/>
        <v>5.0999999999999996</v>
      </c>
      <c r="R66" s="102">
        <f t="shared" si="84"/>
        <v>1.7500000000000002E-2</v>
      </c>
      <c r="S66" s="106">
        <f t="shared" si="85"/>
        <v>1</v>
      </c>
      <c r="T66" s="105">
        <f t="shared" ca="1" si="86"/>
        <v>1091</v>
      </c>
      <c r="U66" s="217" t="e">
        <f t="shared" si="87"/>
        <v>#DIV/0!</v>
      </c>
      <c r="V66" s="80" t="e">
        <f t="shared" si="88"/>
        <v>#DIV/0!</v>
      </c>
      <c r="W66" s="104">
        <f t="shared" si="89"/>
        <v>4.8099999999999996</v>
      </c>
      <c r="X66" s="105"/>
      <c r="Y66" s="102">
        <f t="shared" si="90"/>
        <v>1.7500000000000002E-2</v>
      </c>
      <c r="Z66" s="106">
        <f t="shared" si="91"/>
        <v>1</v>
      </c>
      <c r="AA66" s="105">
        <f t="shared" ca="1" si="92"/>
        <v>1091</v>
      </c>
      <c r="AB66" s="80" t="e">
        <f t="shared" si="93"/>
        <v>#DIV/0!</v>
      </c>
      <c r="AC66" s="80" t="e">
        <f t="shared" si="94"/>
        <v>#DIV/0!</v>
      </c>
      <c r="AD66" s="104">
        <f t="shared" si="95"/>
        <v>4.8449999999999998</v>
      </c>
      <c r="AF66" s="105">
        <f t="shared" ca="1" si="52"/>
        <v>1091</v>
      </c>
      <c r="AG66" s="105">
        <f t="shared" ca="1" si="53"/>
        <v>1090</v>
      </c>
      <c r="AH66" s="80">
        <f t="shared" si="54"/>
        <v>6.9084360298035025E-2</v>
      </c>
      <c r="AI66" s="182">
        <f t="shared" si="25"/>
        <v>30</v>
      </c>
      <c r="AL66" s="105"/>
      <c r="AM66" s="82"/>
      <c r="AN66" s="82">
        <f t="shared" si="96"/>
        <v>0</v>
      </c>
      <c r="AO66" s="82" t="e">
        <f t="shared" si="55"/>
        <v>#DIV/0!</v>
      </c>
      <c r="AP66" s="77">
        <f t="shared" si="97"/>
        <v>0</v>
      </c>
      <c r="AQ66" s="108">
        <f t="shared" si="98"/>
        <v>0</v>
      </c>
      <c r="AR66" s="107">
        <f t="shared" si="99"/>
        <v>0</v>
      </c>
      <c r="AS66" s="107">
        <f t="shared" si="100"/>
        <v>0</v>
      </c>
      <c r="AT66" s="107">
        <f t="shared" si="101"/>
        <v>0</v>
      </c>
      <c r="AU66" s="109">
        <f t="shared" si="57"/>
        <v>0</v>
      </c>
      <c r="AV66" s="109">
        <f t="shared" si="58"/>
        <v>0</v>
      </c>
      <c r="AW66" s="109">
        <f t="shared" si="59"/>
        <v>0</v>
      </c>
      <c r="AY66" s="82">
        <f t="shared" si="102"/>
        <v>0</v>
      </c>
      <c r="AZ66" s="82" t="e">
        <f t="shared" si="60"/>
        <v>#DIV/0!</v>
      </c>
      <c r="BA66" s="77">
        <f t="shared" si="103"/>
        <v>0</v>
      </c>
      <c r="BB66" s="108">
        <f t="shared" si="104"/>
        <v>0</v>
      </c>
      <c r="BC66" s="107">
        <f t="shared" si="105"/>
        <v>0</v>
      </c>
      <c r="BD66" s="107">
        <f t="shared" si="106"/>
        <v>0</v>
      </c>
      <c r="BE66" s="107">
        <f t="shared" si="107"/>
        <v>0</v>
      </c>
      <c r="BF66" s="109">
        <f t="shared" si="61"/>
        <v>0</v>
      </c>
      <c r="BG66" s="109">
        <f t="shared" si="62"/>
        <v>0</v>
      </c>
      <c r="BH66" s="109">
        <f t="shared" si="63"/>
        <v>0</v>
      </c>
      <c r="BJ66" s="82">
        <f t="shared" si="108"/>
        <v>0</v>
      </c>
      <c r="BK66" s="82" t="e">
        <f t="shared" si="64"/>
        <v>#DIV/0!</v>
      </c>
      <c r="BL66" s="77">
        <f t="shared" si="109"/>
        <v>0</v>
      </c>
      <c r="BM66" s="108">
        <f t="shared" si="110"/>
        <v>0</v>
      </c>
      <c r="BN66" s="107">
        <f t="shared" si="111"/>
        <v>0</v>
      </c>
      <c r="BO66" s="107">
        <f t="shared" si="112"/>
        <v>0</v>
      </c>
      <c r="BP66" s="107">
        <f t="shared" si="113"/>
        <v>0</v>
      </c>
      <c r="BQ66" s="109">
        <f t="shared" si="65"/>
        <v>0</v>
      </c>
      <c r="BR66" s="109">
        <f t="shared" si="66"/>
        <v>0</v>
      </c>
      <c r="BS66" s="109">
        <f t="shared" si="67"/>
        <v>0</v>
      </c>
      <c r="BU66" s="82">
        <f t="shared" si="114"/>
        <v>0</v>
      </c>
      <c r="BV66" s="82" t="e">
        <f t="shared" si="68"/>
        <v>#DIV/0!</v>
      </c>
      <c r="BW66" s="77">
        <f t="shared" si="115"/>
        <v>0</v>
      </c>
      <c r="BX66" s="108">
        <f t="shared" si="116"/>
        <v>0</v>
      </c>
      <c r="BY66" s="107">
        <f t="shared" si="117"/>
        <v>0</v>
      </c>
      <c r="BZ66" s="107">
        <f t="shared" si="118"/>
        <v>0</v>
      </c>
      <c r="CA66" s="107">
        <f t="shared" si="119"/>
        <v>0</v>
      </c>
      <c r="CB66" s="109">
        <f t="shared" si="69"/>
        <v>0</v>
      </c>
      <c r="CC66" s="109">
        <f t="shared" si="70"/>
        <v>0</v>
      </c>
      <c r="CD66" s="109">
        <f t="shared" si="71"/>
        <v>0</v>
      </c>
    </row>
    <row r="67" spans="1:82" x14ac:dyDescent="0.25">
      <c r="A67" s="101">
        <f t="shared" si="49"/>
        <v>37895</v>
      </c>
      <c r="B67" s="102">
        <f t="shared" si="50"/>
        <v>3.1549999999999998</v>
      </c>
      <c r="C67" s="80">
        <f t="shared" si="51"/>
        <v>0.255</v>
      </c>
      <c r="D67" s="102">
        <f t="shared" si="72"/>
        <v>0.46100000000000002</v>
      </c>
      <c r="E67" s="106">
        <f t="shared" si="73"/>
        <v>0.98</v>
      </c>
      <c r="F67" s="105">
        <f t="shared" ca="1" si="74"/>
        <v>1121</v>
      </c>
      <c r="G67" s="80" t="e">
        <f t="shared" si="75"/>
        <v>#DIV/0!</v>
      </c>
      <c r="H67" s="80" t="e">
        <f t="shared" si="76"/>
        <v>#DIV/0!</v>
      </c>
      <c r="I67" s="104">
        <f t="shared" si="77"/>
        <v>5.05</v>
      </c>
      <c r="K67" s="102">
        <f t="shared" si="78"/>
        <v>0.28000000000000003</v>
      </c>
      <c r="L67" s="106">
        <f t="shared" si="79"/>
        <v>1</v>
      </c>
      <c r="M67" s="105">
        <f t="shared" ca="1" si="80"/>
        <v>1121</v>
      </c>
      <c r="N67" s="217" t="e">
        <f t="shared" si="81"/>
        <v>#DIV/0!</v>
      </c>
      <c r="O67" s="80" t="e">
        <f t="shared" si="82"/>
        <v>#DIV/0!</v>
      </c>
      <c r="P67" s="104">
        <f t="shared" si="83"/>
        <v>5.0999999999999996</v>
      </c>
      <c r="R67" s="102">
        <f t="shared" si="84"/>
        <v>7.4999999999999997E-3</v>
      </c>
      <c r="S67" s="106">
        <f t="shared" si="85"/>
        <v>1</v>
      </c>
      <c r="T67" s="105">
        <f t="shared" ca="1" si="86"/>
        <v>1121</v>
      </c>
      <c r="U67" s="217" t="e">
        <f t="shared" si="87"/>
        <v>#DIV/0!</v>
      </c>
      <c r="V67" s="80" t="e">
        <f t="shared" si="88"/>
        <v>#DIV/0!</v>
      </c>
      <c r="W67" s="104">
        <f t="shared" si="89"/>
        <v>4.8099999999999996</v>
      </c>
      <c r="X67" s="105"/>
      <c r="Y67" s="102">
        <f t="shared" si="90"/>
        <v>7.4999999999999997E-3</v>
      </c>
      <c r="Z67" s="106">
        <f t="shared" si="91"/>
        <v>1</v>
      </c>
      <c r="AA67" s="105">
        <f t="shared" ca="1" si="92"/>
        <v>1121</v>
      </c>
      <c r="AB67" s="80" t="e">
        <f t="shared" si="93"/>
        <v>#DIV/0!</v>
      </c>
      <c r="AC67" s="80" t="e">
        <f t="shared" si="94"/>
        <v>#DIV/0!</v>
      </c>
      <c r="AD67" s="104">
        <f t="shared" si="95"/>
        <v>4.8449999999999998</v>
      </c>
      <c r="AF67" s="105">
        <f t="shared" ca="1" si="52"/>
        <v>1121</v>
      </c>
      <c r="AG67" s="105">
        <f t="shared" ca="1" si="53"/>
        <v>1120</v>
      </c>
      <c r="AH67" s="80">
        <f t="shared" si="54"/>
        <v>6.9077020617554011E-2</v>
      </c>
      <c r="AI67" s="182">
        <f t="shared" si="25"/>
        <v>31</v>
      </c>
      <c r="AL67" s="105"/>
      <c r="AM67" s="82"/>
      <c r="AN67" s="82">
        <f t="shared" si="96"/>
        <v>0</v>
      </c>
      <c r="AO67" s="82" t="e">
        <f t="shared" si="55"/>
        <v>#DIV/0!</v>
      </c>
      <c r="AP67" s="77">
        <f t="shared" si="97"/>
        <v>0</v>
      </c>
      <c r="AQ67" s="108">
        <f t="shared" si="98"/>
        <v>0</v>
      </c>
      <c r="AR67" s="107">
        <f t="shared" si="99"/>
        <v>0</v>
      </c>
      <c r="AS67" s="107">
        <f t="shared" si="100"/>
        <v>0</v>
      </c>
      <c r="AT67" s="107">
        <f t="shared" si="101"/>
        <v>0</v>
      </c>
      <c r="AU67" s="109">
        <f t="shared" si="57"/>
        <v>0</v>
      </c>
      <c r="AV67" s="109">
        <f t="shared" si="58"/>
        <v>0</v>
      </c>
      <c r="AW67" s="109">
        <f t="shared" si="59"/>
        <v>0</v>
      </c>
      <c r="AY67" s="82">
        <f t="shared" si="102"/>
        <v>0</v>
      </c>
      <c r="AZ67" s="82" t="e">
        <f t="shared" si="60"/>
        <v>#DIV/0!</v>
      </c>
      <c r="BA67" s="77">
        <f t="shared" si="103"/>
        <v>0</v>
      </c>
      <c r="BB67" s="108">
        <f t="shared" si="104"/>
        <v>0</v>
      </c>
      <c r="BC67" s="107">
        <f t="shared" si="105"/>
        <v>0</v>
      </c>
      <c r="BD67" s="107">
        <f t="shared" si="106"/>
        <v>0</v>
      </c>
      <c r="BE67" s="107">
        <f t="shared" si="107"/>
        <v>0</v>
      </c>
      <c r="BF67" s="109">
        <f t="shared" si="61"/>
        <v>0</v>
      </c>
      <c r="BG67" s="109">
        <f t="shared" si="62"/>
        <v>0</v>
      </c>
      <c r="BH67" s="109">
        <f t="shared" si="63"/>
        <v>0</v>
      </c>
      <c r="BJ67" s="82">
        <f t="shared" si="108"/>
        <v>0</v>
      </c>
      <c r="BK67" s="82" t="e">
        <f t="shared" si="64"/>
        <v>#DIV/0!</v>
      </c>
      <c r="BL67" s="77">
        <f t="shared" si="109"/>
        <v>0</v>
      </c>
      <c r="BM67" s="108">
        <f t="shared" si="110"/>
        <v>0</v>
      </c>
      <c r="BN67" s="107">
        <f t="shared" si="111"/>
        <v>0</v>
      </c>
      <c r="BO67" s="107">
        <f t="shared" si="112"/>
        <v>0</v>
      </c>
      <c r="BP67" s="107">
        <f t="shared" si="113"/>
        <v>0</v>
      </c>
      <c r="BQ67" s="109">
        <f t="shared" si="65"/>
        <v>0</v>
      </c>
      <c r="BR67" s="109">
        <f t="shared" si="66"/>
        <v>0</v>
      </c>
      <c r="BS67" s="109">
        <f t="shared" si="67"/>
        <v>0</v>
      </c>
      <c r="BU67" s="82">
        <f t="shared" si="114"/>
        <v>0</v>
      </c>
      <c r="BV67" s="82" t="e">
        <f t="shared" si="68"/>
        <v>#DIV/0!</v>
      </c>
      <c r="BW67" s="77">
        <f t="shared" si="115"/>
        <v>0</v>
      </c>
      <c r="BX67" s="108">
        <f t="shared" si="116"/>
        <v>0</v>
      </c>
      <c r="BY67" s="107">
        <f t="shared" si="117"/>
        <v>0</v>
      </c>
      <c r="BZ67" s="107">
        <f t="shared" si="118"/>
        <v>0</v>
      </c>
      <c r="CA67" s="107">
        <f t="shared" si="119"/>
        <v>0</v>
      </c>
      <c r="CB67" s="109">
        <f t="shared" si="69"/>
        <v>0</v>
      </c>
      <c r="CC67" s="109">
        <f t="shared" si="70"/>
        <v>0</v>
      </c>
      <c r="CD67" s="109">
        <f t="shared" si="71"/>
        <v>0</v>
      </c>
    </row>
    <row r="68" spans="1:82" x14ac:dyDescent="0.25">
      <c r="A68" s="101">
        <f t="shared" si="49"/>
        <v>37926</v>
      </c>
      <c r="B68" s="102">
        <f t="shared" si="50"/>
        <v>3.2469999999999999</v>
      </c>
      <c r="C68" s="80">
        <f t="shared" si="51"/>
        <v>0.26500000000000001</v>
      </c>
      <c r="D68" s="102">
        <f t="shared" si="72"/>
        <v>0.75749999999999995</v>
      </c>
      <c r="E68" s="106">
        <f t="shared" si="73"/>
        <v>1.1000000000000001</v>
      </c>
      <c r="F68" s="105">
        <f t="shared" ca="1" si="74"/>
        <v>1154</v>
      </c>
      <c r="G68" s="80" t="e">
        <f t="shared" si="75"/>
        <v>#DIV/0!</v>
      </c>
      <c r="H68" s="80" t="e">
        <f t="shared" si="76"/>
        <v>#DIV/0!</v>
      </c>
      <c r="I68" s="104">
        <f t="shared" si="77"/>
        <v>5.05</v>
      </c>
      <c r="K68" s="102">
        <f t="shared" si="78"/>
        <v>0.18</v>
      </c>
      <c r="L68" s="106">
        <f t="shared" si="79"/>
        <v>1</v>
      </c>
      <c r="M68" s="105">
        <f t="shared" ca="1" si="80"/>
        <v>1154</v>
      </c>
      <c r="N68" s="217" t="e">
        <f t="shared" si="81"/>
        <v>#DIV/0!</v>
      </c>
      <c r="O68" s="80" t="e">
        <f t="shared" si="82"/>
        <v>#DIV/0!</v>
      </c>
      <c r="P68" s="104">
        <f t="shared" si="83"/>
        <v>5.0999999999999996</v>
      </c>
      <c r="R68" s="102">
        <f t="shared" si="84"/>
        <v>-3.2500000000000001E-2</v>
      </c>
      <c r="S68" s="106">
        <f t="shared" si="85"/>
        <v>1</v>
      </c>
      <c r="T68" s="105">
        <f t="shared" ca="1" si="86"/>
        <v>1154</v>
      </c>
      <c r="U68" s="217" t="e">
        <f t="shared" si="87"/>
        <v>#DIV/0!</v>
      </c>
      <c r="V68" s="80" t="e">
        <f t="shared" si="88"/>
        <v>#DIV/0!</v>
      </c>
      <c r="W68" s="104">
        <f t="shared" si="89"/>
        <v>4.8099999999999996</v>
      </c>
      <c r="X68" s="105"/>
      <c r="Y68" s="102">
        <f t="shared" si="90"/>
        <v>-3.2500000000000001E-2</v>
      </c>
      <c r="Z68" s="106">
        <f t="shared" si="91"/>
        <v>1</v>
      </c>
      <c r="AA68" s="105">
        <f t="shared" ca="1" si="92"/>
        <v>1154</v>
      </c>
      <c r="AB68" s="80" t="e">
        <f t="shared" si="93"/>
        <v>#DIV/0!</v>
      </c>
      <c r="AC68" s="80" t="e">
        <f t="shared" si="94"/>
        <v>#DIV/0!</v>
      </c>
      <c r="AD68" s="104">
        <f t="shared" si="95"/>
        <v>4.8449999999999998</v>
      </c>
      <c r="AF68" s="105">
        <f t="shared" ca="1" si="52"/>
        <v>1154</v>
      </c>
      <c r="AG68" s="105">
        <f t="shared" ca="1" si="53"/>
        <v>1153</v>
      </c>
      <c r="AH68" s="80">
        <f t="shared" si="54"/>
        <v>6.9069100944941009E-2</v>
      </c>
      <c r="AI68" s="182">
        <f t="shared" si="25"/>
        <v>30</v>
      </c>
      <c r="AL68" s="105"/>
      <c r="AM68" s="82"/>
      <c r="AN68" s="82">
        <f t="shared" si="96"/>
        <v>0</v>
      </c>
      <c r="AO68" s="82" t="e">
        <f t="shared" si="55"/>
        <v>#DIV/0!</v>
      </c>
      <c r="AP68" s="77">
        <f t="shared" si="97"/>
        <v>0</v>
      </c>
      <c r="AQ68" s="108">
        <f t="shared" si="98"/>
        <v>0</v>
      </c>
      <c r="AR68" s="107">
        <f t="shared" si="99"/>
        <v>0</v>
      </c>
      <c r="AS68" s="107">
        <f t="shared" si="100"/>
        <v>0</v>
      </c>
      <c r="AT68" s="107">
        <f t="shared" si="101"/>
        <v>0</v>
      </c>
      <c r="AU68" s="109">
        <f t="shared" si="57"/>
        <v>0</v>
      </c>
      <c r="AV68" s="109">
        <f t="shared" si="58"/>
        <v>0</v>
      </c>
      <c r="AW68" s="109">
        <f t="shared" si="59"/>
        <v>0</v>
      </c>
      <c r="AY68" s="82">
        <f t="shared" si="102"/>
        <v>0</v>
      </c>
      <c r="AZ68" s="82" t="e">
        <f t="shared" si="60"/>
        <v>#DIV/0!</v>
      </c>
      <c r="BA68" s="77">
        <f t="shared" si="103"/>
        <v>0</v>
      </c>
      <c r="BB68" s="108">
        <f t="shared" si="104"/>
        <v>0</v>
      </c>
      <c r="BC68" s="107">
        <f t="shared" si="105"/>
        <v>0</v>
      </c>
      <c r="BD68" s="107">
        <f t="shared" si="106"/>
        <v>0</v>
      </c>
      <c r="BE68" s="107">
        <f t="shared" si="107"/>
        <v>0</v>
      </c>
      <c r="BF68" s="109">
        <f t="shared" si="61"/>
        <v>0</v>
      </c>
      <c r="BG68" s="109">
        <f t="shared" si="62"/>
        <v>0</v>
      </c>
      <c r="BH68" s="109">
        <f t="shared" si="63"/>
        <v>0</v>
      </c>
      <c r="BJ68" s="82">
        <f t="shared" si="108"/>
        <v>0</v>
      </c>
      <c r="BK68" s="82" t="e">
        <f t="shared" si="64"/>
        <v>#DIV/0!</v>
      </c>
      <c r="BL68" s="77">
        <f t="shared" si="109"/>
        <v>0</v>
      </c>
      <c r="BM68" s="108">
        <f t="shared" si="110"/>
        <v>0</v>
      </c>
      <c r="BN68" s="107">
        <f t="shared" si="111"/>
        <v>0</v>
      </c>
      <c r="BO68" s="107">
        <f t="shared" si="112"/>
        <v>0</v>
      </c>
      <c r="BP68" s="107">
        <f t="shared" si="113"/>
        <v>0</v>
      </c>
      <c r="BQ68" s="109">
        <f t="shared" si="65"/>
        <v>0</v>
      </c>
      <c r="BR68" s="109">
        <f t="shared" si="66"/>
        <v>0</v>
      </c>
      <c r="BS68" s="109">
        <f t="shared" si="67"/>
        <v>0</v>
      </c>
      <c r="BU68" s="82">
        <f t="shared" si="114"/>
        <v>0</v>
      </c>
      <c r="BV68" s="82" t="e">
        <f t="shared" si="68"/>
        <v>#DIV/0!</v>
      </c>
      <c r="BW68" s="77">
        <f t="shared" si="115"/>
        <v>0</v>
      </c>
      <c r="BX68" s="108">
        <f t="shared" si="116"/>
        <v>0</v>
      </c>
      <c r="BY68" s="107">
        <f t="shared" si="117"/>
        <v>0</v>
      </c>
      <c r="BZ68" s="107">
        <f t="shared" si="118"/>
        <v>0</v>
      </c>
      <c r="CA68" s="107">
        <f t="shared" si="119"/>
        <v>0</v>
      </c>
      <c r="CB68" s="109">
        <f t="shared" si="69"/>
        <v>0</v>
      </c>
      <c r="CC68" s="109">
        <f t="shared" si="70"/>
        <v>0</v>
      </c>
      <c r="CD68" s="109">
        <f t="shared" si="71"/>
        <v>0</v>
      </c>
    </row>
    <row r="69" spans="1:82" x14ac:dyDescent="0.25">
      <c r="A69" s="101">
        <f t="shared" si="49"/>
        <v>37956</v>
      </c>
      <c r="B69" s="102">
        <f t="shared" si="50"/>
        <v>3.3290000000000006</v>
      </c>
      <c r="C69" s="80">
        <f t="shared" si="51"/>
        <v>0.27</v>
      </c>
      <c r="D69" s="102">
        <f t="shared" si="72"/>
        <v>1.17</v>
      </c>
      <c r="E69" s="106">
        <f t="shared" si="73"/>
        <v>1.1000000000000001</v>
      </c>
      <c r="F69" s="105">
        <f t="shared" ca="1" si="74"/>
        <v>1181</v>
      </c>
      <c r="G69" s="80" t="e">
        <f t="shared" si="75"/>
        <v>#DIV/0!</v>
      </c>
      <c r="H69" s="80" t="e">
        <f t="shared" si="76"/>
        <v>#DIV/0!</v>
      </c>
      <c r="I69" s="104">
        <f t="shared" si="77"/>
        <v>5.05</v>
      </c>
      <c r="K69" s="102">
        <f t="shared" si="78"/>
        <v>0.18</v>
      </c>
      <c r="L69" s="106">
        <f t="shared" si="79"/>
        <v>1</v>
      </c>
      <c r="M69" s="105">
        <f t="shared" ca="1" si="80"/>
        <v>1181</v>
      </c>
      <c r="N69" s="217" t="e">
        <f t="shared" si="81"/>
        <v>#DIV/0!</v>
      </c>
      <c r="O69" s="80" t="e">
        <f t="shared" si="82"/>
        <v>#DIV/0!</v>
      </c>
      <c r="P69" s="104">
        <f t="shared" si="83"/>
        <v>5.0999999999999996</v>
      </c>
      <c r="R69" s="102">
        <f t="shared" si="84"/>
        <v>-5.5E-2</v>
      </c>
      <c r="S69" s="106">
        <f t="shared" si="85"/>
        <v>1</v>
      </c>
      <c r="T69" s="105">
        <f t="shared" ca="1" si="86"/>
        <v>1181</v>
      </c>
      <c r="U69" s="217" t="e">
        <f t="shared" si="87"/>
        <v>#DIV/0!</v>
      </c>
      <c r="V69" s="80" t="e">
        <f t="shared" si="88"/>
        <v>#DIV/0!</v>
      </c>
      <c r="W69" s="104">
        <f t="shared" si="89"/>
        <v>4.8099999999999996</v>
      </c>
      <c r="X69" s="105"/>
      <c r="Y69" s="102">
        <f t="shared" si="90"/>
        <v>-5.5E-2</v>
      </c>
      <c r="Z69" s="106">
        <f t="shared" si="91"/>
        <v>1</v>
      </c>
      <c r="AA69" s="105">
        <f t="shared" ca="1" si="92"/>
        <v>1181</v>
      </c>
      <c r="AB69" s="80" t="e">
        <f t="shared" si="93"/>
        <v>#DIV/0!</v>
      </c>
      <c r="AC69" s="80" t="e">
        <f t="shared" si="94"/>
        <v>#DIV/0!</v>
      </c>
      <c r="AD69" s="104">
        <f t="shared" si="95"/>
        <v>4.8449999999999998</v>
      </c>
      <c r="AF69" s="105">
        <f t="shared" ca="1" si="52"/>
        <v>1181</v>
      </c>
      <c r="AG69" s="105">
        <f t="shared" ca="1" si="53"/>
        <v>1180</v>
      </c>
      <c r="AH69" s="80">
        <f t="shared" si="54"/>
        <v>6.9061436745656998E-2</v>
      </c>
      <c r="AI69" s="182">
        <f t="shared" si="25"/>
        <v>31</v>
      </c>
      <c r="AL69" s="105"/>
      <c r="AM69" s="82"/>
      <c r="AN69" s="82">
        <f t="shared" si="96"/>
        <v>0</v>
      </c>
      <c r="AO69" s="82" t="e">
        <f t="shared" si="55"/>
        <v>#DIV/0!</v>
      </c>
      <c r="AP69" s="77">
        <f t="shared" si="97"/>
        <v>0</v>
      </c>
      <c r="AQ69" s="108">
        <f t="shared" si="98"/>
        <v>0</v>
      </c>
      <c r="AR69" s="107">
        <f t="shared" si="99"/>
        <v>0</v>
      </c>
      <c r="AS69" s="107">
        <f t="shared" si="100"/>
        <v>0</v>
      </c>
      <c r="AT69" s="107">
        <f t="shared" si="101"/>
        <v>0</v>
      </c>
      <c r="AU69" s="109">
        <f t="shared" si="57"/>
        <v>0</v>
      </c>
      <c r="AV69" s="109">
        <f t="shared" si="58"/>
        <v>0</v>
      </c>
      <c r="AW69" s="109">
        <f t="shared" si="59"/>
        <v>0</v>
      </c>
      <c r="AY69" s="82">
        <f t="shared" si="102"/>
        <v>0</v>
      </c>
      <c r="AZ69" s="82" t="e">
        <f t="shared" si="60"/>
        <v>#DIV/0!</v>
      </c>
      <c r="BA69" s="77">
        <f t="shared" si="103"/>
        <v>0</v>
      </c>
      <c r="BB69" s="108">
        <f t="shared" si="104"/>
        <v>0</v>
      </c>
      <c r="BC69" s="107">
        <f t="shared" si="105"/>
        <v>0</v>
      </c>
      <c r="BD69" s="107">
        <f t="shared" si="106"/>
        <v>0</v>
      </c>
      <c r="BE69" s="107">
        <f t="shared" si="107"/>
        <v>0</v>
      </c>
      <c r="BF69" s="109">
        <f t="shared" si="61"/>
        <v>0</v>
      </c>
      <c r="BG69" s="109">
        <f t="shared" si="62"/>
        <v>0</v>
      </c>
      <c r="BH69" s="109">
        <f t="shared" si="63"/>
        <v>0</v>
      </c>
      <c r="BJ69" s="82">
        <f t="shared" si="108"/>
        <v>0</v>
      </c>
      <c r="BK69" s="82" t="e">
        <f t="shared" si="64"/>
        <v>#DIV/0!</v>
      </c>
      <c r="BL69" s="77">
        <f t="shared" si="109"/>
        <v>0</v>
      </c>
      <c r="BM69" s="108">
        <f t="shared" si="110"/>
        <v>0</v>
      </c>
      <c r="BN69" s="107">
        <f t="shared" si="111"/>
        <v>0</v>
      </c>
      <c r="BO69" s="107">
        <f t="shared" si="112"/>
        <v>0</v>
      </c>
      <c r="BP69" s="107">
        <f t="shared" si="113"/>
        <v>0</v>
      </c>
      <c r="BQ69" s="109">
        <f t="shared" si="65"/>
        <v>0</v>
      </c>
      <c r="BR69" s="109">
        <f t="shared" si="66"/>
        <v>0</v>
      </c>
      <c r="BS69" s="109">
        <f t="shared" si="67"/>
        <v>0</v>
      </c>
      <c r="BU69" s="82">
        <f t="shared" si="114"/>
        <v>0</v>
      </c>
      <c r="BV69" s="82" t="e">
        <f t="shared" si="68"/>
        <v>#DIV/0!</v>
      </c>
      <c r="BW69" s="77">
        <f t="shared" si="115"/>
        <v>0</v>
      </c>
      <c r="BX69" s="108">
        <f t="shared" si="116"/>
        <v>0</v>
      </c>
      <c r="BY69" s="107">
        <f t="shared" si="117"/>
        <v>0</v>
      </c>
      <c r="BZ69" s="107">
        <f t="shared" si="118"/>
        <v>0</v>
      </c>
      <c r="CA69" s="107">
        <f t="shared" si="119"/>
        <v>0</v>
      </c>
      <c r="CB69" s="109">
        <f t="shared" si="69"/>
        <v>0</v>
      </c>
      <c r="CC69" s="109">
        <f t="shared" si="70"/>
        <v>0</v>
      </c>
      <c r="CD69" s="109">
        <f t="shared" si="71"/>
        <v>0</v>
      </c>
    </row>
    <row r="70" spans="1:82" x14ac:dyDescent="0.25">
      <c r="A70" s="101">
        <f t="shared" si="49"/>
        <v>37987</v>
      </c>
      <c r="B70" s="102">
        <f t="shared" si="50"/>
        <v>3.4740000000000002</v>
      </c>
      <c r="C70" s="80">
        <f t="shared" si="51"/>
        <v>0.28749999999999998</v>
      </c>
      <c r="D70" s="102">
        <f t="shared" si="72"/>
        <v>1.4950000000000001</v>
      </c>
      <c r="E70" s="106">
        <f t="shared" si="73"/>
        <v>1.1000000000000001</v>
      </c>
      <c r="F70" s="105">
        <f t="shared" ca="1" si="74"/>
        <v>1215</v>
      </c>
      <c r="G70" s="80" t="e">
        <f t="shared" si="75"/>
        <v>#DIV/0!</v>
      </c>
      <c r="H70" s="80" t="e">
        <f t="shared" si="76"/>
        <v>#DIV/0!</v>
      </c>
      <c r="I70" s="104">
        <f t="shared" si="77"/>
        <v>5.05</v>
      </c>
      <c r="K70" s="102">
        <f t="shared" si="78"/>
        <v>0.18</v>
      </c>
      <c r="L70" s="106">
        <f t="shared" si="79"/>
        <v>1</v>
      </c>
      <c r="M70" s="105">
        <f t="shared" ca="1" si="80"/>
        <v>1215</v>
      </c>
      <c r="N70" s="217" t="e">
        <f t="shared" si="81"/>
        <v>#DIV/0!</v>
      </c>
      <c r="O70" s="80" t="e">
        <f t="shared" si="82"/>
        <v>#DIV/0!</v>
      </c>
      <c r="P70" s="104">
        <f t="shared" si="83"/>
        <v>5.0999999999999996</v>
      </c>
      <c r="R70" s="102">
        <f t="shared" si="84"/>
        <v>-5.7500000000000002E-2</v>
      </c>
      <c r="S70" s="106">
        <f t="shared" si="85"/>
        <v>1</v>
      </c>
      <c r="T70" s="105">
        <f t="shared" ca="1" si="86"/>
        <v>1215</v>
      </c>
      <c r="U70" s="217" t="e">
        <f t="shared" si="87"/>
        <v>#DIV/0!</v>
      </c>
      <c r="V70" s="80" t="e">
        <f t="shared" si="88"/>
        <v>#DIV/0!</v>
      </c>
      <c r="W70" s="104">
        <f t="shared" si="89"/>
        <v>4.8099999999999996</v>
      </c>
      <c r="X70" s="105"/>
      <c r="Y70" s="102">
        <f t="shared" si="90"/>
        <v>-5.7500000000000002E-2</v>
      </c>
      <c r="Z70" s="106">
        <f t="shared" si="91"/>
        <v>1</v>
      </c>
      <c r="AA70" s="105">
        <f t="shared" ca="1" si="92"/>
        <v>1215</v>
      </c>
      <c r="AB70" s="80" t="e">
        <f t="shared" si="93"/>
        <v>#DIV/0!</v>
      </c>
      <c r="AC70" s="80" t="e">
        <f t="shared" si="94"/>
        <v>#DIV/0!</v>
      </c>
      <c r="AD70" s="104">
        <f t="shared" si="95"/>
        <v>4.8449999999999998</v>
      </c>
      <c r="AF70" s="105">
        <f t="shared" ca="1" si="52"/>
        <v>1215</v>
      </c>
      <c r="AG70" s="105">
        <f t="shared" ca="1" si="53"/>
        <v>1212</v>
      </c>
      <c r="AH70" s="80">
        <f t="shared" si="54"/>
        <v>6.9060876284692999E-2</v>
      </c>
      <c r="AI70" s="182">
        <f t="shared" si="25"/>
        <v>31</v>
      </c>
      <c r="AL70" s="105"/>
      <c r="AM70" s="82"/>
      <c r="AN70" s="82">
        <f t="shared" si="96"/>
        <v>0</v>
      </c>
      <c r="AO70" s="82" t="e">
        <f t="shared" si="55"/>
        <v>#DIV/0!</v>
      </c>
      <c r="AP70" s="77">
        <f t="shared" si="97"/>
        <v>0</v>
      </c>
      <c r="AQ70" s="108">
        <f t="shared" si="98"/>
        <v>0</v>
      </c>
      <c r="AR70" s="107">
        <f t="shared" si="99"/>
        <v>0</v>
      </c>
      <c r="AS70" s="107">
        <f t="shared" si="100"/>
        <v>0</v>
      </c>
      <c r="AT70" s="107">
        <f t="shared" si="101"/>
        <v>0</v>
      </c>
      <c r="AU70" s="109">
        <f t="shared" si="57"/>
        <v>0</v>
      </c>
      <c r="AV70" s="109">
        <f t="shared" si="58"/>
        <v>0</v>
      </c>
      <c r="AW70" s="109">
        <f t="shared" si="59"/>
        <v>0</v>
      </c>
      <c r="AY70" s="82">
        <f t="shared" si="102"/>
        <v>0</v>
      </c>
      <c r="AZ70" s="82" t="e">
        <f t="shared" si="60"/>
        <v>#DIV/0!</v>
      </c>
      <c r="BA70" s="77">
        <f t="shared" si="103"/>
        <v>0</v>
      </c>
      <c r="BB70" s="108">
        <f t="shared" si="104"/>
        <v>0</v>
      </c>
      <c r="BC70" s="107">
        <f t="shared" si="105"/>
        <v>0</v>
      </c>
      <c r="BD70" s="107">
        <f t="shared" si="106"/>
        <v>0</v>
      </c>
      <c r="BE70" s="107">
        <f t="shared" si="107"/>
        <v>0</v>
      </c>
      <c r="BF70" s="109">
        <f t="shared" si="61"/>
        <v>0</v>
      </c>
      <c r="BG70" s="109">
        <f t="shared" si="62"/>
        <v>0</v>
      </c>
      <c r="BH70" s="109">
        <f t="shared" si="63"/>
        <v>0</v>
      </c>
      <c r="BJ70" s="82">
        <f t="shared" si="108"/>
        <v>0</v>
      </c>
      <c r="BK70" s="82" t="e">
        <f t="shared" si="64"/>
        <v>#DIV/0!</v>
      </c>
      <c r="BL70" s="77">
        <f t="shared" si="109"/>
        <v>0</v>
      </c>
      <c r="BM70" s="108">
        <f t="shared" si="110"/>
        <v>0</v>
      </c>
      <c r="BN70" s="107">
        <f t="shared" si="111"/>
        <v>0</v>
      </c>
      <c r="BO70" s="107">
        <f t="shared" si="112"/>
        <v>0</v>
      </c>
      <c r="BP70" s="107">
        <f t="shared" si="113"/>
        <v>0</v>
      </c>
      <c r="BQ70" s="109">
        <f t="shared" si="65"/>
        <v>0</v>
      </c>
      <c r="BR70" s="109">
        <f t="shared" si="66"/>
        <v>0</v>
      </c>
      <c r="BS70" s="109">
        <f t="shared" si="67"/>
        <v>0</v>
      </c>
      <c r="BU70" s="82">
        <f t="shared" si="114"/>
        <v>0</v>
      </c>
      <c r="BV70" s="82" t="e">
        <f t="shared" si="68"/>
        <v>#DIV/0!</v>
      </c>
      <c r="BW70" s="77">
        <f t="shared" si="115"/>
        <v>0</v>
      </c>
      <c r="BX70" s="108">
        <f t="shared" si="116"/>
        <v>0</v>
      </c>
      <c r="BY70" s="107">
        <f t="shared" si="117"/>
        <v>0</v>
      </c>
      <c r="BZ70" s="107">
        <f t="shared" si="118"/>
        <v>0</v>
      </c>
      <c r="CA70" s="107">
        <f t="shared" si="119"/>
        <v>0</v>
      </c>
      <c r="CB70" s="109">
        <f t="shared" si="69"/>
        <v>0</v>
      </c>
      <c r="CC70" s="109">
        <f t="shared" si="70"/>
        <v>0</v>
      </c>
      <c r="CD70" s="109">
        <f t="shared" si="71"/>
        <v>0</v>
      </c>
    </row>
    <row r="71" spans="1:82" x14ac:dyDescent="0.25">
      <c r="A71" s="101">
        <f t="shared" si="49"/>
        <v>38018</v>
      </c>
      <c r="B71" s="102">
        <f t="shared" si="50"/>
        <v>3.3360000000000003</v>
      </c>
      <c r="C71" s="80">
        <f t="shared" si="51"/>
        <v>0.27500000000000002</v>
      </c>
      <c r="D71" s="102">
        <f t="shared" si="72"/>
        <v>1.425</v>
      </c>
      <c r="E71" s="106">
        <f t="shared" si="73"/>
        <v>1.1000000000000001</v>
      </c>
      <c r="F71" s="105">
        <f t="shared" ca="1" si="74"/>
        <v>1245</v>
      </c>
      <c r="G71" s="80" t="e">
        <f t="shared" si="75"/>
        <v>#DIV/0!</v>
      </c>
      <c r="H71" s="80" t="e">
        <f t="shared" si="76"/>
        <v>#DIV/0!</v>
      </c>
      <c r="I71" s="104">
        <f t="shared" si="77"/>
        <v>5.05</v>
      </c>
      <c r="K71" s="102">
        <f t="shared" si="78"/>
        <v>0.18</v>
      </c>
      <c r="L71" s="106">
        <f t="shared" si="79"/>
        <v>1</v>
      </c>
      <c r="M71" s="105">
        <f t="shared" ca="1" si="80"/>
        <v>1245</v>
      </c>
      <c r="N71" s="217" t="e">
        <f t="shared" si="81"/>
        <v>#DIV/0!</v>
      </c>
      <c r="O71" s="80" t="e">
        <f t="shared" si="82"/>
        <v>#DIV/0!</v>
      </c>
      <c r="P71" s="104">
        <f t="shared" si="83"/>
        <v>5.0999999999999996</v>
      </c>
      <c r="R71" s="102">
        <f t="shared" si="84"/>
        <v>-0.04</v>
      </c>
      <c r="S71" s="106">
        <f t="shared" si="85"/>
        <v>1</v>
      </c>
      <c r="T71" s="105">
        <f t="shared" ca="1" si="86"/>
        <v>1245</v>
      </c>
      <c r="U71" s="217" t="e">
        <f t="shared" si="87"/>
        <v>#DIV/0!</v>
      </c>
      <c r="V71" s="80" t="e">
        <f t="shared" si="88"/>
        <v>#DIV/0!</v>
      </c>
      <c r="W71" s="104">
        <f t="shared" si="89"/>
        <v>4.8099999999999996</v>
      </c>
      <c r="X71" s="105"/>
      <c r="Y71" s="102">
        <f t="shared" si="90"/>
        <v>-0.04</v>
      </c>
      <c r="Z71" s="106">
        <f t="shared" si="91"/>
        <v>1</v>
      </c>
      <c r="AA71" s="105">
        <f t="shared" ca="1" si="92"/>
        <v>1245</v>
      </c>
      <c r="AB71" s="80" t="e">
        <f t="shared" si="93"/>
        <v>#DIV/0!</v>
      </c>
      <c r="AC71" s="80" t="e">
        <f t="shared" si="94"/>
        <v>#DIV/0!</v>
      </c>
      <c r="AD71" s="104">
        <f t="shared" si="95"/>
        <v>4.8449999999999998</v>
      </c>
      <c r="AF71" s="105">
        <f t="shared" ca="1" si="52"/>
        <v>1245</v>
      </c>
      <c r="AG71" s="105">
        <f t="shared" ca="1" si="53"/>
        <v>1244</v>
      </c>
      <c r="AH71" s="80">
        <f t="shared" si="54"/>
        <v>6.9068165649462027E-2</v>
      </c>
      <c r="AI71" s="182">
        <f t="shared" si="25"/>
        <v>29</v>
      </c>
      <c r="AL71" s="105"/>
      <c r="AM71" s="82"/>
      <c r="AN71" s="82">
        <f t="shared" si="96"/>
        <v>0</v>
      </c>
      <c r="AO71" s="82" t="e">
        <f t="shared" si="55"/>
        <v>#DIV/0!</v>
      </c>
      <c r="AP71" s="77">
        <f t="shared" si="97"/>
        <v>0</v>
      </c>
      <c r="AQ71" s="108">
        <f t="shared" si="98"/>
        <v>0</v>
      </c>
      <c r="AR71" s="107">
        <f t="shared" si="99"/>
        <v>0</v>
      </c>
      <c r="AS71" s="107">
        <f t="shared" si="100"/>
        <v>0</v>
      </c>
      <c r="AT71" s="107">
        <f t="shared" si="101"/>
        <v>0</v>
      </c>
      <c r="AU71" s="109">
        <f t="shared" si="57"/>
        <v>0</v>
      </c>
      <c r="AV71" s="109">
        <f t="shared" si="58"/>
        <v>0</v>
      </c>
      <c r="AW71" s="109">
        <f t="shared" si="59"/>
        <v>0</v>
      </c>
      <c r="AY71" s="82">
        <f t="shared" si="102"/>
        <v>0</v>
      </c>
      <c r="AZ71" s="82" t="e">
        <f t="shared" si="60"/>
        <v>#DIV/0!</v>
      </c>
      <c r="BA71" s="77">
        <f t="shared" si="103"/>
        <v>0</v>
      </c>
      <c r="BB71" s="108">
        <f t="shared" si="104"/>
        <v>0</v>
      </c>
      <c r="BC71" s="107">
        <f t="shared" si="105"/>
        <v>0</v>
      </c>
      <c r="BD71" s="107">
        <f t="shared" si="106"/>
        <v>0</v>
      </c>
      <c r="BE71" s="107">
        <f t="shared" si="107"/>
        <v>0</v>
      </c>
      <c r="BF71" s="109">
        <f t="shared" si="61"/>
        <v>0</v>
      </c>
      <c r="BG71" s="109">
        <f t="shared" si="62"/>
        <v>0</v>
      </c>
      <c r="BH71" s="109">
        <f t="shared" si="63"/>
        <v>0</v>
      </c>
      <c r="BJ71" s="82">
        <f t="shared" si="108"/>
        <v>0</v>
      </c>
      <c r="BK71" s="82" t="e">
        <f t="shared" si="64"/>
        <v>#DIV/0!</v>
      </c>
      <c r="BL71" s="77">
        <f t="shared" si="109"/>
        <v>0</v>
      </c>
      <c r="BM71" s="108">
        <f t="shared" si="110"/>
        <v>0</v>
      </c>
      <c r="BN71" s="107">
        <f t="shared" si="111"/>
        <v>0</v>
      </c>
      <c r="BO71" s="107">
        <f t="shared" si="112"/>
        <v>0</v>
      </c>
      <c r="BP71" s="107">
        <f t="shared" si="113"/>
        <v>0</v>
      </c>
      <c r="BQ71" s="109">
        <f t="shared" si="65"/>
        <v>0</v>
      </c>
      <c r="BR71" s="109">
        <f t="shared" si="66"/>
        <v>0</v>
      </c>
      <c r="BS71" s="109">
        <f t="shared" si="67"/>
        <v>0</v>
      </c>
      <c r="BU71" s="82">
        <f t="shared" si="114"/>
        <v>0</v>
      </c>
      <c r="BV71" s="82" t="e">
        <f t="shared" si="68"/>
        <v>#DIV/0!</v>
      </c>
      <c r="BW71" s="77">
        <f t="shared" si="115"/>
        <v>0</v>
      </c>
      <c r="BX71" s="108">
        <f t="shared" si="116"/>
        <v>0</v>
      </c>
      <c r="BY71" s="107">
        <f t="shared" si="117"/>
        <v>0</v>
      </c>
      <c r="BZ71" s="107">
        <f t="shared" si="118"/>
        <v>0</v>
      </c>
      <c r="CA71" s="107">
        <f t="shared" si="119"/>
        <v>0</v>
      </c>
      <c r="CB71" s="109">
        <f t="shared" si="69"/>
        <v>0</v>
      </c>
      <c r="CC71" s="109">
        <f t="shared" si="70"/>
        <v>0</v>
      </c>
      <c r="CD71" s="109">
        <f t="shared" si="71"/>
        <v>0</v>
      </c>
    </row>
    <row r="72" spans="1:82" x14ac:dyDescent="0.25">
      <c r="A72" s="101">
        <f t="shared" si="49"/>
        <v>38047</v>
      </c>
      <c r="B72" s="102">
        <f t="shared" si="50"/>
        <v>3.1690000000000005</v>
      </c>
      <c r="C72" s="80">
        <f t="shared" si="51"/>
        <v>0.27250000000000002</v>
      </c>
      <c r="D72" s="102">
        <f t="shared" si="72"/>
        <v>0.82499999999999996</v>
      </c>
      <c r="E72" s="106">
        <f t="shared" si="73"/>
        <v>1.1000000000000001</v>
      </c>
      <c r="F72" s="105">
        <f t="shared" ca="1" si="74"/>
        <v>1273</v>
      </c>
      <c r="G72" s="80" t="e">
        <f t="shared" si="75"/>
        <v>#DIV/0!</v>
      </c>
      <c r="H72" s="80" t="e">
        <f t="shared" si="76"/>
        <v>#DIV/0!</v>
      </c>
      <c r="I72" s="104">
        <f t="shared" si="77"/>
        <v>5.05</v>
      </c>
      <c r="K72" s="102">
        <f t="shared" si="78"/>
        <v>0.18</v>
      </c>
      <c r="L72" s="106">
        <f t="shared" si="79"/>
        <v>1</v>
      </c>
      <c r="M72" s="105">
        <f t="shared" ca="1" si="80"/>
        <v>1273</v>
      </c>
      <c r="N72" s="217" t="e">
        <f t="shared" si="81"/>
        <v>#DIV/0!</v>
      </c>
      <c r="O72" s="80" t="e">
        <f t="shared" si="82"/>
        <v>#DIV/0!</v>
      </c>
      <c r="P72" s="104">
        <f t="shared" si="83"/>
        <v>5.0999999999999996</v>
      </c>
      <c r="R72" s="102">
        <f t="shared" si="84"/>
        <v>-2.75E-2</v>
      </c>
      <c r="S72" s="106">
        <f t="shared" si="85"/>
        <v>1</v>
      </c>
      <c r="T72" s="105">
        <f t="shared" ca="1" si="86"/>
        <v>1273</v>
      </c>
      <c r="U72" s="217" t="e">
        <f t="shared" si="87"/>
        <v>#DIV/0!</v>
      </c>
      <c r="V72" s="80" t="e">
        <f t="shared" si="88"/>
        <v>#DIV/0!</v>
      </c>
      <c r="W72" s="104">
        <f t="shared" si="89"/>
        <v>4.8099999999999996</v>
      </c>
      <c r="X72" s="105"/>
      <c r="Y72" s="102">
        <f t="shared" si="90"/>
        <v>-2.75E-2</v>
      </c>
      <c r="Z72" s="106">
        <f t="shared" si="91"/>
        <v>1</v>
      </c>
      <c r="AA72" s="105">
        <f t="shared" ca="1" si="92"/>
        <v>1273</v>
      </c>
      <c r="AB72" s="80" t="e">
        <f t="shared" si="93"/>
        <v>#DIV/0!</v>
      </c>
      <c r="AC72" s="80" t="e">
        <f t="shared" si="94"/>
        <v>#DIV/0!</v>
      </c>
      <c r="AD72" s="104">
        <f t="shared" si="95"/>
        <v>4.8449999999999998</v>
      </c>
      <c r="AF72" s="105">
        <f t="shared" ca="1" si="52"/>
        <v>1273</v>
      </c>
      <c r="AG72" s="105">
        <f t="shared" ca="1" si="53"/>
        <v>1272</v>
      </c>
      <c r="AH72" s="80">
        <f t="shared" si="54"/>
        <v>6.9074984732649017E-2</v>
      </c>
      <c r="AI72" s="182">
        <f t="shared" si="25"/>
        <v>31</v>
      </c>
      <c r="AL72" s="105"/>
      <c r="AM72" s="82"/>
      <c r="AN72" s="82">
        <f t="shared" si="96"/>
        <v>0</v>
      </c>
      <c r="AO72" s="82" t="e">
        <f t="shared" si="55"/>
        <v>#DIV/0!</v>
      </c>
      <c r="AP72" s="77">
        <f t="shared" si="97"/>
        <v>0</v>
      </c>
      <c r="AQ72" s="108">
        <f t="shared" si="98"/>
        <v>0</v>
      </c>
      <c r="AR72" s="107">
        <f t="shared" si="99"/>
        <v>0</v>
      </c>
      <c r="AS72" s="107">
        <f t="shared" si="100"/>
        <v>0</v>
      </c>
      <c r="AT72" s="107">
        <f t="shared" si="101"/>
        <v>0</v>
      </c>
      <c r="AU72" s="109">
        <f t="shared" si="57"/>
        <v>0</v>
      </c>
      <c r="AV72" s="109">
        <f t="shared" si="58"/>
        <v>0</v>
      </c>
      <c r="AW72" s="109">
        <f t="shared" si="59"/>
        <v>0</v>
      </c>
      <c r="AY72" s="82">
        <f t="shared" si="102"/>
        <v>0</v>
      </c>
      <c r="AZ72" s="82" t="e">
        <f t="shared" si="60"/>
        <v>#DIV/0!</v>
      </c>
      <c r="BA72" s="77">
        <f t="shared" si="103"/>
        <v>0</v>
      </c>
      <c r="BB72" s="108">
        <f t="shared" si="104"/>
        <v>0</v>
      </c>
      <c r="BC72" s="107">
        <f t="shared" si="105"/>
        <v>0</v>
      </c>
      <c r="BD72" s="107">
        <f t="shared" si="106"/>
        <v>0</v>
      </c>
      <c r="BE72" s="107">
        <f t="shared" si="107"/>
        <v>0</v>
      </c>
      <c r="BF72" s="109">
        <f t="shared" si="61"/>
        <v>0</v>
      </c>
      <c r="BG72" s="109">
        <f t="shared" si="62"/>
        <v>0</v>
      </c>
      <c r="BH72" s="109">
        <f t="shared" si="63"/>
        <v>0</v>
      </c>
      <c r="BJ72" s="82">
        <f t="shared" si="108"/>
        <v>0</v>
      </c>
      <c r="BK72" s="82" t="e">
        <f t="shared" si="64"/>
        <v>#DIV/0!</v>
      </c>
      <c r="BL72" s="77">
        <f t="shared" si="109"/>
        <v>0</v>
      </c>
      <c r="BM72" s="108">
        <f t="shared" si="110"/>
        <v>0</v>
      </c>
      <c r="BN72" s="107">
        <f t="shared" si="111"/>
        <v>0</v>
      </c>
      <c r="BO72" s="107">
        <f t="shared" si="112"/>
        <v>0</v>
      </c>
      <c r="BP72" s="107">
        <f t="shared" si="113"/>
        <v>0</v>
      </c>
      <c r="BQ72" s="109">
        <f t="shared" si="65"/>
        <v>0</v>
      </c>
      <c r="BR72" s="109">
        <f t="shared" si="66"/>
        <v>0</v>
      </c>
      <c r="BS72" s="109">
        <f t="shared" si="67"/>
        <v>0</v>
      </c>
      <c r="BU72" s="82">
        <f t="shared" si="114"/>
        <v>0</v>
      </c>
      <c r="BV72" s="82" t="e">
        <f t="shared" si="68"/>
        <v>#DIV/0!</v>
      </c>
      <c r="BW72" s="77">
        <f t="shared" si="115"/>
        <v>0</v>
      </c>
      <c r="BX72" s="108">
        <f t="shared" si="116"/>
        <v>0</v>
      </c>
      <c r="BY72" s="107">
        <f t="shared" si="117"/>
        <v>0</v>
      </c>
      <c r="BZ72" s="107">
        <f t="shared" si="118"/>
        <v>0</v>
      </c>
      <c r="CA72" s="107">
        <f t="shared" si="119"/>
        <v>0</v>
      </c>
      <c r="CB72" s="109">
        <f t="shared" si="69"/>
        <v>0</v>
      </c>
      <c r="CC72" s="109">
        <f t="shared" si="70"/>
        <v>0</v>
      </c>
      <c r="CD72" s="109">
        <f t="shared" si="71"/>
        <v>0</v>
      </c>
    </row>
    <row r="73" spans="1:82" x14ac:dyDescent="0.25">
      <c r="A73" s="101">
        <f t="shared" si="49"/>
        <v>38078</v>
      </c>
      <c r="B73" s="102">
        <f t="shared" si="50"/>
        <v>2.9940000000000002</v>
      </c>
      <c r="C73" s="80">
        <f t="shared" si="51"/>
        <v>0.2525</v>
      </c>
      <c r="D73" s="102">
        <f t="shared" si="72"/>
        <v>0.45</v>
      </c>
      <c r="E73" s="106">
        <f t="shared" si="73"/>
        <v>0.98</v>
      </c>
      <c r="F73" s="105">
        <f t="shared" ca="1" si="74"/>
        <v>1306</v>
      </c>
      <c r="G73" s="80" t="e">
        <f t="shared" si="75"/>
        <v>#DIV/0!</v>
      </c>
      <c r="H73" s="80" t="e">
        <f t="shared" si="76"/>
        <v>#DIV/0!</v>
      </c>
      <c r="I73" s="104">
        <f t="shared" si="77"/>
        <v>5.05</v>
      </c>
      <c r="K73" s="102">
        <f t="shared" si="78"/>
        <v>0.31</v>
      </c>
      <c r="L73" s="106">
        <f t="shared" si="79"/>
        <v>1</v>
      </c>
      <c r="M73" s="105">
        <f t="shared" ca="1" si="80"/>
        <v>1306</v>
      </c>
      <c r="N73" s="217" t="e">
        <f t="shared" si="81"/>
        <v>#DIV/0!</v>
      </c>
      <c r="O73" s="80" t="e">
        <f t="shared" si="82"/>
        <v>#DIV/0!</v>
      </c>
      <c r="P73" s="104">
        <f t="shared" si="83"/>
        <v>5.0999999999999996</v>
      </c>
      <c r="R73" s="102">
        <f t="shared" si="84"/>
        <v>1.4999999999999999E-2</v>
      </c>
      <c r="S73" s="106">
        <f t="shared" si="85"/>
        <v>1</v>
      </c>
      <c r="T73" s="105">
        <f t="shared" ca="1" si="86"/>
        <v>1306</v>
      </c>
      <c r="U73" s="217" t="e">
        <f t="shared" si="87"/>
        <v>#DIV/0!</v>
      </c>
      <c r="V73" s="80" t="e">
        <f t="shared" si="88"/>
        <v>#DIV/0!</v>
      </c>
      <c r="W73" s="104">
        <f t="shared" si="89"/>
        <v>4.8099999999999996</v>
      </c>
      <c r="X73" s="105"/>
      <c r="Y73" s="102">
        <f t="shared" si="90"/>
        <v>1.4999999999999999E-2</v>
      </c>
      <c r="Z73" s="106">
        <f t="shared" si="91"/>
        <v>1</v>
      </c>
      <c r="AA73" s="105">
        <f t="shared" ca="1" si="92"/>
        <v>1306</v>
      </c>
      <c r="AB73" s="80" t="e">
        <f t="shared" si="93"/>
        <v>#DIV/0!</v>
      </c>
      <c r="AC73" s="80" t="e">
        <f t="shared" si="94"/>
        <v>#DIV/0!</v>
      </c>
      <c r="AD73" s="104">
        <f t="shared" si="95"/>
        <v>4.8449999999999998</v>
      </c>
      <c r="AF73" s="105">
        <f t="shared" ca="1" si="52"/>
        <v>1306</v>
      </c>
      <c r="AG73" s="105">
        <f t="shared" ca="1" si="53"/>
        <v>1303</v>
      </c>
      <c r="AH73" s="80">
        <f t="shared" si="54"/>
        <v>6.9075819107611999E-2</v>
      </c>
      <c r="AI73" s="182">
        <f t="shared" si="25"/>
        <v>30</v>
      </c>
      <c r="AL73" s="105"/>
      <c r="AM73" s="82"/>
      <c r="AN73" s="82">
        <f t="shared" si="96"/>
        <v>0</v>
      </c>
      <c r="AO73" s="82" t="e">
        <f t="shared" si="55"/>
        <v>#DIV/0!</v>
      </c>
      <c r="AP73" s="77">
        <f t="shared" si="97"/>
        <v>0</v>
      </c>
      <c r="AQ73" s="108">
        <f t="shared" si="98"/>
        <v>0</v>
      </c>
      <c r="AR73" s="107">
        <f t="shared" si="99"/>
        <v>0</v>
      </c>
      <c r="AS73" s="107">
        <f t="shared" si="100"/>
        <v>0</v>
      </c>
      <c r="AT73" s="107">
        <f t="shared" si="101"/>
        <v>0</v>
      </c>
      <c r="AU73" s="109">
        <f t="shared" si="57"/>
        <v>0</v>
      </c>
      <c r="AV73" s="109">
        <f t="shared" si="58"/>
        <v>0</v>
      </c>
      <c r="AW73" s="109">
        <f t="shared" si="59"/>
        <v>0</v>
      </c>
      <c r="AY73" s="82">
        <f t="shared" si="102"/>
        <v>0</v>
      </c>
      <c r="AZ73" s="82" t="e">
        <f t="shared" si="60"/>
        <v>#DIV/0!</v>
      </c>
      <c r="BA73" s="77">
        <f t="shared" si="103"/>
        <v>0</v>
      </c>
      <c r="BB73" s="108">
        <f t="shared" si="104"/>
        <v>0</v>
      </c>
      <c r="BC73" s="107">
        <f t="shared" si="105"/>
        <v>0</v>
      </c>
      <c r="BD73" s="107">
        <f t="shared" si="106"/>
        <v>0</v>
      </c>
      <c r="BE73" s="107">
        <f t="shared" si="107"/>
        <v>0</v>
      </c>
      <c r="BF73" s="109">
        <f t="shared" si="61"/>
        <v>0</v>
      </c>
      <c r="BG73" s="109">
        <f t="shared" si="62"/>
        <v>0</v>
      </c>
      <c r="BH73" s="109">
        <f t="shared" si="63"/>
        <v>0</v>
      </c>
      <c r="BJ73" s="82">
        <f t="shared" si="108"/>
        <v>0</v>
      </c>
      <c r="BK73" s="82" t="e">
        <f t="shared" si="64"/>
        <v>#DIV/0!</v>
      </c>
      <c r="BL73" s="77">
        <f t="shared" si="109"/>
        <v>0</v>
      </c>
      <c r="BM73" s="108">
        <f t="shared" si="110"/>
        <v>0</v>
      </c>
      <c r="BN73" s="107">
        <f t="shared" si="111"/>
        <v>0</v>
      </c>
      <c r="BO73" s="107">
        <f t="shared" si="112"/>
        <v>0</v>
      </c>
      <c r="BP73" s="107">
        <f t="shared" si="113"/>
        <v>0</v>
      </c>
      <c r="BQ73" s="109">
        <f t="shared" si="65"/>
        <v>0</v>
      </c>
      <c r="BR73" s="109">
        <f t="shared" si="66"/>
        <v>0</v>
      </c>
      <c r="BS73" s="109">
        <f t="shared" si="67"/>
        <v>0</v>
      </c>
      <c r="BU73" s="82">
        <f t="shared" si="114"/>
        <v>0</v>
      </c>
      <c r="BV73" s="82" t="e">
        <f t="shared" si="68"/>
        <v>#DIV/0!</v>
      </c>
      <c r="BW73" s="77">
        <f t="shared" si="115"/>
        <v>0</v>
      </c>
      <c r="BX73" s="108">
        <f t="shared" si="116"/>
        <v>0</v>
      </c>
      <c r="BY73" s="107">
        <f t="shared" si="117"/>
        <v>0</v>
      </c>
      <c r="BZ73" s="107">
        <f t="shared" si="118"/>
        <v>0</v>
      </c>
      <c r="CA73" s="107">
        <f t="shared" si="119"/>
        <v>0</v>
      </c>
      <c r="CB73" s="109">
        <f t="shared" si="69"/>
        <v>0</v>
      </c>
      <c r="CC73" s="109">
        <f t="shared" si="70"/>
        <v>0</v>
      </c>
      <c r="CD73" s="109">
        <f t="shared" si="71"/>
        <v>0</v>
      </c>
    </row>
    <row r="74" spans="1:82" x14ac:dyDescent="0.25">
      <c r="A74" s="101">
        <f t="shared" si="49"/>
        <v>38108</v>
      </c>
      <c r="B74" s="102">
        <f t="shared" si="50"/>
        <v>2.98</v>
      </c>
      <c r="C74" s="80">
        <f t="shared" si="51"/>
        <v>0.2525</v>
      </c>
      <c r="D74" s="102">
        <f t="shared" si="72"/>
        <v>0.40500000000000003</v>
      </c>
      <c r="E74" s="106">
        <f t="shared" si="73"/>
        <v>0.98</v>
      </c>
      <c r="F74" s="105">
        <f t="shared" ca="1" si="74"/>
        <v>1336</v>
      </c>
      <c r="G74" s="80" t="e">
        <f t="shared" si="75"/>
        <v>#DIV/0!</v>
      </c>
      <c r="H74" s="80" t="e">
        <f t="shared" si="76"/>
        <v>#DIV/0!</v>
      </c>
      <c r="I74" s="104">
        <f t="shared" si="77"/>
        <v>5.05</v>
      </c>
      <c r="K74" s="102">
        <f t="shared" si="78"/>
        <v>0.31</v>
      </c>
      <c r="L74" s="106">
        <f t="shared" si="79"/>
        <v>1</v>
      </c>
      <c r="M74" s="105">
        <f t="shared" ca="1" si="80"/>
        <v>1336</v>
      </c>
      <c r="N74" s="217" t="e">
        <f t="shared" si="81"/>
        <v>#DIV/0!</v>
      </c>
      <c r="O74" s="80" t="e">
        <f t="shared" si="82"/>
        <v>#DIV/0!</v>
      </c>
      <c r="P74" s="104">
        <f t="shared" si="83"/>
        <v>5.0999999999999996</v>
      </c>
      <c r="R74" s="102">
        <f t="shared" si="84"/>
        <v>1.4999999999999999E-2</v>
      </c>
      <c r="S74" s="106">
        <f t="shared" si="85"/>
        <v>1</v>
      </c>
      <c r="T74" s="105">
        <f t="shared" ca="1" si="86"/>
        <v>1336</v>
      </c>
      <c r="U74" s="217" t="e">
        <f t="shared" si="87"/>
        <v>#DIV/0!</v>
      </c>
      <c r="V74" s="80" t="e">
        <f t="shared" si="88"/>
        <v>#DIV/0!</v>
      </c>
      <c r="W74" s="104">
        <f t="shared" si="89"/>
        <v>4.8099999999999996</v>
      </c>
      <c r="X74" s="105"/>
      <c r="Y74" s="102">
        <f t="shared" si="90"/>
        <v>1.4999999999999999E-2</v>
      </c>
      <c r="Z74" s="106">
        <f t="shared" si="91"/>
        <v>1</v>
      </c>
      <c r="AA74" s="105">
        <f t="shared" ca="1" si="92"/>
        <v>1336</v>
      </c>
      <c r="AB74" s="80" t="e">
        <f t="shared" si="93"/>
        <v>#DIV/0!</v>
      </c>
      <c r="AC74" s="80" t="e">
        <f t="shared" si="94"/>
        <v>#DIV/0!</v>
      </c>
      <c r="AD74" s="104">
        <f t="shared" si="95"/>
        <v>4.8449999999999998</v>
      </c>
      <c r="AF74" s="105">
        <f t="shared" ca="1" si="52"/>
        <v>1336</v>
      </c>
      <c r="AG74" s="105">
        <f t="shared" ca="1" si="53"/>
        <v>1335</v>
      </c>
      <c r="AH74" s="80">
        <f t="shared" si="54"/>
        <v>6.9069963351949024E-2</v>
      </c>
      <c r="AI74" s="182">
        <f t="shared" si="25"/>
        <v>31</v>
      </c>
      <c r="AL74" s="105"/>
      <c r="AM74" s="82"/>
      <c r="AN74" s="82">
        <f t="shared" si="96"/>
        <v>0</v>
      </c>
      <c r="AO74" s="82" t="e">
        <f t="shared" si="55"/>
        <v>#DIV/0!</v>
      </c>
      <c r="AP74" s="77">
        <f t="shared" si="97"/>
        <v>0</v>
      </c>
      <c r="AQ74" s="108">
        <f t="shared" si="98"/>
        <v>0</v>
      </c>
      <c r="AR74" s="107">
        <f t="shared" si="99"/>
        <v>0</v>
      </c>
      <c r="AS74" s="107">
        <f t="shared" si="100"/>
        <v>0</v>
      </c>
      <c r="AT74" s="107">
        <f t="shared" si="101"/>
        <v>0</v>
      </c>
      <c r="AU74" s="109">
        <f t="shared" si="57"/>
        <v>0</v>
      </c>
      <c r="AV74" s="109">
        <f t="shared" si="58"/>
        <v>0</v>
      </c>
      <c r="AW74" s="109">
        <f t="shared" si="59"/>
        <v>0</v>
      </c>
      <c r="AY74" s="82">
        <f t="shared" si="102"/>
        <v>0</v>
      </c>
      <c r="AZ74" s="82" t="e">
        <f t="shared" si="60"/>
        <v>#DIV/0!</v>
      </c>
      <c r="BA74" s="77">
        <f t="shared" si="103"/>
        <v>0</v>
      </c>
      <c r="BB74" s="108">
        <f t="shared" si="104"/>
        <v>0</v>
      </c>
      <c r="BC74" s="107">
        <f t="shared" si="105"/>
        <v>0</v>
      </c>
      <c r="BD74" s="107">
        <f t="shared" si="106"/>
        <v>0</v>
      </c>
      <c r="BE74" s="107">
        <f t="shared" si="107"/>
        <v>0</v>
      </c>
      <c r="BF74" s="109">
        <f t="shared" si="61"/>
        <v>0</v>
      </c>
      <c r="BG74" s="109">
        <f t="shared" si="62"/>
        <v>0</v>
      </c>
      <c r="BH74" s="109">
        <f t="shared" si="63"/>
        <v>0</v>
      </c>
      <c r="BJ74" s="82">
        <f t="shared" si="108"/>
        <v>0</v>
      </c>
      <c r="BK74" s="82" t="e">
        <f t="shared" si="64"/>
        <v>#DIV/0!</v>
      </c>
      <c r="BL74" s="77">
        <f t="shared" si="109"/>
        <v>0</v>
      </c>
      <c r="BM74" s="108">
        <f t="shared" si="110"/>
        <v>0</v>
      </c>
      <c r="BN74" s="107">
        <f t="shared" si="111"/>
        <v>0</v>
      </c>
      <c r="BO74" s="107">
        <f t="shared" si="112"/>
        <v>0</v>
      </c>
      <c r="BP74" s="107">
        <f t="shared" si="113"/>
        <v>0</v>
      </c>
      <c r="BQ74" s="109">
        <f t="shared" si="65"/>
        <v>0</v>
      </c>
      <c r="BR74" s="109">
        <f t="shared" si="66"/>
        <v>0</v>
      </c>
      <c r="BS74" s="109">
        <f t="shared" si="67"/>
        <v>0</v>
      </c>
      <c r="BU74" s="82">
        <f t="shared" si="114"/>
        <v>0</v>
      </c>
      <c r="BV74" s="82" t="e">
        <f t="shared" si="68"/>
        <v>#DIV/0!</v>
      </c>
      <c r="BW74" s="77">
        <f t="shared" si="115"/>
        <v>0</v>
      </c>
      <c r="BX74" s="108">
        <f t="shared" si="116"/>
        <v>0</v>
      </c>
      <c r="BY74" s="107">
        <f t="shared" si="117"/>
        <v>0</v>
      </c>
      <c r="BZ74" s="107">
        <f t="shared" si="118"/>
        <v>0</v>
      </c>
      <c r="CA74" s="107">
        <f t="shared" si="119"/>
        <v>0</v>
      </c>
      <c r="CB74" s="109">
        <f t="shared" si="69"/>
        <v>0</v>
      </c>
      <c r="CC74" s="109">
        <f t="shared" si="70"/>
        <v>0</v>
      </c>
      <c r="CD74" s="109">
        <f t="shared" si="71"/>
        <v>0</v>
      </c>
    </row>
    <row r="75" spans="1:82" x14ac:dyDescent="0.25">
      <c r="A75" s="101">
        <f t="shared" si="49"/>
        <v>38139</v>
      </c>
      <c r="B75" s="102">
        <f t="shared" si="50"/>
        <v>3.0010000000000003</v>
      </c>
      <c r="C75" s="80">
        <f t="shared" si="51"/>
        <v>0.2525</v>
      </c>
      <c r="D75" s="102">
        <f t="shared" si="72"/>
        <v>0.39500000000000002</v>
      </c>
      <c r="E75" s="106">
        <f t="shared" si="73"/>
        <v>0.98</v>
      </c>
      <c r="F75" s="105">
        <f t="shared" ca="1" si="74"/>
        <v>1364</v>
      </c>
      <c r="G75" s="80" t="e">
        <f t="shared" si="75"/>
        <v>#DIV/0!</v>
      </c>
      <c r="H75" s="80" t="e">
        <f t="shared" si="76"/>
        <v>#DIV/0!</v>
      </c>
      <c r="I75" s="104">
        <f t="shared" si="77"/>
        <v>5.05</v>
      </c>
      <c r="K75" s="102">
        <f t="shared" si="78"/>
        <v>0.31</v>
      </c>
      <c r="L75" s="106">
        <f t="shared" si="79"/>
        <v>1</v>
      </c>
      <c r="M75" s="105">
        <f t="shared" ca="1" si="80"/>
        <v>1364</v>
      </c>
      <c r="N75" s="217" t="e">
        <f t="shared" si="81"/>
        <v>#DIV/0!</v>
      </c>
      <c r="O75" s="80" t="e">
        <f t="shared" si="82"/>
        <v>#DIV/0!</v>
      </c>
      <c r="P75" s="104">
        <f t="shared" si="83"/>
        <v>5.0999999999999996</v>
      </c>
      <c r="R75" s="102">
        <f t="shared" si="84"/>
        <v>0.02</v>
      </c>
      <c r="S75" s="106">
        <f t="shared" si="85"/>
        <v>1</v>
      </c>
      <c r="T75" s="105">
        <f t="shared" ca="1" si="86"/>
        <v>1364</v>
      </c>
      <c r="U75" s="217" t="e">
        <f t="shared" si="87"/>
        <v>#DIV/0!</v>
      </c>
      <c r="V75" s="80" t="e">
        <f t="shared" si="88"/>
        <v>#DIV/0!</v>
      </c>
      <c r="W75" s="104">
        <f t="shared" si="89"/>
        <v>4.8099999999999996</v>
      </c>
      <c r="X75" s="105"/>
      <c r="Y75" s="102">
        <f t="shared" si="90"/>
        <v>0.02</v>
      </c>
      <c r="Z75" s="106">
        <f t="shared" si="91"/>
        <v>1</v>
      </c>
      <c r="AA75" s="105">
        <f t="shared" ca="1" si="92"/>
        <v>1364</v>
      </c>
      <c r="AB75" s="80" t="e">
        <f t="shared" si="93"/>
        <v>#DIV/0!</v>
      </c>
      <c r="AC75" s="80" t="e">
        <f t="shared" si="94"/>
        <v>#DIV/0!</v>
      </c>
      <c r="AD75" s="104">
        <f t="shared" si="95"/>
        <v>4.8449999999999998</v>
      </c>
      <c r="AF75" s="105">
        <f t="shared" ca="1" si="52"/>
        <v>1364</v>
      </c>
      <c r="AG75" s="105">
        <f t="shared" ca="1" si="53"/>
        <v>1363</v>
      </c>
      <c r="AH75" s="80">
        <f t="shared" si="54"/>
        <v>6.9063912404441014E-2</v>
      </c>
      <c r="AI75" s="182">
        <f t="shared" si="25"/>
        <v>30</v>
      </c>
      <c r="AL75" s="105"/>
      <c r="AM75" s="82"/>
      <c r="AN75" s="82">
        <f t="shared" si="96"/>
        <v>0</v>
      </c>
      <c r="AO75" s="82" t="e">
        <f t="shared" si="55"/>
        <v>#DIV/0!</v>
      </c>
      <c r="AP75" s="77">
        <f t="shared" si="97"/>
        <v>0</v>
      </c>
      <c r="AQ75" s="108">
        <f t="shared" si="98"/>
        <v>0</v>
      </c>
      <c r="AR75" s="107">
        <f t="shared" si="99"/>
        <v>0</v>
      </c>
      <c r="AS75" s="107">
        <f t="shared" si="100"/>
        <v>0</v>
      </c>
      <c r="AT75" s="107">
        <f t="shared" si="101"/>
        <v>0</v>
      </c>
      <c r="AU75" s="109">
        <f t="shared" si="57"/>
        <v>0</v>
      </c>
      <c r="AV75" s="109">
        <f t="shared" si="58"/>
        <v>0</v>
      </c>
      <c r="AW75" s="109">
        <f t="shared" si="59"/>
        <v>0</v>
      </c>
      <c r="AY75" s="82">
        <f t="shared" si="102"/>
        <v>0</v>
      </c>
      <c r="AZ75" s="82" t="e">
        <f t="shared" si="60"/>
        <v>#DIV/0!</v>
      </c>
      <c r="BA75" s="77">
        <f t="shared" si="103"/>
        <v>0</v>
      </c>
      <c r="BB75" s="108">
        <f t="shared" si="104"/>
        <v>0</v>
      </c>
      <c r="BC75" s="107">
        <f t="shared" si="105"/>
        <v>0</v>
      </c>
      <c r="BD75" s="107">
        <f t="shared" si="106"/>
        <v>0</v>
      </c>
      <c r="BE75" s="107">
        <f t="shared" si="107"/>
        <v>0</v>
      </c>
      <c r="BF75" s="109">
        <f t="shared" si="61"/>
        <v>0</v>
      </c>
      <c r="BG75" s="109">
        <f t="shared" si="62"/>
        <v>0</v>
      </c>
      <c r="BH75" s="109">
        <f t="shared" si="63"/>
        <v>0</v>
      </c>
      <c r="BJ75" s="82">
        <f t="shared" si="108"/>
        <v>0</v>
      </c>
      <c r="BK75" s="82" t="e">
        <f t="shared" si="64"/>
        <v>#DIV/0!</v>
      </c>
      <c r="BL75" s="77">
        <f t="shared" si="109"/>
        <v>0</v>
      </c>
      <c r="BM75" s="108">
        <f t="shared" si="110"/>
        <v>0</v>
      </c>
      <c r="BN75" s="107">
        <f t="shared" si="111"/>
        <v>0</v>
      </c>
      <c r="BO75" s="107">
        <f t="shared" si="112"/>
        <v>0</v>
      </c>
      <c r="BP75" s="107">
        <f t="shared" si="113"/>
        <v>0</v>
      </c>
      <c r="BQ75" s="109">
        <f t="shared" si="65"/>
        <v>0</v>
      </c>
      <c r="BR75" s="109">
        <f t="shared" si="66"/>
        <v>0</v>
      </c>
      <c r="BS75" s="109">
        <f t="shared" si="67"/>
        <v>0</v>
      </c>
      <c r="BU75" s="82">
        <f t="shared" si="114"/>
        <v>0</v>
      </c>
      <c r="BV75" s="82" t="e">
        <f t="shared" si="68"/>
        <v>#DIV/0!</v>
      </c>
      <c r="BW75" s="77">
        <f t="shared" si="115"/>
        <v>0</v>
      </c>
      <c r="BX75" s="108">
        <f t="shared" si="116"/>
        <v>0</v>
      </c>
      <c r="BY75" s="107">
        <f t="shared" si="117"/>
        <v>0</v>
      </c>
      <c r="BZ75" s="107">
        <f t="shared" si="118"/>
        <v>0</v>
      </c>
      <c r="CA75" s="107">
        <f t="shared" si="119"/>
        <v>0</v>
      </c>
      <c r="CB75" s="109">
        <f t="shared" si="69"/>
        <v>0</v>
      </c>
      <c r="CC75" s="109">
        <f t="shared" si="70"/>
        <v>0</v>
      </c>
      <c r="CD75" s="109">
        <f t="shared" si="71"/>
        <v>0</v>
      </c>
    </row>
    <row r="76" spans="1:82" x14ac:dyDescent="0.25">
      <c r="A76" s="101">
        <f t="shared" si="49"/>
        <v>38169</v>
      </c>
      <c r="B76" s="102">
        <f t="shared" si="50"/>
        <v>3.0230000000000001</v>
      </c>
      <c r="C76" s="80">
        <f t="shared" si="51"/>
        <v>0.25</v>
      </c>
      <c r="D76" s="102">
        <f t="shared" si="72"/>
        <v>0.43</v>
      </c>
      <c r="E76" s="106">
        <f t="shared" si="73"/>
        <v>0.98</v>
      </c>
      <c r="F76" s="105">
        <f t="shared" ca="1" si="74"/>
        <v>1397</v>
      </c>
      <c r="G76" s="80" t="e">
        <f t="shared" si="75"/>
        <v>#DIV/0!</v>
      </c>
      <c r="H76" s="80" t="e">
        <f t="shared" si="76"/>
        <v>#DIV/0!</v>
      </c>
      <c r="I76" s="104">
        <f t="shared" si="77"/>
        <v>5.05</v>
      </c>
      <c r="K76" s="102">
        <f t="shared" si="78"/>
        <v>0.31</v>
      </c>
      <c r="L76" s="106">
        <f t="shared" si="79"/>
        <v>1</v>
      </c>
      <c r="M76" s="105">
        <f t="shared" ca="1" si="80"/>
        <v>1397</v>
      </c>
      <c r="N76" s="217" t="e">
        <f t="shared" si="81"/>
        <v>#DIV/0!</v>
      </c>
      <c r="O76" s="80" t="e">
        <f t="shared" si="82"/>
        <v>#DIV/0!</v>
      </c>
      <c r="P76" s="104">
        <f t="shared" si="83"/>
        <v>5.0999999999999996</v>
      </c>
      <c r="R76" s="102">
        <f t="shared" si="84"/>
        <v>2.2499999999999999E-2</v>
      </c>
      <c r="S76" s="106">
        <f t="shared" si="85"/>
        <v>1</v>
      </c>
      <c r="T76" s="105">
        <f t="shared" ca="1" si="86"/>
        <v>1397</v>
      </c>
      <c r="U76" s="217" t="e">
        <f t="shared" si="87"/>
        <v>#DIV/0!</v>
      </c>
      <c r="V76" s="80" t="e">
        <f t="shared" si="88"/>
        <v>#DIV/0!</v>
      </c>
      <c r="W76" s="104">
        <f t="shared" si="89"/>
        <v>4.8099999999999996</v>
      </c>
      <c r="X76" s="105"/>
      <c r="Y76" s="102">
        <f t="shared" si="90"/>
        <v>2.2499999999999999E-2</v>
      </c>
      <c r="Z76" s="106">
        <f t="shared" si="91"/>
        <v>1</v>
      </c>
      <c r="AA76" s="105">
        <f t="shared" ca="1" si="92"/>
        <v>1397</v>
      </c>
      <c r="AB76" s="80" t="e">
        <f t="shared" si="93"/>
        <v>#DIV/0!</v>
      </c>
      <c r="AC76" s="80" t="e">
        <f t="shared" si="94"/>
        <v>#DIV/0!</v>
      </c>
      <c r="AD76" s="104">
        <f t="shared" si="95"/>
        <v>4.8449999999999998</v>
      </c>
      <c r="AF76" s="105">
        <f t="shared" ca="1" si="52"/>
        <v>1397</v>
      </c>
      <c r="AG76" s="105">
        <f t="shared" ca="1" si="53"/>
        <v>1394</v>
      </c>
      <c r="AH76" s="80">
        <f t="shared" si="54"/>
        <v>6.9069004174273016E-2</v>
      </c>
      <c r="AI76" s="182">
        <f t="shared" si="25"/>
        <v>31</v>
      </c>
      <c r="AL76" s="105"/>
      <c r="AM76" s="82"/>
      <c r="AN76" s="82">
        <f t="shared" si="96"/>
        <v>0</v>
      </c>
      <c r="AO76" s="82" t="e">
        <f t="shared" si="55"/>
        <v>#DIV/0!</v>
      </c>
      <c r="AP76" s="77">
        <f t="shared" si="97"/>
        <v>0</v>
      </c>
      <c r="AQ76" s="108">
        <f t="shared" si="98"/>
        <v>0</v>
      </c>
      <c r="AR76" s="107">
        <f t="shared" si="99"/>
        <v>0</v>
      </c>
      <c r="AS76" s="107">
        <f t="shared" si="100"/>
        <v>0</v>
      </c>
      <c r="AT76" s="107">
        <f t="shared" si="101"/>
        <v>0</v>
      </c>
      <c r="AU76" s="109">
        <f t="shared" si="57"/>
        <v>0</v>
      </c>
      <c r="AV76" s="109">
        <f t="shared" si="58"/>
        <v>0</v>
      </c>
      <c r="AW76" s="109">
        <f t="shared" si="59"/>
        <v>0</v>
      </c>
      <c r="AY76" s="82">
        <f t="shared" si="102"/>
        <v>0</v>
      </c>
      <c r="AZ76" s="82" t="e">
        <f t="shared" si="60"/>
        <v>#DIV/0!</v>
      </c>
      <c r="BA76" s="77">
        <f t="shared" si="103"/>
        <v>0</v>
      </c>
      <c r="BB76" s="108">
        <f t="shared" si="104"/>
        <v>0</v>
      </c>
      <c r="BC76" s="107">
        <f t="shared" si="105"/>
        <v>0</v>
      </c>
      <c r="BD76" s="107">
        <f t="shared" si="106"/>
        <v>0</v>
      </c>
      <c r="BE76" s="107">
        <f t="shared" si="107"/>
        <v>0</v>
      </c>
      <c r="BF76" s="109">
        <f t="shared" si="61"/>
        <v>0</v>
      </c>
      <c r="BG76" s="109">
        <f t="shared" si="62"/>
        <v>0</v>
      </c>
      <c r="BH76" s="109">
        <f t="shared" si="63"/>
        <v>0</v>
      </c>
      <c r="BJ76" s="82">
        <f t="shared" si="108"/>
        <v>0</v>
      </c>
      <c r="BK76" s="82" t="e">
        <f t="shared" si="64"/>
        <v>#DIV/0!</v>
      </c>
      <c r="BL76" s="77">
        <f t="shared" si="109"/>
        <v>0</v>
      </c>
      <c r="BM76" s="108">
        <f t="shared" si="110"/>
        <v>0</v>
      </c>
      <c r="BN76" s="107">
        <f t="shared" si="111"/>
        <v>0</v>
      </c>
      <c r="BO76" s="107">
        <f t="shared" si="112"/>
        <v>0</v>
      </c>
      <c r="BP76" s="107">
        <f t="shared" si="113"/>
        <v>0</v>
      </c>
      <c r="BQ76" s="109">
        <f t="shared" si="65"/>
        <v>0</v>
      </c>
      <c r="BR76" s="109">
        <f t="shared" si="66"/>
        <v>0</v>
      </c>
      <c r="BS76" s="109">
        <f t="shared" si="67"/>
        <v>0</v>
      </c>
      <c r="BU76" s="82">
        <f t="shared" si="114"/>
        <v>0</v>
      </c>
      <c r="BV76" s="82" t="e">
        <f t="shared" si="68"/>
        <v>#DIV/0!</v>
      </c>
      <c r="BW76" s="77">
        <f t="shared" si="115"/>
        <v>0</v>
      </c>
      <c r="BX76" s="108">
        <f t="shared" si="116"/>
        <v>0</v>
      </c>
      <c r="BY76" s="107">
        <f t="shared" si="117"/>
        <v>0</v>
      </c>
      <c r="BZ76" s="107">
        <f t="shared" si="118"/>
        <v>0</v>
      </c>
      <c r="CA76" s="107">
        <f t="shared" si="119"/>
        <v>0</v>
      </c>
      <c r="CB76" s="109">
        <f t="shared" si="69"/>
        <v>0</v>
      </c>
      <c r="CC76" s="109">
        <f t="shared" si="70"/>
        <v>0</v>
      </c>
      <c r="CD76" s="109">
        <f t="shared" si="71"/>
        <v>0</v>
      </c>
    </row>
    <row r="77" spans="1:82" x14ac:dyDescent="0.25">
      <c r="A77" s="101">
        <f t="shared" si="49"/>
        <v>38200</v>
      </c>
      <c r="B77" s="102">
        <f t="shared" si="50"/>
        <v>3.0440000000000005</v>
      </c>
      <c r="C77" s="80">
        <f t="shared" si="51"/>
        <v>0.25</v>
      </c>
      <c r="D77" s="102">
        <f t="shared" si="72"/>
        <v>0.495</v>
      </c>
      <c r="E77" s="106">
        <f t="shared" si="73"/>
        <v>0.98</v>
      </c>
      <c r="F77" s="105">
        <f t="shared" ca="1" si="74"/>
        <v>1427</v>
      </c>
      <c r="G77" s="80" t="e">
        <f t="shared" si="75"/>
        <v>#DIV/0!</v>
      </c>
      <c r="H77" s="80" t="e">
        <f t="shared" si="76"/>
        <v>#DIV/0!</v>
      </c>
      <c r="I77" s="104">
        <f t="shared" si="77"/>
        <v>5.05</v>
      </c>
      <c r="K77" s="102">
        <f t="shared" si="78"/>
        <v>0.31</v>
      </c>
      <c r="L77" s="106">
        <f t="shared" si="79"/>
        <v>1</v>
      </c>
      <c r="M77" s="105">
        <f t="shared" ca="1" si="80"/>
        <v>1427</v>
      </c>
      <c r="N77" s="217" t="e">
        <f t="shared" si="81"/>
        <v>#DIV/0!</v>
      </c>
      <c r="O77" s="80" t="e">
        <f t="shared" si="82"/>
        <v>#DIV/0!</v>
      </c>
      <c r="P77" s="104">
        <f t="shared" si="83"/>
        <v>5.0999999999999996</v>
      </c>
      <c r="R77" s="102">
        <f t="shared" si="84"/>
        <v>2.5000000000000001E-2</v>
      </c>
      <c r="S77" s="106">
        <f t="shared" si="85"/>
        <v>1</v>
      </c>
      <c r="T77" s="105">
        <f t="shared" ca="1" si="86"/>
        <v>1427</v>
      </c>
      <c r="U77" s="217" t="e">
        <f t="shared" si="87"/>
        <v>#DIV/0!</v>
      </c>
      <c r="V77" s="80" t="e">
        <f t="shared" si="88"/>
        <v>#DIV/0!</v>
      </c>
      <c r="W77" s="104">
        <f t="shared" si="89"/>
        <v>4.8099999999999996</v>
      </c>
      <c r="X77" s="105"/>
      <c r="Y77" s="102">
        <f t="shared" si="90"/>
        <v>2.5000000000000001E-2</v>
      </c>
      <c r="Z77" s="106">
        <f t="shared" si="91"/>
        <v>1</v>
      </c>
      <c r="AA77" s="105">
        <f t="shared" ca="1" si="92"/>
        <v>1427</v>
      </c>
      <c r="AB77" s="80" t="e">
        <f t="shared" si="93"/>
        <v>#DIV/0!</v>
      </c>
      <c r="AC77" s="80" t="e">
        <f t="shared" si="94"/>
        <v>#DIV/0!</v>
      </c>
      <c r="AD77" s="104">
        <f t="shared" si="95"/>
        <v>4.8449999999999998</v>
      </c>
      <c r="AF77" s="105">
        <f t="shared" ca="1" si="52"/>
        <v>1427</v>
      </c>
      <c r="AG77" s="105">
        <f t="shared" ca="1" si="53"/>
        <v>1426</v>
      </c>
      <c r="AH77" s="80">
        <f t="shared" si="54"/>
        <v>6.9087194176122024E-2</v>
      </c>
      <c r="AI77" s="182">
        <f t="shared" si="25"/>
        <v>31</v>
      </c>
      <c r="AL77" s="105"/>
      <c r="AM77" s="82"/>
      <c r="AN77" s="82">
        <f t="shared" si="96"/>
        <v>0</v>
      </c>
      <c r="AO77" s="82" t="e">
        <f t="shared" si="55"/>
        <v>#DIV/0!</v>
      </c>
      <c r="AP77" s="77">
        <f t="shared" si="97"/>
        <v>0</v>
      </c>
      <c r="AQ77" s="108">
        <f t="shared" si="98"/>
        <v>0</v>
      </c>
      <c r="AR77" s="107">
        <f t="shared" si="99"/>
        <v>0</v>
      </c>
      <c r="AS77" s="107">
        <f t="shared" si="100"/>
        <v>0</v>
      </c>
      <c r="AT77" s="107">
        <f t="shared" si="101"/>
        <v>0</v>
      </c>
      <c r="AU77" s="109">
        <f t="shared" si="57"/>
        <v>0</v>
      </c>
      <c r="AV77" s="109">
        <f t="shared" si="58"/>
        <v>0</v>
      </c>
      <c r="AW77" s="109">
        <f t="shared" si="59"/>
        <v>0</v>
      </c>
      <c r="AY77" s="82">
        <f t="shared" si="102"/>
        <v>0</v>
      </c>
      <c r="AZ77" s="82" t="e">
        <f t="shared" si="60"/>
        <v>#DIV/0!</v>
      </c>
      <c r="BA77" s="77">
        <f t="shared" si="103"/>
        <v>0</v>
      </c>
      <c r="BB77" s="108">
        <f t="shared" si="104"/>
        <v>0</v>
      </c>
      <c r="BC77" s="107">
        <f t="shared" si="105"/>
        <v>0</v>
      </c>
      <c r="BD77" s="107">
        <f t="shared" si="106"/>
        <v>0</v>
      </c>
      <c r="BE77" s="107">
        <f t="shared" si="107"/>
        <v>0</v>
      </c>
      <c r="BF77" s="109">
        <f t="shared" si="61"/>
        <v>0</v>
      </c>
      <c r="BG77" s="109">
        <f t="shared" si="62"/>
        <v>0</v>
      </c>
      <c r="BH77" s="109">
        <f t="shared" si="63"/>
        <v>0</v>
      </c>
      <c r="BJ77" s="82">
        <f t="shared" si="108"/>
        <v>0</v>
      </c>
      <c r="BK77" s="82" t="e">
        <f t="shared" si="64"/>
        <v>#DIV/0!</v>
      </c>
      <c r="BL77" s="77">
        <f t="shared" si="109"/>
        <v>0</v>
      </c>
      <c r="BM77" s="108">
        <f t="shared" si="110"/>
        <v>0</v>
      </c>
      <c r="BN77" s="107">
        <f t="shared" si="111"/>
        <v>0</v>
      </c>
      <c r="BO77" s="107">
        <f t="shared" si="112"/>
        <v>0</v>
      </c>
      <c r="BP77" s="107">
        <f t="shared" si="113"/>
        <v>0</v>
      </c>
      <c r="BQ77" s="109">
        <f t="shared" si="65"/>
        <v>0</v>
      </c>
      <c r="BR77" s="109">
        <f t="shared" si="66"/>
        <v>0</v>
      </c>
      <c r="BS77" s="109">
        <f t="shared" si="67"/>
        <v>0</v>
      </c>
      <c r="BU77" s="82">
        <f t="shared" si="114"/>
        <v>0</v>
      </c>
      <c r="BV77" s="82" t="e">
        <f t="shared" si="68"/>
        <v>#DIV/0!</v>
      </c>
      <c r="BW77" s="77">
        <f t="shared" si="115"/>
        <v>0</v>
      </c>
      <c r="BX77" s="108">
        <f t="shared" si="116"/>
        <v>0</v>
      </c>
      <c r="BY77" s="107">
        <f t="shared" si="117"/>
        <v>0</v>
      </c>
      <c r="BZ77" s="107">
        <f t="shared" si="118"/>
        <v>0</v>
      </c>
      <c r="CA77" s="107">
        <f t="shared" si="119"/>
        <v>0</v>
      </c>
      <c r="CB77" s="109">
        <f t="shared" si="69"/>
        <v>0</v>
      </c>
      <c r="CC77" s="109">
        <f t="shared" si="70"/>
        <v>0</v>
      </c>
      <c r="CD77" s="109">
        <f t="shared" si="71"/>
        <v>0</v>
      </c>
    </row>
    <row r="78" spans="1:82" x14ac:dyDescent="0.25">
      <c r="A78" s="101">
        <f t="shared" si="49"/>
        <v>38231</v>
      </c>
      <c r="B78" s="102">
        <f t="shared" si="50"/>
        <v>3.0330000000000004</v>
      </c>
      <c r="C78" s="80">
        <f t="shared" si="51"/>
        <v>0.25</v>
      </c>
      <c r="D78" s="102">
        <f t="shared" si="72"/>
        <v>0.39500000000000002</v>
      </c>
      <c r="E78" s="106">
        <f t="shared" si="73"/>
        <v>0.98</v>
      </c>
      <c r="F78" s="105">
        <f t="shared" ca="1" si="74"/>
        <v>1457</v>
      </c>
      <c r="G78" s="80" t="e">
        <f t="shared" si="75"/>
        <v>#DIV/0!</v>
      </c>
      <c r="H78" s="80" t="e">
        <f t="shared" si="76"/>
        <v>#DIV/0!</v>
      </c>
      <c r="I78" s="104">
        <f t="shared" si="77"/>
        <v>5.05</v>
      </c>
      <c r="K78" s="102">
        <f t="shared" si="78"/>
        <v>0.31</v>
      </c>
      <c r="L78" s="106">
        <f t="shared" si="79"/>
        <v>1</v>
      </c>
      <c r="M78" s="105">
        <f t="shared" ca="1" si="80"/>
        <v>1457</v>
      </c>
      <c r="N78" s="217" t="e">
        <f t="shared" si="81"/>
        <v>#DIV/0!</v>
      </c>
      <c r="O78" s="80" t="e">
        <f t="shared" si="82"/>
        <v>#DIV/0!</v>
      </c>
      <c r="P78" s="104">
        <f t="shared" si="83"/>
        <v>5.0999999999999996</v>
      </c>
      <c r="R78" s="102">
        <f t="shared" si="84"/>
        <v>1.7500000000000002E-2</v>
      </c>
      <c r="S78" s="106">
        <f t="shared" si="85"/>
        <v>1</v>
      </c>
      <c r="T78" s="105">
        <f t="shared" ca="1" si="86"/>
        <v>1457</v>
      </c>
      <c r="U78" s="217" t="e">
        <f t="shared" si="87"/>
        <v>#DIV/0!</v>
      </c>
      <c r="V78" s="80" t="e">
        <f t="shared" si="88"/>
        <v>#DIV/0!</v>
      </c>
      <c r="W78" s="104">
        <f t="shared" si="89"/>
        <v>4.8099999999999996</v>
      </c>
      <c r="X78" s="105"/>
      <c r="Y78" s="102">
        <f t="shared" si="90"/>
        <v>1.7500000000000002E-2</v>
      </c>
      <c r="Z78" s="106">
        <f t="shared" si="91"/>
        <v>1</v>
      </c>
      <c r="AA78" s="105">
        <f t="shared" ca="1" si="92"/>
        <v>1457</v>
      </c>
      <c r="AB78" s="80" t="e">
        <f t="shared" si="93"/>
        <v>#DIV/0!</v>
      </c>
      <c r="AC78" s="80" t="e">
        <f t="shared" si="94"/>
        <v>#DIV/0!</v>
      </c>
      <c r="AD78" s="104">
        <f t="shared" si="95"/>
        <v>4.8449999999999998</v>
      </c>
      <c r="AF78" s="105">
        <f t="shared" ca="1" si="52"/>
        <v>1457</v>
      </c>
      <c r="AG78" s="105">
        <f t="shared" ca="1" si="53"/>
        <v>1456</v>
      </c>
      <c r="AH78" s="80">
        <f t="shared" si="54"/>
        <v>6.9105384178080001E-2</v>
      </c>
      <c r="AI78" s="182">
        <f t="shared" si="25"/>
        <v>30</v>
      </c>
      <c r="AL78" s="105"/>
      <c r="AM78" s="82"/>
      <c r="AN78" s="82">
        <f t="shared" si="96"/>
        <v>0</v>
      </c>
      <c r="AO78" s="82" t="e">
        <f t="shared" si="55"/>
        <v>#DIV/0!</v>
      </c>
      <c r="AP78" s="77">
        <f t="shared" si="97"/>
        <v>0</v>
      </c>
      <c r="AQ78" s="108">
        <f t="shared" si="98"/>
        <v>0</v>
      </c>
      <c r="AR78" s="107">
        <f t="shared" si="99"/>
        <v>0</v>
      </c>
      <c r="AS78" s="107">
        <f t="shared" si="100"/>
        <v>0</v>
      </c>
      <c r="AT78" s="107">
        <f t="shared" si="101"/>
        <v>0</v>
      </c>
      <c r="AU78" s="109">
        <f t="shared" si="57"/>
        <v>0</v>
      </c>
      <c r="AV78" s="109">
        <f t="shared" si="58"/>
        <v>0</v>
      </c>
      <c r="AW78" s="109">
        <f t="shared" si="59"/>
        <v>0</v>
      </c>
      <c r="AY78" s="82">
        <f t="shared" si="102"/>
        <v>0</v>
      </c>
      <c r="AZ78" s="82" t="e">
        <f t="shared" si="60"/>
        <v>#DIV/0!</v>
      </c>
      <c r="BA78" s="77">
        <f t="shared" si="103"/>
        <v>0</v>
      </c>
      <c r="BB78" s="108">
        <f t="shared" si="104"/>
        <v>0</v>
      </c>
      <c r="BC78" s="107">
        <f t="shared" si="105"/>
        <v>0</v>
      </c>
      <c r="BD78" s="107">
        <f t="shared" si="106"/>
        <v>0</v>
      </c>
      <c r="BE78" s="107">
        <f t="shared" si="107"/>
        <v>0</v>
      </c>
      <c r="BF78" s="109">
        <f t="shared" si="61"/>
        <v>0</v>
      </c>
      <c r="BG78" s="109">
        <f t="shared" si="62"/>
        <v>0</v>
      </c>
      <c r="BH78" s="109">
        <f t="shared" si="63"/>
        <v>0</v>
      </c>
      <c r="BJ78" s="82">
        <f t="shared" si="108"/>
        <v>0</v>
      </c>
      <c r="BK78" s="82" t="e">
        <f t="shared" si="64"/>
        <v>#DIV/0!</v>
      </c>
      <c r="BL78" s="77">
        <f t="shared" si="109"/>
        <v>0</v>
      </c>
      <c r="BM78" s="108">
        <f t="shared" si="110"/>
        <v>0</v>
      </c>
      <c r="BN78" s="107">
        <f t="shared" si="111"/>
        <v>0</v>
      </c>
      <c r="BO78" s="107">
        <f t="shared" si="112"/>
        <v>0</v>
      </c>
      <c r="BP78" s="107">
        <f t="shared" si="113"/>
        <v>0</v>
      </c>
      <c r="BQ78" s="109">
        <f t="shared" si="65"/>
        <v>0</v>
      </c>
      <c r="BR78" s="109">
        <f t="shared" si="66"/>
        <v>0</v>
      </c>
      <c r="BS78" s="109">
        <f t="shared" si="67"/>
        <v>0</v>
      </c>
      <c r="BU78" s="82">
        <f t="shared" si="114"/>
        <v>0</v>
      </c>
      <c r="BV78" s="82" t="e">
        <f t="shared" si="68"/>
        <v>#DIV/0!</v>
      </c>
      <c r="BW78" s="77">
        <f t="shared" si="115"/>
        <v>0</v>
      </c>
      <c r="BX78" s="108">
        <f t="shared" si="116"/>
        <v>0</v>
      </c>
      <c r="BY78" s="107">
        <f t="shared" si="117"/>
        <v>0</v>
      </c>
      <c r="BZ78" s="107">
        <f t="shared" si="118"/>
        <v>0</v>
      </c>
      <c r="CA78" s="107">
        <f t="shared" si="119"/>
        <v>0</v>
      </c>
      <c r="CB78" s="109">
        <f t="shared" si="69"/>
        <v>0</v>
      </c>
      <c r="CC78" s="109">
        <f t="shared" si="70"/>
        <v>0</v>
      </c>
      <c r="CD78" s="109">
        <f t="shared" si="71"/>
        <v>0</v>
      </c>
    </row>
    <row r="79" spans="1:82" x14ac:dyDescent="0.25">
      <c r="A79" s="101">
        <f t="shared" si="49"/>
        <v>38261</v>
      </c>
      <c r="B79" s="102">
        <f t="shared" si="50"/>
        <v>3.0369999999999999</v>
      </c>
      <c r="C79" s="80">
        <f t="shared" si="51"/>
        <v>0.25</v>
      </c>
      <c r="D79" s="102">
        <f t="shared" si="72"/>
        <v>0.46100000000000002</v>
      </c>
      <c r="E79" s="106">
        <f t="shared" si="73"/>
        <v>0.98</v>
      </c>
      <c r="F79" s="105">
        <f t="shared" ca="1" si="74"/>
        <v>1489</v>
      </c>
      <c r="G79" s="80" t="e">
        <f t="shared" si="75"/>
        <v>#DIV/0!</v>
      </c>
      <c r="H79" s="80" t="e">
        <f t="shared" si="76"/>
        <v>#DIV/0!</v>
      </c>
      <c r="I79" s="104">
        <f t="shared" si="77"/>
        <v>5.05</v>
      </c>
      <c r="K79" s="102">
        <f t="shared" si="78"/>
        <v>0.31</v>
      </c>
      <c r="L79" s="106">
        <f t="shared" si="79"/>
        <v>1</v>
      </c>
      <c r="M79" s="105">
        <f t="shared" ca="1" si="80"/>
        <v>1489</v>
      </c>
      <c r="N79" s="217" t="e">
        <f t="shared" si="81"/>
        <v>#DIV/0!</v>
      </c>
      <c r="O79" s="80" t="e">
        <f t="shared" si="82"/>
        <v>#DIV/0!</v>
      </c>
      <c r="P79" s="104">
        <f t="shared" si="83"/>
        <v>5.0999999999999996</v>
      </c>
      <c r="R79" s="102">
        <f t="shared" si="84"/>
        <v>7.4999999999999997E-3</v>
      </c>
      <c r="S79" s="106">
        <f t="shared" si="85"/>
        <v>1</v>
      </c>
      <c r="T79" s="105">
        <f t="shared" ca="1" si="86"/>
        <v>1489</v>
      </c>
      <c r="U79" s="217" t="e">
        <f t="shared" si="87"/>
        <v>#DIV/0!</v>
      </c>
      <c r="V79" s="80" t="e">
        <f t="shared" si="88"/>
        <v>#DIV/0!</v>
      </c>
      <c r="W79" s="104">
        <f t="shared" si="89"/>
        <v>4.8099999999999996</v>
      </c>
      <c r="X79" s="105"/>
      <c r="Y79" s="102">
        <f t="shared" si="90"/>
        <v>7.4999999999999997E-3</v>
      </c>
      <c r="Z79" s="106">
        <f t="shared" si="91"/>
        <v>1</v>
      </c>
      <c r="AA79" s="105">
        <f t="shared" ca="1" si="92"/>
        <v>1489</v>
      </c>
      <c r="AB79" s="80" t="e">
        <f t="shared" si="93"/>
        <v>#DIV/0!</v>
      </c>
      <c r="AC79" s="80" t="e">
        <f t="shared" si="94"/>
        <v>#DIV/0!</v>
      </c>
      <c r="AD79" s="104">
        <f t="shared" si="95"/>
        <v>4.8449999999999998</v>
      </c>
      <c r="AF79" s="105">
        <f t="shared" ca="1" si="52"/>
        <v>1489</v>
      </c>
      <c r="AG79" s="105">
        <f t="shared" ca="1" si="53"/>
        <v>1488</v>
      </c>
      <c r="AH79" s="80">
        <f t="shared" si="54"/>
        <v>6.9122987405887029E-2</v>
      </c>
      <c r="AI79" s="182">
        <f t="shared" si="25"/>
        <v>31</v>
      </c>
      <c r="AL79" s="105"/>
      <c r="AM79" s="82"/>
      <c r="AN79" s="82">
        <f t="shared" si="96"/>
        <v>0</v>
      </c>
      <c r="AO79" s="82" t="e">
        <f t="shared" si="55"/>
        <v>#DIV/0!</v>
      </c>
      <c r="AP79" s="77">
        <f t="shared" si="97"/>
        <v>0</v>
      </c>
      <c r="AQ79" s="108">
        <f t="shared" si="98"/>
        <v>0</v>
      </c>
      <c r="AR79" s="107">
        <f t="shared" si="99"/>
        <v>0</v>
      </c>
      <c r="AS79" s="107">
        <f t="shared" si="100"/>
        <v>0</v>
      </c>
      <c r="AT79" s="107">
        <f t="shared" si="101"/>
        <v>0</v>
      </c>
      <c r="AU79" s="109">
        <f t="shared" si="57"/>
        <v>0</v>
      </c>
      <c r="AV79" s="109">
        <f t="shared" si="58"/>
        <v>0</v>
      </c>
      <c r="AW79" s="109">
        <f t="shared" si="59"/>
        <v>0</v>
      </c>
      <c r="AY79" s="82">
        <f t="shared" si="102"/>
        <v>0</v>
      </c>
      <c r="AZ79" s="82" t="e">
        <f t="shared" si="60"/>
        <v>#DIV/0!</v>
      </c>
      <c r="BA79" s="77">
        <f t="shared" si="103"/>
        <v>0</v>
      </c>
      <c r="BB79" s="108">
        <f t="shared" si="104"/>
        <v>0</v>
      </c>
      <c r="BC79" s="107">
        <f t="shared" si="105"/>
        <v>0</v>
      </c>
      <c r="BD79" s="107">
        <f t="shared" si="106"/>
        <v>0</v>
      </c>
      <c r="BE79" s="107">
        <f t="shared" si="107"/>
        <v>0</v>
      </c>
      <c r="BF79" s="109">
        <f t="shared" si="61"/>
        <v>0</v>
      </c>
      <c r="BG79" s="109">
        <f t="shared" si="62"/>
        <v>0</v>
      </c>
      <c r="BH79" s="109">
        <f t="shared" si="63"/>
        <v>0</v>
      </c>
      <c r="BJ79" s="82">
        <f t="shared" si="108"/>
        <v>0</v>
      </c>
      <c r="BK79" s="82" t="e">
        <f t="shared" si="64"/>
        <v>#DIV/0!</v>
      </c>
      <c r="BL79" s="77">
        <f t="shared" si="109"/>
        <v>0</v>
      </c>
      <c r="BM79" s="108">
        <f t="shared" si="110"/>
        <v>0</v>
      </c>
      <c r="BN79" s="107">
        <f t="shared" si="111"/>
        <v>0</v>
      </c>
      <c r="BO79" s="107">
        <f t="shared" si="112"/>
        <v>0</v>
      </c>
      <c r="BP79" s="107">
        <f t="shared" si="113"/>
        <v>0</v>
      </c>
      <c r="BQ79" s="109">
        <f t="shared" si="65"/>
        <v>0</v>
      </c>
      <c r="BR79" s="109">
        <f t="shared" si="66"/>
        <v>0</v>
      </c>
      <c r="BS79" s="109">
        <f t="shared" si="67"/>
        <v>0</v>
      </c>
      <c r="BU79" s="82">
        <f t="shared" si="114"/>
        <v>0</v>
      </c>
      <c r="BV79" s="82" t="e">
        <f t="shared" si="68"/>
        <v>#DIV/0!</v>
      </c>
      <c r="BW79" s="77">
        <f t="shared" si="115"/>
        <v>0</v>
      </c>
      <c r="BX79" s="108">
        <f t="shared" si="116"/>
        <v>0</v>
      </c>
      <c r="BY79" s="107">
        <f t="shared" si="117"/>
        <v>0</v>
      </c>
      <c r="BZ79" s="107">
        <f t="shared" si="118"/>
        <v>0</v>
      </c>
      <c r="CA79" s="107">
        <f t="shared" si="119"/>
        <v>0</v>
      </c>
      <c r="CB79" s="109">
        <f t="shared" si="69"/>
        <v>0</v>
      </c>
      <c r="CC79" s="109">
        <f t="shared" si="70"/>
        <v>0</v>
      </c>
      <c r="CD79" s="109">
        <f t="shared" si="71"/>
        <v>0</v>
      </c>
    </row>
    <row r="80" spans="1:82" x14ac:dyDescent="0.25">
      <c r="A80" s="101">
        <f t="shared" si="49"/>
        <v>38292</v>
      </c>
      <c r="B80" s="102">
        <f t="shared" si="50"/>
        <v>3.1240000000000006</v>
      </c>
      <c r="C80" s="80">
        <f t="shared" si="51"/>
        <v>0.2525</v>
      </c>
      <c r="D80" s="102">
        <f t="shared" si="72"/>
        <v>0.76249999999999996</v>
      </c>
      <c r="E80" s="106">
        <f t="shared" si="73"/>
        <v>1.1000000000000001</v>
      </c>
      <c r="F80" s="105">
        <f t="shared" ca="1" si="74"/>
        <v>1518</v>
      </c>
      <c r="G80" s="80" t="e">
        <f t="shared" si="75"/>
        <v>#DIV/0!</v>
      </c>
      <c r="H80" s="80" t="e">
        <f t="shared" si="76"/>
        <v>#DIV/0!</v>
      </c>
      <c r="I80" s="104">
        <f t="shared" si="77"/>
        <v>5.05</v>
      </c>
      <c r="K80" s="102">
        <f t="shared" si="78"/>
        <v>0.14000000000000001</v>
      </c>
      <c r="L80" s="106">
        <f t="shared" si="79"/>
        <v>1</v>
      </c>
      <c r="M80" s="105">
        <f t="shared" ca="1" si="80"/>
        <v>1518</v>
      </c>
      <c r="N80" s="217" t="e">
        <f t="shared" si="81"/>
        <v>#DIV/0!</v>
      </c>
      <c r="O80" s="80" t="e">
        <f t="shared" si="82"/>
        <v>#DIV/0!</v>
      </c>
      <c r="P80" s="104">
        <f t="shared" si="83"/>
        <v>5.0999999999999996</v>
      </c>
      <c r="R80" s="102">
        <f t="shared" si="84"/>
        <v>-3.2500000000000001E-2</v>
      </c>
      <c r="S80" s="106">
        <f t="shared" si="85"/>
        <v>1</v>
      </c>
      <c r="T80" s="105">
        <f t="shared" ca="1" si="86"/>
        <v>1518</v>
      </c>
      <c r="U80" s="217" t="e">
        <f t="shared" si="87"/>
        <v>#DIV/0!</v>
      </c>
      <c r="V80" s="80" t="e">
        <f t="shared" si="88"/>
        <v>#DIV/0!</v>
      </c>
      <c r="W80" s="104">
        <f t="shared" si="89"/>
        <v>4.8099999999999996</v>
      </c>
      <c r="X80" s="105"/>
      <c r="Y80" s="102">
        <f t="shared" si="90"/>
        <v>-3.2500000000000001E-2</v>
      </c>
      <c r="Z80" s="106">
        <f t="shared" si="91"/>
        <v>1</v>
      </c>
      <c r="AA80" s="105">
        <f t="shared" ca="1" si="92"/>
        <v>1518</v>
      </c>
      <c r="AB80" s="80" t="e">
        <f t="shared" si="93"/>
        <v>#DIV/0!</v>
      </c>
      <c r="AC80" s="80" t="e">
        <f t="shared" si="94"/>
        <v>#DIV/0!</v>
      </c>
      <c r="AD80" s="104">
        <f t="shared" si="95"/>
        <v>4.8449999999999998</v>
      </c>
      <c r="AF80" s="105">
        <f t="shared" ca="1" si="52"/>
        <v>1518</v>
      </c>
      <c r="AG80" s="105">
        <f t="shared" ca="1" si="53"/>
        <v>1517</v>
      </c>
      <c r="AH80" s="80">
        <f t="shared" si="54"/>
        <v>6.9141177408060014E-2</v>
      </c>
      <c r="AI80" s="182">
        <f t="shared" si="25"/>
        <v>30</v>
      </c>
      <c r="AL80" s="105"/>
      <c r="AM80" s="82"/>
      <c r="AN80" s="82">
        <f t="shared" si="96"/>
        <v>0</v>
      </c>
      <c r="AO80" s="82" t="e">
        <f t="shared" si="55"/>
        <v>#DIV/0!</v>
      </c>
      <c r="AP80" s="77">
        <f t="shared" si="97"/>
        <v>0</v>
      </c>
      <c r="AQ80" s="108">
        <f t="shared" si="98"/>
        <v>0</v>
      </c>
      <c r="AR80" s="107">
        <f t="shared" si="99"/>
        <v>0</v>
      </c>
      <c r="AS80" s="107">
        <f t="shared" si="100"/>
        <v>0</v>
      </c>
      <c r="AT80" s="107">
        <f t="shared" si="101"/>
        <v>0</v>
      </c>
      <c r="AU80" s="109">
        <f t="shared" si="57"/>
        <v>0</v>
      </c>
      <c r="AV80" s="109">
        <f t="shared" si="58"/>
        <v>0</v>
      </c>
      <c r="AW80" s="109">
        <f t="shared" si="59"/>
        <v>0</v>
      </c>
      <c r="AY80" s="82">
        <f t="shared" si="102"/>
        <v>0</v>
      </c>
      <c r="AZ80" s="82" t="e">
        <f t="shared" si="60"/>
        <v>#DIV/0!</v>
      </c>
      <c r="BA80" s="77">
        <f t="shared" si="103"/>
        <v>0</v>
      </c>
      <c r="BB80" s="108">
        <f t="shared" si="104"/>
        <v>0</v>
      </c>
      <c r="BC80" s="107">
        <f t="shared" si="105"/>
        <v>0</v>
      </c>
      <c r="BD80" s="107">
        <f t="shared" si="106"/>
        <v>0</v>
      </c>
      <c r="BE80" s="107">
        <f t="shared" si="107"/>
        <v>0</v>
      </c>
      <c r="BF80" s="109">
        <f t="shared" si="61"/>
        <v>0</v>
      </c>
      <c r="BG80" s="109">
        <f t="shared" si="62"/>
        <v>0</v>
      </c>
      <c r="BH80" s="109">
        <f t="shared" si="63"/>
        <v>0</v>
      </c>
      <c r="BJ80" s="82">
        <f t="shared" si="108"/>
        <v>0</v>
      </c>
      <c r="BK80" s="82" t="e">
        <f t="shared" si="64"/>
        <v>#DIV/0!</v>
      </c>
      <c r="BL80" s="77">
        <f t="shared" si="109"/>
        <v>0</v>
      </c>
      <c r="BM80" s="108">
        <f t="shared" si="110"/>
        <v>0</v>
      </c>
      <c r="BN80" s="107">
        <f t="shared" si="111"/>
        <v>0</v>
      </c>
      <c r="BO80" s="107">
        <f t="shared" si="112"/>
        <v>0</v>
      </c>
      <c r="BP80" s="107">
        <f t="shared" si="113"/>
        <v>0</v>
      </c>
      <c r="BQ80" s="109">
        <f t="shared" si="65"/>
        <v>0</v>
      </c>
      <c r="BR80" s="109">
        <f t="shared" si="66"/>
        <v>0</v>
      </c>
      <c r="BS80" s="109">
        <f t="shared" si="67"/>
        <v>0</v>
      </c>
      <c r="BU80" s="82">
        <f t="shared" si="114"/>
        <v>0</v>
      </c>
      <c r="BV80" s="82" t="e">
        <f t="shared" si="68"/>
        <v>#DIV/0!</v>
      </c>
      <c r="BW80" s="77">
        <f t="shared" si="115"/>
        <v>0</v>
      </c>
      <c r="BX80" s="108">
        <f t="shared" si="116"/>
        <v>0</v>
      </c>
      <c r="BY80" s="107">
        <f t="shared" si="117"/>
        <v>0</v>
      </c>
      <c r="BZ80" s="107">
        <f t="shared" si="118"/>
        <v>0</v>
      </c>
      <c r="CA80" s="107">
        <f t="shared" si="119"/>
        <v>0</v>
      </c>
      <c r="CB80" s="109">
        <f t="shared" si="69"/>
        <v>0</v>
      </c>
      <c r="CC80" s="109">
        <f t="shared" si="70"/>
        <v>0</v>
      </c>
      <c r="CD80" s="109">
        <f t="shared" si="71"/>
        <v>0</v>
      </c>
    </row>
    <row r="81" spans="1:82" x14ac:dyDescent="0.25">
      <c r="A81" s="101">
        <f t="shared" si="49"/>
        <v>38322</v>
      </c>
      <c r="B81" s="102">
        <f t="shared" si="50"/>
        <v>3.2030000000000003</v>
      </c>
      <c r="C81" s="80">
        <f t="shared" si="51"/>
        <v>0.255</v>
      </c>
      <c r="D81" s="102">
        <f t="shared" si="72"/>
        <v>1.18</v>
      </c>
      <c r="E81" s="106">
        <f t="shared" si="73"/>
        <v>1.1000000000000001</v>
      </c>
      <c r="F81" s="105">
        <f t="shared" ca="1" si="74"/>
        <v>1548</v>
      </c>
      <c r="G81" s="80" t="e">
        <f t="shared" si="75"/>
        <v>#DIV/0!</v>
      </c>
      <c r="H81" s="80" t="e">
        <f t="shared" si="76"/>
        <v>#DIV/0!</v>
      </c>
      <c r="I81" s="104">
        <f t="shared" si="77"/>
        <v>5.05</v>
      </c>
      <c r="K81" s="102">
        <f t="shared" si="78"/>
        <v>0.14000000000000001</v>
      </c>
      <c r="L81" s="106">
        <f t="shared" si="79"/>
        <v>1</v>
      </c>
      <c r="M81" s="105">
        <f t="shared" ca="1" si="80"/>
        <v>1548</v>
      </c>
      <c r="N81" s="217" t="e">
        <f t="shared" si="81"/>
        <v>#DIV/0!</v>
      </c>
      <c r="O81" s="80" t="e">
        <f t="shared" si="82"/>
        <v>#DIV/0!</v>
      </c>
      <c r="P81" s="104">
        <f t="shared" si="83"/>
        <v>5.0999999999999996</v>
      </c>
      <c r="R81" s="102">
        <f t="shared" si="84"/>
        <v>-5.5E-2</v>
      </c>
      <c r="S81" s="106">
        <f t="shared" si="85"/>
        <v>1</v>
      </c>
      <c r="T81" s="105">
        <f t="shared" ca="1" si="86"/>
        <v>1548</v>
      </c>
      <c r="U81" s="217" t="e">
        <f t="shared" si="87"/>
        <v>#DIV/0!</v>
      </c>
      <c r="V81" s="80" t="e">
        <f t="shared" si="88"/>
        <v>#DIV/0!</v>
      </c>
      <c r="W81" s="104">
        <f t="shared" si="89"/>
        <v>4.8099999999999996</v>
      </c>
      <c r="X81" s="105"/>
      <c r="Y81" s="102">
        <f t="shared" si="90"/>
        <v>-5.5E-2</v>
      </c>
      <c r="Z81" s="106">
        <f t="shared" si="91"/>
        <v>1</v>
      </c>
      <c r="AA81" s="105">
        <f t="shared" ca="1" si="92"/>
        <v>1548</v>
      </c>
      <c r="AB81" s="80" t="e">
        <f t="shared" si="93"/>
        <v>#DIV/0!</v>
      </c>
      <c r="AC81" s="80" t="e">
        <f t="shared" si="94"/>
        <v>#DIV/0!</v>
      </c>
      <c r="AD81" s="104">
        <f t="shared" si="95"/>
        <v>4.8449999999999998</v>
      </c>
      <c r="AF81" s="105">
        <f t="shared" ca="1" si="52"/>
        <v>1548</v>
      </c>
      <c r="AG81" s="105">
        <f t="shared" ca="1" si="53"/>
        <v>1546</v>
      </c>
      <c r="AH81" s="80">
        <f t="shared" si="54"/>
        <v>6.9158780636075001E-2</v>
      </c>
      <c r="AI81" s="182">
        <f t="shared" si="25"/>
        <v>31</v>
      </c>
      <c r="AL81" s="105"/>
      <c r="AM81" s="82"/>
      <c r="AN81" s="82">
        <f t="shared" si="96"/>
        <v>0</v>
      </c>
      <c r="AO81" s="82" t="e">
        <f t="shared" si="55"/>
        <v>#DIV/0!</v>
      </c>
      <c r="AP81" s="77">
        <f t="shared" si="97"/>
        <v>0</v>
      </c>
      <c r="AQ81" s="108">
        <f t="shared" si="98"/>
        <v>0</v>
      </c>
      <c r="AR81" s="107">
        <f t="shared" si="99"/>
        <v>0</v>
      </c>
      <c r="AS81" s="107">
        <f t="shared" si="100"/>
        <v>0</v>
      </c>
      <c r="AT81" s="107">
        <f t="shared" si="101"/>
        <v>0</v>
      </c>
      <c r="AU81" s="109">
        <f t="shared" si="57"/>
        <v>0</v>
      </c>
      <c r="AV81" s="109">
        <f t="shared" si="58"/>
        <v>0</v>
      </c>
      <c r="AW81" s="109">
        <f t="shared" si="59"/>
        <v>0</v>
      </c>
      <c r="AY81" s="82">
        <f t="shared" si="102"/>
        <v>0</v>
      </c>
      <c r="AZ81" s="82" t="e">
        <f t="shared" si="60"/>
        <v>#DIV/0!</v>
      </c>
      <c r="BA81" s="77">
        <f t="shared" si="103"/>
        <v>0</v>
      </c>
      <c r="BB81" s="108">
        <f t="shared" si="104"/>
        <v>0</v>
      </c>
      <c r="BC81" s="107">
        <f t="shared" si="105"/>
        <v>0</v>
      </c>
      <c r="BD81" s="107">
        <f t="shared" si="106"/>
        <v>0</v>
      </c>
      <c r="BE81" s="107">
        <f t="shared" si="107"/>
        <v>0</v>
      </c>
      <c r="BF81" s="109">
        <f t="shared" si="61"/>
        <v>0</v>
      </c>
      <c r="BG81" s="109">
        <f t="shared" si="62"/>
        <v>0</v>
      </c>
      <c r="BH81" s="109">
        <f t="shared" si="63"/>
        <v>0</v>
      </c>
      <c r="BJ81" s="82">
        <f t="shared" si="108"/>
        <v>0</v>
      </c>
      <c r="BK81" s="82" t="e">
        <f t="shared" si="64"/>
        <v>#DIV/0!</v>
      </c>
      <c r="BL81" s="77">
        <f t="shared" si="109"/>
        <v>0</v>
      </c>
      <c r="BM81" s="108">
        <f t="shared" si="110"/>
        <v>0</v>
      </c>
      <c r="BN81" s="107">
        <f t="shared" si="111"/>
        <v>0</v>
      </c>
      <c r="BO81" s="107">
        <f t="shared" si="112"/>
        <v>0</v>
      </c>
      <c r="BP81" s="107">
        <f t="shared" si="113"/>
        <v>0</v>
      </c>
      <c r="BQ81" s="109">
        <f t="shared" si="65"/>
        <v>0</v>
      </c>
      <c r="BR81" s="109">
        <f t="shared" si="66"/>
        <v>0</v>
      </c>
      <c r="BS81" s="109">
        <f t="shared" si="67"/>
        <v>0</v>
      </c>
      <c r="BU81" s="82">
        <f t="shared" si="114"/>
        <v>0</v>
      </c>
      <c r="BV81" s="82" t="e">
        <f t="shared" si="68"/>
        <v>#DIV/0!</v>
      </c>
      <c r="BW81" s="77">
        <f t="shared" si="115"/>
        <v>0</v>
      </c>
      <c r="BX81" s="108">
        <f t="shared" si="116"/>
        <v>0</v>
      </c>
      <c r="BY81" s="107">
        <f t="shared" si="117"/>
        <v>0</v>
      </c>
      <c r="BZ81" s="107">
        <f t="shared" si="118"/>
        <v>0</v>
      </c>
      <c r="CA81" s="107">
        <f t="shared" si="119"/>
        <v>0</v>
      </c>
      <c r="CB81" s="109">
        <f t="shared" si="69"/>
        <v>0</v>
      </c>
      <c r="CC81" s="109">
        <f t="shared" si="70"/>
        <v>0</v>
      </c>
      <c r="CD81" s="109">
        <f t="shared" si="71"/>
        <v>0</v>
      </c>
    </row>
    <row r="82" spans="1:82" x14ac:dyDescent="0.25">
      <c r="A82" s="101">
        <f t="shared" si="49"/>
        <v>38353</v>
      </c>
      <c r="B82" s="102">
        <f t="shared" si="50"/>
        <v>3.4160000000000004</v>
      </c>
      <c r="C82" s="80">
        <f t="shared" si="51"/>
        <v>0.26</v>
      </c>
      <c r="D82" s="102">
        <f t="shared" si="72"/>
        <v>1.51</v>
      </c>
      <c r="E82" s="106">
        <f t="shared" si="73"/>
        <v>1.1000000000000001</v>
      </c>
      <c r="F82" s="105">
        <f t="shared" ca="1" si="74"/>
        <v>1580</v>
      </c>
      <c r="G82" s="80" t="e">
        <f t="shared" si="75"/>
        <v>#DIV/0!</v>
      </c>
      <c r="H82" s="80" t="e">
        <f t="shared" si="76"/>
        <v>#DIV/0!</v>
      </c>
      <c r="I82" s="104">
        <f t="shared" si="77"/>
        <v>5.05</v>
      </c>
      <c r="K82" s="102">
        <f t="shared" si="78"/>
        <v>0.14000000000000001</v>
      </c>
      <c r="L82" s="106">
        <f t="shared" si="79"/>
        <v>1</v>
      </c>
      <c r="M82" s="105">
        <f t="shared" ca="1" si="80"/>
        <v>1580</v>
      </c>
      <c r="N82" s="217" t="e">
        <f t="shared" si="81"/>
        <v>#DIV/0!</v>
      </c>
      <c r="O82" s="80" t="e">
        <f t="shared" si="82"/>
        <v>#DIV/0!</v>
      </c>
      <c r="P82" s="104">
        <f t="shared" si="83"/>
        <v>5.0999999999999996</v>
      </c>
      <c r="R82" s="102">
        <f t="shared" si="84"/>
        <v>-5.7500000000000002E-2</v>
      </c>
      <c r="S82" s="106">
        <f t="shared" si="85"/>
        <v>1</v>
      </c>
      <c r="T82" s="105">
        <f t="shared" ca="1" si="86"/>
        <v>1580</v>
      </c>
      <c r="U82" s="217" t="e">
        <f t="shared" si="87"/>
        <v>#DIV/0!</v>
      </c>
      <c r="V82" s="80" t="e">
        <f t="shared" si="88"/>
        <v>#DIV/0!</v>
      </c>
      <c r="W82" s="104">
        <f t="shared" si="89"/>
        <v>4.8099999999999996</v>
      </c>
      <c r="X82" s="105"/>
      <c r="Y82" s="102">
        <f t="shared" si="90"/>
        <v>-5.7500000000000002E-2</v>
      </c>
      <c r="Z82" s="106">
        <f t="shared" si="91"/>
        <v>1</v>
      </c>
      <c r="AA82" s="105">
        <f t="shared" ca="1" si="92"/>
        <v>1580</v>
      </c>
      <c r="AB82" s="80" t="e">
        <f t="shared" si="93"/>
        <v>#DIV/0!</v>
      </c>
      <c r="AC82" s="80" t="e">
        <f t="shared" si="94"/>
        <v>#DIV/0!</v>
      </c>
      <c r="AD82" s="104">
        <f t="shared" si="95"/>
        <v>4.8449999999999998</v>
      </c>
      <c r="AF82" s="105">
        <f t="shared" ca="1" si="52"/>
        <v>1580</v>
      </c>
      <c r="AG82" s="105">
        <f t="shared" ca="1" si="53"/>
        <v>1579</v>
      </c>
      <c r="AH82" s="80">
        <f t="shared" si="54"/>
        <v>6.9176970638464022E-2</v>
      </c>
      <c r="AI82" s="182">
        <f t="shared" si="25"/>
        <v>31</v>
      </c>
      <c r="AL82" s="105"/>
      <c r="AM82" s="82"/>
      <c r="AN82" s="82">
        <f t="shared" si="96"/>
        <v>0</v>
      </c>
      <c r="AO82" s="82" t="e">
        <f t="shared" si="55"/>
        <v>#DIV/0!</v>
      </c>
      <c r="AP82" s="77">
        <f t="shared" si="97"/>
        <v>0</v>
      </c>
      <c r="AQ82" s="108">
        <f t="shared" si="98"/>
        <v>0</v>
      </c>
      <c r="AR82" s="107">
        <f t="shared" si="99"/>
        <v>0</v>
      </c>
      <c r="AS82" s="107">
        <f t="shared" si="100"/>
        <v>0</v>
      </c>
      <c r="AT82" s="107">
        <f t="shared" si="101"/>
        <v>0</v>
      </c>
      <c r="AU82" s="109">
        <f t="shared" si="57"/>
        <v>0</v>
      </c>
      <c r="AV82" s="109">
        <f t="shared" si="58"/>
        <v>0</v>
      </c>
      <c r="AW82" s="109">
        <f t="shared" si="59"/>
        <v>0</v>
      </c>
      <c r="AY82" s="82">
        <f t="shared" si="102"/>
        <v>0</v>
      </c>
      <c r="AZ82" s="82" t="e">
        <f t="shared" si="60"/>
        <v>#DIV/0!</v>
      </c>
      <c r="BA82" s="77">
        <f t="shared" si="103"/>
        <v>0</v>
      </c>
      <c r="BB82" s="108">
        <f t="shared" si="104"/>
        <v>0</v>
      </c>
      <c r="BC82" s="107">
        <f t="shared" si="105"/>
        <v>0</v>
      </c>
      <c r="BD82" s="107">
        <f t="shared" si="106"/>
        <v>0</v>
      </c>
      <c r="BE82" s="107">
        <f t="shared" si="107"/>
        <v>0</v>
      </c>
      <c r="BF82" s="109">
        <f t="shared" si="61"/>
        <v>0</v>
      </c>
      <c r="BG82" s="109">
        <f t="shared" si="62"/>
        <v>0</v>
      </c>
      <c r="BH82" s="109">
        <f t="shared" si="63"/>
        <v>0</v>
      </c>
      <c r="BJ82" s="82">
        <f t="shared" si="108"/>
        <v>0</v>
      </c>
      <c r="BK82" s="82" t="e">
        <f t="shared" si="64"/>
        <v>#DIV/0!</v>
      </c>
      <c r="BL82" s="77">
        <f t="shared" si="109"/>
        <v>0</v>
      </c>
      <c r="BM82" s="108">
        <f t="shared" si="110"/>
        <v>0</v>
      </c>
      <c r="BN82" s="107">
        <f t="shared" si="111"/>
        <v>0</v>
      </c>
      <c r="BO82" s="107">
        <f t="shared" si="112"/>
        <v>0</v>
      </c>
      <c r="BP82" s="107">
        <f t="shared" si="113"/>
        <v>0</v>
      </c>
      <c r="BQ82" s="109">
        <f t="shared" si="65"/>
        <v>0</v>
      </c>
      <c r="BR82" s="109">
        <f t="shared" si="66"/>
        <v>0</v>
      </c>
      <c r="BS82" s="109">
        <f t="shared" si="67"/>
        <v>0</v>
      </c>
      <c r="BU82" s="82">
        <f t="shared" si="114"/>
        <v>0</v>
      </c>
      <c r="BV82" s="82" t="e">
        <f t="shared" si="68"/>
        <v>#DIV/0!</v>
      </c>
      <c r="BW82" s="77">
        <f t="shared" si="115"/>
        <v>0</v>
      </c>
      <c r="BX82" s="108">
        <f t="shared" si="116"/>
        <v>0</v>
      </c>
      <c r="BY82" s="107">
        <f t="shared" si="117"/>
        <v>0</v>
      </c>
      <c r="BZ82" s="107">
        <f t="shared" si="118"/>
        <v>0</v>
      </c>
      <c r="CA82" s="107">
        <f t="shared" si="119"/>
        <v>0</v>
      </c>
      <c r="CB82" s="109">
        <f t="shared" si="69"/>
        <v>0</v>
      </c>
      <c r="CC82" s="109">
        <f t="shared" si="70"/>
        <v>0</v>
      </c>
      <c r="CD82" s="109">
        <f t="shared" si="71"/>
        <v>0</v>
      </c>
    </row>
    <row r="83" spans="1:82" x14ac:dyDescent="0.25">
      <c r="A83" s="101">
        <f t="shared" si="49"/>
        <v>38384</v>
      </c>
      <c r="B83" s="102">
        <f t="shared" si="50"/>
        <v>3.282</v>
      </c>
      <c r="C83" s="80">
        <f t="shared" si="51"/>
        <v>0.2475</v>
      </c>
      <c r="D83" s="102">
        <f t="shared" si="72"/>
        <v>1.44</v>
      </c>
      <c r="E83" s="106">
        <f t="shared" si="73"/>
        <v>1.1000000000000001</v>
      </c>
      <c r="F83" s="105">
        <f t="shared" ca="1" si="74"/>
        <v>1610</v>
      </c>
      <c r="G83" s="80" t="e">
        <f t="shared" si="75"/>
        <v>#DIV/0!</v>
      </c>
      <c r="H83" s="80" t="e">
        <f t="shared" si="76"/>
        <v>#DIV/0!</v>
      </c>
      <c r="I83" s="104">
        <f t="shared" si="77"/>
        <v>5.05</v>
      </c>
      <c r="K83" s="102">
        <f t="shared" si="78"/>
        <v>0.14000000000000001</v>
      </c>
      <c r="L83" s="106">
        <f t="shared" si="79"/>
        <v>1</v>
      </c>
      <c r="M83" s="105">
        <f t="shared" ca="1" si="80"/>
        <v>1610</v>
      </c>
      <c r="N83" s="217" t="e">
        <f t="shared" si="81"/>
        <v>#DIV/0!</v>
      </c>
      <c r="O83" s="80" t="e">
        <f t="shared" si="82"/>
        <v>#DIV/0!</v>
      </c>
      <c r="P83" s="104">
        <f t="shared" si="83"/>
        <v>5.0999999999999996</v>
      </c>
      <c r="R83" s="102">
        <f t="shared" si="84"/>
        <v>-0.04</v>
      </c>
      <c r="S83" s="106">
        <f t="shared" si="85"/>
        <v>1</v>
      </c>
      <c r="T83" s="105">
        <f t="shared" ca="1" si="86"/>
        <v>1610</v>
      </c>
      <c r="U83" s="217" t="e">
        <f t="shared" si="87"/>
        <v>#DIV/0!</v>
      </c>
      <c r="V83" s="80" t="e">
        <f t="shared" si="88"/>
        <v>#DIV/0!</v>
      </c>
      <c r="W83" s="104">
        <f t="shared" si="89"/>
        <v>4.8099999999999996</v>
      </c>
      <c r="X83" s="105"/>
      <c r="Y83" s="102">
        <f t="shared" si="90"/>
        <v>-0.04</v>
      </c>
      <c r="Z83" s="106">
        <f t="shared" si="91"/>
        <v>1</v>
      </c>
      <c r="AA83" s="105">
        <f t="shared" ca="1" si="92"/>
        <v>1610</v>
      </c>
      <c r="AB83" s="80" t="e">
        <f t="shared" si="93"/>
        <v>#DIV/0!</v>
      </c>
      <c r="AC83" s="80" t="e">
        <f t="shared" si="94"/>
        <v>#DIV/0!</v>
      </c>
      <c r="AD83" s="104">
        <f t="shared" si="95"/>
        <v>4.8449999999999998</v>
      </c>
      <c r="AF83" s="105">
        <f t="shared" ca="1" si="52"/>
        <v>1610</v>
      </c>
      <c r="AG83" s="105">
        <f t="shared" ca="1" si="53"/>
        <v>1609</v>
      </c>
      <c r="AH83" s="80">
        <f t="shared" si="54"/>
        <v>6.9195160640961997E-2</v>
      </c>
      <c r="AI83" s="182">
        <f t="shared" si="25"/>
        <v>28</v>
      </c>
      <c r="AL83" s="105"/>
      <c r="AM83" s="82"/>
      <c r="AN83" s="82">
        <f t="shared" si="96"/>
        <v>0</v>
      </c>
      <c r="AO83" s="82" t="e">
        <f t="shared" si="55"/>
        <v>#DIV/0!</v>
      </c>
      <c r="AP83" s="77">
        <f t="shared" si="97"/>
        <v>0</v>
      </c>
      <c r="AQ83" s="108">
        <f t="shared" si="98"/>
        <v>0</v>
      </c>
      <c r="AR83" s="107">
        <f t="shared" si="99"/>
        <v>0</v>
      </c>
      <c r="AS83" s="107">
        <f t="shared" si="100"/>
        <v>0</v>
      </c>
      <c r="AT83" s="107">
        <f t="shared" si="101"/>
        <v>0</v>
      </c>
      <c r="AU83" s="109">
        <f t="shared" si="57"/>
        <v>0</v>
      </c>
      <c r="AV83" s="109">
        <f t="shared" si="58"/>
        <v>0</v>
      </c>
      <c r="AW83" s="109">
        <f t="shared" si="59"/>
        <v>0</v>
      </c>
      <c r="AY83" s="82">
        <f t="shared" si="102"/>
        <v>0</v>
      </c>
      <c r="AZ83" s="82" t="e">
        <f t="shared" si="60"/>
        <v>#DIV/0!</v>
      </c>
      <c r="BA83" s="77">
        <f t="shared" si="103"/>
        <v>0</v>
      </c>
      <c r="BB83" s="108">
        <f t="shared" si="104"/>
        <v>0</v>
      </c>
      <c r="BC83" s="107">
        <f t="shared" si="105"/>
        <v>0</v>
      </c>
      <c r="BD83" s="107">
        <f t="shared" si="106"/>
        <v>0</v>
      </c>
      <c r="BE83" s="107">
        <f t="shared" si="107"/>
        <v>0</v>
      </c>
      <c r="BF83" s="109">
        <f t="shared" si="61"/>
        <v>0</v>
      </c>
      <c r="BG83" s="109">
        <f t="shared" si="62"/>
        <v>0</v>
      </c>
      <c r="BH83" s="109">
        <f t="shared" si="63"/>
        <v>0</v>
      </c>
      <c r="BJ83" s="82">
        <f t="shared" si="108"/>
        <v>0</v>
      </c>
      <c r="BK83" s="82" t="e">
        <f t="shared" si="64"/>
        <v>#DIV/0!</v>
      </c>
      <c r="BL83" s="77">
        <f t="shared" si="109"/>
        <v>0</v>
      </c>
      <c r="BM83" s="108">
        <f t="shared" si="110"/>
        <v>0</v>
      </c>
      <c r="BN83" s="107">
        <f t="shared" si="111"/>
        <v>0</v>
      </c>
      <c r="BO83" s="107">
        <f t="shared" si="112"/>
        <v>0</v>
      </c>
      <c r="BP83" s="107">
        <f t="shared" si="113"/>
        <v>0</v>
      </c>
      <c r="BQ83" s="109">
        <f t="shared" si="65"/>
        <v>0</v>
      </c>
      <c r="BR83" s="109">
        <f t="shared" si="66"/>
        <v>0</v>
      </c>
      <c r="BS83" s="109">
        <f t="shared" si="67"/>
        <v>0</v>
      </c>
      <c r="BU83" s="82">
        <f t="shared" si="114"/>
        <v>0</v>
      </c>
      <c r="BV83" s="82" t="e">
        <f t="shared" si="68"/>
        <v>#DIV/0!</v>
      </c>
      <c r="BW83" s="77">
        <f t="shared" si="115"/>
        <v>0</v>
      </c>
      <c r="BX83" s="108">
        <f t="shared" si="116"/>
        <v>0</v>
      </c>
      <c r="BY83" s="107">
        <f t="shared" si="117"/>
        <v>0</v>
      </c>
      <c r="BZ83" s="107">
        <f t="shared" si="118"/>
        <v>0</v>
      </c>
      <c r="CA83" s="107">
        <f t="shared" si="119"/>
        <v>0</v>
      </c>
      <c r="CB83" s="109">
        <f t="shared" si="69"/>
        <v>0</v>
      </c>
      <c r="CC83" s="109">
        <f t="shared" si="70"/>
        <v>0</v>
      </c>
      <c r="CD83" s="109">
        <f t="shared" si="71"/>
        <v>0</v>
      </c>
    </row>
    <row r="84" spans="1:82" x14ac:dyDescent="0.25">
      <c r="A84" s="101">
        <f t="shared" si="49"/>
        <v>38412</v>
      </c>
      <c r="B84" s="102">
        <f t="shared" si="50"/>
        <v>3.1180000000000003</v>
      </c>
      <c r="C84" s="80">
        <f t="shared" si="51"/>
        <v>0.24249999999999999</v>
      </c>
      <c r="D84" s="102">
        <f t="shared" si="72"/>
        <v>0.83</v>
      </c>
      <c r="E84" s="106">
        <f t="shared" si="73"/>
        <v>1.1000000000000001</v>
      </c>
      <c r="F84" s="105">
        <f t="shared" ca="1" si="74"/>
        <v>1638</v>
      </c>
      <c r="G84" s="80" t="e">
        <f t="shared" si="75"/>
        <v>#DIV/0!</v>
      </c>
      <c r="H84" s="80" t="e">
        <f t="shared" si="76"/>
        <v>#DIV/0!</v>
      </c>
      <c r="I84" s="104">
        <f t="shared" si="77"/>
        <v>5.05</v>
      </c>
      <c r="K84" s="102">
        <f t="shared" si="78"/>
        <v>0.14000000000000001</v>
      </c>
      <c r="L84" s="106">
        <f t="shared" si="79"/>
        <v>1</v>
      </c>
      <c r="M84" s="105">
        <f t="shared" ca="1" si="80"/>
        <v>1638</v>
      </c>
      <c r="N84" s="217" t="e">
        <f t="shared" si="81"/>
        <v>#DIV/0!</v>
      </c>
      <c r="O84" s="80" t="e">
        <f t="shared" si="82"/>
        <v>#DIV/0!</v>
      </c>
      <c r="P84" s="104">
        <f t="shared" si="83"/>
        <v>5.0999999999999996</v>
      </c>
      <c r="R84" s="102">
        <f t="shared" si="84"/>
        <v>-2.75E-2</v>
      </c>
      <c r="S84" s="106">
        <f t="shared" si="85"/>
        <v>1</v>
      </c>
      <c r="T84" s="105">
        <f t="shared" ca="1" si="86"/>
        <v>1638</v>
      </c>
      <c r="U84" s="217" t="e">
        <f t="shared" si="87"/>
        <v>#DIV/0!</v>
      </c>
      <c r="V84" s="80" t="e">
        <f t="shared" si="88"/>
        <v>#DIV/0!</v>
      </c>
      <c r="W84" s="104">
        <f t="shared" si="89"/>
        <v>4.8099999999999996</v>
      </c>
      <c r="X84" s="105"/>
      <c r="Y84" s="102">
        <f t="shared" si="90"/>
        <v>-2.75E-2</v>
      </c>
      <c r="Z84" s="106">
        <f t="shared" si="91"/>
        <v>1</v>
      </c>
      <c r="AA84" s="105">
        <f t="shared" ca="1" si="92"/>
        <v>1638</v>
      </c>
      <c r="AB84" s="80" t="e">
        <f t="shared" si="93"/>
        <v>#DIV/0!</v>
      </c>
      <c r="AC84" s="80" t="e">
        <f t="shared" si="94"/>
        <v>#DIV/0!</v>
      </c>
      <c r="AD84" s="104">
        <f t="shared" si="95"/>
        <v>4.8449999999999998</v>
      </c>
      <c r="AF84" s="105">
        <f t="shared" ca="1" si="52"/>
        <v>1638</v>
      </c>
      <c r="AG84" s="105">
        <f t="shared" ca="1" si="53"/>
        <v>1637</v>
      </c>
      <c r="AH84" s="80">
        <f t="shared" si="54"/>
        <v>6.9211590320732999E-2</v>
      </c>
      <c r="AI84" s="182">
        <f t="shared" si="25"/>
        <v>31</v>
      </c>
      <c r="AL84" s="105"/>
      <c r="AM84" s="82"/>
      <c r="AN84" s="82">
        <f t="shared" si="96"/>
        <v>0</v>
      </c>
      <c r="AO84" s="82" t="e">
        <f t="shared" si="55"/>
        <v>#DIV/0!</v>
      </c>
      <c r="AP84" s="77">
        <f t="shared" si="97"/>
        <v>0</v>
      </c>
      <c r="AQ84" s="108">
        <f t="shared" si="98"/>
        <v>0</v>
      </c>
      <c r="AR84" s="107">
        <f t="shared" si="99"/>
        <v>0</v>
      </c>
      <c r="AS84" s="107">
        <f t="shared" si="100"/>
        <v>0</v>
      </c>
      <c r="AT84" s="107">
        <f t="shared" si="101"/>
        <v>0</v>
      </c>
      <c r="AU84" s="109">
        <f t="shared" si="57"/>
        <v>0</v>
      </c>
      <c r="AV84" s="109">
        <f t="shared" si="58"/>
        <v>0</v>
      </c>
      <c r="AW84" s="109">
        <f t="shared" si="59"/>
        <v>0</v>
      </c>
      <c r="AY84" s="82">
        <f t="shared" si="102"/>
        <v>0</v>
      </c>
      <c r="AZ84" s="82" t="e">
        <f t="shared" si="60"/>
        <v>#DIV/0!</v>
      </c>
      <c r="BA84" s="77">
        <f t="shared" si="103"/>
        <v>0</v>
      </c>
      <c r="BB84" s="108">
        <f t="shared" si="104"/>
        <v>0</v>
      </c>
      <c r="BC84" s="107">
        <f t="shared" si="105"/>
        <v>0</v>
      </c>
      <c r="BD84" s="107">
        <f t="shared" si="106"/>
        <v>0</v>
      </c>
      <c r="BE84" s="107">
        <f t="shared" si="107"/>
        <v>0</v>
      </c>
      <c r="BF84" s="109">
        <f t="shared" si="61"/>
        <v>0</v>
      </c>
      <c r="BG84" s="109">
        <f t="shared" si="62"/>
        <v>0</v>
      </c>
      <c r="BH84" s="109">
        <f t="shared" si="63"/>
        <v>0</v>
      </c>
      <c r="BJ84" s="82">
        <f t="shared" si="108"/>
        <v>0</v>
      </c>
      <c r="BK84" s="82" t="e">
        <f t="shared" si="64"/>
        <v>#DIV/0!</v>
      </c>
      <c r="BL84" s="77">
        <f t="shared" si="109"/>
        <v>0</v>
      </c>
      <c r="BM84" s="108">
        <f t="shared" si="110"/>
        <v>0</v>
      </c>
      <c r="BN84" s="107">
        <f t="shared" si="111"/>
        <v>0</v>
      </c>
      <c r="BO84" s="107">
        <f t="shared" si="112"/>
        <v>0</v>
      </c>
      <c r="BP84" s="107">
        <f t="shared" si="113"/>
        <v>0</v>
      </c>
      <c r="BQ84" s="109">
        <f t="shared" si="65"/>
        <v>0</v>
      </c>
      <c r="BR84" s="109">
        <f t="shared" si="66"/>
        <v>0</v>
      </c>
      <c r="BS84" s="109">
        <f t="shared" si="67"/>
        <v>0</v>
      </c>
      <c r="BU84" s="82">
        <f t="shared" si="114"/>
        <v>0</v>
      </c>
      <c r="BV84" s="82" t="e">
        <f t="shared" si="68"/>
        <v>#DIV/0!</v>
      </c>
      <c r="BW84" s="77">
        <f t="shared" si="115"/>
        <v>0</v>
      </c>
      <c r="BX84" s="108">
        <f t="shared" si="116"/>
        <v>0</v>
      </c>
      <c r="BY84" s="107">
        <f t="shared" si="117"/>
        <v>0</v>
      </c>
      <c r="BZ84" s="107">
        <f t="shared" si="118"/>
        <v>0</v>
      </c>
      <c r="CA84" s="107">
        <f t="shared" si="119"/>
        <v>0</v>
      </c>
      <c r="CB84" s="109">
        <f t="shared" si="69"/>
        <v>0</v>
      </c>
      <c r="CC84" s="109">
        <f t="shared" si="70"/>
        <v>0</v>
      </c>
      <c r="CD84" s="109">
        <f t="shared" si="71"/>
        <v>0</v>
      </c>
    </row>
    <row r="85" spans="1:82" x14ac:dyDescent="0.25">
      <c r="A85" s="101">
        <f t="shared" si="49"/>
        <v>38443</v>
      </c>
      <c r="B85" s="102">
        <f t="shared" si="50"/>
        <v>2.9460000000000002</v>
      </c>
      <c r="C85" s="80">
        <f t="shared" si="51"/>
        <v>0.23</v>
      </c>
      <c r="D85" s="102">
        <f t="shared" si="72"/>
        <v>0.45</v>
      </c>
      <c r="E85" s="106">
        <f t="shared" si="73"/>
        <v>0.98</v>
      </c>
      <c r="F85" s="105">
        <f t="shared" ca="1" si="74"/>
        <v>1671</v>
      </c>
      <c r="G85" s="80" t="e">
        <f t="shared" si="75"/>
        <v>#DIV/0!</v>
      </c>
      <c r="H85" s="80" t="e">
        <f t="shared" si="76"/>
        <v>#DIV/0!</v>
      </c>
      <c r="I85" s="104">
        <f t="shared" si="77"/>
        <v>5.05</v>
      </c>
      <c r="K85" s="102">
        <f t="shared" si="78"/>
        <v>0.315</v>
      </c>
      <c r="L85" s="106">
        <f t="shared" si="79"/>
        <v>1</v>
      </c>
      <c r="M85" s="105">
        <f t="shared" ca="1" si="80"/>
        <v>1671</v>
      </c>
      <c r="N85" s="217" t="e">
        <f t="shared" si="81"/>
        <v>#DIV/0!</v>
      </c>
      <c r="O85" s="80" t="e">
        <f t="shared" si="82"/>
        <v>#DIV/0!</v>
      </c>
      <c r="P85" s="104">
        <f t="shared" si="83"/>
        <v>5.0999999999999996</v>
      </c>
      <c r="R85" s="102">
        <f t="shared" si="84"/>
        <v>1.4999999999999999E-2</v>
      </c>
      <c r="S85" s="106">
        <f t="shared" si="85"/>
        <v>1</v>
      </c>
      <c r="T85" s="105">
        <f t="shared" ca="1" si="86"/>
        <v>1671</v>
      </c>
      <c r="U85" s="217" t="e">
        <f t="shared" si="87"/>
        <v>#DIV/0!</v>
      </c>
      <c r="V85" s="80" t="e">
        <f t="shared" si="88"/>
        <v>#DIV/0!</v>
      </c>
      <c r="W85" s="104">
        <f t="shared" si="89"/>
        <v>4.8099999999999996</v>
      </c>
      <c r="X85" s="105"/>
      <c r="Y85" s="102">
        <f t="shared" si="90"/>
        <v>1.4999999999999999E-2</v>
      </c>
      <c r="Z85" s="106">
        <f t="shared" si="91"/>
        <v>1</v>
      </c>
      <c r="AA85" s="105">
        <f t="shared" ca="1" si="92"/>
        <v>1671</v>
      </c>
      <c r="AB85" s="80" t="e">
        <f t="shared" si="93"/>
        <v>#DIV/0!</v>
      </c>
      <c r="AC85" s="80" t="e">
        <f t="shared" si="94"/>
        <v>#DIV/0!</v>
      </c>
      <c r="AD85" s="104">
        <f t="shared" si="95"/>
        <v>4.8449999999999998</v>
      </c>
      <c r="AF85" s="105">
        <f t="shared" ca="1" si="52"/>
        <v>1671</v>
      </c>
      <c r="AG85" s="105">
        <f t="shared" ca="1" si="53"/>
        <v>1670</v>
      </c>
      <c r="AH85" s="80">
        <f t="shared" si="54"/>
        <v>6.9229780323440002E-2</v>
      </c>
      <c r="AI85" s="182">
        <f t="shared" si="25"/>
        <v>30</v>
      </c>
      <c r="AL85" s="105"/>
      <c r="AM85" s="82"/>
      <c r="AN85" s="82">
        <f t="shared" si="96"/>
        <v>0</v>
      </c>
      <c r="AO85" s="82" t="e">
        <f t="shared" si="55"/>
        <v>#DIV/0!</v>
      </c>
      <c r="AP85" s="77">
        <f t="shared" si="97"/>
        <v>0</v>
      </c>
      <c r="AQ85" s="108">
        <f t="shared" si="98"/>
        <v>0</v>
      </c>
      <c r="AR85" s="107">
        <f t="shared" si="99"/>
        <v>0</v>
      </c>
      <c r="AS85" s="107">
        <f t="shared" si="100"/>
        <v>0</v>
      </c>
      <c r="AT85" s="107">
        <f t="shared" si="101"/>
        <v>0</v>
      </c>
      <c r="AU85" s="109">
        <f t="shared" si="57"/>
        <v>0</v>
      </c>
      <c r="AV85" s="109">
        <f t="shared" si="58"/>
        <v>0</v>
      </c>
      <c r="AW85" s="109">
        <f t="shared" si="59"/>
        <v>0</v>
      </c>
      <c r="AY85" s="82">
        <f t="shared" si="102"/>
        <v>0</v>
      </c>
      <c r="AZ85" s="82" t="e">
        <f t="shared" si="60"/>
        <v>#DIV/0!</v>
      </c>
      <c r="BA85" s="77">
        <f t="shared" si="103"/>
        <v>0</v>
      </c>
      <c r="BB85" s="108">
        <f t="shared" si="104"/>
        <v>0</v>
      </c>
      <c r="BC85" s="107">
        <f t="shared" si="105"/>
        <v>0</v>
      </c>
      <c r="BD85" s="107">
        <f t="shared" si="106"/>
        <v>0</v>
      </c>
      <c r="BE85" s="107">
        <f t="shared" si="107"/>
        <v>0</v>
      </c>
      <c r="BF85" s="109">
        <f t="shared" si="61"/>
        <v>0</v>
      </c>
      <c r="BG85" s="109">
        <f t="shared" si="62"/>
        <v>0</v>
      </c>
      <c r="BH85" s="109">
        <f t="shared" si="63"/>
        <v>0</v>
      </c>
      <c r="BJ85" s="82">
        <f t="shared" si="108"/>
        <v>0</v>
      </c>
      <c r="BK85" s="82" t="e">
        <f t="shared" si="64"/>
        <v>#DIV/0!</v>
      </c>
      <c r="BL85" s="77">
        <f t="shared" si="109"/>
        <v>0</v>
      </c>
      <c r="BM85" s="108">
        <f t="shared" si="110"/>
        <v>0</v>
      </c>
      <c r="BN85" s="107">
        <f t="shared" si="111"/>
        <v>0</v>
      </c>
      <c r="BO85" s="107">
        <f t="shared" si="112"/>
        <v>0</v>
      </c>
      <c r="BP85" s="107">
        <f t="shared" si="113"/>
        <v>0</v>
      </c>
      <c r="BQ85" s="109">
        <f t="shared" si="65"/>
        <v>0</v>
      </c>
      <c r="BR85" s="109">
        <f t="shared" si="66"/>
        <v>0</v>
      </c>
      <c r="BS85" s="109">
        <f t="shared" si="67"/>
        <v>0</v>
      </c>
      <c r="BU85" s="82">
        <f t="shared" si="114"/>
        <v>0</v>
      </c>
      <c r="BV85" s="82" t="e">
        <f t="shared" si="68"/>
        <v>#DIV/0!</v>
      </c>
      <c r="BW85" s="77">
        <f t="shared" si="115"/>
        <v>0</v>
      </c>
      <c r="BX85" s="108">
        <f t="shared" si="116"/>
        <v>0</v>
      </c>
      <c r="BY85" s="107">
        <f t="shared" si="117"/>
        <v>0</v>
      </c>
      <c r="BZ85" s="107">
        <f t="shared" si="118"/>
        <v>0</v>
      </c>
      <c r="CA85" s="107">
        <f t="shared" si="119"/>
        <v>0</v>
      </c>
      <c r="CB85" s="109">
        <f t="shared" si="69"/>
        <v>0</v>
      </c>
      <c r="CC85" s="109">
        <f t="shared" si="70"/>
        <v>0</v>
      </c>
      <c r="CD85" s="109">
        <f t="shared" si="71"/>
        <v>0</v>
      </c>
    </row>
    <row r="86" spans="1:82" x14ac:dyDescent="0.25">
      <c r="A86" s="101">
        <f t="shared" si="49"/>
        <v>38473</v>
      </c>
      <c r="B86" s="102">
        <f t="shared" si="50"/>
        <v>2.9330000000000003</v>
      </c>
      <c r="C86" s="80">
        <f t="shared" si="51"/>
        <v>0.23</v>
      </c>
      <c r="D86" s="102">
        <f t="shared" si="72"/>
        <v>0.40500000000000003</v>
      </c>
      <c r="E86" s="106">
        <f t="shared" si="73"/>
        <v>0.98</v>
      </c>
      <c r="F86" s="105">
        <f t="shared" ca="1" si="74"/>
        <v>1700</v>
      </c>
      <c r="G86" s="80" t="e">
        <f t="shared" si="75"/>
        <v>#DIV/0!</v>
      </c>
      <c r="H86" s="80" t="e">
        <f t="shared" si="76"/>
        <v>#DIV/0!</v>
      </c>
      <c r="I86" s="104">
        <f t="shared" si="77"/>
        <v>5.05</v>
      </c>
      <c r="K86" s="102">
        <f t="shared" si="78"/>
        <v>0.315</v>
      </c>
      <c r="L86" s="106">
        <f t="shared" si="79"/>
        <v>1</v>
      </c>
      <c r="M86" s="105">
        <f t="shared" ca="1" si="80"/>
        <v>1700</v>
      </c>
      <c r="N86" s="217" t="e">
        <f t="shared" si="81"/>
        <v>#DIV/0!</v>
      </c>
      <c r="O86" s="80" t="e">
        <f t="shared" si="82"/>
        <v>#DIV/0!</v>
      </c>
      <c r="P86" s="104">
        <f t="shared" si="83"/>
        <v>5.0999999999999996</v>
      </c>
      <c r="R86" s="102">
        <f t="shared" si="84"/>
        <v>1.4999999999999999E-2</v>
      </c>
      <c r="S86" s="106">
        <f t="shared" si="85"/>
        <v>1</v>
      </c>
      <c r="T86" s="105">
        <f t="shared" ca="1" si="86"/>
        <v>1700</v>
      </c>
      <c r="U86" s="217" t="e">
        <f t="shared" si="87"/>
        <v>#DIV/0!</v>
      </c>
      <c r="V86" s="80" t="e">
        <f t="shared" si="88"/>
        <v>#DIV/0!</v>
      </c>
      <c r="W86" s="104">
        <f t="shared" si="89"/>
        <v>4.8099999999999996</v>
      </c>
      <c r="X86" s="105"/>
      <c r="Y86" s="102">
        <f t="shared" si="90"/>
        <v>1.4999999999999999E-2</v>
      </c>
      <c r="Z86" s="106">
        <f t="shared" si="91"/>
        <v>1</v>
      </c>
      <c r="AA86" s="105">
        <f t="shared" ca="1" si="92"/>
        <v>1700</v>
      </c>
      <c r="AB86" s="80" t="e">
        <f t="shared" si="93"/>
        <v>#DIV/0!</v>
      </c>
      <c r="AC86" s="80" t="e">
        <f t="shared" si="94"/>
        <v>#DIV/0!</v>
      </c>
      <c r="AD86" s="104">
        <f t="shared" si="95"/>
        <v>4.8449999999999998</v>
      </c>
      <c r="AF86" s="105">
        <f t="shared" ca="1" si="52"/>
        <v>1700</v>
      </c>
      <c r="AG86" s="105">
        <f t="shared" ca="1" si="53"/>
        <v>1699</v>
      </c>
      <c r="AH86" s="80">
        <f t="shared" si="54"/>
        <v>6.9247383551970007E-2</v>
      </c>
      <c r="AI86" s="182">
        <f t="shared" si="25"/>
        <v>31</v>
      </c>
      <c r="AL86" s="105"/>
      <c r="AM86" s="82"/>
      <c r="AN86" s="82">
        <f t="shared" si="96"/>
        <v>0</v>
      </c>
      <c r="AO86" s="82" t="e">
        <f t="shared" si="55"/>
        <v>#DIV/0!</v>
      </c>
      <c r="AP86" s="77">
        <f t="shared" si="97"/>
        <v>0</v>
      </c>
      <c r="AQ86" s="108">
        <f t="shared" si="98"/>
        <v>0</v>
      </c>
      <c r="AR86" s="107">
        <f t="shared" si="99"/>
        <v>0</v>
      </c>
      <c r="AS86" s="107">
        <f t="shared" si="100"/>
        <v>0</v>
      </c>
      <c r="AT86" s="107">
        <f t="shared" si="101"/>
        <v>0</v>
      </c>
      <c r="AU86" s="109">
        <f t="shared" si="57"/>
        <v>0</v>
      </c>
      <c r="AV86" s="109">
        <f t="shared" si="58"/>
        <v>0</v>
      </c>
      <c r="AW86" s="109">
        <f t="shared" si="59"/>
        <v>0</v>
      </c>
      <c r="AY86" s="82">
        <f t="shared" si="102"/>
        <v>0</v>
      </c>
      <c r="AZ86" s="82" t="e">
        <f t="shared" si="60"/>
        <v>#DIV/0!</v>
      </c>
      <c r="BA86" s="77">
        <f t="shared" si="103"/>
        <v>0</v>
      </c>
      <c r="BB86" s="108">
        <f t="shared" si="104"/>
        <v>0</v>
      </c>
      <c r="BC86" s="107">
        <f t="shared" si="105"/>
        <v>0</v>
      </c>
      <c r="BD86" s="107">
        <f t="shared" si="106"/>
        <v>0</v>
      </c>
      <c r="BE86" s="107">
        <f t="shared" si="107"/>
        <v>0</v>
      </c>
      <c r="BF86" s="109">
        <f t="shared" si="61"/>
        <v>0</v>
      </c>
      <c r="BG86" s="109">
        <f t="shared" si="62"/>
        <v>0</v>
      </c>
      <c r="BH86" s="109">
        <f t="shared" si="63"/>
        <v>0</v>
      </c>
      <c r="BJ86" s="82">
        <f t="shared" si="108"/>
        <v>0</v>
      </c>
      <c r="BK86" s="82" t="e">
        <f t="shared" si="64"/>
        <v>#DIV/0!</v>
      </c>
      <c r="BL86" s="77">
        <f t="shared" si="109"/>
        <v>0</v>
      </c>
      <c r="BM86" s="108">
        <f t="shared" si="110"/>
        <v>0</v>
      </c>
      <c r="BN86" s="107">
        <f t="shared" si="111"/>
        <v>0</v>
      </c>
      <c r="BO86" s="107">
        <f t="shared" si="112"/>
        <v>0</v>
      </c>
      <c r="BP86" s="107">
        <f t="shared" si="113"/>
        <v>0</v>
      </c>
      <c r="BQ86" s="109">
        <f t="shared" si="65"/>
        <v>0</v>
      </c>
      <c r="BR86" s="109">
        <f t="shared" si="66"/>
        <v>0</v>
      </c>
      <c r="BS86" s="109">
        <f t="shared" si="67"/>
        <v>0</v>
      </c>
      <c r="BU86" s="82">
        <f t="shared" si="114"/>
        <v>0</v>
      </c>
      <c r="BV86" s="82" t="e">
        <f t="shared" si="68"/>
        <v>#DIV/0!</v>
      </c>
      <c r="BW86" s="77">
        <f t="shared" si="115"/>
        <v>0</v>
      </c>
      <c r="BX86" s="108">
        <f t="shared" si="116"/>
        <v>0</v>
      </c>
      <c r="BY86" s="107">
        <f t="shared" si="117"/>
        <v>0</v>
      </c>
      <c r="BZ86" s="107">
        <f t="shared" si="118"/>
        <v>0</v>
      </c>
      <c r="CA86" s="107">
        <f t="shared" si="119"/>
        <v>0</v>
      </c>
      <c r="CB86" s="109">
        <f t="shared" si="69"/>
        <v>0</v>
      </c>
      <c r="CC86" s="109">
        <f t="shared" si="70"/>
        <v>0</v>
      </c>
      <c r="CD86" s="109">
        <f t="shared" si="71"/>
        <v>0</v>
      </c>
    </row>
    <row r="87" spans="1:82" x14ac:dyDescent="0.25">
      <c r="A87" s="101">
        <f t="shared" si="49"/>
        <v>38504</v>
      </c>
      <c r="B87" s="102">
        <f t="shared" si="50"/>
        <v>2.9550000000000001</v>
      </c>
      <c r="C87" s="80">
        <f t="shared" si="51"/>
        <v>0.23</v>
      </c>
      <c r="D87" s="102">
        <f t="shared" si="72"/>
        <v>0.39500000000000002</v>
      </c>
      <c r="E87" s="106">
        <f t="shared" si="73"/>
        <v>0.98</v>
      </c>
      <c r="F87" s="105">
        <f t="shared" ca="1" si="74"/>
        <v>1729</v>
      </c>
      <c r="G87" s="80" t="e">
        <f t="shared" si="75"/>
        <v>#DIV/0!</v>
      </c>
      <c r="H87" s="80" t="e">
        <f t="shared" si="76"/>
        <v>#DIV/0!</v>
      </c>
      <c r="I87" s="104">
        <f t="shared" si="77"/>
        <v>5.05</v>
      </c>
      <c r="K87" s="102">
        <f t="shared" si="78"/>
        <v>0.315</v>
      </c>
      <c r="L87" s="106">
        <f t="shared" si="79"/>
        <v>1</v>
      </c>
      <c r="M87" s="105">
        <f t="shared" ca="1" si="80"/>
        <v>1729</v>
      </c>
      <c r="N87" s="217" t="e">
        <f t="shared" si="81"/>
        <v>#DIV/0!</v>
      </c>
      <c r="O87" s="80" t="e">
        <f t="shared" si="82"/>
        <v>#DIV/0!</v>
      </c>
      <c r="P87" s="104">
        <f t="shared" si="83"/>
        <v>5.0999999999999996</v>
      </c>
      <c r="R87" s="102">
        <f t="shared" si="84"/>
        <v>0.02</v>
      </c>
      <c r="S87" s="106">
        <f t="shared" si="85"/>
        <v>1</v>
      </c>
      <c r="T87" s="105">
        <f t="shared" ca="1" si="86"/>
        <v>1729</v>
      </c>
      <c r="U87" s="217" t="e">
        <f t="shared" si="87"/>
        <v>#DIV/0!</v>
      </c>
      <c r="V87" s="80" t="e">
        <f t="shared" si="88"/>
        <v>#DIV/0!</v>
      </c>
      <c r="W87" s="104">
        <f t="shared" si="89"/>
        <v>4.8099999999999996</v>
      </c>
      <c r="X87" s="105"/>
      <c r="Y87" s="102">
        <f t="shared" si="90"/>
        <v>0.02</v>
      </c>
      <c r="Z87" s="106">
        <f t="shared" si="91"/>
        <v>1</v>
      </c>
      <c r="AA87" s="105">
        <f t="shared" ca="1" si="92"/>
        <v>1729</v>
      </c>
      <c r="AB87" s="80" t="e">
        <f t="shared" si="93"/>
        <v>#DIV/0!</v>
      </c>
      <c r="AC87" s="80" t="e">
        <f t="shared" si="94"/>
        <v>#DIV/0!</v>
      </c>
      <c r="AD87" s="104">
        <f t="shared" si="95"/>
        <v>4.8449999999999998</v>
      </c>
      <c r="AF87" s="105">
        <f t="shared" ca="1" si="52"/>
        <v>1729</v>
      </c>
      <c r="AG87" s="105">
        <f t="shared" ca="1" si="53"/>
        <v>1728</v>
      </c>
      <c r="AH87" s="80">
        <f t="shared" si="54"/>
        <v>6.9265573554892018E-2</v>
      </c>
      <c r="AI87" s="182">
        <f t="shared" si="25"/>
        <v>30</v>
      </c>
      <c r="AL87" s="105"/>
      <c r="AM87" s="82"/>
      <c r="AN87" s="82">
        <f t="shared" si="96"/>
        <v>0</v>
      </c>
      <c r="AO87" s="82" t="e">
        <f t="shared" si="55"/>
        <v>#DIV/0!</v>
      </c>
      <c r="AP87" s="77">
        <f t="shared" si="97"/>
        <v>0</v>
      </c>
      <c r="AQ87" s="108">
        <f t="shared" si="98"/>
        <v>0</v>
      </c>
      <c r="AR87" s="107">
        <f t="shared" si="99"/>
        <v>0</v>
      </c>
      <c r="AS87" s="107">
        <f t="shared" si="100"/>
        <v>0</v>
      </c>
      <c r="AT87" s="107">
        <f t="shared" si="101"/>
        <v>0</v>
      </c>
      <c r="AU87" s="109">
        <f t="shared" si="57"/>
        <v>0</v>
      </c>
      <c r="AV87" s="109">
        <f t="shared" si="58"/>
        <v>0</v>
      </c>
      <c r="AW87" s="109">
        <f t="shared" si="59"/>
        <v>0</v>
      </c>
      <c r="AY87" s="82">
        <f t="shared" si="102"/>
        <v>0</v>
      </c>
      <c r="AZ87" s="82" t="e">
        <f t="shared" si="60"/>
        <v>#DIV/0!</v>
      </c>
      <c r="BA87" s="77">
        <f t="shared" si="103"/>
        <v>0</v>
      </c>
      <c r="BB87" s="108">
        <f t="shared" si="104"/>
        <v>0</v>
      </c>
      <c r="BC87" s="107">
        <f t="shared" si="105"/>
        <v>0</v>
      </c>
      <c r="BD87" s="107">
        <f t="shared" si="106"/>
        <v>0</v>
      </c>
      <c r="BE87" s="107">
        <f t="shared" si="107"/>
        <v>0</v>
      </c>
      <c r="BF87" s="109">
        <f t="shared" si="61"/>
        <v>0</v>
      </c>
      <c r="BG87" s="109">
        <f t="shared" si="62"/>
        <v>0</v>
      </c>
      <c r="BH87" s="109">
        <f t="shared" si="63"/>
        <v>0</v>
      </c>
      <c r="BJ87" s="82">
        <f t="shared" si="108"/>
        <v>0</v>
      </c>
      <c r="BK87" s="82" t="e">
        <f t="shared" si="64"/>
        <v>#DIV/0!</v>
      </c>
      <c r="BL87" s="77">
        <f t="shared" si="109"/>
        <v>0</v>
      </c>
      <c r="BM87" s="108">
        <f t="shared" si="110"/>
        <v>0</v>
      </c>
      <c r="BN87" s="107">
        <f t="shared" si="111"/>
        <v>0</v>
      </c>
      <c r="BO87" s="107">
        <f t="shared" si="112"/>
        <v>0</v>
      </c>
      <c r="BP87" s="107">
        <f t="shared" si="113"/>
        <v>0</v>
      </c>
      <c r="BQ87" s="109">
        <f t="shared" si="65"/>
        <v>0</v>
      </c>
      <c r="BR87" s="109">
        <f t="shared" si="66"/>
        <v>0</v>
      </c>
      <c r="BS87" s="109">
        <f t="shared" si="67"/>
        <v>0</v>
      </c>
      <c r="BU87" s="82">
        <f t="shared" si="114"/>
        <v>0</v>
      </c>
      <c r="BV87" s="82" t="e">
        <f t="shared" si="68"/>
        <v>#DIV/0!</v>
      </c>
      <c r="BW87" s="77">
        <f t="shared" si="115"/>
        <v>0</v>
      </c>
      <c r="BX87" s="108">
        <f t="shared" si="116"/>
        <v>0</v>
      </c>
      <c r="BY87" s="107">
        <f t="shared" si="117"/>
        <v>0</v>
      </c>
      <c r="BZ87" s="107">
        <f t="shared" si="118"/>
        <v>0</v>
      </c>
      <c r="CA87" s="107">
        <f t="shared" si="119"/>
        <v>0</v>
      </c>
      <c r="CB87" s="109">
        <f t="shared" si="69"/>
        <v>0</v>
      </c>
      <c r="CC87" s="109">
        <f t="shared" si="70"/>
        <v>0</v>
      </c>
      <c r="CD87" s="109">
        <f t="shared" si="71"/>
        <v>0</v>
      </c>
    </row>
    <row r="88" spans="1:82" x14ac:dyDescent="0.25">
      <c r="A88" s="101">
        <f t="shared" si="49"/>
        <v>38534</v>
      </c>
      <c r="B88" s="102">
        <f t="shared" si="50"/>
        <v>2.9769999999999999</v>
      </c>
      <c r="C88" s="80">
        <f t="shared" si="51"/>
        <v>0.23</v>
      </c>
      <c r="D88" s="102">
        <f t="shared" si="72"/>
        <v>0.43</v>
      </c>
      <c r="E88" s="106">
        <f t="shared" si="73"/>
        <v>0.98</v>
      </c>
      <c r="F88" s="105">
        <f t="shared" ca="1" si="74"/>
        <v>1762</v>
      </c>
      <c r="G88" s="80" t="e">
        <f t="shared" si="75"/>
        <v>#DIV/0!</v>
      </c>
      <c r="H88" s="80" t="e">
        <f t="shared" si="76"/>
        <v>#DIV/0!</v>
      </c>
      <c r="I88" s="104">
        <f t="shared" si="77"/>
        <v>5.05</v>
      </c>
      <c r="K88" s="102">
        <f t="shared" si="78"/>
        <v>0.315</v>
      </c>
      <c r="L88" s="106">
        <f t="shared" si="79"/>
        <v>1</v>
      </c>
      <c r="M88" s="105">
        <f t="shared" ca="1" si="80"/>
        <v>1762</v>
      </c>
      <c r="N88" s="217" t="e">
        <f t="shared" si="81"/>
        <v>#DIV/0!</v>
      </c>
      <c r="O88" s="80" t="e">
        <f t="shared" si="82"/>
        <v>#DIV/0!</v>
      </c>
      <c r="P88" s="104">
        <f t="shared" si="83"/>
        <v>5.0999999999999996</v>
      </c>
      <c r="R88" s="102">
        <f t="shared" si="84"/>
        <v>2.2499999999999999E-2</v>
      </c>
      <c r="S88" s="106">
        <f t="shared" si="85"/>
        <v>1</v>
      </c>
      <c r="T88" s="105">
        <f t="shared" ca="1" si="86"/>
        <v>1762</v>
      </c>
      <c r="U88" s="217" t="e">
        <f t="shared" si="87"/>
        <v>#DIV/0!</v>
      </c>
      <c r="V88" s="80" t="e">
        <f t="shared" si="88"/>
        <v>#DIV/0!</v>
      </c>
      <c r="W88" s="104">
        <f t="shared" si="89"/>
        <v>4.8099999999999996</v>
      </c>
      <c r="X88" s="105"/>
      <c r="Y88" s="102">
        <f t="shared" si="90"/>
        <v>2.2499999999999999E-2</v>
      </c>
      <c r="Z88" s="106">
        <f t="shared" si="91"/>
        <v>1</v>
      </c>
      <c r="AA88" s="105">
        <f t="shared" ca="1" si="92"/>
        <v>1762</v>
      </c>
      <c r="AB88" s="80" t="e">
        <f t="shared" si="93"/>
        <v>#DIV/0!</v>
      </c>
      <c r="AC88" s="80" t="e">
        <f t="shared" si="94"/>
        <v>#DIV/0!</v>
      </c>
      <c r="AD88" s="104">
        <f t="shared" si="95"/>
        <v>4.8449999999999998</v>
      </c>
      <c r="AF88" s="105">
        <f t="shared" ca="1" si="52"/>
        <v>1762</v>
      </c>
      <c r="AG88" s="105">
        <f t="shared" ca="1" si="53"/>
        <v>1761</v>
      </c>
      <c r="AH88" s="80">
        <f t="shared" si="54"/>
        <v>6.9283176783631023E-2</v>
      </c>
      <c r="AI88" s="182">
        <f t="shared" si="25"/>
        <v>31</v>
      </c>
      <c r="AL88" s="105"/>
      <c r="AM88" s="82"/>
      <c r="AN88" s="82">
        <f t="shared" si="96"/>
        <v>0</v>
      </c>
      <c r="AO88" s="82" t="e">
        <f t="shared" si="55"/>
        <v>#DIV/0!</v>
      </c>
      <c r="AP88" s="77">
        <f t="shared" si="97"/>
        <v>0</v>
      </c>
      <c r="AQ88" s="108">
        <f t="shared" si="98"/>
        <v>0</v>
      </c>
      <c r="AR88" s="107">
        <f t="shared" si="99"/>
        <v>0</v>
      </c>
      <c r="AS88" s="107">
        <f t="shared" si="100"/>
        <v>0</v>
      </c>
      <c r="AT88" s="107">
        <f t="shared" si="101"/>
        <v>0</v>
      </c>
      <c r="AU88" s="109">
        <f t="shared" si="57"/>
        <v>0</v>
      </c>
      <c r="AV88" s="109">
        <f t="shared" si="58"/>
        <v>0</v>
      </c>
      <c r="AW88" s="109">
        <f t="shared" si="59"/>
        <v>0</v>
      </c>
      <c r="AY88" s="82">
        <f t="shared" si="102"/>
        <v>0</v>
      </c>
      <c r="AZ88" s="82" t="e">
        <f t="shared" si="60"/>
        <v>#DIV/0!</v>
      </c>
      <c r="BA88" s="77">
        <f t="shared" si="103"/>
        <v>0</v>
      </c>
      <c r="BB88" s="108">
        <f t="shared" si="104"/>
        <v>0</v>
      </c>
      <c r="BC88" s="107">
        <f t="shared" si="105"/>
        <v>0</v>
      </c>
      <c r="BD88" s="107">
        <f t="shared" si="106"/>
        <v>0</v>
      </c>
      <c r="BE88" s="107">
        <f t="shared" si="107"/>
        <v>0</v>
      </c>
      <c r="BF88" s="109">
        <f t="shared" si="61"/>
        <v>0</v>
      </c>
      <c r="BG88" s="109">
        <f t="shared" si="62"/>
        <v>0</v>
      </c>
      <c r="BH88" s="109">
        <f t="shared" si="63"/>
        <v>0</v>
      </c>
      <c r="BJ88" s="82">
        <f t="shared" si="108"/>
        <v>0</v>
      </c>
      <c r="BK88" s="82" t="e">
        <f t="shared" si="64"/>
        <v>#DIV/0!</v>
      </c>
      <c r="BL88" s="77">
        <f t="shared" si="109"/>
        <v>0</v>
      </c>
      <c r="BM88" s="108">
        <f t="shared" si="110"/>
        <v>0</v>
      </c>
      <c r="BN88" s="107">
        <f t="shared" si="111"/>
        <v>0</v>
      </c>
      <c r="BO88" s="107">
        <f t="shared" si="112"/>
        <v>0</v>
      </c>
      <c r="BP88" s="107">
        <f t="shared" si="113"/>
        <v>0</v>
      </c>
      <c r="BQ88" s="109">
        <f t="shared" si="65"/>
        <v>0</v>
      </c>
      <c r="BR88" s="109">
        <f t="shared" si="66"/>
        <v>0</v>
      </c>
      <c r="BS88" s="109">
        <f t="shared" si="67"/>
        <v>0</v>
      </c>
      <c r="BU88" s="82">
        <f t="shared" si="114"/>
        <v>0</v>
      </c>
      <c r="BV88" s="82" t="e">
        <f t="shared" si="68"/>
        <v>#DIV/0!</v>
      </c>
      <c r="BW88" s="77">
        <f t="shared" si="115"/>
        <v>0</v>
      </c>
      <c r="BX88" s="108">
        <f t="shared" si="116"/>
        <v>0</v>
      </c>
      <c r="BY88" s="107">
        <f t="shared" si="117"/>
        <v>0</v>
      </c>
      <c r="BZ88" s="107">
        <f t="shared" si="118"/>
        <v>0</v>
      </c>
      <c r="CA88" s="107">
        <f t="shared" si="119"/>
        <v>0</v>
      </c>
      <c r="CB88" s="109">
        <f t="shared" si="69"/>
        <v>0</v>
      </c>
      <c r="CC88" s="109">
        <f t="shared" si="70"/>
        <v>0</v>
      </c>
      <c r="CD88" s="109">
        <f t="shared" si="71"/>
        <v>0</v>
      </c>
    </row>
    <row r="89" spans="1:82" x14ac:dyDescent="0.25">
      <c r="A89" s="101">
        <f t="shared" si="49"/>
        <v>38565</v>
      </c>
      <c r="B89" s="102">
        <f t="shared" si="50"/>
        <v>2.9980000000000002</v>
      </c>
      <c r="C89" s="80">
        <f t="shared" si="51"/>
        <v>0.23</v>
      </c>
      <c r="D89" s="102">
        <f t="shared" si="72"/>
        <v>0.495</v>
      </c>
      <c r="E89" s="106">
        <f t="shared" si="73"/>
        <v>0.98</v>
      </c>
      <c r="F89" s="105">
        <f t="shared" ca="1" si="74"/>
        <v>1791</v>
      </c>
      <c r="G89" s="80" t="e">
        <f t="shared" si="75"/>
        <v>#DIV/0!</v>
      </c>
      <c r="H89" s="80" t="e">
        <f t="shared" si="76"/>
        <v>#DIV/0!</v>
      </c>
      <c r="I89" s="104">
        <f t="shared" si="77"/>
        <v>5.05</v>
      </c>
      <c r="K89" s="102">
        <f t="shared" si="78"/>
        <v>0.315</v>
      </c>
      <c r="L89" s="106">
        <f t="shared" si="79"/>
        <v>1</v>
      </c>
      <c r="M89" s="105">
        <f t="shared" ca="1" si="80"/>
        <v>1791</v>
      </c>
      <c r="N89" s="217" t="e">
        <f t="shared" si="81"/>
        <v>#DIV/0!</v>
      </c>
      <c r="O89" s="80" t="e">
        <f t="shared" si="82"/>
        <v>#DIV/0!</v>
      </c>
      <c r="P89" s="104">
        <f t="shared" si="83"/>
        <v>5.0999999999999996</v>
      </c>
      <c r="R89" s="102">
        <f t="shared" si="84"/>
        <v>2.5000000000000001E-2</v>
      </c>
      <c r="S89" s="106">
        <f t="shared" si="85"/>
        <v>1</v>
      </c>
      <c r="T89" s="105">
        <f t="shared" ca="1" si="86"/>
        <v>1791</v>
      </c>
      <c r="U89" s="217" t="e">
        <f t="shared" si="87"/>
        <v>#DIV/0!</v>
      </c>
      <c r="V89" s="80" t="e">
        <f t="shared" si="88"/>
        <v>#DIV/0!</v>
      </c>
      <c r="W89" s="104">
        <f t="shared" si="89"/>
        <v>4.8099999999999996</v>
      </c>
      <c r="X89" s="105"/>
      <c r="Y89" s="102">
        <f t="shared" si="90"/>
        <v>2.5000000000000001E-2</v>
      </c>
      <c r="Z89" s="106">
        <f t="shared" si="91"/>
        <v>1</v>
      </c>
      <c r="AA89" s="105">
        <f t="shared" ca="1" si="92"/>
        <v>1791</v>
      </c>
      <c r="AB89" s="80" t="e">
        <f t="shared" si="93"/>
        <v>#DIV/0!</v>
      </c>
      <c r="AC89" s="80" t="e">
        <f t="shared" si="94"/>
        <v>#DIV/0!</v>
      </c>
      <c r="AD89" s="104">
        <f t="shared" si="95"/>
        <v>4.8449999999999998</v>
      </c>
      <c r="AF89" s="105">
        <f t="shared" ca="1" si="52"/>
        <v>1791</v>
      </c>
      <c r="AG89" s="105">
        <f t="shared" ca="1" si="53"/>
        <v>1790</v>
      </c>
      <c r="AH89" s="80">
        <f t="shared" si="54"/>
        <v>6.9301366786768015E-2</v>
      </c>
      <c r="AI89" s="182">
        <f t="shared" si="25"/>
        <v>31</v>
      </c>
      <c r="AL89" s="105"/>
      <c r="AM89" s="82"/>
      <c r="AN89" s="82">
        <f t="shared" si="96"/>
        <v>0</v>
      </c>
      <c r="AO89" s="82" t="e">
        <f t="shared" si="55"/>
        <v>#DIV/0!</v>
      </c>
      <c r="AP89" s="77">
        <f t="shared" si="97"/>
        <v>0</v>
      </c>
      <c r="AQ89" s="108">
        <f t="shared" si="98"/>
        <v>0</v>
      </c>
      <c r="AR89" s="107">
        <f t="shared" si="99"/>
        <v>0</v>
      </c>
      <c r="AS89" s="107">
        <f t="shared" si="100"/>
        <v>0</v>
      </c>
      <c r="AT89" s="107">
        <f t="shared" si="101"/>
        <v>0</v>
      </c>
      <c r="AU89" s="109">
        <f t="shared" si="57"/>
        <v>0</v>
      </c>
      <c r="AV89" s="109">
        <f t="shared" si="58"/>
        <v>0</v>
      </c>
      <c r="AW89" s="109">
        <f t="shared" si="59"/>
        <v>0</v>
      </c>
      <c r="AY89" s="82">
        <f t="shared" si="102"/>
        <v>0</v>
      </c>
      <c r="AZ89" s="82" t="e">
        <f t="shared" si="60"/>
        <v>#DIV/0!</v>
      </c>
      <c r="BA89" s="77">
        <f t="shared" si="103"/>
        <v>0</v>
      </c>
      <c r="BB89" s="108">
        <f t="shared" si="104"/>
        <v>0</v>
      </c>
      <c r="BC89" s="107">
        <f t="shared" si="105"/>
        <v>0</v>
      </c>
      <c r="BD89" s="107">
        <f t="shared" si="106"/>
        <v>0</v>
      </c>
      <c r="BE89" s="107">
        <f t="shared" si="107"/>
        <v>0</v>
      </c>
      <c r="BF89" s="109">
        <f t="shared" si="61"/>
        <v>0</v>
      </c>
      <c r="BG89" s="109">
        <f t="shared" si="62"/>
        <v>0</v>
      </c>
      <c r="BH89" s="109">
        <f t="shared" si="63"/>
        <v>0</v>
      </c>
      <c r="BJ89" s="82">
        <f t="shared" si="108"/>
        <v>0</v>
      </c>
      <c r="BK89" s="82" t="e">
        <f t="shared" si="64"/>
        <v>#DIV/0!</v>
      </c>
      <c r="BL89" s="77">
        <f t="shared" si="109"/>
        <v>0</v>
      </c>
      <c r="BM89" s="108">
        <f t="shared" si="110"/>
        <v>0</v>
      </c>
      <c r="BN89" s="107">
        <f t="shared" si="111"/>
        <v>0</v>
      </c>
      <c r="BO89" s="107">
        <f t="shared" si="112"/>
        <v>0</v>
      </c>
      <c r="BP89" s="107">
        <f t="shared" si="113"/>
        <v>0</v>
      </c>
      <c r="BQ89" s="109">
        <f t="shared" si="65"/>
        <v>0</v>
      </c>
      <c r="BR89" s="109">
        <f t="shared" si="66"/>
        <v>0</v>
      </c>
      <c r="BS89" s="109">
        <f t="shared" si="67"/>
        <v>0</v>
      </c>
      <c r="BU89" s="82">
        <f t="shared" si="114"/>
        <v>0</v>
      </c>
      <c r="BV89" s="82" t="e">
        <f t="shared" si="68"/>
        <v>#DIV/0!</v>
      </c>
      <c r="BW89" s="77">
        <f t="shared" si="115"/>
        <v>0</v>
      </c>
      <c r="BX89" s="108">
        <f t="shared" si="116"/>
        <v>0</v>
      </c>
      <c r="BY89" s="107">
        <f t="shared" si="117"/>
        <v>0</v>
      </c>
      <c r="BZ89" s="107">
        <f t="shared" si="118"/>
        <v>0</v>
      </c>
      <c r="CA89" s="107">
        <f t="shared" si="119"/>
        <v>0</v>
      </c>
      <c r="CB89" s="109">
        <f t="shared" si="69"/>
        <v>0</v>
      </c>
      <c r="CC89" s="109">
        <f t="shared" si="70"/>
        <v>0</v>
      </c>
      <c r="CD89" s="109">
        <f t="shared" si="71"/>
        <v>0</v>
      </c>
    </row>
    <row r="90" spans="1:82" x14ac:dyDescent="0.25">
      <c r="A90" s="101">
        <f t="shared" ref="A90:A107" si="120">DATE(YEAR(A89),MONTH(A89)+1,1)</f>
        <v>38596</v>
      </c>
      <c r="B90" s="102">
        <f t="shared" si="50"/>
        <v>2.9860000000000002</v>
      </c>
      <c r="C90" s="80">
        <f t="shared" si="51"/>
        <v>0.23</v>
      </c>
      <c r="D90" s="102">
        <f t="shared" si="72"/>
        <v>0.39500000000000002</v>
      </c>
      <c r="E90" s="106">
        <f t="shared" si="73"/>
        <v>0.98</v>
      </c>
      <c r="F90" s="105">
        <f t="shared" ca="1" si="74"/>
        <v>1824</v>
      </c>
      <c r="G90" s="80" t="e">
        <f t="shared" si="75"/>
        <v>#DIV/0!</v>
      </c>
      <c r="H90" s="80" t="e">
        <f t="shared" si="76"/>
        <v>#DIV/0!</v>
      </c>
      <c r="I90" s="104">
        <f t="shared" si="77"/>
        <v>5.05</v>
      </c>
      <c r="K90" s="102">
        <f t="shared" si="78"/>
        <v>0.315</v>
      </c>
      <c r="L90" s="106">
        <f t="shared" si="79"/>
        <v>1</v>
      </c>
      <c r="M90" s="105">
        <f t="shared" ca="1" si="80"/>
        <v>1824</v>
      </c>
      <c r="N90" s="217" t="e">
        <f t="shared" si="81"/>
        <v>#DIV/0!</v>
      </c>
      <c r="O90" s="80" t="e">
        <f t="shared" si="82"/>
        <v>#DIV/0!</v>
      </c>
      <c r="P90" s="104">
        <f t="shared" si="83"/>
        <v>5.0999999999999996</v>
      </c>
      <c r="R90" s="102">
        <f t="shared" si="84"/>
        <v>1.7500000000000002E-2</v>
      </c>
      <c r="S90" s="106">
        <f t="shared" si="85"/>
        <v>1</v>
      </c>
      <c r="T90" s="105">
        <f t="shared" ca="1" si="86"/>
        <v>1824</v>
      </c>
      <c r="U90" s="217" t="e">
        <f t="shared" si="87"/>
        <v>#DIV/0!</v>
      </c>
      <c r="V90" s="80" t="e">
        <f t="shared" si="88"/>
        <v>#DIV/0!</v>
      </c>
      <c r="W90" s="104">
        <f t="shared" si="89"/>
        <v>4.8099999999999996</v>
      </c>
      <c r="X90" s="105"/>
      <c r="Y90" s="102">
        <f t="shared" si="90"/>
        <v>1.7500000000000002E-2</v>
      </c>
      <c r="Z90" s="106">
        <f t="shared" si="91"/>
        <v>1</v>
      </c>
      <c r="AA90" s="105">
        <f t="shared" ca="1" si="92"/>
        <v>1824</v>
      </c>
      <c r="AB90" s="80" t="e">
        <f t="shared" si="93"/>
        <v>#DIV/0!</v>
      </c>
      <c r="AC90" s="80" t="e">
        <f t="shared" si="94"/>
        <v>#DIV/0!</v>
      </c>
      <c r="AD90" s="104">
        <f t="shared" si="95"/>
        <v>4.8449999999999998</v>
      </c>
      <c r="AF90" s="105">
        <f t="shared" ca="1" si="52"/>
        <v>1824</v>
      </c>
      <c r="AG90" s="105">
        <f t="shared" ca="1" si="53"/>
        <v>1821</v>
      </c>
      <c r="AH90" s="80">
        <f t="shared" si="54"/>
        <v>6.9319556790016015E-2</v>
      </c>
      <c r="AI90" s="182">
        <f t="shared" si="25"/>
        <v>30</v>
      </c>
      <c r="AL90" s="105"/>
      <c r="AM90" s="82"/>
      <c r="AN90" s="82">
        <f t="shared" si="96"/>
        <v>0</v>
      </c>
      <c r="AO90" s="82" t="e">
        <f t="shared" si="55"/>
        <v>#DIV/0!</v>
      </c>
      <c r="AP90" s="77">
        <f t="shared" si="97"/>
        <v>0</v>
      </c>
      <c r="AQ90" s="108">
        <f t="shared" si="98"/>
        <v>0</v>
      </c>
      <c r="AR90" s="107">
        <f t="shared" si="99"/>
        <v>0</v>
      </c>
      <c r="AS90" s="107">
        <f t="shared" si="100"/>
        <v>0</v>
      </c>
      <c r="AT90" s="107">
        <f t="shared" si="101"/>
        <v>0</v>
      </c>
      <c r="AU90" s="109">
        <f t="shared" si="57"/>
        <v>0</v>
      </c>
      <c r="AV90" s="109">
        <f t="shared" si="58"/>
        <v>0</v>
      </c>
      <c r="AW90" s="109">
        <f t="shared" si="59"/>
        <v>0</v>
      </c>
      <c r="AY90" s="82">
        <f t="shared" si="102"/>
        <v>0</v>
      </c>
      <c r="AZ90" s="82" t="e">
        <f t="shared" si="60"/>
        <v>#DIV/0!</v>
      </c>
      <c r="BA90" s="77">
        <f t="shared" si="103"/>
        <v>0</v>
      </c>
      <c r="BB90" s="108">
        <f t="shared" si="104"/>
        <v>0</v>
      </c>
      <c r="BC90" s="107">
        <f t="shared" si="105"/>
        <v>0</v>
      </c>
      <c r="BD90" s="107">
        <f t="shared" si="106"/>
        <v>0</v>
      </c>
      <c r="BE90" s="107">
        <f t="shared" si="107"/>
        <v>0</v>
      </c>
      <c r="BF90" s="109">
        <f t="shared" si="61"/>
        <v>0</v>
      </c>
      <c r="BG90" s="109">
        <f t="shared" si="62"/>
        <v>0</v>
      </c>
      <c r="BH90" s="109">
        <f t="shared" si="63"/>
        <v>0</v>
      </c>
      <c r="BJ90" s="82">
        <f t="shared" si="108"/>
        <v>0</v>
      </c>
      <c r="BK90" s="82" t="e">
        <f t="shared" si="64"/>
        <v>#DIV/0!</v>
      </c>
      <c r="BL90" s="77">
        <f t="shared" si="109"/>
        <v>0</v>
      </c>
      <c r="BM90" s="108">
        <f t="shared" si="110"/>
        <v>0</v>
      </c>
      <c r="BN90" s="107">
        <f t="shared" si="111"/>
        <v>0</v>
      </c>
      <c r="BO90" s="107">
        <f t="shared" si="112"/>
        <v>0</v>
      </c>
      <c r="BP90" s="107">
        <f t="shared" si="113"/>
        <v>0</v>
      </c>
      <c r="BQ90" s="109">
        <f t="shared" si="65"/>
        <v>0</v>
      </c>
      <c r="BR90" s="109">
        <f t="shared" si="66"/>
        <v>0</v>
      </c>
      <c r="BS90" s="109">
        <f t="shared" si="67"/>
        <v>0</v>
      </c>
      <c r="BU90" s="82">
        <f t="shared" si="114"/>
        <v>0</v>
      </c>
      <c r="BV90" s="82" t="e">
        <f t="shared" si="68"/>
        <v>#DIV/0!</v>
      </c>
      <c r="BW90" s="77">
        <f t="shared" si="115"/>
        <v>0</v>
      </c>
      <c r="BX90" s="108">
        <f t="shared" si="116"/>
        <v>0</v>
      </c>
      <c r="BY90" s="107">
        <f t="shared" si="117"/>
        <v>0</v>
      </c>
      <c r="BZ90" s="107">
        <f t="shared" si="118"/>
        <v>0</v>
      </c>
      <c r="CA90" s="107">
        <f t="shared" si="119"/>
        <v>0</v>
      </c>
      <c r="CB90" s="109">
        <f t="shared" si="69"/>
        <v>0</v>
      </c>
      <c r="CC90" s="109">
        <f t="shared" si="70"/>
        <v>0</v>
      </c>
      <c r="CD90" s="109">
        <f t="shared" si="71"/>
        <v>0</v>
      </c>
    </row>
    <row r="91" spans="1:82" x14ac:dyDescent="0.25">
      <c r="A91" s="101">
        <f t="shared" si="120"/>
        <v>38626</v>
      </c>
      <c r="B91" s="102">
        <f t="shared" si="50"/>
        <v>2.9890000000000003</v>
      </c>
      <c r="C91" s="80">
        <f t="shared" si="51"/>
        <v>0.23</v>
      </c>
      <c r="D91" s="102">
        <f t="shared" si="72"/>
        <v>0.46100000000000002</v>
      </c>
      <c r="E91" s="106">
        <f t="shared" si="73"/>
        <v>0.98</v>
      </c>
      <c r="F91" s="105">
        <f t="shared" ca="1" si="74"/>
        <v>1854</v>
      </c>
      <c r="G91" s="80" t="e">
        <f t="shared" si="75"/>
        <v>#DIV/0!</v>
      </c>
      <c r="H91" s="80" t="e">
        <f t="shared" si="76"/>
        <v>#DIV/0!</v>
      </c>
      <c r="I91" s="104">
        <f t="shared" si="77"/>
        <v>5.05</v>
      </c>
      <c r="K91" s="102">
        <f t="shared" si="78"/>
        <v>0.315</v>
      </c>
      <c r="L91" s="106">
        <f t="shared" si="79"/>
        <v>1</v>
      </c>
      <c r="M91" s="105">
        <f t="shared" ca="1" si="80"/>
        <v>1854</v>
      </c>
      <c r="N91" s="217" t="e">
        <f t="shared" si="81"/>
        <v>#DIV/0!</v>
      </c>
      <c r="O91" s="80" t="e">
        <f t="shared" si="82"/>
        <v>#DIV/0!</v>
      </c>
      <c r="P91" s="104">
        <f t="shared" si="83"/>
        <v>5.0999999999999996</v>
      </c>
      <c r="R91" s="102">
        <f t="shared" si="84"/>
        <v>7.4999999999999997E-3</v>
      </c>
      <c r="S91" s="106">
        <f t="shared" si="85"/>
        <v>1</v>
      </c>
      <c r="T91" s="105">
        <f t="shared" ca="1" si="86"/>
        <v>1854</v>
      </c>
      <c r="U91" s="217" t="e">
        <f t="shared" si="87"/>
        <v>#DIV/0!</v>
      </c>
      <c r="V91" s="80" t="e">
        <f t="shared" si="88"/>
        <v>#DIV/0!</v>
      </c>
      <c r="W91" s="104">
        <f t="shared" si="89"/>
        <v>4.8099999999999996</v>
      </c>
      <c r="X91" s="105"/>
      <c r="Y91" s="102">
        <f t="shared" si="90"/>
        <v>7.4999999999999997E-3</v>
      </c>
      <c r="Z91" s="106">
        <f t="shared" si="91"/>
        <v>1</v>
      </c>
      <c r="AA91" s="105">
        <f t="shared" ca="1" si="92"/>
        <v>1854</v>
      </c>
      <c r="AB91" s="80" t="e">
        <f t="shared" si="93"/>
        <v>#DIV/0!</v>
      </c>
      <c r="AC91" s="80" t="e">
        <f t="shared" si="94"/>
        <v>#DIV/0!</v>
      </c>
      <c r="AD91" s="104">
        <f t="shared" si="95"/>
        <v>4.8449999999999998</v>
      </c>
      <c r="AF91" s="105">
        <f t="shared" ca="1" si="52"/>
        <v>1854</v>
      </c>
      <c r="AG91" s="105">
        <f t="shared" ca="1" si="53"/>
        <v>1853</v>
      </c>
      <c r="AH91" s="80">
        <f t="shared" si="54"/>
        <v>6.9335600640494002E-2</v>
      </c>
      <c r="AI91" s="182">
        <f t="shared" si="25"/>
        <v>31</v>
      </c>
      <c r="AL91" s="105"/>
      <c r="AM91" s="82"/>
      <c r="AN91" s="82">
        <f t="shared" si="96"/>
        <v>0</v>
      </c>
      <c r="AO91" s="82" t="e">
        <f t="shared" si="55"/>
        <v>#DIV/0!</v>
      </c>
      <c r="AP91" s="77">
        <f t="shared" si="97"/>
        <v>0</v>
      </c>
      <c r="AQ91" s="108">
        <f t="shared" si="98"/>
        <v>0</v>
      </c>
      <c r="AR91" s="107">
        <f t="shared" si="99"/>
        <v>0</v>
      </c>
      <c r="AS91" s="107">
        <f t="shared" si="100"/>
        <v>0</v>
      </c>
      <c r="AT91" s="107">
        <f t="shared" si="101"/>
        <v>0</v>
      </c>
      <c r="AU91" s="109">
        <f t="shared" si="57"/>
        <v>0</v>
      </c>
      <c r="AV91" s="109">
        <f t="shared" si="58"/>
        <v>0</v>
      </c>
      <c r="AW91" s="109">
        <f t="shared" si="59"/>
        <v>0</v>
      </c>
      <c r="AY91" s="82">
        <f t="shared" si="102"/>
        <v>0</v>
      </c>
      <c r="AZ91" s="82" t="e">
        <f t="shared" si="60"/>
        <v>#DIV/0!</v>
      </c>
      <c r="BA91" s="77">
        <f t="shared" si="103"/>
        <v>0</v>
      </c>
      <c r="BB91" s="108">
        <f t="shared" si="104"/>
        <v>0</v>
      </c>
      <c r="BC91" s="107">
        <f t="shared" si="105"/>
        <v>0</v>
      </c>
      <c r="BD91" s="107">
        <f t="shared" si="106"/>
        <v>0</v>
      </c>
      <c r="BE91" s="107">
        <f t="shared" si="107"/>
        <v>0</v>
      </c>
      <c r="BF91" s="109">
        <f t="shared" si="61"/>
        <v>0</v>
      </c>
      <c r="BG91" s="109">
        <f t="shared" si="62"/>
        <v>0</v>
      </c>
      <c r="BH91" s="109">
        <f t="shared" si="63"/>
        <v>0</v>
      </c>
      <c r="BJ91" s="82">
        <f t="shared" si="108"/>
        <v>0</v>
      </c>
      <c r="BK91" s="82" t="e">
        <f t="shared" si="64"/>
        <v>#DIV/0!</v>
      </c>
      <c r="BL91" s="77">
        <f t="shared" si="109"/>
        <v>0</v>
      </c>
      <c r="BM91" s="108">
        <f t="shared" si="110"/>
        <v>0</v>
      </c>
      <c r="BN91" s="107">
        <f t="shared" si="111"/>
        <v>0</v>
      </c>
      <c r="BO91" s="107">
        <f t="shared" si="112"/>
        <v>0</v>
      </c>
      <c r="BP91" s="107">
        <f t="shared" si="113"/>
        <v>0</v>
      </c>
      <c r="BQ91" s="109">
        <f t="shared" si="65"/>
        <v>0</v>
      </c>
      <c r="BR91" s="109">
        <f t="shared" si="66"/>
        <v>0</v>
      </c>
      <c r="BS91" s="109">
        <f t="shared" si="67"/>
        <v>0</v>
      </c>
      <c r="BU91" s="82">
        <f t="shared" si="114"/>
        <v>0</v>
      </c>
      <c r="BV91" s="82" t="e">
        <f t="shared" si="68"/>
        <v>#DIV/0!</v>
      </c>
      <c r="BW91" s="77">
        <f t="shared" si="115"/>
        <v>0</v>
      </c>
      <c r="BX91" s="108">
        <f t="shared" si="116"/>
        <v>0</v>
      </c>
      <c r="BY91" s="107">
        <f t="shared" si="117"/>
        <v>0</v>
      </c>
      <c r="BZ91" s="107">
        <f t="shared" si="118"/>
        <v>0</v>
      </c>
      <c r="CA91" s="107">
        <f t="shared" si="119"/>
        <v>0</v>
      </c>
      <c r="CB91" s="109">
        <f t="shared" si="69"/>
        <v>0</v>
      </c>
      <c r="CC91" s="109">
        <f t="shared" si="70"/>
        <v>0</v>
      </c>
      <c r="CD91" s="109">
        <f t="shared" si="71"/>
        <v>0</v>
      </c>
    </row>
    <row r="92" spans="1:82" x14ac:dyDescent="0.25">
      <c r="A92" s="101">
        <f t="shared" si="120"/>
        <v>38657</v>
      </c>
      <c r="B92" s="102">
        <f t="shared" si="50"/>
        <v>3.0710000000000002</v>
      </c>
      <c r="C92" s="80">
        <f t="shared" si="51"/>
        <v>0.23</v>
      </c>
      <c r="D92" s="102">
        <f t="shared" si="72"/>
        <v>0.76749999999999996</v>
      </c>
      <c r="E92" s="106">
        <f t="shared" si="73"/>
        <v>1.1000000000000001</v>
      </c>
      <c r="F92" s="105">
        <f t="shared" ca="1" si="74"/>
        <v>1883</v>
      </c>
      <c r="G92" s="80" t="e">
        <f t="shared" si="75"/>
        <v>#DIV/0!</v>
      </c>
      <c r="H92" s="80" t="e">
        <f t="shared" si="76"/>
        <v>#DIV/0!</v>
      </c>
      <c r="I92" s="104">
        <f t="shared" si="77"/>
        <v>5.05</v>
      </c>
      <c r="K92" s="102">
        <f t="shared" si="78"/>
        <v>0.14000000000000001</v>
      </c>
      <c r="L92" s="106">
        <f t="shared" si="79"/>
        <v>1</v>
      </c>
      <c r="M92" s="105">
        <f t="shared" ca="1" si="80"/>
        <v>1883</v>
      </c>
      <c r="N92" s="217" t="e">
        <f t="shared" si="81"/>
        <v>#DIV/0!</v>
      </c>
      <c r="O92" s="80" t="e">
        <f t="shared" si="82"/>
        <v>#DIV/0!</v>
      </c>
      <c r="P92" s="104">
        <f t="shared" si="83"/>
        <v>5.0999999999999996</v>
      </c>
      <c r="R92" s="102">
        <f t="shared" si="84"/>
        <v>-3.2500000000000001E-2</v>
      </c>
      <c r="S92" s="106">
        <f t="shared" si="85"/>
        <v>1</v>
      </c>
      <c r="T92" s="105">
        <f t="shared" ca="1" si="86"/>
        <v>1883</v>
      </c>
      <c r="U92" s="217" t="e">
        <f t="shared" si="87"/>
        <v>#DIV/0!</v>
      </c>
      <c r="V92" s="80" t="e">
        <f t="shared" si="88"/>
        <v>#DIV/0!</v>
      </c>
      <c r="W92" s="104">
        <f t="shared" si="89"/>
        <v>4.8099999999999996</v>
      </c>
      <c r="X92" s="105"/>
      <c r="Y92" s="102">
        <f t="shared" si="90"/>
        <v>-3.2500000000000001E-2</v>
      </c>
      <c r="Z92" s="106">
        <f t="shared" si="91"/>
        <v>1</v>
      </c>
      <c r="AA92" s="105">
        <f t="shared" ca="1" si="92"/>
        <v>1883</v>
      </c>
      <c r="AB92" s="80" t="e">
        <f t="shared" si="93"/>
        <v>#DIV/0!</v>
      </c>
      <c r="AC92" s="80" t="e">
        <f t="shared" si="94"/>
        <v>#DIV/0!</v>
      </c>
      <c r="AD92" s="104">
        <f t="shared" si="95"/>
        <v>4.8449999999999998</v>
      </c>
      <c r="AF92" s="105">
        <f t="shared" ca="1" si="52"/>
        <v>1883</v>
      </c>
      <c r="AG92" s="105">
        <f t="shared" ca="1" si="53"/>
        <v>1882</v>
      </c>
      <c r="AH92" s="80">
        <f t="shared" si="54"/>
        <v>6.9351857014504012E-2</v>
      </c>
      <c r="AI92" s="182">
        <f t="shared" si="25"/>
        <v>30</v>
      </c>
      <c r="AL92" s="105"/>
      <c r="AM92" s="82"/>
      <c r="AN92" s="82">
        <f t="shared" si="96"/>
        <v>0</v>
      </c>
      <c r="AO92" s="82" t="e">
        <f t="shared" si="55"/>
        <v>#DIV/0!</v>
      </c>
      <c r="AP92" s="77">
        <f t="shared" si="97"/>
        <v>0</v>
      </c>
      <c r="AQ92" s="108">
        <f t="shared" si="98"/>
        <v>0</v>
      </c>
      <c r="AR92" s="107">
        <f t="shared" si="99"/>
        <v>0</v>
      </c>
      <c r="AS92" s="107">
        <f t="shared" si="100"/>
        <v>0</v>
      </c>
      <c r="AT92" s="107">
        <f t="shared" si="101"/>
        <v>0</v>
      </c>
      <c r="AU92" s="109">
        <f t="shared" si="57"/>
        <v>0</v>
      </c>
      <c r="AV92" s="109">
        <f t="shared" si="58"/>
        <v>0</v>
      </c>
      <c r="AW92" s="109">
        <f t="shared" si="59"/>
        <v>0</v>
      </c>
      <c r="AY92" s="82">
        <f t="shared" si="102"/>
        <v>0</v>
      </c>
      <c r="AZ92" s="82" t="e">
        <f t="shared" si="60"/>
        <v>#DIV/0!</v>
      </c>
      <c r="BA92" s="77">
        <f t="shared" si="103"/>
        <v>0</v>
      </c>
      <c r="BB92" s="108">
        <f t="shared" si="104"/>
        <v>0</v>
      </c>
      <c r="BC92" s="107">
        <f t="shared" si="105"/>
        <v>0</v>
      </c>
      <c r="BD92" s="107">
        <f t="shared" si="106"/>
        <v>0</v>
      </c>
      <c r="BE92" s="107">
        <f t="shared" si="107"/>
        <v>0</v>
      </c>
      <c r="BF92" s="109">
        <f t="shared" si="61"/>
        <v>0</v>
      </c>
      <c r="BG92" s="109">
        <f t="shared" si="62"/>
        <v>0</v>
      </c>
      <c r="BH92" s="109">
        <f t="shared" si="63"/>
        <v>0</v>
      </c>
      <c r="BJ92" s="82">
        <f t="shared" si="108"/>
        <v>0</v>
      </c>
      <c r="BK92" s="82" t="e">
        <f t="shared" si="64"/>
        <v>#DIV/0!</v>
      </c>
      <c r="BL92" s="77">
        <f t="shared" si="109"/>
        <v>0</v>
      </c>
      <c r="BM92" s="108">
        <f t="shared" si="110"/>
        <v>0</v>
      </c>
      <c r="BN92" s="107">
        <f t="shared" si="111"/>
        <v>0</v>
      </c>
      <c r="BO92" s="107">
        <f t="shared" si="112"/>
        <v>0</v>
      </c>
      <c r="BP92" s="107">
        <f t="shared" si="113"/>
        <v>0</v>
      </c>
      <c r="BQ92" s="109">
        <f t="shared" si="65"/>
        <v>0</v>
      </c>
      <c r="BR92" s="109">
        <f t="shared" si="66"/>
        <v>0</v>
      </c>
      <c r="BS92" s="109">
        <f t="shared" si="67"/>
        <v>0</v>
      </c>
      <c r="BU92" s="82">
        <f t="shared" si="114"/>
        <v>0</v>
      </c>
      <c r="BV92" s="82" t="e">
        <f t="shared" si="68"/>
        <v>#DIV/0!</v>
      </c>
      <c r="BW92" s="77">
        <f t="shared" si="115"/>
        <v>0</v>
      </c>
      <c r="BX92" s="108">
        <f t="shared" si="116"/>
        <v>0</v>
      </c>
      <c r="BY92" s="107">
        <f t="shared" si="117"/>
        <v>0</v>
      </c>
      <c r="BZ92" s="107">
        <f t="shared" si="118"/>
        <v>0</v>
      </c>
      <c r="CA92" s="107">
        <f t="shared" si="119"/>
        <v>0</v>
      </c>
      <c r="CB92" s="109">
        <f t="shared" si="69"/>
        <v>0</v>
      </c>
      <c r="CC92" s="109">
        <f t="shared" si="70"/>
        <v>0</v>
      </c>
      <c r="CD92" s="109">
        <f t="shared" si="71"/>
        <v>0</v>
      </c>
    </row>
    <row r="93" spans="1:82" x14ac:dyDescent="0.25">
      <c r="A93" s="101">
        <f t="shared" si="120"/>
        <v>38687</v>
      </c>
      <c r="B93" s="102">
        <f t="shared" si="50"/>
        <v>3.1469999999999998</v>
      </c>
      <c r="C93" s="80">
        <f t="shared" si="51"/>
        <v>0.23250000000000001</v>
      </c>
      <c r="D93" s="102">
        <f t="shared" si="72"/>
        <v>1.19</v>
      </c>
      <c r="E93" s="106">
        <f t="shared" si="73"/>
        <v>1.1000000000000001</v>
      </c>
      <c r="F93" s="105">
        <f t="shared" ca="1" si="74"/>
        <v>1915</v>
      </c>
      <c r="G93" s="80" t="e">
        <f t="shared" si="75"/>
        <v>#DIV/0!</v>
      </c>
      <c r="H93" s="80" t="e">
        <f t="shared" si="76"/>
        <v>#DIV/0!</v>
      </c>
      <c r="I93" s="104">
        <f t="shared" si="77"/>
        <v>5.05</v>
      </c>
      <c r="K93" s="102">
        <f t="shared" si="78"/>
        <v>0.14000000000000001</v>
      </c>
      <c r="L93" s="106">
        <f t="shared" si="79"/>
        <v>1</v>
      </c>
      <c r="M93" s="105">
        <f t="shared" ca="1" si="80"/>
        <v>1915</v>
      </c>
      <c r="N93" s="217" t="e">
        <f t="shared" si="81"/>
        <v>#DIV/0!</v>
      </c>
      <c r="O93" s="80" t="e">
        <f t="shared" si="82"/>
        <v>#DIV/0!</v>
      </c>
      <c r="P93" s="104">
        <f t="shared" si="83"/>
        <v>5.0999999999999996</v>
      </c>
      <c r="R93" s="102">
        <f t="shared" si="84"/>
        <v>-5.5E-2</v>
      </c>
      <c r="S93" s="106">
        <f t="shared" si="85"/>
        <v>1</v>
      </c>
      <c r="T93" s="105">
        <f t="shared" ca="1" si="86"/>
        <v>1915</v>
      </c>
      <c r="U93" s="217" t="e">
        <f t="shared" si="87"/>
        <v>#DIV/0!</v>
      </c>
      <c r="V93" s="80" t="e">
        <f t="shared" si="88"/>
        <v>#DIV/0!</v>
      </c>
      <c r="W93" s="104">
        <f t="shared" si="89"/>
        <v>4.8099999999999996</v>
      </c>
      <c r="X93" s="105"/>
      <c r="Y93" s="102">
        <f t="shared" si="90"/>
        <v>-5.5E-2</v>
      </c>
      <c r="Z93" s="106">
        <f t="shared" si="91"/>
        <v>1</v>
      </c>
      <c r="AA93" s="105">
        <f t="shared" ca="1" si="92"/>
        <v>1915</v>
      </c>
      <c r="AB93" s="80" t="e">
        <f t="shared" si="93"/>
        <v>#DIV/0!</v>
      </c>
      <c r="AC93" s="80" t="e">
        <f t="shared" si="94"/>
        <v>#DIV/0!</v>
      </c>
      <c r="AD93" s="104">
        <f t="shared" si="95"/>
        <v>4.8449999999999998</v>
      </c>
      <c r="AF93" s="105">
        <f t="shared" ca="1" si="52"/>
        <v>1915</v>
      </c>
      <c r="AG93" s="105">
        <f t="shared" ca="1" si="53"/>
        <v>1912</v>
      </c>
      <c r="AH93" s="80">
        <f t="shared" si="54"/>
        <v>6.9367588989436013E-2</v>
      </c>
      <c r="AI93" s="182">
        <f t="shared" si="25"/>
        <v>31</v>
      </c>
      <c r="AL93" s="105"/>
      <c r="AM93" s="82"/>
      <c r="AN93" s="82">
        <f t="shared" si="96"/>
        <v>0</v>
      </c>
      <c r="AO93" s="82" t="e">
        <f t="shared" si="55"/>
        <v>#DIV/0!</v>
      </c>
      <c r="AP93" s="77">
        <f t="shared" si="97"/>
        <v>0</v>
      </c>
      <c r="AQ93" s="108">
        <f t="shared" si="98"/>
        <v>0</v>
      </c>
      <c r="AR93" s="107">
        <f t="shared" si="99"/>
        <v>0</v>
      </c>
      <c r="AS93" s="107">
        <f t="shared" si="100"/>
        <v>0</v>
      </c>
      <c r="AT93" s="107">
        <f t="shared" si="101"/>
        <v>0</v>
      </c>
      <c r="AU93" s="109">
        <f t="shared" si="57"/>
        <v>0</v>
      </c>
      <c r="AV93" s="109">
        <f t="shared" si="58"/>
        <v>0</v>
      </c>
      <c r="AW93" s="109">
        <f t="shared" si="59"/>
        <v>0</v>
      </c>
      <c r="AY93" s="82">
        <f t="shared" si="102"/>
        <v>0</v>
      </c>
      <c r="AZ93" s="82" t="e">
        <f t="shared" si="60"/>
        <v>#DIV/0!</v>
      </c>
      <c r="BA93" s="77">
        <f t="shared" si="103"/>
        <v>0</v>
      </c>
      <c r="BB93" s="108">
        <f t="shared" si="104"/>
        <v>0</v>
      </c>
      <c r="BC93" s="107">
        <f t="shared" si="105"/>
        <v>0</v>
      </c>
      <c r="BD93" s="107">
        <f t="shared" si="106"/>
        <v>0</v>
      </c>
      <c r="BE93" s="107">
        <f t="shared" si="107"/>
        <v>0</v>
      </c>
      <c r="BF93" s="109">
        <f t="shared" si="61"/>
        <v>0</v>
      </c>
      <c r="BG93" s="109">
        <f t="shared" si="62"/>
        <v>0</v>
      </c>
      <c r="BH93" s="109">
        <f t="shared" si="63"/>
        <v>0</v>
      </c>
      <c r="BJ93" s="82">
        <f t="shared" si="108"/>
        <v>0</v>
      </c>
      <c r="BK93" s="82" t="e">
        <f t="shared" si="64"/>
        <v>#DIV/0!</v>
      </c>
      <c r="BL93" s="77">
        <f t="shared" si="109"/>
        <v>0</v>
      </c>
      <c r="BM93" s="108">
        <f t="shared" si="110"/>
        <v>0</v>
      </c>
      <c r="BN93" s="107">
        <f t="shared" si="111"/>
        <v>0</v>
      </c>
      <c r="BO93" s="107">
        <f t="shared" si="112"/>
        <v>0</v>
      </c>
      <c r="BP93" s="107">
        <f t="shared" si="113"/>
        <v>0</v>
      </c>
      <c r="BQ93" s="109">
        <f t="shared" si="65"/>
        <v>0</v>
      </c>
      <c r="BR93" s="109">
        <f t="shared" si="66"/>
        <v>0</v>
      </c>
      <c r="BS93" s="109">
        <f t="shared" si="67"/>
        <v>0</v>
      </c>
      <c r="BU93" s="82">
        <f t="shared" si="114"/>
        <v>0</v>
      </c>
      <c r="BV93" s="82" t="e">
        <f t="shared" si="68"/>
        <v>#DIV/0!</v>
      </c>
      <c r="BW93" s="77">
        <f t="shared" si="115"/>
        <v>0</v>
      </c>
      <c r="BX93" s="108">
        <f t="shared" si="116"/>
        <v>0</v>
      </c>
      <c r="BY93" s="107">
        <f t="shared" si="117"/>
        <v>0</v>
      </c>
      <c r="BZ93" s="107">
        <f t="shared" si="118"/>
        <v>0</v>
      </c>
      <c r="CA93" s="107">
        <f t="shared" si="119"/>
        <v>0</v>
      </c>
      <c r="CB93" s="109">
        <f t="shared" si="69"/>
        <v>0</v>
      </c>
      <c r="CC93" s="109">
        <f t="shared" si="70"/>
        <v>0</v>
      </c>
      <c r="CD93" s="109">
        <f t="shared" si="71"/>
        <v>0</v>
      </c>
    </row>
    <row r="94" spans="1:82" x14ac:dyDescent="0.25">
      <c r="A94" s="101">
        <f t="shared" si="120"/>
        <v>38718</v>
      </c>
      <c r="B94" s="102">
        <f t="shared" si="50"/>
        <v>3.403</v>
      </c>
      <c r="C94" s="80">
        <f t="shared" si="51"/>
        <v>0.23250000000000001</v>
      </c>
      <c r="D94" s="102">
        <f t="shared" si="72"/>
        <v>1.5249999999999999</v>
      </c>
      <c r="E94" s="106">
        <f t="shared" si="73"/>
        <v>1.1000000000000001</v>
      </c>
      <c r="F94" s="105">
        <f t="shared" ca="1" si="74"/>
        <v>1945</v>
      </c>
      <c r="G94" s="80" t="e">
        <f t="shared" si="75"/>
        <v>#DIV/0!</v>
      </c>
      <c r="H94" s="80" t="e">
        <f t="shared" si="76"/>
        <v>#DIV/0!</v>
      </c>
      <c r="I94" s="104">
        <f t="shared" si="77"/>
        <v>5.05</v>
      </c>
      <c r="K94" s="102">
        <f t="shared" si="78"/>
        <v>0.14000000000000001</v>
      </c>
      <c r="L94" s="106">
        <f t="shared" si="79"/>
        <v>1</v>
      </c>
      <c r="M94" s="105">
        <f t="shared" ca="1" si="80"/>
        <v>1945</v>
      </c>
      <c r="N94" s="217" t="e">
        <f t="shared" si="81"/>
        <v>#DIV/0!</v>
      </c>
      <c r="O94" s="80" t="e">
        <f t="shared" si="82"/>
        <v>#DIV/0!</v>
      </c>
      <c r="P94" s="104">
        <f t="shared" si="83"/>
        <v>5.0999999999999996</v>
      </c>
      <c r="R94" s="102">
        <f t="shared" si="84"/>
        <v>-5.7500000000000002E-2</v>
      </c>
      <c r="S94" s="106">
        <f t="shared" si="85"/>
        <v>1</v>
      </c>
      <c r="T94" s="105">
        <f t="shared" ca="1" si="86"/>
        <v>1945</v>
      </c>
      <c r="U94" s="217" t="e">
        <f t="shared" si="87"/>
        <v>#DIV/0!</v>
      </c>
      <c r="V94" s="80" t="e">
        <f t="shared" si="88"/>
        <v>#DIV/0!</v>
      </c>
      <c r="W94" s="104">
        <f t="shared" si="89"/>
        <v>4.8099999999999996</v>
      </c>
      <c r="X94" s="105"/>
      <c r="Y94" s="102">
        <f t="shared" si="90"/>
        <v>-5.7500000000000002E-2</v>
      </c>
      <c r="Z94" s="106">
        <f t="shared" si="91"/>
        <v>1</v>
      </c>
      <c r="AA94" s="105">
        <f t="shared" ca="1" si="92"/>
        <v>1945</v>
      </c>
      <c r="AB94" s="80" t="e">
        <f t="shared" si="93"/>
        <v>#DIV/0!</v>
      </c>
      <c r="AC94" s="80" t="e">
        <f t="shared" si="94"/>
        <v>#DIV/0!</v>
      </c>
      <c r="AD94" s="104">
        <f t="shared" si="95"/>
        <v>4.8449999999999998</v>
      </c>
      <c r="AF94" s="105">
        <f t="shared" ca="1" si="52"/>
        <v>1945</v>
      </c>
      <c r="AG94" s="105">
        <f t="shared" ca="1" si="53"/>
        <v>1944</v>
      </c>
      <c r="AH94" s="80">
        <f t="shared" si="54"/>
        <v>6.9383845363617996E-2</v>
      </c>
      <c r="AI94" s="182">
        <f t="shared" si="25"/>
        <v>31</v>
      </c>
      <c r="AL94" s="105"/>
      <c r="AM94" s="82"/>
      <c r="AN94" s="82">
        <f t="shared" si="96"/>
        <v>0</v>
      </c>
      <c r="AO94" s="82" t="e">
        <f t="shared" si="55"/>
        <v>#DIV/0!</v>
      </c>
      <c r="AP94" s="77">
        <f t="shared" si="97"/>
        <v>0</v>
      </c>
      <c r="AQ94" s="108">
        <f t="shared" si="98"/>
        <v>0</v>
      </c>
      <c r="AR94" s="107">
        <f t="shared" si="99"/>
        <v>0</v>
      </c>
      <c r="AS94" s="107">
        <f t="shared" si="100"/>
        <v>0</v>
      </c>
      <c r="AT94" s="107">
        <f t="shared" si="101"/>
        <v>0</v>
      </c>
      <c r="AU94" s="109">
        <f t="shared" si="57"/>
        <v>0</v>
      </c>
      <c r="AV94" s="109">
        <f t="shared" si="58"/>
        <v>0</v>
      </c>
      <c r="AW94" s="109">
        <f t="shared" si="59"/>
        <v>0</v>
      </c>
      <c r="AY94" s="82">
        <f t="shared" si="102"/>
        <v>0</v>
      </c>
      <c r="AZ94" s="82" t="e">
        <f t="shared" si="60"/>
        <v>#DIV/0!</v>
      </c>
      <c r="BA94" s="77">
        <f t="shared" si="103"/>
        <v>0</v>
      </c>
      <c r="BB94" s="108">
        <f t="shared" si="104"/>
        <v>0</v>
      </c>
      <c r="BC94" s="107">
        <f t="shared" si="105"/>
        <v>0</v>
      </c>
      <c r="BD94" s="107">
        <f t="shared" si="106"/>
        <v>0</v>
      </c>
      <c r="BE94" s="107">
        <f t="shared" si="107"/>
        <v>0</v>
      </c>
      <c r="BF94" s="109">
        <f t="shared" si="61"/>
        <v>0</v>
      </c>
      <c r="BG94" s="109">
        <f t="shared" si="62"/>
        <v>0</v>
      </c>
      <c r="BH94" s="109">
        <f t="shared" si="63"/>
        <v>0</v>
      </c>
      <c r="BJ94" s="82">
        <f t="shared" si="108"/>
        <v>0</v>
      </c>
      <c r="BK94" s="82" t="e">
        <f t="shared" si="64"/>
        <v>#DIV/0!</v>
      </c>
      <c r="BL94" s="77">
        <f t="shared" si="109"/>
        <v>0</v>
      </c>
      <c r="BM94" s="108">
        <f t="shared" si="110"/>
        <v>0</v>
      </c>
      <c r="BN94" s="107">
        <f t="shared" si="111"/>
        <v>0</v>
      </c>
      <c r="BO94" s="107">
        <f t="shared" si="112"/>
        <v>0</v>
      </c>
      <c r="BP94" s="107">
        <f t="shared" si="113"/>
        <v>0</v>
      </c>
      <c r="BQ94" s="109">
        <f t="shared" si="65"/>
        <v>0</v>
      </c>
      <c r="BR94" s="109">
        <f t="shared" si="66"/>
        <v>0</v>
      </c>
      <c r="BS94" s="109">
        <f t="shared" si="67"/>
        <v>0</v>
      </c>
      <c r="BU94" s="82">
        <f t="shared" si="114"/>
        <v>0</v>
      </c>
      <c r="BV94" s="82" t="e">
        <f t="shared" si="68"/>
        <v>#DIV/0!</v>
      </c>
      <c r="BW94" s="77">
        <f t="shared" si="115"/>
        <v>0</v>
      </c>
      <c r="BX94" s="108">
        <f t="shared" si="116"/>
        <v>0</v>
      </c>
      <c r="BY94" s="107">
        <f t="shared" si="117"/>
        <v>0</v>
      </c>
      <c r="BZ94" s="107">
        <f t="shared" si="118"/>
        <v>0</v>
      </c>
      <c r="CA94" s="107">
        <f t="shared" si="119"/>
        <v>0</v>
      </c>
      <c r="CB94" s="109">
        <f t="shared" si="69"/>
        <v>0</v>
      </c>
      <c r="CC94" s="109">
        <f t="shared" si="70"/>
        <v>0</v>
      </c>
      <c r="CD94" s="109">
        <f t="shared" si="71"/>
        <v>0</v>
      </c>
    </row>
    <row r="95" spans="1:82" x14ac:dyDescent="0.25">
      <c r="A95" s="101">
        <f t="shared" si="120"/>
        <v>38749</v>
      </c>
      <c r="B95" s="102">
        <f t="shared" si="50"/>
        <v>3.2730000000000001</v>
      </c>
      <c r="C95" s="80">
        <f t="shared" si="51"/>
        <v>0.23</v>
      </c>
      <c r="D95" s="102">
        <f t="shared" ref="D95:D108" si="121">IF(D$28="nymex",0,VLOOKUP($A95,curvesettle,HLOOKUP(D$28,curvesettle,2,FALSE)))</f>
        <v>1.4550000000000001</v>
      </c>
      <c r="E95" s="106">
        <f t="shared" ref="E95:E108" si="122">IF(ISNUMBER(VLOOKUP($A95,VOLCURVES,HLOOKUP(D$28,VOLCURVES,2,FALSE),FALSE)),VLOOKUP($A95,VOLCURVES,HLOOKUP(D$28,VOLCURVES,2,FALSE),FALSE),1)</f>
        <v>1.1000000000000001</v>
      </c>
      <c r="F95" s="105">
        <f t="shared" ref="F95:F108" ca="1" si="123">IF(D$28="NYMEX",$AG95,$AF95)</f>
        <v>1975</v>
      </c>
      <c r="G95" s="80" t="e">
        <f t="shared" ref="G95:G108" si="124">(($C95+H95)*$E95)+B$15</f>
        <v>#DIV/0!</v>
      </c>
      <c r="H95" s="80" t="e">
        <f t="shared" ref="H95:H108" si="125">IF($B$16=1,VLOOKUP($A95,SkewTable,HLOOKUP(ROUND(I95-AO95,1),SkewTable,2,FALSE),FALSE)/100,0)</f>
        <v>#DIV/0!</v>
      </c>
      <c r="I95" s="104">
        <f t="shared" ref="I95:I108" si="126">IF($B$19=4,$AO95,$B$18)</f>
        <v>5.05</v>
      </c>
      <c r="K95" s="102">
        <f t="shared" ref="K95:K108" si="127">IF(K$28="nymex",0,VLOOKUP($A95,curvesettle,HLOOKUP(K$28,curvesettle,2,FALSE)))</f>
        <v>0.14000000000000001</v>
      </c>
      <c r="L95" s="106">
        <f t="shared" ref="L95:L108" si="128">IF(ISNUMBER(VLOOKUP($A95,VOLCURVES,HLOOKUP(K$28,VOLCURVES,2,FALSE),FALSE)),VLOOKUP($A95,VOLCURVES,HLOOKUP(K$28,VOLCURVES,2,FALSE),FALSE),1)</f>
        <v>1</v>
      </c>
      <c r="M95" s="105">
        <f t="shared" ref="M95:M108" ca="1" si="129">IF(K$28="NYMEX",$AG95,$AF95)</f>
        <v>1975</v>
      </c>
      <c r="N95" s="217" t="e">
        <f t="shared" ref="N95:N108" si="130">(($C95+O95)*$L95)+D$15</f>
        <v>#DIV/0!</v>
      </c>
      <c r="O95" s="80" t="e">
        <f t="shared" ref="O95:O108" si="131">IF($D$16=1,VLOOKUP($A95,SkewTable,HLOOKUP(ROUND(P95-AZ95,1),SkewTable,2,FALSE),FALSE)/100,0)</f>
        <v>#DIV/0!</v>
      </c>
      <c r="P95" s="104">
        <f t="shared" ref="P95:P108" si="132">IF($D$19=4,$AZ95,$D$18)</f>
        <v>5.0999999999999996</v>
      </c>
      <c r="R95" s="102">
        <f t="shared" ref="R95:R108" si="133">IF(R$28="nymex",0,VLOOKUP($A95,curvesettle,HLOOKUP(R$28,curvesettle,2,FALSE)))</f>
        <v>-0.04</v>
      </c>
      <c r="S95" s="106">
        <f t="shared" ref="S95:S108" si="134">IF(ISNUMBER(VLOOKUP($A95,VOLCURVES,HLOOKUP(R$28,VOLCURVES,2,FALSE),FALSE)),VLOOKUP($A95,VOLCURVES,HLOOKUP(R$28,VOLCURVES,2,FALSE),FALSE),1)</f>
        <v>1</v>
      </c>
      <c r="T95" s="105">
        <f t="shared" ref="T95:T108" ca="1" si="135">IF(R$28="NYMEX",$AG95,$AF95)</f>
        <v>1975</v>
      </c>
      <c r="U95" s="217" t="e">
        <f t="shared" ref="U95:U108" si="136">(($C95+V95)*$S95)+F$15</f>
        <v>#DIV/0!</v>
      </c>
      <c r="V95" s="80" t="e">
        <f t="shared" ref="V95:V108" si="137">IF($F$16=1,VLOOKUP($A95,SkewTable,HLOOKUP(ROUND(W95-BK95,1),SkewTable,2,FALSE),FALSE)/100,0)</f>
        <v>#DIV/0!</v>
      </c>
      <c r="W95" s="104">
        <f t="shared" ref="W95:W108" si="138">IF($F$19=4,$BK95,$F$18)</f>
        <v>4.8099999999999996</v>
      </c>
      <c r="X95" s="105"/>
      <c r="Y95" s="102">
        <f t="shared" ref="Y95:Y108" si="139">IF(Y$28="nymex",0,VLOOKUP($A95,curvesettle,HLOOKUP(Y$28,curvesettle,2,FALSE)))</f>
        <v>-0.04</v>
      </c>
      <c r="Z95" s="106">
        <f t="shared" ref="Z95:Z108" si="140">IF(ISNUMBER(VLOOKUP($A95,VOLCURVES,HLOOKUP(Y$28,VOLCURVES,2,FALSE),FALSE)),VLOOKUP($A95,VOLCURVES,HLOOKUP(Y$28,VOLCURVES,2,FALSE),FALSE),1)</f>
        <v>1</v>
      </c>
      <c r="AA95" s="105">
        <f t="shared" ref="AA95:AA108" ca="1" si="141">IF(Y$28="NYMEX",$AG95,$AF95)</f>
        <v>1975</v>
      </c>
      <c r="AB95" s="80" t="e">
        <f t="shared" ref="AB95:AB108" si="142">(($C95+AC95)*$Z95)+H$15</f>
        <v>#DIV/0!</v>
      </c>
      <c r="AC95" s="80" t="e">
        <f t="shared" ref="AC95:AC108" si="143">IF($H$16=1,VLOOKUP($A95,SkewTable,HLOOKUP(ROUND(AD95-BV95,1),SkewTable,2,FALSE),FALSE)/100,0)</f>
        <v>#DIV/0!</v>
      </c>
      <c r="AD95" s="104">
        <f t="shared" ref="AD95:AD108" si="144">IF($H$19=4,$BV95,$H$18)</f>
        <v>4.8449999999999998</v>
      </c>
      <c r="AF95" s="105">
        <f t="shared" ca="1" si="52"/>
        <v>1975</v>
      </c>
      <c r="AG95" s="105">
        <f t="shared" ca="1" si="53"/>
        <v>1974</v>
      </c>
      <c r="AH95" s="80">
        <f t="shared" si="54"/>
        <v>6.9400101737888006E-2</v>
      </c>
      <c r="AI95" s="182">
        <f t="shared" ref="AI95:AI108" si="145">A96-A95</f>
        <v>28</v>
      </c>
      <c r="AL95" s="105"/>
      <c r="AM95" s="82"/>
      <c r="AN95" s="82">
        <f t="shared" ref="AN95:AN108" si="146">IF($A95&gt;=AO$25,IF($A95&lt;=AO$26,$AI95,0),0)</f>
        <v>0</v>
      </c>
      <c r="AO95" s="82" t="e">
        <f t="shared" si="55"/>
        <v>#DIV/0!</v>
      </c>
      <c r="AP95" s="77">
        <f t="shared" ref="AP95:AP108" si="147">AN95*($B95+B$13)</f>
        <v>0</v>
      </c>
      <c r="AQ95" s="108">
        <f t="shared" ref="AQ95:AQ108" si="148">IF(ISNUMBER(((AP95/AN95)+B$14+$D95)*AN95),((AP95/AN95)+B$14+$D95)*AN95,0)</f>
        <v>0</v>
      </c>
      <c r="AR95" s="107">
        <f t="shared" ref="AR95:AR108" si="149">IF(AN95=0,0,bsd(1,AS$27,AO95,$I95,$F95,$G95,$AH95,0.1))</f>
        <v>0</v>
      </c>
      <c r="AS95" s="107">
        <f t="shared" ref="AS95:AS108" si="150">IF(AN95=0,0,bsd(2,AS$27,AO95,$I95,$F95,$G95,$AH95,0.1))</f>
        <v>0</v>
      </c>
      <c r="AT95" s="107">
        <f t="shared" ref="AT95:AT108" si="151">IF(AN95=0,0,bsd(AS$28,AS$27,AO95,$I95,$F95,$G95,$AH95,0.1))</f>
        <v>0</v>
      </c>
      <c r="AU95" s="109">
        <f t="shared" si="57"/>
        <v>0</v>
      </c>
      <c r="AV95" s="109">
        <f t="shared" si="58"/>
        <v>0</v>
      </c>
      <c r="AW95" s="109">
        <f t="shared" si="59"/>
        <v>0</v>
      </c>
      <c r="AY95" s="82">
        <f t="shared" ref="AY95:AY108" si="152">IF($A95&gt;=AZ$25,IF($A95&lt;=AZ$26,$AI95,0),0)</f>
        <v>0</v>
      </c>
      <c r="AZ95" s="82" t="e">
        <f t="shared" si="60"/>
        <v>#DIV/0!</v>
      </c>
      <c r="BA95" s="77">
        <f t="shared" ref="BA95:BA108" si="153">AY95*($B95+D$13)</f>
        <v>0</v>
      </c>
      <c r="BB95" s="108">
        <f t="shared" ref="BB95:BB108" si="154">IF(ISNUMBER(((BA95/AY95)+D$14+$K95)*AY95),((BA95/AY95)+D$14+$K95)*AY95,0)</f>
        <v>0</v>
      </c>
      <c r="BC95" s="107">
        <f t="shared" ref="BC95:BC108" si="155">IF(AY95=0,0,bsd(1,BD$27,AZ95,$P95,$M95,$N95,$AH95,0.1))</f>
        <v>0</v>
      </c>
      <c r="BD95" s="107">
        <f t="shared" ref="BD95:BD108" si="156">IF(AY95=0,0,bsd(2,BD$27,AZ95,$P95,$M95,$N95,$AH95,0.1))</f>
        <v>0</v>
      </c>
      <c r="BE95" s="107">
        <f t="shared" ref="BE95:BE108" si="157">IF(AY95=0,0,bsd(BD$28,BD$27,AZ95,$P95,$M95,$N95,$AH95,0.1))</f>
        <v>0</v>
      </c>
      <c r="BF95" s="109">
        <f t="shared" si="61"/>
        <v>0</v>
      </c>
      <c r="BG95" s="109">
        <f t="shared" si="62"/>
        <v>0</v>
      </c>
      <c r="BH95" s="109">
        <f t="shared" si="63"/>
        <v>0</v>
      </c>
      <c r="BJ95" s="82">
        <f t="shared" ref="BJ95:BJ108" si="158">IF($A95&gt;=BK$25,IF($A95&lt;=BK$26,$AI95,0),0)</f>
        <v>0</v>
      </c>
      <c r="BK95" s="82" t="e">
        <f t="shared" si="64"/>
        <v>#DIV/0!</v>
      </c>
      <c r="BL95" s="77">
        <f t="shared" ref="BL95:BL108" si="159">BJ95*($B95+F$13)</f>
        <v>0</v>
      </c>
      <c r="BM95" s="108">
        <f t="shared" ref="BM95:BM108" si="160">IF(ISNUMBER(((BL95/BJ95)+F$14+$R95)*BJ95),((BL95/BJ95)+F$14+$R95)*BJ95,0)</f>
        <v>0</v>
      </c>
      <c r="BN95" s="107">
        <f t="shared" ref="BN95:BN108" si="161">IF(BJ95=0,0,bsd(1,BO$27,BK95,$W95,$T95,$U95,$AH95,0.1))</f>
        <v>0</v>
      </c>
      <c r="BO95" s="107">
        <f t="shared" ref="BO95:BO108" si="162">IF(BJ95=0,0,bsd(2,BO$27,BK95,$W95,$T95,$U95,$AH95,0.1))</f>
        <v>0</v>
      </c>
      <c r="BP95" s="107">
        <f t="shared" ref="BP95:BP108" si="163">IF(BJ95=0,0,bsd(BO$28,BO$27,BK95,$W95,$T95,$U95,$AH95,0.1))</f>
        <v>0</v>
      </c>
      <c r="BQ95" s="109">
        <f t="shared" si="65"/>
        <v>0</v>
      </c>
      <c r="BR95" s="109">
        <f t="shared" si="66"/>
        <v>0</v>
      </c>
      <c r="BS95" s="109">
        <f t="shared" si="67"/>
        <v>0</v>
      </c>
      <c r="BU95" s="82">
        <f t="shared" ref="BU95:BU108" si="164">IF($A95&gt;=BV$25,IF($A95&lt;=BV$26,$AI95,0),0)</f>
        <v>0</v>
      </c>
      <c r="BV95" s="82" t="e">
        <f t="shared" si="68"/>
        <v>#DIV/0!</v>
      </c>
      <c r="BW95" s="77">
        <f t="shared" ref="BW95:BW108" si="165">BU95*($B95+H$13)</f>
        <v>0</v>
      </c>
      <c r="BX95" s="108">
        <f t="shared" ref="BX95:BX108" si="166">IF(ISNUMBER(((BW95/BU95)+H$14+$Y95)*BU95),((BW95/BU95)+H$14+$Y95)*BU95,0)</f>
        <v>0</v>
      </c>
      <c r="BY95" s="107">
        <f t="shared" ref="BY95:BY108" si="167">IF(BU95=0,0,bsd(1,BZ$27,BV95,$AD95,$AA95,$AB95,$AH95,0.1))</f>
        <v>0</v>
      </c>
      <c r="BZ95" s="107">
        <f t="shared" ref="BZ95:BZ108" si="168">IF(BU95=0,0,bsd(2,BZ$27,BV95,$AD95,$AA95,$AB95,$AH95,0.1))</f>
        <v>0</v>
      </c>
      <c r="CA95" s="107">
        <f t="shared" ref="CA95:CA108" si="169">IF(BU95=0,0,bsd(BZ$28,BZ$27,BV95,$AD95,$AA95,$AB95,$AH95,0.1))</f>
        <v>0</v>
      </c>
      <c r="CB95" s="109">
        <f t="shared" si="69"/>
        <v>0</v>
      </c>
      <c r="CC95" s="109">
        <f t="shared" si="70"/>
        <v>0</v>
      </c>
      <c r="CD95" s="109">
        <f t="shared" si="71"/>
        <v>0</v>
      </c>
    </row>
    <row r="96" spans="1:82" x14ac:dyDescent="0.25">
      <c r="A96" s="101">
        <f t="shared" si="120"/>
        <v>38777</v>
      </c>
      <c r="B96" s="102">
        <f t="shared" si="50"/>
        <v>3.1120000000000001</v>
      </c>
      <c r="C96" s="80">
        <f t="shared" ref="C96:C108" si="170">VLOOKUP(A96,STRADDLE,8,FALSE)</f>
        <v>0.22750000000000001</v>
      </c>
      <c r="D96" s="102">
        <f t="shared" si="121"/>
        <v>0.83499999999999996</v>
      </c>
      <c r="E96" s="106">
        <f t="shared" si="122"/>
        <v>1.1000000000000001</v>
      </c>
      <c r="F96" s="105">
        <f t="shared" ca="1" si="123"/>
        <v>2003</v>
      </c>
      <c r="G96" s="80" t="e">
        <f t="shared" si="124"/>
        <v>#DIV/0!</v>
      </c>
      <c r="H96" s="80" t="e">
        <f t="shared" si="125"/>
        <v>#DIV/0!</v>
      </c>
      <c r="I96" s="104">
        <f t="shared" si="126"/>
        <v>5.05</v>
      </c>
      <c r="K96" s="102">
        <f t="shared" si="127"/>
        <v>0.14000000000000001</v>
      </c>
      <c r="L96" s="106">
        <f t="shared" si="128"/>
        <v>1</v>
      </c>
      <c r="M96" s="105">
        <f t="shared" ca="1" si="129"/>
        <v>2003</v>
      </c>
      <c r="N96" s="217" t="e">
        <f t="shared" si="130"/>
        <v>#DIV/0!</v>
      </c>
      <c r="O96" s="80" t="e">
        <f t="shared" si="131"/>
        <v>#DIV/0!</v>
      </c>
      <c r="P96" s="104">
        <f t="shared" si="132"/>
        <v>5.0999999999999996</v>
      </c>
      <c r="R96" s="102">
        <f t="shared" si="133"/>
        <v>-2.75E-2</v>
      </c>
      <c r="S96" s="106">
        <f t="shared" si="134"/>
        <v>1</v>
      </c>
      <c r="T96" s="105">
        <f t="shared" ca="1" si="135"/>
        <v>2003</v>
      </c>
      <c r="U96" s="217" t="e">
        <f t="shared" si="136"/>
        <v>#DIV/0!</v>
      </c>
      <c r="V96" s="80" t="e">
        <f t="shared" si="137"/>
        <v>#DIV/0!</v>
      </c>
      <c r="W96" s="104">
        <f t="shared" si="138"/>
        <v>4.8099999999999996</v>
      </c>
      <c r="X96" s="105"/>
      <c r="Y96" s="102">
        <f t="shared" si="139"/>
        <v>-2.75E-2</v>
      </c>
      <c r="Z96" s="106">
        <f t="shared" si="140"/>
        <v>1</v>
      </c>
      <c r="AA96" s="105">
        <f t="shared" ca="1" si="141"/>
        <v>2003</v>
      </c>
      <c r="AB96" s="80" t="e">
        <f t="shared" si="142"/>
        <v>#DIV/0!</v>
      </c>
      <c r="AC96" s="80" t="e">
        <f t="shared" si="143"/>
        <v>#DIV/0!</v>
      </c>
      <c r="AD96" s="104">
        <f t="shared" si="144"/>
        <v>4.8449999999999998</v>
      </c>
      <c r="AF96" s="105">
        <f t="shared" ref="AF96:AF108" ca="1" si="171">VLOOKUP($A96,expiration,2,FALSE)-$B$2</f>
        <v>2003</v>
      </c>
      <c r="AG96" s="105">
        <f t="shared" ref="AG96:AG108" ca="1" si="172">VLOOKUP($A96,expiration,3,FALSE)-$B$2</f>
        <v>2002</v>
      </c>
      <c r="AH96" s="80">
        <f t="shared" si="54"/>
        <v>6.9414784914722985E-2</v>
      </c>
      <c r="AI96" s="182">
        <f t="shared" si="145"/>
        <v>31</v>
      </c>
      <c r="AL96" s="105"/>
      <c r="AM96" s="82"/>
      <c r="AN96" s="82">
        <f t="shared" si="146"/>
        <v>0</v>
      </c>
      <c r="AO96" s="82" t="e">
        <f t="shared" ref="AO96:AO108" si="173">AQ96/AN96</f>
        <v>#DIV/0!</v>
      </c>
      <c r="AP96" s="77">
        <f t="shared" si="147"/>
        <v>0</v>
      </c>
      <c r="AQ96" s="108">
        <f t="shared" si="148"/>
        <v>0</v>
      </c>
      <c r="AR96" s="107">
        <f t="shared" si="149"/>
        <v>0</v>
      </c>
      <c r="AS96" s="107">
        <f t="shared" si="150"/>
        <v>0</v>
      </c>
      <c r="AT96" s="107">
        <f t="shared" si="151"/>
        <v>0</v>
      </c>
      <c r="AU96" s="109">
        <f t="shared" ref="AU96:AU108" si="174">AN96*AR96</f>
        <v>0</v>
      </c>
      <c r="AV96" s="109">
        <f t="shared" ref="AV96:AV108" si="175">AN96*AS96</f>
        <v>0</v>
      </c>
      <c r="AW96" s="109">
        <f t="shared" ref="AW96:AW108" si="176">AN96*AT96</f>
        <v>0</v>
      </c>
      <c r="AY96" s="82">
        <f t="shared" si="152"/>
        <v>0</v>
      </c>
      <c r="AZ96" s="82" t="e">
        <f t="shared" ref="AZ96:AZ108" si="177">BB96/AY96</f>
        <v>#DIV/0!</v>
      </c>
      <c r="BA96" s="77">
        <f t="shared" si="153"/>
        <v>0</v>
      </c>
      <c r="BB96" s="108">
        <f t="shared" si="154"/>
        <v>0</v>
      </c>
      <c r="BC96" s="107">
        <f t="shared" si="155"/>
        <v>0</v>
      </c>
      <c r="BD96" s="107">
        <f t="shared" si="156"/>
        <v>0</v>
      </c>
      <c r="BE96" s="107">
        <f t="shared" si="157"/>
        <v>0</v>
      </c>
      <c r="BF96" s="109">
        <f t="shared" ref="BF96:BF108" si="178">AY96*BC96</f>
        <v>0</v>
      </c>
      <c r="BG96" s="109">
        <f t="shared" ref="BG96:BG108" si="179">AY96*BD96</f>
        <v>0</v>
      </c>
      <c r="BH96" s="109">
        <f t="shared" ref="BH96:BH108" si="180">AY96*BE96</f>
        <v>0</v>
      </c>
      <c r="BJ96" s="82">
        <f t="shared" si="158"/>
        <v>0</v>
      </c>
      <c r="BK96" s="82" t="e">
        <f t="shared" ref="BK96:BK108" si="181">BM96/BJ96</f>
        <v>#DIV/0!</v>
      </c>
      <c r="BL96" s="77">
        <f t="shared" si="159"/>
        <v>0</v>
      </c>
      <c r="BM96" s="108">
        <f t="shared" si="160"/>
        <v>0</v>
      </c>
      <c r="BN96" s="107">
        <f t="shared" si="161"/>
        <v>0</v>
      </c>
      <c r="BO96" s="107">
        <f t="shared" si="162"/>
        <v>0</v>
      </c>
      <c r="BP96" s="107">
        <f t="shared" si="163"/>
        <v>0</v>
      </c>
      <c r="BQ96" s="109">
        <f t="shared" ref="BQ96:BQ108" si="182">BJ96*BN96</f>
        <v>0</v>
      </c>
      <c r="BR96" s="109">
        <f t="shared" ref="BR96:BR108" si="183">BJ96*BO96</f>
        <v>0</v>
      </c>
      <c r="BS96" s="109">
        <f t="shared" ref="BS96:BS108" si="184">BJ96*BP96</f>
        <v>0</v>
      </c>
      <c r="BU96" s="82">
        <f t="shared" si="164"/>
        <v>0</v>
      </c>
      <c r="BV96" s="82" t="e">
        <f t="shared" ref="BV96:BV108" si="185">BX96/BU96</f>
        <v>#DIV/0!</v>
      </c>
      <c r="BW96" s="77">
        <f t="shared" si="165"/>
        <v>0</v>
      </c>
      <c r="BX96" s="108">
        <f t="shared" si="166"/>
        <v>0</v>
      </c>
      <c r="BY96" s="107">
        <f t="shared" si="167"/>
        <v>0</v>
      </c>
      <c r="BZ96" s="107">
        <f t="shared" si="168"/>
        <v>0</v>
      </c>
      <c r="CA96" s="107">
        <f t="shared" si="169"/>
        <v>0</v>
      </c>
      <c r="CB96" s="109">
        <f t="shared" ref="CB96:CB108" si="186">BU96*BY96</f>
        <v>0</v>
      </c>
      <c r="CC96" s="109">
        <f t="shared" ref="CC96:CC108" si="187">BU96*BZ96</f>
        <v>0</v>
      </c>
      <c r="CD96" s="109">
        <f t="shared" ref="CD96:CD108" si="188">BU96*CA96</f>
        <v>0</v>
      </c>
    </row>
    <row r="97" spans="1:82" x14ac:dyDescent="0.25">
      <c r="A97" s="101">
        <f t="shared" si="120"/>
        <v>38808</v>
      </c>
      <c r="B97" s="102">
        <f t="shared" si="50"/>
        <v>2.9430000000000001</v>
      </c>
      <c r="C97" s="80">
        <f t="shared" si="170"/>
        <v>0.22750000000000001</v>
      </c>
      <c r="D97" s="102">
        <f t="shared" si="121"/>
        <v>0.45</v>
      </c>
      <c r="E97" s="106">
        <f t="shared" si="122"/>
        <v>0.98</v>
      </c>
      <c r="F97" s="105">
        <f t="shared" ca="1" si="123"/>
        <v>2036</v>
      </c>
      <c r="G97" s="80" t="e">
        <f t="shared" si="124"/>
        <v>#DIV/0!</v>
      </c>
      <c r="H97" s="80" t="e">
        <f t="shared" si="125"/>
        <v>#DIV/0!</v>
      </c>
      <c r="I97" s="104">
        <f t="shared" si="126"/>
        <v>5.05</v>
      </c>
      <c r="K97" s="102">
        <f t="shared" si="127"/>
        <v>0.315</v>
      </c>
      <c r="L97" s="106">
        <f t="shared" si="128"/>
        <v>1</v>
      </c>
      <c r="M97" s="105">
        <f t="shared" ca="1" si="129"/>
        <v>2036</v>
      </c>
      <c r="N97" s="217" t="e">
        <f t="shared" si="130"/>
        <v>#DIV/0!</v>
      </c>
      <c r="O97" s="80" t="e">
        <f t="shared" si="131"/>
        <v>#DIV/0!</v>
      </c>
      <c r="P97" s="104">
        <f t="shared" si="132"/>
        <v>5.0999999999999996</v>
      </c>
      <c r="R97" s="102">
        <f t="shared" si="133"/>
        <v>1.4999999999999999E-2</v>
      </c>
      <c r="S97" s="106">
        <f t="shared" si="134"/>
        <v>1</v>
      </c>
      <c r="T97" s="105">
        <f t="shared" ca="1" si="135"/>
        <v>2036</v>
      </c>
      <c r="U97" s="217" t="e">
        <f t="shared" si="136"/>
        <v>#DIV/0!</v>
      </c>
      <c r="V97" s="80" t="e">
        <f t="shared" si="137"/>
        <v>#DIV/0!</v>
      </c>
      <c r="W97" s="104">
        <f t="shared" si="138"/>
        <v>4.8099999999999996</v>
      </c>
      <c r="X97" s="105"/>
      <c r="Y97" s="102">
        <f t="shared" si="139"/>
        <v>1.4999999999999999E-2</v>
      </c>
      <c r="Z97" s="106">
        <f t="shared" si="140"/>
        <v>1</v>
      </c>
      <c r="AA97" s="105">
        <f t="shared" ca="1" si="141"/>
        <v>2036</v>
      </c>
      <c r="AB97" s="80" t="e">
        <f t="shared" si="142"/>
        <v>#DIV/0!</v>
      </c>
      <c r="AC97" s="80" t="e">
        <f t="shared" si="143"/>
        <v>#DIV/0!</v>
      </c>
      <c r="AD97" s="104">
        <f t="shared" si="144"/>
        <v>4.8449999999999998</v>
      </c>
      <c r="AF97" s="105">
        <f t="shared" ca="1" si="171"/>
        <v>2036</v>
      </c>
      <c r="AG97" s="105">
        <f t="shared" ca="1" si="172"/>
        <v>2035</v>
      </c>
      <c r="AH97" s="80">
        <f t="shared" si="54"/>
        <v>6.9431041289159015E-2</v>
      </c>
      <c r="AI97" s="182">
        <f t="shared" si="145"/>
        <v>30</v>
      </c>
      <c r="AL97" s="105"/>
      <c r="AM97" s="82"/>
      <c r="AN97" s="82">
        <f t="shared" si="146"/>
        <v>0</v>
      </c>
      <c r="AO97" s="82" t="e">
        <f t="shared" si="173"/>
        <v>#DIV/0!</v>
      </c>
      <c r="AP97" s="77">
        <f t="shared" si="147"/>
        <v>0</v>
      </c>
      <c r="AQ97" s="108">
        <f t="shared" si="148"/>
        <v>0</v>
      </c>
      <c r="AR97" s="107">
        <f t="shared" si="149"/>
        <v>0</v>
      </c>
      <c r="AS97" s="107">
        <f t="shared" si="150"/>
        <v>0</v>
      </c>
      <c r="AT97" s="107">
        <f t="shared" si="151"/>
        <v>0</v>
      </c>
      <c r="AU97" s="109">
        <f t="shared" si="174"/>
        <v>0</v>
      </c>
      <c r="AV97" s="109">
        <f t="shared" si="175"/>
        <v>0</v>
      </c>
      <c r="AW97" s="109">
        <f t="shared" si="176"/>
        <v>0</v>
      </c>
      <c r="AY97" s="82">
        <f t="shared" si="152"/>
        <v>0</v>
      </c>
      <c r="AZ97" s="82" t="e">
        <f t="shared" si="177"/>
        <v>#DIV/0!</v>
      </c>
      <c r="BA97" s="77">
        <f t="shared" si="153"/>
        <v>0</v>
      </c>
      <c r="BB97" s="108">
        <f t="shared" si="154"/>
        <v>0</v>
      </c>
      <c r="BC97" s="107">
        <f t="shared" si="155"/>
        <v>0</v>
      </c>
      <c r="BD97" s="107">
        <f t="shared" si="156"/>
        <v>0</v>
      </c>
      <c r="BE97" s="107">
        <f t="shared" si="157"/>
        <v>0</v>
      </c>
      <c r="BF97" s="109">
        <f t="shared" si="178"/>
        <v>0</v>
      </c>
      <c r="BG97" s="109">
        <f t="shared" si="179"/>
        <v>0</v>
      </c>
      <c r="BH97" s="109">
        <f t="shared" si="180"/>
        <v>0</v>
      </c>
      <c r="BJ97" s="82">
        <f t="shared" si="158"/>
        <v>0</v>
      </c>
      <c r="BK97" s="82" t="e">
        <f t="shared" si="181"/>
        <v>#DIV/0!</v>
      </c>
      <c r="BL97" s="77">
        <f t="shared" si="159"/>
        <v>0</v>
      </c>
      <c r="BM97" s="108">
        <f t="shared" si="160"/>
        <v>0</v>
      </c>
      <c r="BN97" s="107">
        <f t="shared" si="161"/>
        <v>0</v>
      </c>
      <c r="BO97" s="107">
        <f t="shared" si="162"/>
        <v>0</v>
      </c>
      <c r="BP97" s="107">
        <f t="shared" si="163"/>
        <v>0</v>
      </c>
      <c r="BQ97" s="109">
        <f t="shared" si="182"/>
        <v>0</v>
      </c>
      <c r="BR97" s="109">
        <f t="shared" si="183"/>
        <v>0</v>
      </c>
      <c r="BS97" s="109">
        <f t="shared" si="184"/>
        <v>0</v>
      </c>
      <c r="BU97" s="82">
        <f t="shared" si="164"/>
        <v>0</v>
      </c>
      <c r="BV97" s="82" t="e">
        <f t="shared" si="185"/>
        <v>#DIV/0!</v>
      </c>
      <c r="BW97" s="77">
        <f t="shared" si="165"/>
        <v>0</v>
      </c>
      <c r="BX97" s="108">
        <f t="shared" si="166"/>
        <v>0</v>
      </c>
      <c r="BY97" s="107">
        <f t="shared" si="167"/>
        <v>0</v>
      </c>
      <c r="BZ97" s="107">
        <f t="shared" si="168"/>
        <v>0</v>
      </c>
      <c r="CA97" s="107">
        <f t="shared" si="169"/>
        <v>0</v>
      </c>
      <c r="CB97" s="109">
        <f t="shared" si="186"/>
        <v>0</v>
      </c>
      <c r="CC97" s="109">
        <f t="shared" si="187"/>
        <v>0</v>
      </c>
      <c r="CD97" s="109">
        <f t="shared" si="188"/>
        <v>0</v>
      </c>
    </row>
    <row r="98" spans="1:82" x14ac:dyDescent="0.25">
      <c r="A98" s="101">
        <f t="shared" si="120"/>
        <v>38838</v>
      </c>
      <c r="B98" s="102">
        <f t="shared" si="50"/>
        <v>2.9310000000000005</v>
      </c>
      <c r="C98" s="80">
        <f t="shared" si="170"/>
        <v>0.22750000000000001</v>
      </c>
      <c r="D98" s="102">
        <f t="shared" si="121"/>
        <v>0.40500000000000003</v>
      </c>
      <c r="E98" s="106">
        <f t="shared" si="122"/>
        <v>0.98</v>
      </c>
      <c r="F98" s="105">
        <f t="shared" ca="1" si="123"/>
        <v>2064</v>
      </c>
      <c r="G98" s="80" t="e">
        <f t="shared" si="124"/>
        <v>#DIV/0!</v>
      </c>
      <c r="H98" s="80" t="e">
        <f t="shared" si="125"/>
        <v>#DIV/0!</v>
      </c>
      <c r="I98" s="104">
        <f t="shared" si="126"/>
        <v>5.05</v>
      </c>
      <c r="K98" s="102">
        <f t="shared" si="127"/>
        <v>0.315</v>
      </c>
      <c r="L98" s="106">
        <f t="shared" si="128"/>
        <v>1</v>
      </c>
      <c r="M98" s="105">
        <f t="shared" ca="1" si="129"/>
        <v>2064</v>
      </c>
      <c r="N98" s="217" t="e">
        <f t="shared" si="130"/>
        <v>#DIV/0!</v>
      </c>
      <c r="O98" s="80" t="e">
        <f t="shared" si="131"/>
        <v>#DIV/0!</v>
      </c>
      <c r="P98" s="104">
        <f t="shared" si="132"/>
        <v>5.0999999999999996</v>
      </c>
      <c r="R98" s="102">
        <f t="shared" si="133"/>
        <v>1.4999999999999999E-2</v>
      </c>
      <c r="S98" s="106">
        <f t="shared" si="134"/>
        <v>1</v>
      </c>
      <c r="T98" s="105">
        <f t="shared" ca="1" si="135"/>
        <v>2064</v>
      </c>
      <c r="U98" s="217" t="e">
        <f t="shared" si="136"/>
        <v>#DIV/0!</v>
      </c>
      <c r="V98" s="80" t="e">
        <f t="shared" si="137"/>
        <v>#DIV/0!</v>
      </c>
      <c r="W98" s="104">
        <f t="shared" si="138"/>
        <v>4.8099999999999996</v>
      </c>
      <c r="X98" s="105"/>
      <c r="Y98" s="102">
        <f t="shared" si="139"/>
        <v>1.4999999999999999E-2</v>
      </c>
      <c r="Z98" s="106">
        <f t="shared" si="140"/>
        <v>1</v>
      </c>
      <c r="AA98" s="105">
        <f t="shared" ca="1" si="141"/>
        <v>2064</v>
      </c>
      <c r="AB98" s="80" t="e">
        <f t="shared" si="142"/>
        <v>#DIV/0!</v>
      </c>
      <c r="AC98" s="80" t="e">
        <f t="shared" si="143"/>
        <v>#DIV/0!</v>
      </c>
      <c r="AD98" s="104">
        <f t="shared" si="144"/>
        <v>4.8449999999999998</v>
      </c>
      <c r="AF98" s="105">
        <f t="shared" ca="1" si="171"/>
        <v>2064</v>
      </c>
      <c r="AG98" s="105">
        <f t="shared" ca="1" si="172"/>
        <v>2063</v>
      </c>
      <c r="AH98" s="80">
        <f t="shared" si="54"/>
        <v>6.9446773264503006E-2</v>
      </c>
      <c r="AI98" s="182">
        <f t="shared" si="145"/>
        <v>31</v>
      </c>
      <c r="AL98" s="105"/>
      <c r="AM98" s="82"/>
      <c r="AN98" s="82">
        <f t="shared" si="146"/>
        <v>0</v>
      </c>
      <c r="AO98" s="82" t="e">
        <f t="shared" si="173"/>
        <v>#DIV/0!</v>
      </c>
      <c r="AP98" s="77">
        <f t="shared" si="147"/>
        <v>0</v>
      </c>
      <c r="AQ98" s="108">
        <f t="shared" si="148"/>
        <v>0</v>
      </c>
      <c r="AR98" s="107">
        <f t="shared" si="149"/>
        <v>0</v>
      </c>
      <c r="AS98" s="107">
        <f t="shared" si="150"/>
        <v>0</v>
      </c>
      <c r="AT98" s="107">
        <f t="shared" si="151"/>
        <v>0</v>
      </c>
      <c r="AU98" s="109">
        <f t="shared" si="174"/>
        <v>0</v>
      </c>
      <c r="AV98" s="109">
        <f t="shared" si="175"/>
        <v>0</v>
      </c>
      <c r="AW98" s="109">
        <f t="shared" si="176"/>
        <v>0</v>
      </c>
      <c r="AY98" s="82">
        <f t="shared" si="152"/>
        <v>0</v>
      </c>
      <c r="AZ98" s="82" t="e">
        <f t="shared" si="177"/>
        <v>#DIV/0!</v>
      </c>
      <c r="BA98" s="77">
        <f t="shared" si="153"/>
        <v>0</v>
      </c>
      <c r="BB98" s="108">
        <f t="shared" si="154"/>
        <v>0</v>
      </c>
      <c r="BC98" s="107">
        <f t="shared" si="155"/>
        <v>0</v>
      </c>
      <c r="BD98" s="107">
        <f t="shared" si="156"/>
        <v>0</v>
      </c>
      <c r="BE98" s="107">
        <f t="shared" si="157"/>
        <v>0</v>
      </c>
      <c r="BF98" s="109">
        <f t="shared" si="178"/>
        <v>0</v>
      </c>
      <c r="BG98" s="109">
        <f t="shared" si="179"/>
        <v>0</v>
      </c>
      <c r="BH98" s="109">
        <f t="shared" si="180"/>
        <v>0</v>
      </c>
      <c r="BJ98" s="82">
        <f t="shared" si="158"/>
        <v>0</v>
      </c>
      <c r="BK98" s="82" t="e">
        <f t="shared" si="181"/>
        <v>#DIV/0!</v>
      </c>
      <c r="BL98" s="77">
        <f t="shared" si="159"/>
        <v>0</v>
      </c>
      <c r="BM98" s="108">
        <f t="shared" si="160"/>
        <v>0</v>
      </c>
      <c r="BN98" s="107">
        <f t="shared" si="161"/>
        <v>0</v>
      </c>
      <c r="BO98" s="107">
        <f t="shared" si="162"/>
        <v>0</v>
      </c>
      <c r="BP98" s="107">
        <f t="shared" si="163"/>
        <v>0</v>
      </c>
      <c r="BQ98" s="109">
        <f t="shared" si="182"/>
        <v>0</v>
      </c>
      <c r="BR98" s="109">
        <f t="shared" si="183"/>
        <v>0</v>
      </c>
      <c r="BS98" s="109">
        <f t="shared" si="184"/>
        <v>0</v>
      </c>
      <c r="BU98" s="82">
        <f t="shared" si="164"/>
        <v>0</v>
      </c>
      <c r="BV98" s="82" t="e">
        <f t="shared" si="185"/>
        <v>#DIV/0!</v>
      </c>
      <c r="BW98" s="77">
        <f t="shared" si="165"/>
        <v>0</v>
      </c>
      <c r="BX98" s="108">
        <f t="shared" si="166"/>
        <v>0</v>
      </c>
      <c r="BY98" s="107">
        <f t="shared" si="167"/>
        <v>0</v>
      </c>
      <c r="BZ98" s="107">
        <f t="shared" si="168"/>
        <v>0</v>
      </c>
      <c r="CA98" s="107">
        <f t="shared" si="169"/>
        <v>0</v>
      </c>
      <c r="CB98" s="109">
        <f t="shared" si="186"/>
        <v>0</v>
      </c>
      <c r="CC98" s="109">
        <f t="shared" si="187"/>
        <v>0</v>
      </c>
      <c r="CD98" s="109">
        <f t="shared" si="188"/>
        <v>0</v>
      </c>
    </row>
    <row r="99" spans="1:82" x14ac:dyDescent="0.25">
      <c r="A99" s="101">
        <f t="shared" si="120"/>
        <v>38869</v>
      </c>
      <c r="B99" s="102">
        <f t="shared" si="50"/>
        <v>2.9540000000000002</v>
      </c>
      <c r="C99" s="80">
        <f t="shared" si="170"/>
        <v>0.22750000000000001</v>
      </c>
      <c r="D99" s="102">
        <f t="shared" si="121"/>
        <v>0.39500000000000002</v>
      </c>
      <c r="E99" s="106">
        <f t="shared" si="122"/>
        <v>0.98</v>
      </c>
      <c r="F99" s="105">
        <f t="shared" ca="1" si="123"/>
        <v>2094</v>
      </c>
      <c r="G99" s="80" t="e">
        <f t="shared" si="124"/>
        <v>#DIV/0!</v>
      </c>
      <c r="H99" s="80" t="e">
        <f t="shared" si="125"/>
        <v>#DIV/0!</v>
      </c>
      <c r="I99" s="104">
        <f t="shared" si="126"/>
        <v>5.05</v>
      </c>
      <c r="K99" s="102">
        <f t="shared" si="127"/>
        <v>0.315</v>
      </c>
      <c r="L99" s="106">
        <f t="shared" si="128"/>
        <v>1</v>
      </c>
      <c r="M99" s="105">
        <f t="shared" ca="1" si="129"/>
        <v>2094</v>
      </c>
      <c r="N99" s="217" t="e">
        <f t="shared" si="130"/>
        <v>#DIV/0!</v>
      </c>
      <c r="O99" s="80" t="e">
        <f t="shared" si="131"/>
        <v>#DIV/0!</v>
      </c>
      <c r="P99" s="104">
        <f t="shared" si="132"/>
        <v>5.0999999999999996</v>
      </c>
      <c r="R99" s="102">
        <f t="shared" si="133"/>
        <v>0.02</v>
      </c>
      <c r="S99" s="106">
        <f t="shared" si="134"/>
        <v>1</v>
      </c>
      <c r="T99" s="105">
        <f t="shared" ca="1" si="135"/>
        <v>2094</v>
      </c>
      <c r="U99" s="217" t="e">
        <f t="shared" si="136"/>
        <v>#DIV/0!</v>
      </c>
      <c r="V99" s="80" t="e">
        <f t="shared" si="137"/>
        <v>#DIV/0!</v>
      </c>
      <c r="W99" s="104">
        <f t="shared" si="138"/>
        <v>4.8099999999999996</v>
      </c>
      <c r="X99" s="105"/>
      <c r="Y99" s="102">
        <f t="shared" si="139"/>
        <v>0.02</v>
      </c>
      <c r="Z99" s="106">
        <f t="shared" si="140"/>
        <v>1</v>
      </c>
      <c r="AA99" s="105">
        <f t="shared" ca="1" si="141"/>
        <v>2094</v>
      </c>
      <c r="AB99" s="80" t="e">
        <f t="shared" si="142"/>
        <v>#DIV/0!</v>
      </c>
      <c r="AC99" s="80" t="e">
        <f t="shared" si="143"/>
        <v>#DIV/0!</v>
      </c>
      <c r="AD99" s="104">
        <f t="shared" si="144"/>
        <v>4.8449999999999998</v>
      </c>
      <c r="AF99" s="105">
        <f t="shared" ca="1" si="171"/>
        <v>2094</v>
      </c>
      <c r="AG99" s="105">
        <f t="shared" ca="1" si="172"/>
        <v>2093</v>
      </c>
      <c r="AH99" s="80">
        <f t="shared" si="54"/>
        <v>6.9463029639110024E-2</v>
      </c>
      <c r="AI99" s="182">
        <f t="shared" si="145"/>
        <v>30</v>
      </c>
      <c r="AL99" s="105"/>
      <c r="AM99" s="82"/>
      <c r="AN99" s="82">
        <f t="shared" si="146"/>
        <v>0</v>
      </c>
      <c r="AO99" s="82" t="e">
        <f t="shared" si="173"/>
        <v>#DIV/0!</v>
      </c>
      <c r="AP99" s="77">
        <f t="shared" si="147"/>
        <v>0</v>
      </c>
      <c r="AQ99" s="108">
        <f t="shared" si="148"/>
        <v>0</v>
      </c>
      <c r="AR99" s="107">
        <f t="shared" si="149"/>
        <v>0</v>
      </c>
      <c r="AS99" s="107">
        <f t="shared" si="150"/>
        <v>0</v>
      </c>
      <c r="AT99" s="107">
        <f t="shared" si="151"/>
        <v>0</v>
      </c>
      <c r="AU99" s="109">
        <f t="shared" si="174"/>
        <v>0</v>
      </c>
      <c r="AV99" s="109">
        <f t="shared" si="175"/>
        <v>0</v>
      </c>
      <c r="AW99" s="109">
        <f t="shared" si="176"/>
        <v>0</v>
      </c>
      <c r="AY99" s="82">
        <f t="shared" si="152"/>
        <v>0</v>
      </c>
      <c r="AZ99" s="82" t="e">
        <f t="shared" si="177"/>
        <v>#DIV/0!</v>
      </c>
      <c r="BA99" s="77">
        <f t="shared" si="153"/>
        <v>0</v>
      </c>
      <c r="BB99" s="108">
        <f t="shared" si="154"/>
        <v>0</v>
      </c>
      <c r="BC99" s="107">
        <f t="shared" si="155"/>
        <v>0</v>
      </c>
      <c r="BD99" s="107">
        <f t="shared" si="156"/>
        <v>0</v>
      </c>
      <c r="BE99" s="107">
        <f t="shared" si="157"/>
        <v>0</v>
      </c>
      <c r="BF99" s="109">
        <f t="shared" si="178"/>
        <v>0</v>
      </c>
      <c r="BG99" s="109">
        <f t="shared" si="179"/>
        <v>0</v>
      </c>
      <c r="BH99" s="109">
        <f t="shared" si="180"/>
        <v>0</v>
      </c>
      <c r="BJ99" s="82">
        <f t="shared" si="158"/>
        <v>0</v>
      </c>
      <c r="BK99" s="82" t="e">
        <f t="shared" si="181"/>
        <v>#DIV/0!</v>
      </c>
      <c r="BL99" s="77">
        <f t="shared" si="159"/>
        <v>0</v>
      </c>
      <c r="BM99" s="108">
        <f t="shared" si="160"/>
        <v>0</v>
      </c>
      <c r="BN99" s="107">
        <f t="shared" si="161"/>
        <v>0</v>
      </c>
      <c r="BO99" s="107">
        <f t="shared" si="162"/>
        <v>0</v>
      </c>
      <c r="BP99" s="107">
        <f t="shared" si="163"/>
        <v>0</v>
      </c>
      <c r="BQ99" s="109">
        <f t="shared" si="182"/>
        <v>0</v>
      </c>
      <c r="BR99" s="109">
        <f t="shared" si="183"/>
        <v>0</v>
      </c>
      <c r="BS99" s="109">
        <f t="shared" si="184"/>
        <v>0</v>
      </c>
      <c r="BU99" s="82">
        <f t="shared" si="164"/>
        <v>0</v>
      </c>
      <c r="BV99" s="82" t="e">
        <f t="shared" si="185"/>
        <v>#DIV/0!</v>
      </c>
      <c r="BW99" s="77">
        <f t="shared" si="165"/>
        <v>0</v>
      </c>
      <c r="BX99" s="108">
        <f t="shared" si="166"/>
        <v>0</v>
      </c>
      <c r="BY99" s="107">
        <f t="shared" si="167"/>
        <v>0</v>
      </c>
      <c r="BZ99" s="107">
        <f t="shared" si="168"/>
        <v>0</v>
      </c>
      <c r="CA99" s="107">
        <f t="shared" si="169"/>
        <v>0</v>
      </c>
      <c r="CB99" s="109">
        <f t="shared" si="186"/>
        <v>0</v>
      </c>
      <c r="CC99" s="109">
        <f t="shared" si="187"/>
        <v>0</v>
      </c>
      <c r="CD99" s="109">
        <f t="shared" si="188"/>
        <v>0</v>
      </c>
    </row>
    <row r="100" spans="1:82" x14ac:dyDescent="0.25">
      <c r="A100" s="101">
        <f t="shared" si="120"/>
        <v>38899</v>
      </c>
      <c r="B100" s="102">
        <f t="shared" si="50"/>
        <v>2.9760000000000004</v>
      </c>
      <c r="C100" s="80">
        <f t="shared" si="170"/>
        <v>0.22750000000000001</v>
      </c>
      <c r="D100" s="102">
        <f t="shared" si="121"/>
        <v>0.43</v>
      </c>
      <c r="E100" s="106">
        <f t="shared" si="122"/>
        <v>0.98</v>
      </c>
      <c r="F100" s="105">
        <f t="shared" ca="1" si="123"/>
        <v>2127</v>
      </c>
      <c r="G100" s="80" t="e">
        <f t="shared" si="124"/>
        <v>#DIV/0!</v>
      </c>
      <c r="H100" s="80" t="e">
        <f t="shared" si="125"/>
        <v>#DIV/0!</v>
      </c>
      <c r="I100" s="104">
        <f t="shared" si="126"/>
        <v>5.05</v>
      </c>
      <c r="K100" s="102">
        <f t="shared" si="127"/>
        <v>0.315</v>
      </c>
      <c r="L100" s="106">
        <f t="shared" si="128"/>
        <v>1</v>
      </c>
      <c r="M100" s="105">
        <f t="shared" ca="1" si="129"/>
        <v>2127</v>
      </c>
      <c r="N100" s="217" t="e">
        <f t="shared" si="130"/>
        <v>#DIV/0!</v>
      </c>
      <c r="O100" s="80" t="e">
        <f t="shared" si="131"/>
        <v>#DIV/0!</v>
      </c>
      <c r="P100" s="104">
        <f t="shared" si="132"/>
        <v>5.0999999999999996</v>
      </c>
      <c r="R100" s="102">
        <f t="shared" si="133"/>
        <v>2.2499999999999999E-2</v>
      </c>
      <c r="S100" s="106">
        <f t="shared" si="134"/>
        <v>1</v>
      </c>
      <c r="T100" s="105">
        <f t="shared" ca="1" si="135"/>
        <v>2127</v>
      </c>
      <c r="U100" s="217" t="e">
        <f t="shared" si="136"/>
        <v>#DIV/0!</v>
      </c>
      <c r="V100" s="80" t="e">
        <f t="shared" si="137"/>
        <v>#DIV/0!</v>
      </c>
      <c r="W100" s="104">
        <f t="shared" si="138"/>
        <v>4.8099999999999996</v>
      </c>
      <c r="X100" s="105"/>
      <c r="Y100" s="102">
        <f t="shared" si="139"/>
        <v>2.2499999999999999E-2</v>
      </c>
      <c r="Z100" s="106">
        <f t="shared" si="140"/>
        <v>1</v>
      </c>
      <c r="AA100" s="105">
        <f t="shared" ca="1" si="141"/>
        <v>2127</v>
      </c>
      <c r="AB100" s="80" t="e">
        <f t="shared" si="142"/>
        <v>#DIV/0!</v>
      </c>
      <c r="AC100" s="80" t="e">
        <f t="shared" si="143"/>
        <v>#DIV/0!</v>
      </c>
      <c r="AD100" s="104">
        <f t="shared" si="144"/>
        <v>4.8449999999999998</v>
      </c>
      <c r="AF100" s="105">
        <f t="shared" ca="1" si="171"/>
        <v>2127</v>
      </c>
      <c r="AG100" s="105">
        <f t="shared" ca="1" si="172"/>
        <v>2126</v>
      </c>
      <c r="AH100" s="80">
        <f t="shared" si="54"/>
        <v>6.9478761614621021E-2</v>
      </c>
      <c r="AI100" s="182">
        <f t="shared" si="145"/>
        <v>31</v>
      </c>
      <c r="AL100" s="105"/>
      <c r="AM100" s="82"/>
      <c r="AN100" s="82">
        <f t="shared" si="146"/>
        <v>0</v>
      </c>
      <c r="AO100" s="82" t="e">
        <f t="shared" si="173"/>
        <v>#DIV/0!</v>
      </c>
      <c r="AP100" s="77">
        <f t="shared" si="147"/>
        <v>0</v>
      </c>
      <c r="AQ100" s="108">
        <f t="shared" si="148"/>
        <v>0</v>
      </c>
      <c r="AR100" s="107">
        <f t="shared" si="149"/>
        <v>0</v>
      </c>
      <c r="AS100" s="107">
        <f t="shared" si="150"/>
        <v>0</v>
      </c>
      <c r="AT100" s="107">
        <f t="shared" si="151"/>
        <v>0</v>
      </c>
      <c r="AU100" s="109">
        <f t="shared" si="174"/>
        <v>0</v>
      </c>
      <c r="AV100" s="109">
        <f t="shared" si="175"/>
        <v>0</v>
      </c>
      <c r="AW100" s="109">
        <f t="shared" si="176"/>
        <v>0</v>
      </c>
      <c r="AY100" s="82">
        <f t="shared" si="152"/>
        <v>0</v>
      </c>
      <c r="AZ100" s="82" t="e">
        <f t="shared" si="177"/>
        <v>#DIV/0!</v>
      </c>
      <c r="BA100" s="77">
        <f t="shared" si="153"/>
        <v>0</v>
      </c>
      <c r="BB100" s="108">
        <f t="shared" si="154"/>
        <v>0</v>
      </c>
      <c r="BC100" s="107">
        <f t="shared" si="155"/>
        <v>0</v>
      </c>
      <c r="BD100" s="107">
        <f t="shared" si="156"/>
        <v>0</v>
      </c>
      <c r="BE100" s="107">
        <f t="shared" si="157"/>
        <v>0</v>
      </c>
      <c r="BF100" s="109">
        <f t="shared" si="178"/>
        <v>0</v>
      </c>
      <c r="BG100" s="109">
        <f t="shared" si="179"/>
        <v>0</v>
      </c>
      <c r="BH100" s="109">
        <f t="shared" si="180"/>
        <v>0</v>
      </c>
      <c r="BJ100" s="82">
        <f t="shared" si="158"/>
        <v>0</v>
      </c>
      <c r="BK100" s="82" t="e">
        <f t="shared" si="181"/>
        <v>#DIV/0!</v>
      </c>
      <c r="BL100" s="77">
        <f t="shared" si="159"/>
        <v>0</v>
      </c>
      <c r="BM100" s="108">
        <f t="shared" si="160"/>
        <v>0</v>
      </c>
      <c r="BN100" s="107">
        <f t="shared" si="161"/>
        <v>0</v>
      </c>
      <c r="BO100" s="107">
        <f t="shared" si="162"/>
        <v>0</v>
      </c>
      <c r="BP100" s="107">
        <f t="shared" si="163"/>
        <v>0</v>
      </c>
      <c r="BQ100" s="109">
        <f t="shared" si="182"/>
        <v>0</v>
      </c>
      <c r="BR100" s="109">
        <f t="shared" si="183"/>
        <v>0</v>
      </c>
      <c r="BS100" s="109">
        <f t="shared" si="184"/>
        <v>0</v>
      </c>
      <c r="BU100" s="82">
        <f t="shared" si="164"/>
        <v>0</v>
      </c>
      <c r="BV100" s="82" t="e">
        <f t="shared" si="185"/>
        <v>#DIV/0!</v>
      </c>
      <c r="BW100" s="77">
        <f t="shared" si="165"/>
        <v>0</v>
      </c>
      <c r="BX100" s="108">
        <f t="shared" si="166"/>
        <v>0</v>
      </c>
      <c r="BY100" s="107">
        <f t="shared" si="167"/>
        <v>0</v>
      </c>
      <c r="BZ100" s="107">
        <f t="shared" si="168"/>
        <v>0</v>
      </c>
      <c r="CA100" s="107">
        <f t="shared" si="169"/>
        <v>0</v>
      </c>
      <c r="CB100" s="109">
        <f t="shared" si="186"/>
        <v>0</v>
      </c>
      <c r="CC100" s="109">
        <f t="shared" si="187"/>
        <v>0</v>
      </c>
      <c r="CD100" s="109">
        <f t="shared" si="188"/>
        <v>0</v>
      </c>
    </row>
    <row r="101" spans="1:82" x14ac:dyDescent="0.25">
      <c r="A101" s="101">
        <f t="shared" si="120"/>
        <v>38930</v>
      </c>
      <c r="B101" s="102">
        <f t="shared" si="50"/>
        <v>2.9969999999999999</v>
      </c>
      <c r="C101" s="80">
        <f t="shared" si="170"/>
        <v>0.22750000000000001</v>
      </c>
      <c r="D101" s="102">
        <f t="shared" si="121"/>
        <v>0.495</v>
      </c>
      <c r="E101" s="106">
        <f t="shared" si="122"/>
        <v>0.98</v>
      </c>
      <c r="F101" s="105">
        <f t="shared" ca="1" si="123"/>
        <v>2156</v>
      </c>
      <c r="G101" s="80" t="e">
        <f t="shared" si="124"/>
        <v>#DIV/0!</v>
      </c>
      <c r="H101" s="80" t="e">
        <f t="shared" si="125"/>
        <v>#DIV/0!</v>
      </c>
      <c r="I101" s="104">
        <f t="shared" si="126"/>
        <v>5.05</v>
      </c>
      <c r="K101" s="102">
        <f t="shared" si="127"/>
        <v>0.315</v>
      </c>
      <c r="L101" s="106">
        <f t="shared" si="128"/>
        <v>1</v>
      </c>
      <c r="M101" s="105">
        <f t="shared" ca="1" si="129"/>
        <v>2156</v>
      </c>
      <c r="N101" s="217" t="e">
        <f t="shared" si="130"/>
        <v>#DIV/0!</v>
      </c>
      <c r="O101" s="80" t="e">
        <f t="shared" si="131"/>
        <v>#DIV/0!</v>
      </c>
      <c r="P101" s="104">
        <f t="shared" si="132"/>
        <v>5.0999999999999996</v>
      </c>
      <c r="R101" s="102">
        <f t="shared" si="133"/>
        <v>2.5000000000000001E-2</v>
      </c>
      <c r="S101" s="106">
        <f t="shared" si="134"/>
        <v>1</v>
      </c>
      <c r="T101" s="105">
        <f t="shared" ca="1" si="135"/>
        <v>2156</v>
      </c>
      <c r="U101" s="217" t="e">
        <f t="shared" si="136"/>
        <v>#DIV/0!</v>
      </c>
      <c r="V101" s="80" t="e">
        <f t="shared" si="137"/>
        <v>#DIV/0!</v>
      </c>
      <c r="W101" s="104">
        <f t="shared" si="138"/>
        <v>4.8099999999999996</v>
      </c>
      <c r="X101" s="105"/>
      <c r="Y101" s="102">
        <f t="shared" si="139"/>
        <v>2.5000000000000001E-2</v>
      </c>
      <c r="Z101" s="106">
        <f t="shared" si="140"/>
        <v>1</v>
      </c>
      <c r="AA101" s="105">
        <f t="shared" ca="1" si="141"/>
        <v>2156</v>
      </c>
      <c r="AB101" s="80" t="e">
        <f t="shared" si="142"/>
        <v>#DIV/0!</v>
      </c>
      <c r="AC101" s="80" t="e">
        <f t="shared" si="143"/>
        <v>#DIV/0!</v>
      </c>
      <c r="AD101" s="104">
        <f t="shared" si="144"/>
        <v>4.8449999999999998</v>
      </c>
      <c r="AF101" s="105">
        <f t="shared" ca="1" si="171"/>
        <v>2156</v>
      </c>
      <c r="AG101" s="105">
        <f t="shared" ca="1" si="172"/>
        <v>2155</v>
      </c>
      <c r="AH101" s="80">
        <f t="shared" si="54"/>
        <v>6.9495017989401012E-2</v>
      </c>
      <c r="AI101" s="182">
        <f t="shared" si="145"/>
        <v>31</v>
      </c>
      <c r="AL101" s="105"/>
      <c r="AM101" s="82"/>
      <c r="AN101" s="82">
        <f t="shared" si="146"/>
        <v>0</v>
      </c>
      <c r="AO101" s="82" t="e">
        <f t="shared" si="173"/>
        <v>#DIV/0!</v>
      </c>
      <c r="AP101" s="77">
        <f t="shared" si="147"/>
        <v>0</v>
      </c>
      <c r="AQ101" s="108">
        <f t="shared" si="148"/>
        <v>0</v>
      </c>
      <c r="AR101" s="107">
        <f t="shared" si="149"/>
        <v>0</v>
      </c>
      <c r="AS101" s="107">
        <f t="shared" si="150"/>
        <v>0</v>
      </c>
      <c r="AT101" s="107">
        <f t="shared" si="151"/>
        <v>0</v>
      </c>
      <c r="AU101" s="109">
        <f t="shared" si="174"/>
        <v>0</v>
      </c>
      <c r="AV101" s="109">
        <f t="shared" si="175"/>
        <v>0</v>
      </c>
      <c r="AW101" s="109">
        <f t="shared" si="176"/>
        <v>0</v>
      </c>
      <c r="AY101" s="82">
        <f t="shared" si="152"/>
        <v>0</v>
      </c>
      <c r="AZ101" s="82" t="e">
        <f t="shared" si="177"/>
        <v>#DIV/0!</v>
      </c>
      <c r="BA101" s="77">
        <f t="shared" si="153"/>
        <v>0</v>
      </c>
      <c r="BB101" s="108">
        <f t="shared" si="154"/>
        <v>0</v>
      </c>
      <c r="BC101" s="107">
        <f t="shared" si="155"/>
        <v>0</v>
      </c>
      <c r="BD101" s="107">
        <f t="shared" si="156"/>
        <v>0</v>
      </c>
      <c r="BE101" s="107">
        <f t="shared" si="157"/>
        <v>0</v>
      </c>
      <c r="BF101" s="109">
        <f t="shared" si="178"/>
        <v>0</v>
      </c>
      <c r="BG101" s="109">
        <f t="shared" si="179"/>
        <v>0</v>
      </c>
      <c r="BH101" s="109">
        <f t="shared" si="180"/>
        <v>0</v>
      </c>
      <c r="BJ101" s="82">
        <f t="shared" si="158"/>
        <v>0</v>
      </c>
      <c r="BK101" s="82" t="e">
        <f t="shared" si="181"/>
        <v>#DIV/0!</v>
      </c>
      <c r="BL101" s="77">
        <f t="shared" si="159"/>
        <v>0</v>
      </c>
      <c r="BM101" s="108">
        <f t="shared" si="160"/>
        <v>0</v>
      </c>
      <c r="BN101" s="107">
        <f t="shared" si="161"/>
        <v>0</v>
      </c>
      <c r="BO101" s="107">
        <f t="shared" si="162"/>
        <v>0</v>
      </c>
      <c r="BP101" s="107">
        <f t="shared" si="163"/>
        <v>0</v>
      </c>
      <c r="BQ101" s="109">
        <f t="shared" si="182"/>
        <v>0</v>
      </c>
      <c r="BR101" s="109">
        <f t="shared" si="183"/>
        <v>0</v>
      </c>
      <c r="BS101" s="109">
        <f t="shared" si="184"/>
        <v>0</v>
      </c>
      <c r="BU101" s="82">
        <f t="shared" si="164"/>
        <v>0</v>
      </c>
      <c r="BV101" s="82" t="e">
        <f t="shared" si="185"/>
        <v>#DIV/0!</v>
      </c>
      <c r="BW101" s="77">
        <f t="shared" si="165"/>
        <v>0</v>
      </c>
      <c r="BX101" s="108">
        <f t="shared" si="166"/>
        <v>0</v>
      </c>
      <c r="BY101" s="107">
        <f t="shared" si="167"/>
        <v>0</v>
      </c>
      <c r="BZ101" s="107">
        <f t="shared" si="168"/>
        <v>0</v>
      </c>
      <c r="CA101" s="107">
        <f t="shared" si="169"/>
        <v>0</v>
      </c>
      <c r="CB101" s="109">
        <f t="shared" si="186"/>
        <v>0</v>
      </c>
      <c r="CC101" s="109">
        <f t="shared" si="187"/>
        <v>0</v>
      </c>
      <c r="CD101" s="109">
        <f t="shared" si="188"/>
        <v>0</v>
      </c>
    </row>
    <row r="102" spans="1:82" x14ac:dyDescent="0.25">
      <c r="A102" s="101">
        <f t="shared" si="120"/>
        <v>38961</v>
      </c>
      <c r="B102" s="102">
        <f t="shared" si="50"/>
        <v>2.9840000000000004</v>
      </c>
      <c r="C102" s="80">
        <f t="shared" si="170"/>
        <v>0.22750000000000001</v>
      </c>
      <c r="D102" s="102">
        <f t="shared" si="121"/>
        <v>0.39500000000000002</v>
      </c>
      <c r="E102" s="106">
        <f t="shared" si="122"/>
        <v>0.98</v>
      </c>
      <c r="F102" s="105">
        <f t="shared" ca="1" si="123"/>
        <v>2189</v>
      </c>
      <c r="G102" s="80" t="e">
        <f t="shared" si="124"/>
        <v>#DIV/0!</v>
      </c>
      <c r="H102" s="80" t="e">
        <f t="shared" si="125"/>
        <v>#DIV/0!</v>
      </c>
      <c r="I102" s="104">
        <f t="shared" si="126"/>
        <v>5.05</v>
      </c>
      <c r="K102" s="102">
        <f t="shared" si="127"/>
        <v>0.315</v>
      </c>
      <c r="L102" s="106">
        <f t="shared" si="128"/>
        <v>1</v>
      </c>
      <c r="M102" s="105">
        <f t="shared" ca="1" si="129"/>
        <v>2189</v>
      </c>
      <c r="N102" s="217" t="e">
        <f t="shared" si="130"/>
        <v>#DIV/0!</v>
      </c>
      <c r="O102" s="80" t="e">
        <f t="shared" si="131"/>
        <v>#DIV/0!</v>
      </c>
      <c r="P102" s="104">
        <f t="shared" si="132"/>
        <v>5.0999999999999996</v>
      </c>
      <c r="R102" s="102">
        <f t="shared" si="133"/>
        <v>1.7500000000000002E-2</v>
      </c>
      <c r="S102" s="106">
        <f t="shared" si="134"/>
        <v>1</v>
      </c>
      <c r="T102" s="105">
        <f t="shared" ca="1" si="135"/>
        <v>2189</v>
      </c>
      <c r="U102" s="217" t="e">
        <f t="shared" si="136"/>
        <v>#DIV/0!</v>
      </c>
      <c r="V102" s="80" t="e">
        <f t="shared" si="137"/>
        <v>#DIV/0!</v>
      </c>
      <c r="W102" s="104">
        <f t="shared" si="138"/>
        <v>4.8099999999999996</v>
      </c>
      <c r="X102" s="105"/>
      <c r="Y102" s="102">
        <f t="shared" si="139"/>
        <v>1.7500000000000002E-2</v>
      </c>
      <c r="Z102" s="106">
        <f t="shared" si="140"/>
        <v>1</v>
      </c>
      <c r="AA102" s="105">
        <f t="shared" ca="1" si="141"/>
        <v>2189</v>
      </c>
      <c r="AB102" s="80" t="e">
        <f t="shared" si="142"/>
        <v>#DIV/0!</v>
      </c>
      <c r="AC102" s="80" t="e">
        <f t="shared" si="143"/>
        <v>#DIV/0!</v>
      </c>
      <c r="AD102" s="104">
        <f t="shared" si="144"/>
        <v>4.8449999999999998</v>
      </c>
      <c r="AF102" s="105">
        <f t="shared" ca="1" si="171"/>
        <v>2189</v>
      </c>
      <c r="AG102" s="105">
        <f t="shared" ca="1" si="172"/>
        <v>2188</v>
      </c>
      <c r="AH102" s="80">
        <f t="shared" si="54"/>
        <v>6.951127436426903E-2</v>
      </c>
      <c r="AI102" s="182">
        <f t="shared" si="145"/>
        <v>30</v>
      </c>
      <c r="AL102" s="105"/>
      <c r="AM102" s="82"/>
      <c r="AN102" s="82">
        <f t="shared" si="146"/>
        <v>0</v>
      </c>
      <c r="AO102" s="82" t="e">
        <f t="shared" si="173"/>
        <v>#DIV/0!</v>
      </c>
      <c r="AP102" s="77">
        <f t="shared" si="147"/>
        <v>0</v>
      </c>
      <c r="AQ102" s="108">
        <f t="shared" si="148"/>
        <v>0</v>
      </c>
      <c r="AR102" s="107">
        <f t="shared" si="149"/>
        <v>0</v>
      </c>
      <c r="AS102" s="107">
        <f t="shared" si="150"/>
        <v>0</v>
      </c>
      <c r="AT102" s="107">
        <f t="shared" si="151"/>
        <v>0</v>
      </c>
      <c r="AU102" s="109">
        <f t="shared" si="174"/>
        <v>0</v>
      </c>
      <c r="AV102" s="109">
        <f t="shared" si="175"/>
        <v>0</v>
      </c>
      <c r="AW102" s="109">
        <f t="shared" si="176"/>
        <v>0</v>
      </c>
      <c r="AY102" s="82">
        <f t="shared" si="152"/>
        <v>0</v>
      </c>
      <c r="AZ102" s="82" t="e">
        <f t="shared" si="177"/>
        <v>#DIV/0!</v>
      </c>
      <c r="BA102" s="77">
        <f t="shared" si="153"/>
        <v>0</v>
      </c>
      <c r="BB102" s="108">
        <f t="shared" si="154"/>
        <v>0</v>
      </c>
      <c r="BC102" s="107">
        <f t="shared" si="155"/>
        <v>0</v>
      </c>
      <c r="BD102" s="107">
        <f t="shared" si="156"/>
        <v>0</v>
      </c>
      <c r="BE102" s="107">
        <f t="shared" si="157"/>
        <v>0</v>
      </c>
      <c r="BF102" s="109">
        <f t="shared" si="178"/>
        <v>0</v>
      </c>
      <c r="BG102" s="109">
        <f t="shared" si="179"/>
        <v>0</v>
      </c>
      <c r="BH102" s="109">
        <f t="shared" si="180"/>
        <v>0</v>
      </c>
      <c r="BJ102" s="82">
        <f t="shared" si="158"/>
        <v>0</v>
      </c>
      <c r="BK102" s="82" t="e">
        <f t="shared" si="181"/>
        <v>#DIV/0!</v>
      </c>
      <c r="BL102" s="77">
        <f t="shared" si="159"/>
        <v>0</v>
      </c>
      <c r="BM102" s="108">
        <f t="shared" si="160"/>
        <v>0</v>
      </c>
      <c r="BN102" s="107">
        <f t="shared" si="161"/>
        <v>0</v>
      </c>
      <c r="BO102" s="107">
        <f t="shared" si="162"/>
        <v>0</v>
      </c>
      <c r="BP102" s="107">
        <f t="shared" si="163"/>
        <v>0</v>
      </c>
      <c r="BQ102" s="109">
        <f t="shared" si="182"/>
        <v>0</v>
      </c>
      <c r="BR102" s="109">
        <f t="shared" si="183"/>
        <v>0</v>
      </c>
      <c r="BS102" s="109">
        <f t="shared" si="184"/>
        <v>0</v>
      </c>
      <c r="BU102" s="82">
        <f t="shared" si="164"/>
        <v>0</v>
      </c>
      <c r="BV102" s="82" t="e">
        <f t="shared" si="185"/>
        <v>#DIV/0!</v>
      </c>
      <c r="BW102" s="77">
        <f t="shared" si="165"/>
        <v>0</v>
      </c>
      <c r="BX102" s="108">
        <f t="shared" si="166"/>
        <v>0</v>
      </c>
      <c r="BY102" s="107">
        <f t="shared" si="167"/>
        <v>0</v>
      </c>
      <c r="BZ102" s="107">
        <f t="shared" si="168"/>
        <v>0</v>
      </c>
      <c r="CA102" s="107">
        <f t="shared" si="169"/>
        <v>0</v>
      </c>
      <c r="CB102" s="109">
        <f t="shared" si="186"/>
        <v>0</v>
      </c>
      <c r="CC102" s="109">
        <f t="shared" si="187"/>
        <v>0</v>
      </c>
      <c r="CD102" s="109">
        <f t="shared" si="188"/>
        <v>0</v>
      </c>
    </row>
    <row r="103" spans="1:82" x14ac:dyDescent="0.25">
      <c r="A103" s="101">
        <f t="shared" si="120"/>
        <v>38991</v>
      </c>
      <c r="B103" s="102">
        <f t="shared" si="50"/>
        <v>2.9860000000000002</v>
      </c>
      <c r="C103" s="80">
        <f t="shared" si="170"/>
        <v>0.22750000000000001</v>
      </c>
      <c r="D103" s="102">
        <f t="shared" si="121"/>
        <v>0.46100000000000002</v>
      </c>
      <c r="E103" s="106">
        <f t="shared" si="122"/>
        <v>0.98</v>
      </c>
      <c r="F103" s="105">
        <f t="shared" ca="1" si="123"/>
        <v>2218</v>
      </c>
      <c r="G103" s="80" t="e">
        <f t="shared" si="124"/>
        <v>#DIV/0!</v>
      </c>
      <c r="H103" s="80" t="e">
        <f t="shared" si="125"/>
        <v>#DIV/0!</v>
      </c>
      <c r="I103" s="104">
        <f t="shared" si="126"/>
        <v>5.05</v>
      </c>
      <c r="K103" s="102">
        <f t="shared" si="127"/>
        <v>0.315</v>
      </c>
      <c r="L103" s="106">
        <f t="shared" si="128"/>
        <v>1</v>
      </c>
      <c r="M103" s="105">
        <f t="shared" ca="1" si="129"/>
        <v>2218</v>
      </c>
      <c r="N103" s="217" t="e">
        <f t="shared" si="130"/>
        <v>#DIV/0!</v>
      </c>
      <c r="O103" s="80" t="e">
        <f t="shared" si="131"/>
        <v>#DIV/0!</v>
      </c>
      <c r="P103" s="104">
        <f t="shared" si="132"/>
        <v>5.0999999999999996</v>
      </c>
      <c r="R103" s="102">
        <f t="shared" si="133"/>
        <v>7.4999999999999997E-3</v>
      </c>
      <c r="S103" s="106">
        <f t="shared" si="134"/>
        <v>1</v>
      </c>
      <c r="T103" s="105">
        <f t="shared" ca="1" si="135"/>
        <v>2218</v>
      </c>
      <c r="U103" s="217" t="e">
        <f t="shared" si="136"/>
        <v>#DIV/0!</v>
      </c>
      <c r="V103" s="80" t="e">
        <f t="shared" si="137"/>
        <v>#DIV/0!</v>
      </c>
      <c r="W103" s="104">
        <f t="shared" si="138"/>
        <v>4.8099999999999996</v>
      </c>
      <c r="X103" s="105"/>
      <c r="Y103" s="102">
        <f t="shared" si="139"/>
        <v>7.4999999999999997E-3</v>
      </c>
      <c r="Z103" s="106">
        <f t="shared" si="140"/>
        <v>1</v>
      </c>
      <c r="AA103" s="105">
        <f t="shared" ca="1" si="141"/>
        <v>2218</v>
      </c>
      <c r="AB103" s="80" t="e">
        <f t="shared" si="142"/>
        <v>#DIV/0!</v>
      </c>
      <c r="AC103" s="80" t="e">
        <f t="shared" si="143"/>
        <v>#DIV/0!</v>
      </c>
      <c r="AD103" s="104">
        <f t="shared" si="144"/>
        <v>4.8449999999999998</v>
      </c>
      <c r="AF103" s="105">
        <f t="shared" ca="1" si="171"/>
        <v>2218</v>
      </c>
      <c r="AG103" s="105">
        <f t="shared" ca="1" si="172"/>
        <v>2217</v>
      </c>
      <c r="AH103" s="80">
        <f t="shared" si="54"/>
        <v>6.9527006340030006E-2</v>
      </c>
      <c r="AI103" s="182">
        <f t="shared" si="145"/>
        <v>31</v>
      </c>
      <c r="AL103" s="105"/>
      <c r="AM103" s="82"/>
      <c r="AN103" s="82">
        <f t="shared" si="146"/>
        <v>0</v>
      </c>
      <c r="AO103" s="82" t="e">
        <f t="shared" si="173"/>
        <v>#DIV/0!</v>
      </c>
      <c r="AP103" s="77">
        <f t="shared" si="147"/>
        <v>0</v>
      </c>
      <c r="AQ103" s="108">
        <f t="shared" si="148"/>
        <v>0</v>
      </c>
      <c r="AR103" s="107">
        <f t="shared" si="149"/>
        <v>0</v>
      </c>
      <c r="AS103" s="107">
        <f t="shared" si="150"/>
        <v>0</v>
      </c>
      <c r="AT103" s="107">
        <f t="shared" si="151"/>
        <v>0</v>
      </c>
      <c r="AU103" s="109">
        <f t="shared" si="174"/>
        <v>0</v>
      </c>
      <c r="AV103" s="109">
        <f t="shared" si="175"/>
        <v>0</v>
      </c>
      <c r="AW103" s="109">
        <f t="shared" si="176"/>
        <v>0</v>
      </c>
      <c r="AY103" s="82">
        <f t="shared" si="152"/>
        <v>0</v>
      </c>
      <c r="AZ103" s="82" t="e">
        <f t="shared" si="177"/>
        <v>#DIV/0!</v>
      </c>
      <c r="BA103" s="77">
        <f t="shared" si="153"/>
        <v>0</v>
      </c>
      <c r="BB103" s="108">
        <f t="shared" si="154"/>
        <v>0</v>
      </c>
      <c r="BC103" s="107">
        <f t="shared" si="155"/>
        <v>0</v>
      </c>
      <c r="BD103" s="107">
        <f t="shared" si="156"/>
        <v>0</v>
      </c>
      <c r="BE103" s="107">
        <f t="shared" si="157"/>
        <v>0</v>
      </c>
      <c r="BF103" s="109">
        <f t="shared" si="178"/>
        <v>0</v>
      </c>
      <c r="BG103" s="109">
        <f t="shared" si="179"/>
        <v>0</v>
      </c>
      <c r="BH103" s="109">
        <f t="shared" si="180"/>
        <v>0</v>
      </c>
      <c r="BJ103" s="82">
        <f t="shared" si="158"/>
        <v>0</v>
      </c>
      <c r="BK103" s="82" t="e">
        <f t="shared" si="181"/>
        <v>#DIV/0!</v>
      </c>
      <c r="BL103" s="77">
        <f t="shared" si="159"/>
        <v>0</v>
      </c>
      <c r="BM103" s="108">
        <f t="shared" si="160"/>
        <v>0</v>
      </c>
      <c r="BN103" s="107">
        <f t="shared" si="161"/>
        <v>0</v>
      </c>
      <c r="BO103" s="107">
        <f t="shared" si="162"/>
        <v>0</v>
      </c>
      <c r="BP103" s="107">
        <f t="shared" si="163"/>
        <v>0</v>
      </c>
      <c r="BQ103" s="109">
        <f t="shared" si="182"/>
        <v>0</v>
      </c>
      <c r="BR103" s="109">
        <f t="shared" si="183"/>
        <v>0</v>
      </c>
      <c r="BS103" s="109">
        <f t="shared" si="184"/>
        <v>0</v>
      </c>
      <c r="BU103" s="82">
        <f t="shared" si="164"/>
        <v>0</v>
      </c>
      <c r="BV103" s="82" t="e">
        <f t="shared" si="185"/>
        <v>#DIV/0!</v>
      </c>
      <c r="BW103" s="77">
        <f t="shared" si="165"/>
        <v>0</v>
      </c>
      <c r="BX103" s="108">
        <f t="shared" si="166"/>
        <v>0</v>
      </c>
      <c r="BY103" s="107">
        <f t="shared" si="167"/>
        <v>0</v>
      </c>
      <c r="BZ103" s="107">
        <f t="shared" si="168"/>
        <v>0</v>
      </c>
      <c r="CA103" s="107">
        <f t="shared" si="169"/>
        <v>0</v>
      </c>
      <c r="CB103" s="109">
        <f t="shared" si="186"/>
        <v>0</v>
      </c>
      <c r="CC103" s="109">
        <f t="shared" si="187"/>
        <v>0</v>
      </c>
      <c r="CD103" s="109">
        <f t="shared" si="188"/>
        <v>0</v>
      </c>
    </row>
    <row r="104" spans="1:82" x14ac:dyDescent="0.25">
      <c r="A104" s="101">
        <f t="shared" si="120"/>
        <v>39022</v>
      </c>
      <c r="B104" s="102">
        <f t="shared" si="50"/>
        <v>3.0630000000000002</v>
      </c>
      <c r="C104" s="80">
        <f t="shared" si="170"/>
        <v>0.23</v>
      </c>
      <c r="D104" s="102">
        <f t="shared" si="121"/>
        <v>0.76749999999999996</v>
      </c>
      <c r="E104" s="106">
        <f t="shared" si="122"/>
        <v>1.1000000000000001</v>
      </c>
      <c r="F104" s="105">
        <f t="shared" ca="1" si="123"/>
        <v>2248</v>
      </c>
      <c r="G104" s="80" t="e">
        <f t="shared" si="124"/>
        <v>#DIV/0!</v>
      </c>
      <c r="H104" s="80" t="e">
        <f t="shared" si="125"/>
        <v>#DIV/0!</v>
      </c>
      <c r="I104" s="104">
        <f t="shared" si="126"/>
        <v>5.05</v>
      </c>
      <c r="K104" s="102">
        <f t="shared" si="127"/>
        <v>0.14000000000000001</v>
      </c>
      <c r="L104" s="106">
        <f t="shared" si="128"/>
        <v>1</v>
      </c>
      <c r="M104" s="105">
        <f t="shared" ca="1" si="129"/>
        <v>2248</v>
      </c>
      <c r="N104" s="217" t="e">
        <f t="shared" si="130"/>
        <v>#DIV/0!</v>
      </c>
      <c r="O104" s="80" t="e">
        <f t="shared" si="131"/>
        <v>#DIV/0!</v>
      </c>
      <c r="P104" s="104">
        <f t="shared" si="132"/>
        <v>5.0999999999999996</v>
      </c>
      <c r="R104" s="102">
        <f t="shared" si="133"/>
        <v>-3.2500000000000001E-2</v>
      </c>
      <c r="S104" s="106">
        <f t="shared" si="134"/>
        <v>1</v>
      </c>
      <c r="T104" s="105">
        <f t="shared" ca="1" si="135"/>
        <v>2248</v>
      </c>
      <c r="U104" s="217" t="e">
        <f t="shared" si="136"/>
        <v>#DIV/0!</v>
      </c>
      <c r="V104" s="80" t="e">
        <f t="shared" si="137"/>
        <v>#DIV/0!</v>
      </c>
      <c r="W104" s="104">
        <f t="shared" si="138"/>
        <v>4.8099999999999996</v>
      </c>
      <c r="X104" s="105"/>
      <c r="Y104" s="102">
        <f t="shared" si="139"/>
        <v>-3.2500000000000001E-2</v>
      </c>
      <c r="Z104" s="106">
        <f t="shared" si="140"/>
        <v>1</v>
      </c>
      <c r="AA104" s="105">
        <f t="shared" ca="1" si="141"/>
        <v>2248</v>
      </c>
      <c r="AB104" s="80" t="e">
        <f t="shared" si="142"/>
        <v>#DIV/0!</v>
      </c>
      <c r="AC104" s="80" t="e">
        <f t="shared" si="143"/>
        <v>#DIV/0!</v>
      </c>
      <c r="AD104" s="104">
        <f t="shared" si="144"/>
        <v>4.8449999999999998</v>
      </c>
      <c r="AF104" s="105">
        <f t="shared" ca="1" si="171"/>
        <v>2248</v>
      </c>
      <c r="AG104" s="105">
        <f t="shared" ca="1" si="172"/>
        <v>2247</v>
      </c>
      <c r="AH104" s="80">
        <f t="shared" si="54"/>
        <v>6.9543262715070012E-2</v>
      </c>
      <c r="AI104" s="182">
        <f t="shared" si="145"/>
        <v>30</v>
      </c>
      <c r="AL104" s="105"/>
      <c r="AM104" s="82"/>
      <c r="AN104" s="82">
        <f t="shared" si="146"/>
        <v>0</v>
      </c>
      <c r="AO104" s="82" t="e">
        <f t="shared" si="173"/>
        <v>#DIV/0!</v>
      </c>
      <c r="AP104" s="77">
        <f t="shared" si="147"/>
        <v>0</v>
      </c>
      <c r="AQ104" s="108">
        <f t="shared" si="148"/>
        <v>0</v>
      </c>
      <c r="AR104" s="107">
        <f t="shared" si="149"/>
        <v>0</v>
      </c>
      <c r="AS104" s="107">
        <f t="shared" si="150"/>
        <v>0</v>
      </c>
      <c r="AT104" s="107">
        <f t="shared" si="151"/>
        <v>0</v>
      </c>
      <c r="AU104" s="109">
        <f t="shared" si="174"/>
        <v>0</v>
      </c>
      <c r="AV104" s="109">
        <f t="shared" si="175"/>
        <v>0</v>
      </c>
      <c r="AW104" s="109">
        <f t="shared" si="176"/>
        <v>0</v>
      </c>
      <c r="AY104" s="82">
        <f t="shared" si="152"/>
        <v>0</v>
      </c>
      <c r="AZ104" s="82" t="e">
        <f t="shared" si="177"/>
        <v>#DIV/0!</v>
      </c>
      <c r="BA104" s="77">
        <f t="shared" si="153"/>
        <v>0</v>
      </c>
      <c r="BB104" s="108">
        <f t="shared" si="154"/>
        <v>0</v>
      </c>
      <c r="BC104" s="107">
        <f t="shared" si="155"/>
        <v>0</v>
      </c>
      <c r="BD104" s="107">
        <f t="shared" si="156"/>
        <v>0</v>
      </c>
      <c r="BE104" s="107">
        <f t="shared" si="157"/>
        <v>0</v>
      </c>
      <c r="BF104" s="109">
        <f t="shared" si="178"/>
        <v>0</v>
      </c>
      <c r="BG104" s="109">
        <f t="shared" si="179"/>
        <v>0</v>
      </c>
      <c r="BH104" s="109">
        <f t="shared" si="180"/>
        <v>0</v>
      </c>
      <c r="BJ104" s="82">
        <f t="shared" si="158"/>
        <v>0</v>
      </c>
      <c r="BK104" s="82" t="e">
        <f t="shared" si="181"/>
        <v>#DIV/0!</v>
      </c>
      <c r="BL104" s="77">
        <f t="shared" si="159"/>
        <v>0</v>
      </c>
      <c r="BM104" s="108">
        <f t="shared" si="160"/>
        <v>0</v>
      </c>
      <c r="BN104" s="107">
        <f t="shared" si="161"/>
        <v>0</v>
      </c>
      <c r="BO104" s="107">
        <f t="shared" si="162"/>
        <v>0</v>
      </c>
      <c r="BP104" s="107">
        <f t="shared" si="163"/>
        <v>0</v>
      </c>
      <c r="BQ104" s="109">
        <f t="shared" si="182"/>
        <v>0</v>
      </c>
      <c r="BR104" s="109">
        <f t="shared" si="183"/>
        <v>0</v>
      </c>
      <c r="BS104" s="109">
        <f t="shared" si="184"/>
        <v>0</v>
      </c>
      <c r="BU104" s="82">
        <f t="shared" si="164"/>
        <v>0</v>
      </c>
      <c r="BV104" s="82" t="e">
        <f t="shared" si="185"/>
        <v>#DIV/0!</v>
      </c>
      <c r="BW104" s="77">
        <f t="shared" si="165"/>
        <v>0</v>
      </c>
      <c r="BX104" s="108">
        <f t="shared" si="166"/>
        <v>0</v>
      </c>
      <c r="BY104" s="107">
        <f t="shared" si="167"/>
        <v>0</v>
      </c>
      <c r="BZ104" s="107">
        <f t="shared" si="168"/>
        <v>0</v>
      </c>
      <c r="CA104" s="107">
        <f t="shared" si="169"/>
        <v>0</v>
      </c>
      <c r="CB104" s="109">
        <f t="shared" si="186"/>
        <v>0</v>
      </c>
      <c r="CC104" s="109">
        <f t="shared" si="187"/>
        <v>0</v>
      </c>
      <c r="CD104" s="109">
        <f t="shared" si="188"/>
        <v>0</v>
      </c>
    </row>
    <row r="105" spans="1:82" x14ac:dyDescent="0.25">
      <c r="A105" s="101">
        <f t="shared" si="120"/>
        <v>39052</v>
      </c>
      <c r="B105" s="102">
        <f t="shared" si="50"/>
        <v>3.1360000000000001</v>
      </c>
      <c r="C105" s="80">
        <f t="shared" si="170"/>
        <v>0.24</v>
      </c>
      <c r="D105" s="102">
        <f t="shared" si="121"/>
        <v>1.19</v>
      </c>
      <c r="E105" s="106">
        <f t="shared" si="122"/>
        <v>1.1000000000000001</v>
      </c>
      <c r="F105" s="105">
        <f t="shared" ca="1" si="123"/>
        <v>2280</v>
      </c>
      <c r="G105" s="80" t="e">
        <f t="shared" si="124"/>
        <v>#DIV/0!</v>
      </c>
      <c r="H105" s="80" t="e">
        <f t="shared" si="125"/>
        <v>#DIV/0!</v>
      </c>
      <c r="I105" s="104">
        <f t="shared" si="126"/>
        <v>5.05</v>
      </c>
      <c r="K105" s="102">
        <f t="shared" si="127"/>
        <v>0.14000000000000001</v>
      </c>
      <c r="L105" s="106">
        <f t="shared" si="128"/>
        <v>1</v>
      </c>
      <c r="M105" s="105">
        <f t="shared" ca="1" si="129"/>
        <v>2280</v>
      </c>
      <c r="N105" s="217" t="e">
        <f t="shared" si="130"/>
        <v>#DIV/0!</v>
      </c>
      <c r="O105" s="80" t="e">
        <f t="shared" si="131"/>
        <v>#DIV/0!</v>
      </c>
      <c r="P105" s="104">
        <f t="shared" si="132"/>
        <v>5.0999999999999996</v>
      </c>
      <c r="R105" s="102">
        <f t="shared" si="133"/>
        <v>-5.5E-2</v>
      </c>
      <c r="S105" s="106">
        <f t="shared" si="134"/>
        <v>1</v>
      </c>
      <c r="T105" s="105">
        <f t="shared" ca="1" si="135"/>
        <v>2280</v>
      </c>
      <c r="U105" s="217" t="e">
        <f t="shared" si="136"/>
        <v>#DIV/0!</v>
      </c>
      <c r="V105" s="80" t="e">
        <f t="shared" si="137"/>
        <v>#DIV/0!</v>
      </c>
      <c r="W105" s="104">
        <f t="shared" si="138"/>
        <v>4.8099999999999996</v>
      </c>
      <c r="X105" s="105"/>
      <c r="Y105" s="102">
        <f t="shared" si="139"/>
        <v>-5.5E-2</v>
      </c>
      <c r="Z105" s="106">
        <f t="shared" si="140"/>
        <v>1</v>
      </c>
      <c r="AA105" s="105">
        <f t="shared" ca="1" si="141"/>
        <v>2280</v>
      </c>
      <c r="AB105" s="80" t="e">
        <f t="shared" si="142"/>
        <v>#DIV/0!</v>
      </c>
      <c r="AC105" s="80" t="e">
        <f t="shared" si="143"/>
        <v>#DIV/0!</v>
      </c>
      <c r="AD105" s="104">
        <f t="shared" si="144"/>
        <v>4.8449999999999998</v>
      </c>
      <c r="AF105" s="105">
        <f t="shared" ca="1" si="171"/>
        <v>2280</v>
      </c>
      <c r="AG105" s="105">
        <f t="shared" ca="1" si="172"/>
        <v>2279</v>
      </c>
      <c r="AH105" s="80">
        <f t="shared" si="54"/>
        <v>6.9558994691000006E-2</v>
      </c>
      <c r="AI105" s="182">
        <f t="shared" si="145"/>
        <v>31</v>
      </c>
      <c r="AL105" s="105"/>
      <c r="AM105" s="82"/>
      <c r="AN105" s="82">
        <f t="shared" si="146"/>
        <v>0</v>
      </c>
      <c r="AO105" s="82" t="e">
        <f t="shared" si="173"/>
        <v>#DIV/0!</v>
      </c>
      <c r="AP105" s="77">
        <f t="shared" si="147"/>
        <v>0</v>
      </c>
      <c r="AQ105" s="108">
        <f t="shared" si="148"/>
        <v>0</v>
      </c>
      <c r="AR105" s="107">
        <f t="shared" si="149"/>
        <v>0</v>
      </c>
      <c r="AS105" s="107">
        <f t="shared" si="150"/>
        <v>0</v>
      </c>
      <c r="AT105" s="107">
        <f t="shared" si="151"/>
        <v>0</v>
      </c>
      <c r="AU105" s="109">
        <f t="shared" si="174"/>
        <v>0</v>
      </c>
      <c r="AV105" s="109">
        <f t="shared" si="175"/>
        <v>0</v>
      </c>
      <c r="AW105" s="109">
        <f t="shared" si="176"/>
        <v>0</v>
      </c>
      <c r="AY105" s="82">
        <f t="shared" si="152"/>
        <v>0</v>
      </c>
      <c r="AZ105" s="82" t="e">
        <f t="shared" si="177"/>
        <v>#DIV/0!</v>
      </c>
      <c r="BA105" s="77">
        <f t="shared" si="153"/>
        <v>0</v>
      </c>
      <c r="BB105" s="108">
        <f t="shared" si="154"/>
        <v>0</v>
      </c>
      <c r="BC105" s="107">
        <f t="shared" si="155"/>
        <v>0</v>
      </c>
      <c r="BD105" s="107">
        <f t="shared" si="156"/>
        <v>0</v>
      </c>
      <c r="BE105" s="107">
        <f t="shared" si="157"/>
        <v>0</v>
      </c>
      <c r="BF105" s="109">
        <f t="shared" si="178"/>
        <v>0</v>
      </c>
      <c r="BG105" s="109">
        <f t="shared" si="179"/>
        <v>0</v>
      </c>
      <c r="BH105" s="109">
        <f t="shared" si="180"/>
        <v>0</v>
      </c>
      <c r="BJ105" s="82">
        <f t="shared" si="158"/>
        <v>0</v>
      </c>
      <c r="BK105" s="82" t="e">
        <f t="shared" si="181"/>
        <v>#DIV/0!</v>
      </c>
      <c r="BL105" s="77">
        <f t="shared" si="159"/>
        <v>0</v>
      </c>
      <c r="BM105" s="108">
        <f t="shared" si="160"/>
        <v>0</v>
      </c>
      <c r="BN105" s="107">
        <f t="shared" si="161"/>
        <v>0</v>
      </c>
      <c r="BO105" s="107">
        <f t="shared" si="162"/>
        <v>0</v>
      </c>
      <c r="BP105" s="107">
        <f t="shared" si="163"/>
        <v>0</v>
      </c>
      <c r="BQ105" s="109">
        <f t="shared" si="182"/>
        <v>0</v>
      </c>
      <c r="BR105" s="109">
        <f t="shared" si="183"/>
        <v>0</v>
      </c>
      <c r="BS105" s="109">
        <f t="shared" si="184"/>
        <v>0</v>
      </c>
      <c r="BU105" s="82">
        <f t="shared" si="164"/>
        <v>0</v>
      </c>
      <c r="BV105" s="82" t="e">
        <f t="shared" si="185"/>
        <v>#DIV/0!</v>
      </c>
      <c r="BW105" s="77">
        <f t="shared" si="165"/>
        <v>0</v>
      </c>
      <c r="BX105" s="108">
        <f t="shared" si="166"/>
        <v>0</v>
      </c>
      <c r="BY105" s="107">
        <f t="shared" si="167"/>
        <v>0</v>
      </c>
      <c r="BZ105" s="107">
        <f t="shared" si="168"/>
        <v>0</v>
      </c>
      <c r="CA105" s="107">
        <f t="shared" si="169"/>
        <v>0</v>
      </c>
      <c r="CB105" s="109">
        <f t="shared" si="186"/>
        <v>0</v>
      </c>
      <c r="CC105" s="109">
        <f t="shared" si="187"/>
        <v>0</v>
      </c>
      <c r="CD105" s="109">
        <f t="shared" si="188"/>
        <v>0</v>
      </c>
    </row>
    <row r="106" spans="1:82" x14ac:dyDescent="0.25">
      <c r="A106" s="101">
        <f t="shared" si="120"/>
        <v>39083</v>
      </c>
      <c r="B106" s="102">
        <f t="shared" si="50"/>
        <v>3.41</v>
      </c>
      <c r="C106" s="80">
        <f t="shared" si="170"/>
        <v>0.245</v>
      </c>
      <c r="D106" s="102">
        <f t="shared" si="121"/>
        <v>1.5249999999999999</v>
      </c>
      <c r="E106" s="106">
        <f t="shared" si="122"/>
        <v>1.1000000000000001</v>
      </c>
      <c r="F106" s="105">
        <f t="shared" ca="1" si="123"/>
        <v>2309</v>
      </c>
      <c r="G106" s="80" t="e">
        <f t="shared" si="124"/>
        <v>#DIV/0!</v>
      </c>
      <c r="H106" s="80" t="e">
        <f t="shared" si="125"/>
        <v>#DIV/0!</v>
      </c>
      <c r="I106" s="104">
        <f t="shared" si="126"/>
        <v>5.05</v>
      </c>
      <c r="K106" s="102">
        <f t="shared" si="127"/>
        <v>0.14000000000000001</v>
      </c>
      <c r="L106" s="106">
        <f t="shared" si="128"/>
        <v>1</v>
      </c>
      <c r="M106" s="105">
        <f t="shared" ca="1" si="129"/>
        <v>2309</v>
      </c>
      <c r="N106" s="217" t="e">
        <f t="shared" si="130"/>
        <v>#DIV/0!</v>
      </c>
      <c r="O106" s="80" t="e">
        <f t="shared" si="131"/>
        <v>#DIV/0!</v>
      </c>
      <c r="P106" s="104">
        <f t="shared" si="132"/>
        <v>5.0999999999999996</v>
      </c>
      <c r="R106" s="102">
        <f t="shared" si="133"/>
        <v>-5.7500000000000002E-2</v>
      </c>
      <c r="S106" s="106">
        <f t="shared" si="134"/>
        <v>1</v>
      </c>
      <c r="T106" s="105">
        <f t="shared" ca="1" si="135"/>
        <v>2309</v>
      </c>
      <c r="U106" s="217" t="e">
        <f t="shared" si="136"/>
        <v>#DIV/0!</v>
      </c>
      <c r="V106" s="80" t="e">
        <f t="shared" si="137"/>
        <v>#DIV/0!</v>
      </c>
      <c r="W106" s="104">
        <f t="shared" si="138"/>
        <v>4.8099999999999996</v>
      </c>
      <c r="X106" s="105"/>
      <c r="Y106" s="102">
        <f t="shared" si="139"/>
        <v>-5.7500000000000002E-2</v>
      </c>
      <c r="Z106" s="106">
        <f t="shared" si="140"/>
        <v>1</v>
      </c>
      <c r="AA106" s="105">
        <f t="shared" ca="1" si="141"/>
        <v>2309</v>
      </c>
      <c r="AB106" s="80" t="e">
        <f t="shared" si="142"/>
        <v>#DIV/0!</v>
      </c>
      <c r="AC106" s="80" t="e">
        <f t="shared" si="143"/>
        <v>#DIV/0!</v>
      </c>
      <c r="AD106" s="104">
        <f t="shared" si="144"/>
        <v>4.8449999999999998</v>
      </c>
      <c r="AF106" s="105">
        <f t="shared" ca="1" si="171"/>
        <v>2309</v>
      </c>
      <c r="AG106" s="105">
        <f t="shared" ca="1" si="172"/>
        <v>2308</v>
      </c>
      <c r="AH106" s="80">
        <f t="shared" si="54"/>
        <v>6.9575251066209015E-2</v>
      </c>
      <c r="AI106" s="182">
        <f t="shared" si="145"/>
        <v>31</v>
      </c>
      <c r="AL106" s="105"/>
      <c r="AM106" s="82"/>
      <c r="AN106" s="82">
        <f t="shared" si="146"/>
        <v>0</v>
      </c>
      <c r="AO106" s="82" t="e">
        <f t="shared" si="173"/>
        <v>#DIV/0!</v>
      </c>
      <c r="AP106" s="77">
        <f t="shared" si="147"/>
        <v>0</v>
      </c>
      <c r="AQ106" s="108">
        <f t="shared" si="148"/>
        <v>0</v>
      </c>
      <c r="AR106" s="107">
        <f t="shared" si="149"/>
        <v>0</v>
      </c>
      <c r="AS106" s="107">
        <f t="shared" si="150"/>
        <v>0</v>
      </c>
      <c r="AT106" s="107">
        <f t="shared" si="151"/>
        <v>0</v>
      </c>
      <c r="AU106" s="109">
        <f t="shared" si="174"/>
        <v>0</v>
      </c>
      <c r="AV106" s="109">
        <f t="shared" si="175"/>
        <v>0</v>
      </c>
      <c r="AW106" s="109">
        <f t="shared" si="176"/>
        <v>0</v>
      </c>
      <c r="AY106" s="82">
        <f t="shared" si="152"/>
        <v>0</v>
      </c>
      <c r="AZ106" s="82" t="e">
        <f t="shared" si="177"/>
        <v>#DIV/0!</v>
      </c>
      <c r="BA106" s="77">
        <f t="shared" si="153"/>
        <v>0</v>
      </c>
      <c r="BB106" s="108">
        <f t="shared" si="154"/>
        <v>0</v>
      </c>
      <c r="BC106" s="107">
        <f t="shared" si="155"/>
        <v>0</v>
      </c>
      <c r="BD106" s="107">
        <f t="shared" si="156"/>
        <v>0</v>
      </c>
      <c r="BE106" s="107">
        <f t="shared" si="157"/>
        <v>0</v>
      </c>
      <c r="BF106" s="109">
        <f t="shared" si="178"/>
        <v>0</v>
      </c>
      <c r="BG106" s="109">
        <f t="shared" si="179"/>
        <v>0</v>
      </c>
      <c r="BH106" s="109">
        <f t="shared" si="180"/>
        <v>0</v>
      </c>
      <c r="BJ106" s="82">
        <f t="shared" si="158"/>
        <v>0</v>
      </c>
      <c r="BK106" s="82" t="e">
        <f t="shared" si="181"/>
        <v>#DIV/0!</v>
      </c>
      <c r="BL106" s="77">
        <f t="shared" si="159"/>
        <v>0</v>
      </c>
      <c r="BM106" s="108">
        <f t="shared" si="160"/>
        <v>0</v>
      </c>
      <c r="BN106" s="107">
        <f t="shared" si="161"/>
        <v>0</v>
      </c>
      <c r="BO106" s="107">
        <f t="shared" si="162"/>
        <v>0</v>
      </c>
      <c r="BP106" s="107">
        <f t="shared" si="163"/>
        <v>0</v>
      </c>
      <c r="BQ106" s="109">
        <f t="shared" si="182"/>
        <v>0</v>
      </c>
      <c r="BR106" s="109">
        <f t="shared" si="183"/>
        <v>0</v>
      </c>
      <c r="BS106" s="109">
        <f t="shared" si="184"/>
        <v>0</v>
      </c>
      <c r="BU106" s="82">
        <f t="shared" si="164"/>
        <v>0</v>
      </c>
      <c r="BV106" s="82" t="e">
        <f t="shared" si="185"/>
        <v>#DIV/0!</v>
      </c>
      <c r="BW106" s="77">
        <f t="shared" si="165"/>
        <v>0</v>
      </c>
      <c r="BX106" s="108">
        <f t="shared" si="166"/>
        <v>0</v>
      </c>
      <c r="BY106" s="107">
        <f t="shared" si="167"/>
        <v>0</v>
      </c>
      <c r="BZ106" s="107">
        <f t="shared" si="168"/>
        <v>0</v>
      </c>
      <c r="CA106" s="107">
        <f t="shared" si="169"/>
        <v>0</v>
      </c>
      <c r="CB106" s="109">
        <f t="shared" si="186"/>
        <v>0</v>
      </c>
      <c r="CC106" s="109">
        <f t="shared" si="187"/>
        <v>0</v>
      </c>
      <c r="CD106" s="109">
        <f t="shared" si="188"/>
        <v>0</v>
      </c>
    </row>
    <row r="107" spans="1:82" x14ac:dyDescent="0.25">
      <c r="A107" s="101">
        <f t="shared" si="120"/>
        <v>39114</v>
      </c>
      <c r="B107" s="102">
        <f t="shared" si="50"/>
        <v>3.2840000000000003</v>
      </c>
      <c r="C107" s="80">
        <f t="shared" si="170"/>
        <v>0.23</v>
      </c>
      <c r="D107" s="102">
        <f t="shared" si="121"/>
        <v>1.4550000000000001</v>
      </c>
      <c r="E107" s="106">
        <f t="shared" si="122"/>
        <v>1.1000000000000001</v>
      </c>
      <c r="F107" s="105">
        <f t="shared" ca="1" si="123"/>
        <v>2342</v>
      </c>
      <c r="G107" s="80" t="e">
        <f t="shared" si="124"/>
        <v>#DIV/0!</v>
      </c>
      <c r="H107" s="80" t="e">
        <f t="shared" si="125"/>
        <v>#DIV/0!</v>
      </c>
      <c r="I107" s="104">
        <f t="shared" si="126"/>
        <v>5.05</v>
      </c>
      <c r="K107" s="102">
        <f t="shared" si="127"/>
        <v>0.14000000000000001</v>
      </c>
      <c r="L107" s="106">
        <f t="shared" si="128"/>
        <v>1</v>
      </c>
      <c r="M107" s="105">
        <f t="shared" ca="1" si="129"/>
        <v>2342</v>
      </c>
      <c r="N107" s="217" t="e">
        <f t="shared" si="130"/>
        <v>#DIV/0!</v>
      </c>
      <c r="O107" s="80" t="e">
        <f t="shared" si="131"/>
        <v>#DIV/0!</v>
      </c>
      <c r="P107" s="104">
        <f t="shared" si="132"/>
        <v>5.0999999999999996</v>
      </c>
      <c r="R107" s="102">
        <f t="shared" si="133"/>
        <v>-0.04</v>
      </c>
      <c r="S107" s="106">
        <f t="shared" si="134"/>
        <v>1</v>
      </c>
      <c r="T107" s="105">
        <f t="shared" ca="1" si="135"/>
        <v>2342</v>
      </c>
      <c r="U107" s="217" t="e">
        <f t="shared" si="136"/>
        <v>#DIV/0!</v>
      </c>
      <c r="V107" s="80" t="e">
        <f t="shared" si="137"/>
        <v>#DIV/0!</v>
      </c>
      <c r="W107" s="104">
        <f t="shared" si="138"/>
        <v>4.8099999999999996</v>
      </c>
      <c r="X107" s="105"/>
      <c r="Y107" s="102">
        <f t="shared" si="139"/>
        <v>-0.04</v>
      </c>
      <c r="Z107" s="106">
        <f t="shared" si="140"/>
        <v>1</v>
      </c>
      <c r="AA107" s="105">
        <f t="shared" ca="1" si="141"/>
        <v>2342</v>
      </c>
      <c r="AB107" s="80" t="e">
        <f t="shared" si="142"/>
        <v>#DIV/0!</v>
      </c>
      <c r="AC107" s="80" t="e">
        <f t="shared" si="143"/>
        <v>#DIV/0!</v>
      </c>
      <c r="AD107" s="104">
        <f t="shared" si="144"/>
        <v>4.8449999999999998</v>
      </c>
      <c r="AF107" s="105">
        <f t="shared" ca="1" si="171"/>
        <v>2342</v>
      </c>
      <c r="AG107" s="105">
        <f t="shared" ca="1" si="172"/>
        <v>2339</v>
      </c>
      <c r="AH107" s="80">
        <f t="shared" si="54"/>
        <v>6.9591507441507008E-2</v>
      </c>
      <c r="AI107" s="182">
        <f t="shared" si="145"/>
        <v>28</v>
      </c>
      <c r="AL107" s="105"/>
      <c r="AM107" s="82"/>
      <c r="AN107" s="82">
        <f t="shared" si="146"/>
        <v>0</v>
      </c>
      <c r="AO107" s="82" t="e">
        <f t="shared" si="173"/>
        <v>#DIV/0!</v>
      </c>
      <c r="AP107" s="77">
        <f t="shared" si="147"/>
        <v>0</v>
      </c>
      <c r="AQ107" s="108">
        <f t="shared" si="148"/>
        <v>0</v>
      </c>
      <c r="AR107" s="107">
        <f t="shared" si="149"/>
        <v>0</v>
      </c>
      <c r="AS107" s="107">
        <f t="shared" si="150"/>
        <v>0</v>
      </c>
      <c r="AT107" s="107">
        <f t="shared" si="151"/>
        <v>0</v>
      </c>
      <c r="AU107" s="109">
        <f t="shared" si="174"/>
        <v>0</v>
      </c>
      <c r="AV107" s="109">
        <f t="shared" si="175"/>
        <v>0</v>
      </c>
      <c r="AW107" s="109">
        <f t="shared" si="176"/>
        <v>0</v>
      </c>
      <c r="AY107" s="82">
        <f t="shared" si="152"/>
        <v>0</v>
      </c>
      <c r="AZ107" s="82" t="e">
        <f t="shared" si="177"/>
        <v>#DIV/0!</v>
      </c>
      <c r="BA107" s="77">
        <f t="shared" si="153"/>
        <v>0</v>
      </c>
      <c r="BB107" s="108">
        <f t="shared" si="154"/>
        <v>0</v>
      </c>
      <c r="BC107" s="107">
        <f t="shared" si="155"/>
        <v>0</v>
      </c>
      <c r="BD107" s="107">
        <f t="shared" si="156"/>
        <v>0</v>
      </c>
      <c r="BE107" s="107">
        <f t="shared" si="157"/>
        <v>0</v>
      </c>
      <c r="BF107" s="109">
        <f t="shared" si="178"/>
        <v>0</v>
      </c>
      <c r="BG107" s="109">
        <f t="shared" si="179"/>
        <v>0</v>
      </c>
      <c r="BH107" s="109">
        <f t="shared" si="180"/>
        <v>0</v>
      </c>
      <c r="BJ107" s="82">
        <f t="shared" si="158"/>
        <v>0</v>
      </c>
      <c r="BK107" s="82" t="e">
        <f t="shared" si="181"/>
        <v>#DIV/0!</v>
      </c>
      <c r="BL107" s="77">
        <f t="shared" si="159"/>
        <v>0</v>
      </c>
      <c r="BM107" s="108">
        <f t="shared" si="160"/>
        <v>0</v>
      </c>
      <c r="BN107" s="107">
        <f t="shared" si="161"/>
        <v>0</v>
      </c>
      <c r="BO107" s="107">
        <f t="shared" si="162"/>
        <v>0</v>
      </c>
      <c r="BP107" s="107">
        <f t="shared" si="163"/>
        <v>0</v>
      </c>
      <c r="BQ107" s="109">
        <f t="shared" si="182"/>
        <v>0</v>
      </c>
      <c r="BR107" s="109">
        <f t="shared" si="183"/>
        <v>0</v>
      </c>
      <c r="BS107" s="109">
        <f t="shared" si="184"/>
        <v>0</v>
      </c>
      <c r="BU107" s="82">
        <f t="shared" si="164"/>
        <v>0</v>
      </c>
      <c r="BV107" s="82" t="e">
        <f t="shared" si="185"/>
        <v>#DIV/0!</v>
      </c>
      <c r="BW107" s="77">
        <f t="shared" si="165"/>
        <v>0</v>
      </c>
      <c r="BX107" s="108">
        <f t="shared" si="166"/>
        <v>0</v>
      </c>
      <c r="BY107" s="107">
        <f t="shared" si="167"/>
        <v>0</v>
      </c>
      <c r="BZ107" s="107">
        <f t="shared" si="168"/>
        <v>0</v>
      </c>
      <c r="CA107" s="107">
        <f t="shared" si="169"/>
        <v>0</v>
      </c>
      <c r="CB107" s="109">
        <f t="shared" si="186"/>
        <v>0</v>
      </c>
      <c r="CC107" s="109">
        <f t="shared" si="187"/>
        <v>0</v>
      </c>
      <c r="CD107" s="109">
        <f t="shared" si="188"/>
        <v>0</v>
      </c>
    </row>
    <row r="108" spans="1:82" x14ac:dyDescent="0.25">
      <c r="A108" s="101">
        <f>DATE(YEAR(A107),MONTH(A107)+1,1)</f>
        <v>39142</v>
      </c>
      <c r="B108" s="102">
        <f t="shared" si="50"/>
        <v>3.1260000000000003</v>
      </c>
      <c r="C108" s="80">
        <f t="shared" si="170"/>
        <v>0.22</v>
      </c>
      <c r="D108" s="102">
        <f t="shared" si="121"/>
        <v>0.83499999999999996</v>
      </c>
      <c r="E108" s="106">
        <f t="shared" si="122"/>
        <v>1.1000000000000001</v>
      </c>
      <c r="F108" s="105">
        <f t="shared" ca="1" si="123"/>
        <v>2370</v>
      </c>
      <c r="G108" s="80" t="e">
        <f t="shared" si="124"/>
        <v>#DIV/0!</v>
      </c>
      <c r="H108" s="80" t="e">
        <f t="shared" si="125"/>
        <v>#DIV/0!</v>
      </c>
      <c r="I108" s="104">
        <f t="shared" si="126"/>
        <v>5.05</v>
      </c>
      <c r="K108" s="102">
        <f t="shared" si="127"/>
        <v>0.14000000000000001</v>
      </c>
      <c r="L108" s="106">
        <f t="shared" si="128"/>
        <v>1</v>
      </c>
      <c r="M108" s="105">
        <f t="shared" ca="1" si="129"/>
        <v>2370</v>
      </c>
      <c r="N108" s="217" t="e">
        <f t="shared" si="130"/>
        <v>#DIV/0!</v>
      </c>
      <c r="O108" s="80" t="e">
        <f t="shared" si="131"/>
        <v>#DIV/0!</v>
      </c>
      <c r="P108" s="104">
        <f t="shared" si="132"/>
        <v>5.0999999999999996</v>
      </c>
      <c r="R108" s="102">
        <f t="shared" si="133"/>
        <v>-2.75E-2</v>
      </c>
      <c r="S108" s="106">
        <f t="shared" si="134"/>
        <v>1</v>
      </c>
      <c r="T108" s="105">
        <f t="shared" ca="1" si="135"/>
        <v>2370</v>
      </c>
      <c r="U108" s="217" t="e">
        <f t="shared" si="136"/>
        <v>#DIV/0!</v>
      </c>
      <c r="V108" s="80" t="e">
        <f t="shared" si="137"/>
        <v>#DIV/0!</v>
      </c>
      <c r="W108" s="104">
        <f t="shared" si="138"/>
        <v>4.8099999999999996</v>
      </c>
      <c r="X108" s="105"/>
      <c r="Y108" s="102">
        <f t="shared" si="139"/>
        <v>-2.75E-2</v>
      </c>
      <c r="Z108" s="106">
        <f t="shared" si="140"/>
        <v>1</v>
      </c>
      <c r="AA108" s="105">
        <f t="shared" ca="1" si="141"/>
        <v>2370</v>
      </c>
      <c r="AB108" s="80" t="e">
        <f t="shared" si="142"/>
        <v>#DIV/0!</v>
      </c>
      <c r="AC108" s="80" t="e">
        <f t="shared" si="143"/>
        <v>#DIV/0!</v>
      </c>
      <c r="AD108" s="104">
        <f t="shared" si="144"/>
        <v>4.8449999999999998</v>
      </c>
      <c r="AF108" s="105">
        <f t="shared" ca="1" si="171"/>
        <v>2370</v>
      </c>
      <c r="AG108" s="105">
        <f t="shared" ca="1" si="172"/>
        <v>2367</v>
      </c>
      <c r="AH108" s="80">
        <f t="shared" si="54"/>
        <v>6.9606190619271008E-2</v>
      </c>
      <c r="AI108" s="182">
        <f t="shared" si="145"/>
        <v>31</v>
      </c>
      <c r="AL108" s="105"/>
      <c r="AM108" s="82"/>
      <c r="AN108" s="82">
        <f t="shared" si="146"/>
        <v>0</v>
      </c>
      <c r="AO108" s="82" t="e">
        <f t="shared" si="173"/>
        <v>#DIV/0!</v>
      </c>
      <c r="AP108" s="77">
        <f t="shared" si="147"/>
        <v>0</v>
      </c>
      <c r="AQ108" s="108">
        <f t="shared" si="148"/>
        <v>0</v>
      </c>
      <c r="AR108" s="107">
        <f t="shared" si="149"/>
        <v>0</v>
      </c>
      <c r="AS108" s="107">
        <f t="shared" si="150"/>
        <v>0</v>
      </c>
      <c r="AT108" s="107">
        <f t="shared" si="151"/>
        <v>0</v>
      </c>
      <c r="AU108" s="109">
        <f t="shared" si="174"/>
        <v>0</v>
      </c>
      <c r="AV108" s="109">
        <f t="shared" si="175"/>
        <v>0</v>
      </c>
      <c r="AW108" s="109">
        <f t="shared" si="176"/>
        <v>0</v>
      </c>
      <c r="AY108" s="82">
        <f t="shared" si="152"/>
        <v>0</v>
      </c>
      <c r="AZ108" s="82" t="e">
        <f t="shared" si="177"/>
        <v>#DIV/0!</v>
      </c>
      <c r="BA108" s="77">
        <f t="shared" si="153"/>
        <v>0</v>
      </c>
      <c r="BB108" s="108">
        <f t="shared" si="154"/>
        <v>0</v>
      </c>
      <c r="BC108" s="107">
        <f t="shared" si="155"/>
        <v>0</v>
      </c>
      <c r="BD108" s="107">
        <f t="shared" si="156"/>
        <v>0</v>
      </c>
      <c r="BE108" s="107">
        <f t="shared" si="157"/>
        <v>0</v>
      </c>
      <c r="BF108" s="109">
        <f t="shared" si="178"/>
        <v>0</v>
      </c>
      <c r="BG108" s="109">
        <f t="shared" si="179"/>
        <v>0</v>
      </c>
      <c r="BH108" s="109">
        <f t="shared" si="180"/>
        <v>0</v>
      </c>
      <c r="BJ108" s="82">
        <f t="shared" si="158"/>
        <v>0</v>
      </c>
      <c r="BK108" s="82" t="e">
        <f t="shared" si="181"/>
        <v>#DIV/0!</v>
      </c>
      <c r="BL108" s="77">
        <f t="shared" si="159"/>
        <v>0</v>
      </c>
      <c r="BM108" s="108">
        <f t="shared" si="160"/>
        <v>0</v>
      </c>
      <c r="BN108" s="107">
        <f t="shared" si="161"/>
        <v>0</v>
      </c>
      <c r="BO108" s="107">
        <f t="shared" si="162"/>
        <v>0</v>
      </c>
      <c r="BP108" s="107">
        <f t="shared" si="163"/>
        <v>0</v>
      </c>
      <c r="BQ108" s="109">
        <f t="shared" si="182"/>
        <v>0</v>
      </c>
      <c r="BR108" s="109">
        <f t="shared" si="183"/>
        <v>0</v>
      </c>
      <c r="BS108" s="109">
        <f t="shared" si="184"/>
        <v>0</v>
      </c>
      <c r="BU108" s="82">
        <f t="shared" si="164"/>
        <v>0</v>
      </c>
      <c r="BV108" s="82" t="e">
        <f t="shared" si="185"/>
        <v>#DIV/0!</v>
      </c>
      <c r="BW108" s="77">
        <f t="shared" si="165"/>
        <v>0</v>
      </c>
      <c r="BX108" s="108">
        <f t="shared" si="166"/>
        <v>0</v>
      </c>
      <c r="BY108" s="107">
        <f t="shared" si="167"/>
        <v>0</v>
      </c>
      <c r="BZ108" s="107">
        <f t="shared" si="168"/>
        <v>0</v>
      </c>
      <c r="CA108" s="107">
        <f t="shared" si="169"/>
        <v>0</v>
      </c>
      <c r="CB108" s="109">
        <f t="shared" si="186"/>
        <v>0</v>
      </c>
      <c r="CC108" s="109">
        <f t="shared" si="187"/>
        <v>0</v>
      </c>
      <c r="CD108" s="109">
        <f t="shared" si="188"/>
        <v>0</v>
      </c>
    </row>
    <row r="109" spans="1:82" x14ac:dyDescent="0.25">
      <c r="A109" s="101">
        <f>DATE(YEAR(A108),MONTH(A108)+1,1)</f>
        <v>39173</v>
      </c>
      <c r="B109" s="115"/>
      <c r="C109" s="134"/>
      <c r="E109" s="112"/>
      <c r="F109" s="112"/>
      <c r="G109" s="112"/>
      <c r="H109" s="113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83"/>
      <c r="AL109" s="83"/>
      <c r="AM109" s="84"/>
      <c r="AN109" s="83"/>
      <c r="AO109" s="84"/>
      <c r="AY109" s="83"/>
      <c r="AZ109" s="84"/>
      <c r="BJ109" s="83"/>
      <c r="BK109" s="84"/>
      <c r="BU109" s="83"/>
      <c r="BV109" s="84"/>
    </row>
    <row r="110" spans="1:82" x14ac:dyDescent="0.25">
      <c r="A110" s="110"/>
      <c r="B110" s="115"/>
      <c r="C110" s="134"/>
      <c r="E110" s="112"/>
      <c r="F110" s="112"/>
      <c r="G110" s="112"/>
      <c r="H110" s="113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83"/>
      <c r="AL110" s="83"/>
      <c r="AM110" s="84"/>
      <c r="AN110" s="83"/>
      <c r="AO110" s="84"/>
      <c r="AY110" s="83"/>
      <c r="AZ110" s="84"/>
      <c r="BJ110" s="83"/>
      <c r="BK110" s="84"/>
      <c r="BU110" s="83"/>
      <c r="BV110" s="84"/>
    </row>
    <row r="111" spans="1:82" x14ac:dyDescent="0.25">
      <c r="A111" s="110"/>
      <c r="B111" s="115"/>
      <c r="C111" s="134"/>
      <c r="E111" s="112"/>
      <c r="F111" s="112"/>
      <c r="G111" s="112"/>
      <c r="H111" s="113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83"/>
      <c r="AL111" s="83"/>
      <c r="AM111" s="84"/>
      <c r="AN111" s="83"/>
      <c r="AO111" s="84"/>
      <c r="AY111" s="83"/>
      <c r="AZ111" s="84"/>
      <c r="BJ111" s="83"/>
      <c r="BK111" s="84"/>
      <c r="BU111" s="83"/>
      <c r="BV111" s="84"/>
    </row>
    <row r="112" spans="1:82" x14ac:dyDescent="0.25">
      <c r="A112" s="110"/>
      <c r="B112" s="115"/>
      <c r="C112" s="134"/>
      <c r="E112" s="112"/>
      <c r="F112" s="112"/>
      <c r="G112" s="112"/>
      <c r="H112" s="113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83"/>
      <c r="AL112" s="83"/>
      <c r="AM112" s="84"/>
      <c r="AN112" s="83"/>
      <c r="AO112" s="84"/>
      <c r="AY112" s="83"/>
      <c r="AZ112" s="84"/>
      <c r="BJ112" s="83"/>
      <c r="BK112" s="84"/>
      <c r="BU112" s="83"/>
      <c r="BV112" s="84"/>
    </row>
    <row r="113" spans="1:74" x14ac:dyDescent="0.25">
      <c r="A113" s="110"/>
      <c r="B113" s="115"/>
      <c r="C113" s="134"/>
      <c r="E113" s="112"/>
      <c r="F113" s="112"/>
      <c r="G113" s="112"/>
      <c r="H113" s="113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83"/>
      <c r="AL113" s="83"/>
      <c r="AM113" s="84"/>
      <c r="AN113" s="83"/>
      <c r="AO113" s="84"/>
      <c r="AY113" s="83"/>
      <c r="AZ113" s="84"/>
      <c r="BJ113" s="83"/>
      <c r="BK113" s="84"/>
      <c r="BU113" s="83"/>
      <c r="BV113" s="84"/>
    </row>
    <row r="114" spans="1:74" x14ac:dyDescent="0.25">
      <c r="A114" s="110"/>
      <c r="B114" s="115"/>
      <c r="C114" s="134"/>
      <c r="E114" s="112"/>
      <c r="F114" s="112"/>
      <c r="G114" s="112"/>
      <c r="H114" s="113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83"/>
      <c r="AL114" s="83"/>
      <c r="AM114" s="84"/>
      <c r="AN114" s="83"/>
      <c r="AO114" s="84"/>
      <c r="AY114" s="83"/>
      <c r="AZ114" s="84"/>
      <c r="BJ114" s="83"/>
      <c r="BK114" s="84"/>
      <c r="BU114" s="83"/>
      <c r="BV114" s="84"/>
    </row>
    <row r="115" spans="1:74" x14ac:dyDescent="0.25">
      <c r="A115" s="110"/>
      <c r="B115" s="115"/>
      <c r="C115" s="134"/>
      <c r="E115" s="112"/>
      <c r="F115" s="112"/>
      <c r="G115" s="112"/>
      <c r="H115" s="113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83"/>
      <c r="AL115" s="83"/>
      <c r="AM115" s="84"/>
      <c r="AN115" s="83"/>
      <c r="AO115" s="84"/>
      <c r="AY115" s="83"/>
      <c r="AZ115" s="84"/>
      <c r="BJ115" s="83"/>
      <c r="BK115" s="84"/>
      <c r="BU115" s="83"/>
      <c r="BV115" s="84"/>
    </row>
    <row r="116" spans="1:74" x14ac:dyDescent="0.25">
      <c r="A116" s="110"/>
      <c r="B116" s="115"/>
      <c r="C116" s="134"/>
      <c r="E116" s="112"/>
      <c r="F116" s="112"/>
      <c r="G116" s="112"/>
      <c r="H116" s="113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83"/>
      <c r="AL116" s="83"/>
      <c r="AM116" s="84"/>
      <c r="AN116" s="83"/>
      <c r="AO116" s="84"/>
      <c r="AY116" s="83"/>
      <c r="AZ116" s="84"/>
      <c r="BJ116" s="83"/>
      <c r="BK116" s="84"/>
      <c r="BU116" s="83"/>
      <c r="BV116" s="84"/>
    </row>
    <row r="117" spans="1:74" x14ac:dyDescent="0.25">
      <c r="A117" s="110"/>
      <c r="B117" s="115"/>
      <c r="C117" s="134"/>
      <c r="E117" s="112"/>
      <c r="F117" s="112"/>
      <c r="G117" s="112"/>
      <c r="H117" s="113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83"/>
      <c r="AL117" s="83"/>
      <c r="AM117" s="84"/>
      <c r="AN117" s="83"/>
      <c r="AO117" s="84"/>
      <c r="AY117" s="83"/>
      <c r="AZ117" s="84"/>
      <c r="BJ117" s="83"/>
      <c r="BK117" s="84"/>
      <c r="BU117" s="83"/>
      <c r="BV117" s="84"/>
    </row>
    <row r="118" spans="1:74" x14ac:dyDescent="0.25">
      <c r="A118" s="110"/>
      <c r="B118" s="115"/>
      <c r="C118" s="134"/>
      <c r="E118" s="112"/>
      <c r="F118" s="112"/>
      <c r="G118" s="112"/>
      <c r="H118" s="113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83"/>
      <c r="AL118" s="83"/>
      <c r="AM118" s="84"/>
      <c r="AN118" s="83"/>
      <c r="AO118" s="84"/>
      <c r="AY118" s="83"/>
      <c r="AZ118" s="84"/>
      <c r="BJ118" s="83"/>
      <c r="BK118" s="84"/>
      <c r="BU118" s="83"/>
      <c r="BV118" s="84"/>
    </row>
    <row r="119" spans="1:74" x14ac:dyDescent="0.25">
      <c r="A119" s="110"/>
      <c r="B119" s="115"/>
      <c r="C119" s="134"/>
      <c r="E119" s="112"/>
      <c r="F119" s="112"/>
      <c r="G119" s="112"/>
      <c r="H119" s="113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83"/>
      <c r="AL119" s="83"/>
      <c r="AM119" s="84"/>
      <c r="AN119" s="83"/>
      <c r="AO119" s="84"/>
      <c r="AY119" s="83"/>
      <c r="AZ119" s="84"/>
      <c r="BJ119" s="83"/>
      <c r="BK119" s="84"/>
      <c r="BU119" s="83"/>
      <c r="BV119" s="84"/>
    </row>
    <row r="120" spans="1:74" x14ac:dyDescent="0.25">
      <c r="A120" s="116"/>
      <c r="E120" s="79"/>
      <c r="F120" s="79"/>
      <c r="G120" s="79"/>
      <c r="H120" s="113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83"/>
      <c r="AL120" s="83"/>
      <c r="AM120" s="84"/>
      <c r="AN120" s="83"/>
      <c r="AO120" s="84"/>
      <c r="AY120" s="83"/>
      <c r="AZ120" s="84"/>
      <c r="BJ120" s="83"/>
      <c r="BK120" s="84"/>
      <c r="BU120" s="83"/>
      <c r="BV120" s="84"/>
    </row>
    <row r="121" spans="1:74" x14ac:dyDescent="0.25">
      <c r="A121" s="110"/>
      <c r="B121" s="115"/>
      <c r="C121" s="134"/>
      <c r="E121" s="112"/>
      <c r="F121" s="112"/>
      <c r="G121" s="112"/>
      <c r="H121" s="113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83"/>
      <c r="AL121" s="83"/>
      <c r="AM121" s="84"/>
      <c r="AN121" s="83"/>
      <c r="AO121" s="84"/>
      <c r="AY121" s="83"/>
      <c r="AZ121" s="84"/>
      <c r="BJ121" s="83"/>
      <c r="BK121" s="84"/>
      <c r="BU121" s="83"/>
      <c r="BV121" s="84"/>
    </row>
    <row r="122" spans="1:74" x14ac:dyDescent="0.25">
      <c r="B122" s="117"/>
      <c r="C122" s="120"/>
      <c r="D122" s="118"/>
      <c r="E122" s="111"/>
      <c r="F122" s="111"/>
      <c r="G122" s="111"/>
      <c r="H122" s="112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4"/>
      <c r="AI122" s="111"/>
      <c r="AJ122" s="111"/>
      <c r="AK122" s="83"/>
      <c r="AL122" s="83"/>
      <c r="AM122" s="84"/>
      <c r="AN122" s="83"/>
      <c r="AO122" s="84"/>
      <c r="AY122" s="83"/>
      <c r="AZ122" s="84"/>
      <c r="BJ122" s="83"/>
      <c r="BK122" s="84"/>
      <c r="BU122" s="83"/>
      <c r="BV122" s="84"/>
    </row>
    <row r="123" spans="1:74" x14ac:dyDescent="0.25">
      <c r="B123" s="117"/>
      <c r="C123" s="120"/>
      <c r="D123" s="118"/>
      <c r="E123" s="111"/>
      <c r="F123" s="111"/>
      <c r="G123" s="111"/>
      <c r="H123" s="112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4"/>
      <c r="AI123" s="111"/>
      <c r="AJ123" s="111"/>
      <c r="AK123" s="83"/>
      <c r="AL123" s="83"/>
      <c r="AM123" s="84"/>
      <c r="AN123" s="83"/>
      <c r="AO123" s="84"/>
      <c r="AY123" s="83"/>
      <c r="AZ123" s="84"/>
      <c r="BJ123" s="83"/>
      <c r="BK123" s="84"/>
      <c r="BU123" s="83"/>
      <c r="BV123" s="84"/>
    </row>
    <row r="124" spans="1:74" x14ac:dyDescent="0.25">
      <c r="B124" s="117"/>
      <c r="C124" s="120"/>
      <c r="D124" s="118"/>
      <c r="E124" s="111"/>
      <c r="F124" s="111"/>
      <c r="G124" s="111"/>
      <c r="H124" s="112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4"/>
      <c r="AI124" s="111"/>
      <c r="AJ124" s="111"/>
      <c r="AK124" s="83"/>
      <c r="AL124" s="83"/>
      <c r="AM124" s="84"/>
      <c r="AN124" s="83"/>
      <c r="AO124" s="84"/>
      <c r="AY124" s="83"/>
      <c r="AZ124" s="84"/>
      <c r="BJ124" s="83"/>
      <c r="BK124" s="84"/>
      <c r="BU124" s="83"/>
      <c r="BV124" s="84"/>
    </row>
    <row r="125" spans="1:74" x14ac:dyDescent="0.25">
      <c r="B125" s="117"/>
      <c r="C125" s="120"/>
      <c r="D125" s="118"/>
      <c r="E125" s="111"/>
      <c r="F125" s="111"/>
      <c r="G125" s="111"/>
      <c r="H125" s="112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4"/>
      <c r="AI125" s="111"/>
      <c r="AJ125" s="111"/>
      <c r="AK125" s="83"/>
      <c r="AL125" s="83"/>
      <c r="AM125" s="84"/>
      <c r="AN125" s="83"/>
      <c r="AO125" s="84"/>
      <c r="AY125" s="83"/>
      <c r="AZ125" s="84"/>
      <c r="BJ125" s="83"/>
      <c r="BK125" s="84"/>
      <c r="BU125" s="83"/>
      <c r="BV125" s="84"/>
    </row>
    <row r="126" spans="1:74" x14ac:dyDescent="0.25">
      <c r="B126" s="117"/>
      <c r="C126" s="120"/>
      <c r="D126" s="118"/>
      <c r="E126" s="111"/>
      <c r="F126" s="111"/>
      <c r="G126" s="111"/>
      <c r="H126" s="112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4"/>
      <c r="AI126" s="111"/>
      <c r="AJ126" s="111"/>
      <c r="AK126" s="83"/>
      <c r="AL126" s="83"/>
      <c r="AM126" s="84"/>
      <c r="AN126" s="83"/>
      <c r="AO126" s="84"/>
      <c r="AY126" s="83"/>
      <c r="AZ126" s="84"/>
      <c r="BJ126" s="83"/>
      <c r="BK126" s="84"/>
      <c r="BU126" s="83"/>
      <c r="BV126" s="84"/>
    </row>
    <row r="127" spans="1:74" x14ac:dyDescent="0.25">
      <c r="B127" s="117"/>
      <c r="C127" s="120"/>
      <c r="D127" s="118"/>
      <c r="E127" s="111"/>
      <c r="F127" s="111"/>
      <c r="G127" s="111"/>
      <c r="H127" s="112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4"/>
      <c r="AI127" s="111"/>
      <c r="AJ127" s="111"/>
      <c r="AK127" s="83"/>
      <c r="AL127" s="83"/>
      <c r="AM127" s="84"/>
      <c r="AN127" s="83"/>
      <c r="AO127" s="84"/>
      <c r="AY127" s="83"/>
      <c r="AZ127" s="84"/>
      <c r="BJ127" s="83"/>
      <c r="BK127" s="84"/>
      <c r="BU127" s="83"/>
      <c r="BV127" s="84"/>
    </row>
    <row r="128" spans="1:74" x14ac:dyDescent="0.25">
      <c r="B128" s="117"/>
      <c r="C128" s="120"/>
      <c r="D128" s="118"/>
      <c r="E128" s="111"/>
      <c r="F128" s="111"/>
      <c r="G128" s="111"/>
      <c r="H128" s="112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4"/>
      <c r="AI128" s="111"/>
      <c r="AJ128" s="111"/>
      <c r="AK128" s="83"/>
      <c r="AL128" s="83"/>
      <c r="AM128" s="84"/>
      <c r="AN128" s="83"/>
      <c r="AO128" s="84"/>
      <c r="AY128" s="83"/>
      <c r="AZ128" s="84"/>
      <c r="BJ128" s="83"/>
      <c r="BK128" s="84"/>
      <c r="BU128" s="83"/>
      <c r="BV128" s="84"/>
    </row>
    <row r="129" spans="2:74" x14ac:dyDescent="0.25">
      <c r="B129" s="117"/>
      <c r="C129" s="120"/>
      <c r="D129" s="118"/>
      <c r="E129" s="111"/>
      <c r="F129" s="111"/>
      <c r="G129" s="111"/>
      <c r="H129" s="112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4"/>
      <c r="AI129" s="111"/>
      <c r="AJ129" s="111"/>
      <c r="AK129" s="83"/>
      <c r="AL129" s="83"/>
      <c r="AM129" s="84"/>
      <c r="AN129" s="83"/>
      <c r="AO129" s="84"/>
      <c r="AY129" s="83"/>
      <c r="AZ129" s="84"/>
      <c r="BJ129" s="83"/>
      <c r="BK129" s="84"/>
      <c r="BU129" s="83"/>
      <c r="BV129" s="84"/>
    </row>
    <row r="130" spans="2:74" x14ac:dyDescent="0.25">
      <c r="B130" s="117"/>
      <c r="C130" s="120"/>
      <c r="D130" s="118"/>
      <c r="E130" s="111"/>
      <c r="F130" s="111"/>
      <c r="G130" s="111"/>
      <c r="H130" s="112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4"/>
      <c r="AI130" s="111"/>
      <c r="AJ130" s="111"/>
      <c r="AK130" s="83"/>
      <c r="AL130" s="83"/>
      <c r="AM130" s="84"/>
      <c r="AN130" s="83"/>
      <c r="AO130" s="84"/>
      <c r="AY130" s="83"/>
      <c r="AZ130" s="84"/>
      <c r="BJ130" s="83"/>
      <c r="BK130" s="84"/>
      <c r="BU130" s="83"/>
      <c r="BV130" s="84"/>
    </row>
    <row r="131" spans="2:74" x14ac:dyDescent="0.25">
      <c r="B131" s="117"/>
      <c r="C131" s="120"/>
      <c r="D131" s="118"/>
      <c r="E131" s="111"/>
      <c r="F131" s="111"/>
      <c r="G131" s="111"/>
      <c r="H131" s="112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4"/>
      <c r="AI131" s="111"/>
      <c r="AJ131" s="111"/>
      <c r="AK131" s="83"/>
      <c r="AL131" s="83"/>
      <c r="AM131" s="84"/>
      <c r="AN131" s="83"/>
      <c r="AO131" s="84"/>
      <c r="AY131" s="83"/>
      <c r="AZ131" s="84"/>
      <c r="BJ131" s="83"/>
      <c r="BK131" s="84"/>
      <c r="BU131" s="83"/>
      <c r="BV131" s="84"/>
    </row>
    <row r="132" spans="2:74" x14ac:dyDescent="0.25">
      <c r="B132" s="117"/>
      <c r="C132" s="120"/>
      <c r="D132" s="118"/>
      <c r="E132" s="111"/>
      <c r="F132" s="111"/>
      <c r="G132" s="111"/>
      <c r="H132" s="112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4"/>
      <c r="AI132" s="111"/>
      <c r="AJ132" s="111"/>
      <c r="AK132" s="83"/>
      <c r="AL132" s="83"/>
      <c r="AM132" s="84"/>
      <c r="AN132" s="83"/>
      <c r="AO132" s="84"/>
      <c r="AY132" s="83"/>
      <c r="AZ132" s="84"/>
      <c r="BJ132" s="83"/>
      <c r="BK132" s="84"/>
      <c r="BU132" s="83"/>
      <c r="BV132" s="84"/>
    </row>
    <row r="133" spans="2:74" x14ac:dyDescent="0.25">
      <c r="B133" s="117"/>
      <c r="C133" s="120"/>
      <c r="D133" s="118"/>
      <c r="E133" s="111"/>
      <c r="F133" s="111"/>
      <c r="G133" s="111"/>
      <c r="H133" s="112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4"/>
      <c r="AI133" s="111"/>
      <c r="AJ133" s="111"/>
      <c r="AK133" s="83"/>
      <c r="AL133" s="83"/>
      <c r="AM133" s="84"/>
      <c r="AN133" s="83"/>
      <c r="AO133" s="84"/>
      <c r="AY133" s="83"/>
      <c r="AZ133" s="84"/>
      <c r="BJ133" s="83"/>
      <c r="BK133" s="84"/>
      <c r="BU133" s="83"/>
      <c r="BV133" s="84"/>
    </row>
    <row r="134" spans="2:74" ht="13.8" thickBot="1" x14ac:dyDescent="0.3">
      <c r="B134" s="117"/>
      <c r="C134" s="120"/>
      <c r="D134" s="121"/>
      <c r="E134" s="111"/>
      <c r="F134" s="111"/>
      <c r="G134" s="111"/>
      <c r="H134" s="112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4"/>
      <c r="AI134" s="114"/>
      <c r="AJ134" s="114"/>
      <c r="AK134" s="83"/>
      <c r="AL134" s="83"/>
      <c r="AM134" s="84"/>
      <c r="AN134" s="83"/>
      <c r="AO134" s="84"/>
      <c r="AY134" s="83"/>
      <c r="AZ134" s="84"/>
      <c r="BJ134" s="83"/>
      <c r="BK134" s="84"/>
      <c r="BU134" s="83"/>
      <c r="BV134" s="84"/>
    </row>
    <row r="135" spans="2:74" x14ac:dyDescent="0.25">
      <c r="B135" s="117"/>
      <c r="C135" s="120"/>
      <c r="D135" s="122"/>
      <c r="E135" s="111"/>
      <c r="F135" s="111"/>
      <c r="G135" s="111"/>
      <c r="H135" s="112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4"/>
      <c r="AI135" s="114"/>
      <c r="AJ135" s="114"/>
      <c r="AK135" s="83"/>
      <c r="AL135" s="83"/>
      <c r="AM135" s="84"/>
      <c r="AN135" s="83"/>
      <c r="AO135" s="84"/>
      <c r="AY135" s="83"/>
      <c r="AZ135" s="84"/>
      <c r="BJ135" s="83"/>
      <c r="BK135" s="84"/>
      <c r="BU135" s="83"/>
      <c r="BV135" s="84"/>
    </row>
    <row r="136" spans="2:74" ht="13.8" thickBot="1" x14ac:dyDescent="0.3">
      <c r="B136" s="117"/>
      <c r="C136" s="120"/>
      <c r="D136" s="123"/>
      <c r="E136" s="111"/>
      <c r="F136" s="111"/>
      <c r="G136" s="111"/>
      <c r="H136" s="112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4"/>
      <c r="AI136" s="114"/>
      <c r="AJ136" s="114"/>
      <c r="AK136" s="83"/>
      <c r="AL136" s="83"/>
      <c r="AM136" s="84"/>
      <c r="AN136" s="83"/>
      <c r="AO136" s="84"/>
      <c r="AY136" s="83"/>
      <c r="AZ136" s="84"/>
      <c r="BJ136" s="83"/>
      <c r="BK136" s="84"/>
      <c r="BU136" s="83"/>
      <c r="BV136" s="84"/>
    </row>
    <row r="137" spans="2:74" ht="13.8" thickBot="1" x14ac:dyDescent="0.3">
      <c r="B137" s="124"/>
      <c r="C137" s="125"/>
      <c r="D137" s="123"/>
      <c r="E137" s="111"/>
      <c r="F137" s="111"/>
      <c r="G137" s="111"/>
      <c r="H137" s="112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4"/>
      <c r="AI137" s="114"/>
      <c r="AJ137" s="114"/>
      <c r="AK137" s="83"/>
      <c r="AL137" s="83"/>
      <c r="AM137" s="84"/>
      <c r="AN137" s="83"/>
      <c r="AO137" s="84"/>
      <c r="AY137" s="83"/>
      <c r="AZ137" s="84"/>
      <c r="BJ137" s="83"/>
      <c r="BK137" s="84"/>
      <c r="BU137" s="83"/>
      <c r="BV137" s="84"/>
    </row>
    <row r="138" spans="2:74" x14ac:dyDescent="0.25">
      <c r="B138" s="124"/>
      <c r="C138" s="125"/>
      <c r="D138" s="126"/>
      <c r="E138" s="111"/>
      <c r="F138" s="111"/>
      <c r="G138" s="111"/>
      <c r="H138" s="112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4"/>
      <c r="AI138" s="83"/>
      <c r="AJ138" s="83"/>
      <c r="AK138" s="83"/>
      <c r="AL138" s="83"/>
      <c r="AM138" s="84"/>
      <c r="AN138" s="83"/>
      <c r="AO138" s="84"/>
      <c r="AY138" s="83"/>
      <c r="AZ138" s="84"/>
      <c r="BJ138" s="83"/>
      <c r="BK138" s="84"/>
      <c r="BU138" s="83"/>
      <c r="BV138" s="84"/>
    </row>
    <row r="139" spans="2:74" x14ac:dyDescent="0.25">
      <c r="B139" s="124"/>
      <c r="C139" s="125"/>
      <c r="D139" s="126"/>
      <c r="E139" s="111"/>
      <c r="F139" s="111"/>
      <c r="G139" s="111"/>
      <c r="H139" s="112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83"/>
      <c r="AI139" s="83"/>
      <c r="AJ139" s="83"/>
      <c r="AK139" s="83"/>
      <c r="AL139" s="83"/>
      <c r="AM139" s="84"/>
      <c r="AN139" s="83"/>
      <c r="AO139" s="84"/>
      <c r="AY139" s="83"/>
      <c r="AZ139" s="84"/>
      <c r="BJ139" s="83"/>
      <c r="BK139" s="84"/>
      <c r="BU139" s="83"/>
      <c r="BV139" s="84"/>
    </row>
    <row r="140" spans="2:74" x14ac:dyDescent="0.25">
      <c r="B140" s="124"/>
      <c r="C140" s="125"/>
      <c r="D140" s="126"/>
      <c r="E140" s="111"/>
      <c r="F140" s="111"/>
      <c r="G140" s="111"/>
      <c r="H140" s="112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83"/>
      <c r="AI140" s="83"/>
      <c r="AJ140" s="83"/>
      <c r="AK140" s="83"/>
      <c r="AL140" s="83"/>
      <c r="AM140" s="84"/>
      <c r="AN140" s="83"/>
      <c r="AO140" s="84"/>
      <c r="AY140" s="83"/>
      <c r="AZ140" s="84"/>
      <c r="BJ140" s="83"/>
      <c r="BK140" s="84"/>
      <c r="BU140" s="83"/>
      <c r="BV140" s="84"/>
    </row>
    <row r="141" spans="2:74" x14ac:dyDescent="0.25">
      <c r="B141" s="124"/>
      <c r="C141" s="125"/>
      <c r="D141" s="126"/>
      <c r="E141" s="111"/>
      <c r="F141" s="111"/>
      <c r="G141" s="111"/>
      <c r="H141" s="112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83"/>
      <c r="AI141" s="83"/>
      <c r="AJ141" s="83"/>
      <c r="AK141" s="83"/>
      <c r="AL141" s="83"/>
      <c r="AM141" s="84"/>
      <c r="AN141" s="83"/>
      <c r="AO141" s="84"/>
      <c r="AY141" s="83"/>
      <c r="AZ141" s="84"/>
      <c r="BJ141" s="83"/>
      <c r="BK141" s="84"/>
      <c r="BU141" s="83"/>
      <c r="BV141" s="84"/>
    </row>
    <row r="142" spans="2:74" x14ac:dyDescent="0.25">
      <c r="B142" s="124"/>
      <c r="C142" s="125"/>
      <c r="D142" s="126"/>
      <c r="E142" s="111"/>
      <c r="F142" s="111"/>
      <c r="G142" s="111"/>
      <c r="H142" s="112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83"/>
      <c r="AI142" s="83"/>
      <c r="AJ142" s="83"/>
      <c r="AK142" s="83"/>
      <c r="AL142" s="83"/>
      <c r="AM142" s="84"/>
      <c r="AN142" s="83"/>
      <c r="AO142" s="84"/>
      <c r="AY142" s="83"/>
      <c r="AZ142" s="84"/>
      <c r="BJ142" s="83"/>
      <c r="BK142" s="84"/>
      <c r="BU142" s="83"/>
      <c r="BV142" s="84"/>
    </row>
    <row r="143" spans="2:74" x14ac:dyDescent="0.25">
      <c r="B143" s="124"/>
      <c r="C143" s="125"/>
      <c r="D143" s="126"/>
      <c r="E143" s="111"/>
      <c r="F143" s="111"/>
      <c r="G143" s="111"/>
      <c r="H143" s="112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83"/>
      <c r="AK143" s="83"/>
      <c r="AL143" s="83"/>
      <c r="AM143" s="84"/>
      <c r="AN143" s="83"/>
      <c r="AO143" s="84"/>
      <c r="AY143" s="83"/>
      <c r="AZ143" s="84"/>
      <c r="BJ143" s="83"/>
      <c r="BK143" s="84"/>
      <c r="BU143" s="83"/>
      <c r="BV143" s="84"/>
    </row>
    <row r="144" spans="2:74" x14ac:dyDescent="0.25">
      <c r="B144" s="124"/>
      <c r="C144" s="125"/>
      <c r="D144" s="126"/>
      <c r="E144" s="111"/>
      <c r="F144" s="111"/>
      <c r="G144" s="111"/>
      <c r="H144" s="112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83"/>
      <c r="AI144" s="83"/>
      <c r="AJ144" s="83"/>
      <c r="AK144" s="83"/>
      <c r="AL144" s="83"/>
      <c r="AM144" s="84"/>
      <c r="AN144" s="83"/>
      <c r="AO144" s="84"/>
      <c r="AY144" s="83"/>
      <c r="AZ144" s="84"/>
      <c r="BJ144" s="83"/>
      <c r="BK144" s="84"/>
      <c r="BU144" s="83"/>
      <c r="BV144" s="84"/>
    </row>
    <row r="145" spans="2:74" x14ac:dyDescent="0.25">
      <c r="B145" s="124"/>
      <c r="C145" s="125"/>
      <c r="D145" s="126"/>
      <c r="E145" s="111"/>
      <c r="F145" s="111"/>
      <c r="G145" s="111"/>
      <c r="H145" s="112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83"/>
      <c r="AI145" s="83"/>
      <c r="AJ145" s="83"/>
      <c r="AK145" s="83"/>
      <c r="AL145" s="83"/>
      <c r="AM145" s="84"/>
      <c r="AN145" s="83"/>
      <c r="AO145" s="84"/>
      <c r="AY145" s="83"/>
      <c r="AZ145" s="84"/>
      <c r="BJ145" s="83"/>
      <c r="BK145" s="84"/>
      <c r="BU145" s="83"/>
      <c r="BV145" s="84"/>
    </row>
    <row r="146" spans="2:74" x14ac:dyDescent="0.25">
      <c r="B146" s="124"/>
      <c r="C146" s="125"/>
      <c r="D146" s="126"/>
      <c r="E146" s="111"/>
      <c r="F146" s="111"/>
      <c r="G146" s="111"/>
      <c r="H146" s="112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83"/>
      <c r="AI146" s="83"/>
      <c r="AJ146" s="83"/>
      <c r="AK146" s="83"/>
      <c r="AL146" s="83"/>
      <c r="AM146" s="84"/>
      <c r="AN146" s="83"/>
      <c r="AO146" s="84"/>
      <c r="AY146" s="83"/>
      <c r="AZ146" s="84"/>
      <c r="BJ146" s="83"/>
      <c r="BK146" s="84"/>
      <c r="BU146" s="83"/>
      <c r="BV146" s="84"/>
    </row>
    <row r="147" spans="2:74" x14ac:dyDescent="0.25">
      <c r="B147" s="124"/>
      <c r="C147" s="125"/>
      <c r="D147" s="126"/>
      <c r="E147" s="111"/>
      <c r="F147" s="111"/>
      <c r="G147" s="111"/>
      <c r="H147" s="112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83"/>
      <c r="AI147" s="83"/>
      <c r="AJ147" s="83"/>
      <c r="AK147" s="83"/>
      <c r="AL147" s="83"/>
      <c r="AM147" s="84"/>
      <c r="AN147" s="83"/>
      <c r="AO147" s="84"/>
      <c r="AY147" s="83"/>
      <c r="AZ147" s="84"/>
      <c r="BJ147" s="83"/>
      <c r="BK147" s="84"/>
      <c r="BU147" s="83"/>
      <c r="BV147" s="84"/>
    </row>
    <row r="148" spans="2:74" x14ac:dyDescent="0.25">
      <c r="B148" s="124"/>
      <c r="C148" s="125"/>
      <c r="D148" s="126"/>
      <c r="E148" s="111"/>
      <c r="F148" s="111"/>
      <c r="G148" s="111"/>
      <c r="H148" s="112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83"/>
      <c r="AI148" s="83"/>
      <c r="AJ148" s="83"/>
      <c r="AK148" s="83"/>
      <c r="AL148" s="83"/>
      <c r="AM148" s="84"/>
      <c r="AN148" s="83"/>
      <c r="AO148" s="84"/>
      <c r="AY148" s="83"/>
      <c r="AZ148" s="84"/>
      <c r="BJ148" s="83"/>
      <c r="BK148" s="84"/>
      <c r="BU148" s="83"/>
      <c r="BV148" s="84"/>
    </row>
    <row r="149" spans="2:74" x14ac:dyDescent="0.25">
      <c r="B149" s="124"/>
      <c r="C149" s="125"/>
      <c r="D149" s="126"/>
      <c r="E149" s="111"/>
      <c r="F149" s="111"/>
      <c r="G149" s="111"/>
      <c r="H149" s="112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83"/>
      <c r="AI149" s="83"/>
      <c r="AJ149" s="83"/>
      <c r="AK149" s="83"/>
      <c r="AL149" s="83"/>
      <c r="AM149" s="84"/>
      <c r="AN149" s="83"/>
      <c r="AO149" s="84"/>
      <c r="AY149" s="83"/>
      <c r="AZ149" s="84"/>
      <c r="BJ149" s="83"/>
      <c r="BK149" s="84"/>
      <c r="BU149" s="83"/>
      <c r="BV149" s="84"/>
    </row>
    <row r="150" spans="2:74" x14ac:dyDescent="0.25">
      <c r="B150" s="124"/>
      <c r="C150" s="125"/>
      <c r="D150" s="126"/>
      <c r="E150" s="111"/>
      <c r="F150" s="111"/>
      <c r="G150" s="111"/>
      <c r="H150" s="112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83"/>
      <c r="AI150" s="83"/>
      <c r="AJ150" s="83"/>
      <c r="AK150" s="83"/>
      <c r="AL150" s="83"/>
      <c r="AM150" s="84"/>
      <c r="AN150" s="83"/>
      <c r="AO150" s="84"/>
      <c r="AY150" s="83"/>
      <c r="AZ150" s="84"/>
      <c r="BJ150" s="83"/>
      <c r="BK150" s="84"/>
      <c r="BU150" s="83"/>
      <c r="BV150" s="84"/>
    </row>
    <row r="151" spans="2:74" x14ac:dyDescent="0.25">
      <c r="B151" s="124"/>
      <c r="C151" s="125"/>
      <c r="D151" s="126"/>
      <c r="E151" s="111"/>
      <c r="F151" s="111"/>
      <c r="G151" s="111"/>
      <c r="H151" s="112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83"/>
      <c r="AI151" s="83"/>
      <c r="AJ151" s="83"/>
      <c r="AK151" s="83"/>
      <c r="AL151" s="83"/>
      <c r="AM151" s="84"/>
      <c r="AN151" s="83"/>
      <c r="AO151" s="84"/>
      <c r="AY151" s="83"/>
      <c r="AZ151" s="84"/>
      <c r="BJ151" s="83"/>
      <c r="BK151" s="84"/>
      <c r="BU151" s="83"/>
      <c r="BV151" s="84"/>
    </row>
    <row r="152" spans="2:74" x14ac:dyDescent="0.25">
      <c r="B152" s="124"/>
      <c r="C152" s="125"/>
      <c r="D152" s="126"/>
      <c r="E152" s="111"/>
      <c r="F152" s="111"/>
      <c r="G152" s="111"/>
      <c r="H152" s="112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83"/>
      <c r="AI152" s="83"/>
      <c r="AJ152" s="83"/>
      <c r="AK152" s="83"/>
      <c r="AL152" s="83"/>
      <c r="AM152" s="84"/>
      <c r="AN152" s="83"/>
      <c r="AO152" s="84"/>
      <c r="AY152" s="83"/>
      <c r="AZ152" s="84"/>
      <c r="BJ152" s="83"/>
      <c r="BK152" s="84"/>
      <c r="BU152" s="83"/>
      <c r="BV152" s="84"/>
    </row>
    <row r="153" spans="2:74" x14ac:dyDescent="0.25">
      <c r="B153" s="124"/>
      <c r="C153" s="125"/>
      <c r="D153" s="126"/>
      <c r="E153" s="111"/>
      <c r="F153" s="111"/>
      <c r="G153" s="111"/>
      <c r="H153" s="112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83"/>
      <c r="AI153" s="83"/>
      <c r="AJ153" s="83"/>
      <c r="AK153" s="83"/>
      <c r="AL153" s="83"/>
      <c r="AM153" s="84"/>
      <c r="AN153" s="83"/>
      <c r="AO153" s="84"/>
      <c r="AY153" s="83"/>
      <c r="AZ153" s="84"/>
      <c r="BJ153" s="83"/>
      <c r="BK153" s="84"/>
      <c r="BU153" s="83"/>
      <c r="BV153" s="84"/>
    </row>
    <row r="154" spans="2:74" x14ac:dyDescent="0.25">
      <c r="B154" s="124"/>
      <c r="C154" s="125"/>
      <c r="D154" s="126"/>
      <c r="E154" s="111"/>
      <c r="F154" s="111"/>
      <c r="G154" s="111"/>
      <c r="H154" s="112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83"/>
      <c r="AI154" s="83"/>
      <c r="AJ154" s="83"/>
      <c r="AK154" s="83"/>
      <c r="AL154" s="83"/>
      <c r="AM154" s="84"/>
      <c r="AN154" s="83"/>
      <c r="AO154" s="84"/>
      <c r="AY154" s="83"/>
      <c r="AZ154" s="84"/>
      <c r="BJ154" s="83"/>
      <c r="BK154" s="84"/>
      <c r="BU154" s="83"/>
      <c r="BV154" s="84"/>
    </row>
    <row r="155" spans="2:74" x14ac:dyDescent="0.25">
      <c r="B155" s="124"/>
      <c r="C155" s="125"/>
      <c r="D155" s="126"/>
      <c r="E155" s="111"/>
      <c r="F155" s="111"/>
      <c r="G155" s="111"/>
      <c r="H155" s="112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83"/>
      <c r="AI155" s="83"/>
      <c r="AJ155" s="83"/>
      <c r="AK155" s="83"/>
      <c r="AL155" s="83"/>
      <c r="AM155" s="84"/>
      <c r="AN155" s="83"/>
      <c r="AO155" s="84"/>
      <c r="AY155" s="83"/>
      <c r="AZ155" s="84"/>
      <c r="BJ155" s="83"/>
      <c r="BK155" s="84"/>
      <c r="BU155" s="83"/>
      <c r="BV155" s="84"/>
    </row>
    <row r="156" spans="2:74" x14ac:dyDescent="0.25">
      <c r="B156" s="124"/>
      <c r="C156" s="125"/>
      <c r="D156" s="126"/>
      <c r="E156" s="111"/>
      <c r="F156" s="111"/>
      <c r="G156" s="111"/>
      <c r="H156" s="112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83"/>
      <c r="AI156" s="83"/>
      <c r="AJ156" s="83"/>
      <c r="AK156" s="83"/>
      <c r="AL156" s="83"/>
      <c r="AM156" s="84"/>
      <c r="AN156" s="83"/>
      <c r="AO156" s="84"/>
      <c r="AY156" s="83"/>
      <c r="AZ156" s="84"/>
      <c r="BJ156" s="83"/>
      <c r="BK156" s="84"/>
      <c r="BU156" s="83"/>
      <c r="BV156" s="84"/>
    </row>
    <row r="157" spans="2:74" x14ac:dyDescent="0.25">
      <c r="B157" s="124"/>
      <c r="C157" s="125"/>
      <c r="D157" s="126"/>
      <c r="E157" s="111"/>
      <c r="F157" s="111"/>
      <c r="G157" s="111"/>
      <c r="H157" s="112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83"/>
      <c r="AI157" s="83"/>
      <c r="AJ157" s="83"/>
      <c r="AK157" s="83"/>
      <c r="AL157" s="83"/>
      <c r="AM157" s="84"/>
      <c r="AN157" s="83"/>
      <c r="AO157" s="84"/>
      <c r="AY157" s="83"/>
      <c r="AZ157" s="84"/>
      <c r="BJ157" s="83"/>
      <c r="BK157" s="84"/>
      <c r="BU157" s="83"/>
      <c r="BV157" s="84"/>
    </row>
    <row r="158" spans="2:74" x14ac:dyDescent="0.25">
      <c r="B158" s="124"/>
      <c r="C158" s="125"/>
      <c r="D158" s="126"/>
      <c r="E158" s="111"/>
      <c r="F158" s="111"/>
      <c r="G158" s="111"/>
      <c r="H158" s="112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83"/>
      <c r="AI158" s="83"/>
      <c r="AJ158" s="83"/>
      <c r="AK158" s="83"/>
      <c r="AL158" s="83"/>
      <c r="AM158" s="84"/>
      <c r="AN158" s="83"/>
      <c r="AO158" s="84"/>
      <c r="AY158" s="83"/>
      <c r="AZ158" s="84"/>
      <c r="BJ158" s="83"/>
      <c r="BK158" s="84"/>
      <c r="BU158" s="83"/>
      <c r="BV158" s="84"/>
    </row>
    <row r="159" spans="2:74" x14ac:dyDescent="0.25">
      <c r="B159" s="124"/>
      <c r="C159" s="125"/>
      <c r="D159" s="126"/>
      <c r="E159" s="111"/>
      <c r="F159" s="111"/>
      <c r="G159" s="111"/>
      <c r="H159" s="112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83"/>
      <c r="AI159" s="83"/>
      <c r="AJ159" s="83"/>
      <c r="AK159" s="83"/>
      <c r="AL159" s="83"/>
      <c r="AM159" s="84"/>
      <c r="AN159" s="83"/>
      <c r="AO159" s="84"/>
      <c r="AY159" s="83"/>
      <c r="AZ159" s="84"/>
      <c r="BJ159" s="83"/>
      <c r="BK159" s="84"/>
      <c r="BU159" s="83"/>
      <c r="BV159" s="84"/>
    </row>
    <row r="160" spans="2:74" x14ac:dyDescent="0.25">
      <c r="B160" s="124"/>
      <c r="C160" s="125"/>
      <c r="D160" s="126"/>
      <c r="E160" s="111"/>
      <c r="F160" s="111"/>
      <c r="G160" s="111"/>
      <c r="H160" s="112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83"/>
      <c r="AI160" s="83"/>
      <c r="AJ160" s="83"/>
      <c r="AK160" s="83"/>
      <c r="AL160" s="83"/>
      <c r="AM160" s="84"/>
      <c r="AN160" s="83"/>
      <c r="AO160" s="84"/>
      <c r="AY160" s="83"/>
      <c r="AZ160" s="84"/>
      <c r="BJ160" s="83"/>
      <c r="BK160" s="84"/>
      <c r="BU160" s="83"/>
      <c r="BV160" s="84"/>
    </row>
    <row r="161" spans="2:74" x14ac:dyDescent="0.25">
      <c r="B161" s="124"/>
      <c r="C161" s="125"/>
      <c r="D161" s="126"/>
      <c r="E161" s="111"/>
      <c r="F161" s="111"/>
      <c r="G161" s="111"/>
      <c r="H161" s="112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83"/>
      <c r="AI161" s="83"/>
      <c r="AJ161" s="83"/>
      <c r="AK161" s="83"/>
      <c r="AL161" s="83"/>
      <c r="AM161" s="84"/>
      <c r="AN161" s="83"/>
      <c r="AO161" s="84"/>
      <c r="AY161" s="83"/>
      <c r="AZ161" s="84"/>
      <c r="BJ161" s="83"/>
      <c r="BK161" s="84"/>
      <c r="BU161" s="83"/>
      <c r="BV161" s="84"/>
    </row>
    <row r="162" spans="2:74" x14ac:dyDescent="0.25">
      <c r="B162" s="124"/>
      <c r="C162" s="125"/>
      <c r="D162" s="126"/>
      <c r="E162" s="111"/>
      <c r="F162" s="111"/>
      <c r="G162" s="111"/>
      <c r="H162" s="112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83"/>
      <c r="AI162" s="83"/>
      <c r="AJ162" s="83"/>
      <c r="AK162" s="83"/>
      <c r="AL162" s="83"/>
      <c r="AM162" s="84"/>
      <c r="AN162" s="83"/>
      <c r="AO162" s="84"/>
      <c r="AY162" s="83"/>
      <c r="AZ162" s="84"/>
      <c r="BJ162" s="83"/>
      <c r="BK162" s="84"/>
      <c r="BU162" s="83"/>
      <c r="BV162" s="84"/>
    </row>
    <row r="163" spans="2:74" x14ac:dyDescent="0.25">
      <c r="B163" s="124"/>
      <c r="C163" s="125"/>
      <c r="D163" s="126"/>
      <c r="E163" s="111"/>
      <c r="F163" s="111"/>
      <c r="G163" s="111"/>
      <c r="H163" s="112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83"/>
      <c r="AI163" s="83"/>
      <c r="AJ163" s="83"/>
      <c r="AK163" s="83"/>
      <c r="AL163" s="83"/>
      <c r="AM163" s="84"/>
      <c r="AN163" s="83"/>
      <c r="AO163" s="84"/>
      <c r="AY163" s="83"/>
      <c r="AZ163" s="84"/>
      <c r="BJ163" s="83"/>
      <c r="BK163" s="84"/>
      <c r="BU163" s="83"/>
      <c r="BV163" s="84"/>
    </row>
    <row r="164" spans="2:74" x14ac:dyDescent="0.25">
      <c r="B164" s="124"/>
      <c r="C164" s="125"/>
      <c r="D164" s="126"/>
      <c r="E164" s="111"/>
      <c r="F164" s="111"/>
      <c r="G164" s="111"/>
      <c r="H164" s="112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83"/>
      <c r="AI164" s="83"/>
      <c r="AJ164" s="83"/>
      <c r="AK164" s="83"/>
      <c r="AL164" s="83"/>
      <c r="AM164" s="84"/>
      <c r="AN164" s="83"/>
      <c r="AO164" s="84"/>
      <c r="AY164" s="83"/>
      <c r="AZ164" s="84"/>
      <c r="BJ164" s="83"/>
      <c r="BK164" s="84"/>
      <c r="BU164" s="83"/>
      <c r="BV164" s="84"/>
    </row>
    <row r="165" spans="2:74" x14ac:dyDescent="0.25">
      <c r="B165" s="124"/>
      <c r="C165" s="125"/>
      <c r="D165" s="126"/>
      <c r="E165" s="111"/>
      <c r="F165" s="111"/>
      <c r="G165" s="111"/>
      <c r="H165" s="112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83"/>
      <c r="AI165" s="83"/>
      <c r="AJ165" s="83"/>
      <c r="AK165" s="83"/>
      <c r="AL165" s="83"/>
      <c r="AM165" s="84"/>
      <c r="AN165" s="83"/>
      <c r="AO165" s="84"/>
      <c r="AY165" s="83"/>
      <c r="AZ165" s="84"/>
      <c r="BJ165" s="83"/>
      <c r="BK165" s="84"/>
      <c r="BU165" s="83"/>
      <c r="BV165" s="84"/>
    </row>
    <row r="166" spans="2:74" x14ac:dyDescent="0.25">
      <c r="B166" s="124"/>
      <c r="C166" s="125"/>
      <c r="D166" s="126"/>
      <c r="E166" s="111"/>
      <c r="F166" s="111"/>
      <c r="G166" s="111"/>
      <c r="H166" s="112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83"/>
      <c r="AI166" s="83"/>
      <c r="AJ166" s="83"/>
      <c r="AK166" s="83"/>
      <c r="AL166" s="83"/>
      <c r="AM166" s="84"/>
      <c r="AN166" s="83"/>
      <c r="AO166" s="84"/>
      <c r="AY166" s="83"/>
      <c r="AZ166" s="84"/>
      <c r="BJ166" s="83"/>
      <c r="BK166" s="84"/>
      <c r="BU166" s="83"/>
      <c r="BV166" s="84"/>
    </row>
    <row r="167" spans="2:74" x14ac:dyDescent="0.25">
      <c r="B167" s="124"/>
      <c r="C167" s="125"/>
      <c r="D167" s="126"/>
      <c r="E167" s="111"/>
      <c r="F167" s="111"/>
      <c r="G167" s="111"/>
      <c r="H167" s="112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83"/>
      <c r="AI167" s="83"/>
      <c r="AJ167" s="83"/>
      <c r="AK167" s="83"/>
      <c r="AL167" s="83"/>
      <c r="AM167" s="84"/>
      <c r="AN167" s="83"/>
      <c r="AO167" s="84"/>
      <c r="AY167" s="83"/>
      <c r="AZ167" s="84"/>
      <c r="BJ167" s="83"/>
      <c r="BK167" s="84"/>
      <c r="BU167" s="83"/>
      <c r="BV167" s="84"/>
    </row>
    <row r="168" spans="2:74" x14ac:dyDescent="0.25">
      <c r="B168" s="127"/>
      <c r="C168" s="135"/>
      <c r="D168" s="126"/>
      <c r="E168" s="111"/>
      <c r="F168" s="111"/>
      <c r="G168" s="111"/>
      <c r="H168" s="112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83"/>
      <c r="AI168" s="83"/>
      <c r="AJ168" s="83"/>
      <c r="AK168" s="83"/>
      <c r="AL168" s="83"/>
      <c r="AM168" s="84"/>
      <c r="AN168" s="83"/>
      <c r="AO168" s="84"/>
      <c r="AY168" s="83"/>
      <c r="AZ168" s="84"/>
      <c r="BJ168" s="83"/>
      <c r="BK168" s="84"/>
      <c r="BU168" s="83"/>
      <c r="BV168" s="84"/>
    </row>
    <row r="169" spans="2:74" x14ac:dyDescent="0.25">
      <c r="B169" s="127"/>
      <c r="C169" s="135"/>
      <c r="D169" s="126"/>
      <c r="E169" s="111"/>
      <c r="F169" s="111"/>
      <c r="G169" s="111"/>
      <c r="H169" s="112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83"/>
      <c r="AI169" s="83"/>
      <c r="AJ169" s="83"/>
      <c r="AK169" s="83"/>
      <c r="AL169" s="83"/>
      <c r="AM169" s="84"/>
      <c r="AN169" s="83"/>
      <c r="AO169" s="84"/>
      <c r="AY169" s="83"/>
      <c r="AZ169" s="84"/>
      <c r="BJ169" s="83"/>
      <c r="BK169" s="84"/>
      <c r="BU169" s="83"/>
      <c r="BV169" s="84"/>
    </row>
    <row r="170" spans="2:74" x14ac:dyDescent="0.25">
      <c r="B170" s="127"/>
      <c r="C170" s="135"/>
      <c r="D170" s="126"/>
      <c r="E170" s="111"/>
      <c r="F170" s="111"/>
      <c r="G170" s="111"/>
      <c r="H170" s="112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83"/>
      <c r="AI170" s="83"/>
      <c r="AJ170" s="83"/>
      <c r="AK170" s="83"/>
      <c r="AL170" s="83"/>
      <c r="AM170" s="84"/>
      <c r="AN170" s="83"/>
      <c r="AO170" s="84"/>
      <c r="AY170" s="83"/>
      <c r="AZ170" s="84"/>
      <c r="BJ170" s="83"/>
      <c r="BK170" s="84"/>
      <c r="BU170" s="83"/>
      <c r="BV170" s="84"/>
    </row>
    <row r="171" spans="2:74" x14ac:dyDescent="0.25">
      <c r="B171" s="127"/>
      <c r="C171" s="135"/>
      <c r="D171" s="126"/>
      <c r="E171" s="111"/>
      <c r="F171" s="111"/>
      <c r="G171" s="111"/>
      <c r="H171" s="112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83"/>
      <c r="AI171" s="83"/>
      <c r="AJ171" s="83"/>
      <c r="AK171" s="83"/>
      <c r="AL171" s="83"/>
      <c r="AM171" s="84"/>
      <c r="AN171" s="83"/>
      <c r="AO171" s="84"/>
      <c r="AY171" s="83"/>
      <c r="AZ171" s="84"/>
      <c r="BJ171" s="83"/>
      <c r="BK171" s="84"/>
      <c r="BU171" s="83"/>
      <c r="BV171" s="84"/>
    </row>
    <row r="172" spans="2:74" x14ac:dyDescent="0.25">
      <c r="B172" s="127"/>
      <c r="C172" s="135"/>
      <c r="D172" s="126"/>
      <c r="E172" s="111"/>
      <c r="F172" s="111"/>
      <c r="G172" s="111"/>
      <c r="H172" s="112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83"/>
      <c r="AI172" s="83"/>
      <c r="AJ172" s="83"/>
      <c r="AK172" s="83"/>
      <c r="AL172" s="83"/>
      <c r="AM172" s="84"/>
      <c r="AN172" s="83"/>
      <c r="AO172" s="84"/>
      <c r="AY172" s="83"/>
      <c r="AZ172" s="84"/>
      <c r="BJ172" s="83"/>
      <c r="BK172" s="84"/>
      <c r="BU172" s="83"/>
      <c r="BV172" s="84"/>
    </row>
    <row r="173" spans="2:74" x14ac:dyDescent="0.25">
      <c r="B173" s="127"/>
      <c r="C173" s="135"/>
      <c r="D173" s="126"/>
      <c r="E173" s="111"/>
      <c r="F173" s="111"/>
      <c r="G173" s="111"/>
      <c r="H173" s="112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83"/>
      <c r="AI173" s="83"/>
      <c r="AJ173" s="83"/>
      <c r="AK173" s="83"/>
      <c r="AL173" s="83"/>
      <c r="AM173" s="84"/>
      <c r="AN173" s="83"/>
      <c r="AO173" s="84"/>
      <c r="AY173" s="83"/>
      <c r="AZ173" s="84"/>
      <c r="BJ173" s="83"/>
      <c r="BK173" s="84"/>
      <c r="BU173" s="83"/>
      <c r="BV173" s="84"/>
    </row>
    <row r="174" spans="2:74" x14ac:dyDescent="0.25">
      <c r="B174" s="127"/>
      <c r="C174" s="135"/>
      <c r="D174" s="126"/>
      <c r="E174" s="111"/>
      <c r="F174" s="111"/>
      <c r="G174" s="111"/>
      <c r="H174" s="112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83"/>
      <c r="AI174" s="83"/>
      <c r="AJ174" s="83"/>
      <c r="AK174" s="83"/>
      <c r="AL174" s="83"/>
      <c r="AM174" s="84"/>
      <c r="AN174" s="83"/>
      <c r="AO174" s="84"/>
      <c r="AY174" s="83"/>
      <c r="AZ174" s="84"/>
      <c r="BJ174" s="83"/>
      <c r="BK174" s="84"/>
      <c r="BU174" s="83"/>
      <c r="BV174" s="84"/>
    </row>
    <row r="175" spans="2:74" x14ac:dyDescent="0.25">
      <c r="B175" s="127"/>
      <c r="C175" s="135"/>
      <c r="D175" s="126"/>
      <c r="E175" s="111"/>
      <c r="F175" s="111"/>
      <c r="G175" s="111"/>
      <c r="H175" s="112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83"/>
      <c r="AI175" s="83"/>
      <c r="AJ175" s="83"/>
      <c r="AK175" s="83"/>
      <c r="AL175" s="83"/>
      <c r="AM175" s="84"/>
      <c r="AN175" s="83"/>
      <c r="AO175" s="84"/>
      <c r="AY175" s="83"/>
      <c r="AZ175" s="84"/>
      <c r="BJ175" s="83"/>
      <c r="BK175" s="84"/>
      <c r="BU175" s="83"/>
      <c r="BV175" s="84"/>
    </row>
    <row r="176" spans="2:74" x14ac:dyDescent="0.25">
      <c r="B176" s="127"/>
      <c r="C176" s="135"/>
      <c r="D176" s="126"/>
      <c r="E176" s="111"/>
      <c r="F176" s="111"/>
      <c r="G176" s="111"/>
      <c r="H176" s="112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83"/>
      <c r="AI176" s="83"/>
      <c r="AJ176" s="83"/>
      <c r="AK176" s="83"/>
      <c r="AL176" s="83"/>
      <c r="AM176" s="84"/>
      <c r="AN176" s="83"/>
      <c r="AO176" s="84"/>
      <c r="AY176" s="83"/>
      <c r="AZ176" s="84"/>
      <c r="BJ176" s="83"/>
      <c r="BK176" s="84"/>
      <c r="BU176" s="83"/>
      <c r="BV176" s="84"/>
    </row>
    <row r="177" spans="2:74" x14ac:dyDescent="0.25">
      <c r="B177" s="127"/>
      <c r="C177" s="135"/>
      <c r="D177" s="126"/>
      <c r="E177" s="111"/>
      <c r="F177" s="111"/>
      <c r="G177" s="111"/>
      <c r="H177" s="112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83"/>
      <c r="AI177" s="83"/>
      <c r="AJ177" s="83"/>
      <c r="AK177" s="83"/>
      <c r="AL177" s="83"/>
      <c r="AM177" s="84"/>
      <c r="AN177" s="83"/>
      <c r="AO177" s="84"/>
      <c r="AY177" s="83"/>
      <c r="AZ177" s="84"/>
      <c r="BJ177" s="83"/>
      <c r="BK177" s="84"/>
      <c r="BU177" s="83"/>
      <c r="BV177" s="84"/>
    </row>
    <row r="178" spans="2:74" x14ac:dyDescent="0.25">
      <c r="B178" s="127"/>
      <c r="C178" s="135"/>
      <c r="D178" s="126"/>
      <c r="E178" s="111"/>
      <c r="F178" s="111"/>
      <c r="G178" s="111"/>
      <c r="H178" s="112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83"/>
      <c r="AI178" s="83"/>
      <c r="AJ178" s="83"/>
      <c r="AK178" s="83"/>
      <c r="AL178" s="83"/>
      <c r="AM178" s="84"/>
      <c r="AN178" s="83"/>
      <c r="AO178" s="84"/>
      <c r="AY178" s="83"/>
      <c r="AZ178" s="84"/>
      <c r="BJ178" s="83"/>
      <c r="BK178" s="84"/>
      <c r="BU178" s="83"/>
      <c r="BV178" s="84"/>
    </row>
    <row r="179" spans="2:74" x14ac:dyDescent="0.25">
      <c r="B179" s="127"/>
      <c r="C179" s="135"/>
      <c r="D179" s="126"/>
      <c r="E179" s="111"/>
      <c r="F179" s="111"/>
      <c r="G179" s="111"/>
      <c r="H179" s="112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83"/>
      <c r="AI179" s="83"/>
      <c r="AJ179" s="83"/>
      <c r="AK179" s="83"/>
      <c r="AL179" s="83"/>
      <c r="AM179" s="84"/>
      <c r="AN179" s="83"/>
      <c r="AO179" s="84"/>
      <c r="AY179" s="83"/>
      <c r="AZ179" s="84"/>
      <c r="BJ179" s="83"/>
      <c r="BK179" s="84"/>
      <c r="BU179" s="83"/>
      <c r="BV179" s="84"/>
    </row>
    <row r="180" spans="2:74" x14ac:dyDescent="0.25">
      <c r="B180" s="127"/>
      <c r="C180" s="135"/>
      <c r="D180" s="126"/>
      <c r="E180" s="111"/>
      <c r="F180" s="111"/>
      <c r="G180" s="111"/>
      <c r="H180" s="112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83"/>
      <c r="AI180" s="83"/>
      <c r="AJ180" s="83"/>
      <c r="AK180" s="83"/>
      <c r="AL180" s="83"/>
      <c r="AM180" s="84"/>
      <c r="AN180" s="83"/>
      <c r="AO180" s="84"/>
      <c r="AY180" s="83"/>
      <c r="AZ180" s="84"/>
      <c r="BJ180" s="83"/>
      <c r="BK180" s="84"/>
      <c r="BU180" s="83"/>
      <c r="BV180" s="84"/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K1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9.109375" defaultRowHeight="10.199999999999999" x14ac:dyDescent="0.2"/>
  <cols>
    <col min="1" max="1" width="9.109375" style="24"/>
    <col min="2" max="27" width="9.109375" style="23"/>
    <col min="28" max="28" width="10" style="23" bestFit="1" customWidth="1"/>
    <col min="29" max="16384" width="9.109375" style="23"/>
  </cols>
  <sheetData>
    <row r="1" spans="1:141" x14ac:dyDescent="0.2">
      <c r="A1" s="23"/>
      <c r="B1" s="23">
        <f>B3</f>
        <v>-2.6</v>
      </c>
      <c r="C1" s="23">
        <f t="shared" ref="C1:BN1" si="0">C3</f>
        <v>-2.5499999999999998</v>
      </c>
      <c r="D1" s="23">
        <f t="shared" si="0"/>
        <v>-2.5</v>
      </c>
      <c r="E1" s="23">
        <f t="shared" si="0"/>
        <v>-2.4500000000000002</v>
      </c>
      <c r="F1" s="23">
        <f t="shared" si="0"/>
        <v>-2.4</v>
      </c>
      <c r="G1" s="23">
        <f t="shared" si="0"/>
        <v>-2.35</v>
      </c>
      <c r="H1" s="23">
        <f t="shared" si="0"/>
        <v>-2.2999999999999998</v>
      </c>
      <c r="I1" s="23">
        <f t="shared" si="0"/>
        <v>-2.25</v>
      </c>
      <c r="J1" s="23">
        <f t="shared" si="0"/>
        <v>-2.2000000000000002</v>
      </c>
      <c r="K1" s="23">
        <f t="shared" si="0"/>
        <v>-2.15</v>
      </c>
      <c r="L1" s="23">
        <f t="shared" si="0"/>
        <v>-2.1</v>
      </c>
      <c r="M1" s="23">
        <f t="shared" si="0"/>
        <v>-2</v>
      </c>
      <c r="N1" s="23">
        <f t="shared" si="0"/>
        <v>-1.9</v>
      </c>
      <c r="O1" s="23">
        <f t="shared" si="0"/>
        <v>-1.8</v>
      </c>
      <c r="P1" s="23">
        <f t="shared" si="0"/>
        <v>-1.7</v>
      </c>
      <c r="Q1" s="23">
        <f t="shared" si="0"/>
        <v>-1.6</v>
      </c>
      <c r="R1" s="23">
        <f t="shared" si="0"/>
        <v>-1.5</v>
      </c>
      <c r="S1" s="23">
        <f t="shared" si="0"/>
        <v>-1.4</v>
      </c>
      <c r="T1" s="23">
        <f t="shared" si="0"/>
        <v>-1.3</v>
      </c>
      <c r="U1" s="23">
        <f t="shared" si="0"/>
        <v>-1.2</v>
      </c>
      <c r="V1" s="23">
        <f t="shared" si="0"/>
        <v>-1.1000000000000001</v>
      </c>
      <c r="W1" s="23">
        <f t="shared" si="0"/>
        <v>-1</v>
      </c>
      <c r="X1" s="23">
        <f t="shared" si="0"/>
        <v>-0.9</v>
      </c>
      <c r="Y1" s="23">
        <f t="shared" si="0"/>
        <v>-0.8</v>
      </c>
      <c r="Z1" s="23">
        <f t="shared" si="0"/>
        <v>-0.7</v>
      </c>
      <c r="AA1" s="23">
        <f t="shared" si="0"/>
        <v>-0.6</v>
      </c>
      <c r="AB1" s="23">
        <f t="shared" si="0"/>
        <v>-0.5</v>
      </c>
      <c r="AC1" s="23">
        <f t="shared" si="0"/>
        <v>-0.4</v>
      </c>
      <c r="AD1" s="23">
        <f t="shared" si="0"/>
        <v>-0.3</v>
      </c>
      <c r="AE1" s="23">
        <f t="shared" si="0"/>
        <v>-0.2</v>
      </c>
      <c r="AF1" s="23">
        <f t="shared" si="0"/>
        <v>-0.1</v>
      </c>
      <c r="AG1" s="23">
        <f t="shared" si="0"/>
        <v>0</v>
      </c>
      <c r="AH1" s="23">
        <f t="shared" si="0"/>
        <v>0.1</v>
      </c>
      <c r="AI1" s="23">
        <f t="shared" si="0"/>
        <v>0.2</v>
      </c>
      <c r="AJ1" s="23">
        <f t="shared" si="0"/>
        <v>0.3</v>
      </c>
      <c r="AK1" s="23">
        <f t="shared" si="0"/>
        <v>0.4</v>
      </c>
      <c r="AL1" s="23">
        <f t="shared" si="0"/>
        <v>0.5</v>
      </c>
      <c r="AM1" s="23">
        <f t="shared" si="0"/>
        <v>0.6</v>
      </c>
      <c r="AN1" s="23">
        <f t="shared" si="0"/>
        <v>0.7</v>
      </c>
      <c r="AO1" s="23">
        <f t="shared" si="0"/>
        <v>0.8</v>
      </c>
      <c r="AP1" s="23">
        <f t="shared" si="0"/>
        <v>0.9</v>
      </c>
      <c r="AQ1" s="23">
        <f t="shared" si="0"/>
        <v>1</v>
      </c>
      <c r="AR1" s="23">
        <f t="shared" si="0"/>
        <v>1.1000000000000001</v>
      </c>
      <c r="AS1" s="23">
        <f t="shared" si="0"/>
        <v>1.2</v>
      </c>
      <c r="AT1" s="23">
        <f t="shared" si="0"/>
        <v>1.3</v>
      </c>
      <c r="AU1" s="23">
        <f t="shared" si="0"/>
        <v>1.4</v>
      </c>
      <c r="AV1" s="23">
        <f t="shared" si="0"/>
        <v>1.5</v>
      </c>
      <c r="AW1" s="23">
        <f t="shared" si="0"/>
        <v>1.6</v>
      </c>
      <c r="AX1" s="23">
        <f t="shared" si="0"/>
        <v>1.7</v>
      </c>
      <c r="AY1" s="23">
        <f t="shared" si="0"/>
        <v>1.8</v>
      </c>
      <c r="AZ1" s="23">
        <f t="shared" si="0"/>
        <v>1.9</v>
      </c>
      <c r="BA1" s="23">
        <f t="shared" si="0"/>
        <v>2</v>
      </c>
      <c r="BB1" s="23">
        <f t="shared" si="0"/>
        <v>2.1</v>
      </c>
      <c r="BC1" s="23">
        <f t="shared" si="0"/>
        <v>2.2000000000000002</v>
      </c>
      <c r="BD1" s="23">
        <f t="shared" si="0"/>
        <v>2.2999999999999998</v>
      </c>
      <c r="BE1" s="23">
        <f t="shared" si="0"/>
        <v>2.4</v>
      </c>
      <c r="BF1" s="23">
        <f t="shared" si="0"/>
        <v>2.5</v>
      </c>
      <c r="BG1" s="23">
        <f t="shared" si="0"/>
        <v>2.6</v>
      </c>
      <c r="BH1" s="23">
        <f t="shared" si="0"/>
        <v>2.7</v>
      </c>
      <c r="BI1" s="23">
        <f t="shared" si="0"/>
        <v>2.8</v>
      </c>
      <c r="BJ1" s="23">
        <f t="shared" si="0"/>
        <v>2.9</v>
      </c>
      <c r="BK1" s="23">
        <f t="shared" si="0"/>
        <v>3</v>
      </c>
      <c r="BL1" s="23">
        <f t="shared" si="0"/>
        <v>3.1</v>
      </c>
      <c r="BM1" s="23">
        <f t="shared" si="0"/>
        <v>3.2</v>
      </c>
      <c r="BN1" s="23">
        <f t="shared" si="0"/>
        <v>3.3</v>
      </c>
      <c r="BO1" s="23">
        <f t="shared" ref="BO1:DZ1" si="1">BO3</f>
        <v>3.4</v>
      </c>
      <c r="BP1" s="23">
        <f t="shared" si="1"/>
        <v>3.5</v>
      </c>
      <c r="BQ1" s="23">
        <f t="shared" si="1"/>
        <v>3.6</v>
      </c>
      <c r="BR1" s="23">
        <f t="shared" si="1"/>
        <v>3.7</v>
      </c>
      <c r="BS1" s="23">
        <f t="shared" si="1"/>
        <v>3.8</v>
      </c>
      <c r="BT1" s="23">
        <f t="shared" si="1"/>
        <v>3.9</v>
      </c>
      <c r="BU1" s="23">
        <f t="shared" si="1"/>
        <v>4</v>
      </c>
      <c r="BV1" s="23">
        <f t="shared" si="1"/>
        <v>4.0999999999999996</v>
      </c>
      <c r="BW1" s="23">
        <f t="shared" si="1"/>
        <v>4.1500000000000004</v>
      </c>
      <c r="BX1" s="23">
        <f t="shared" si="1"/>
        <v>4.2</v>
      </c>
      <c r="BY1" s="23">
        <f t="shared" si="1"/>
        <v>4.25</v>
      </c>
      <c r="BZ1" s="23">
        <f t="shared" si="1"/>
        <v>4.3</v>
      </c>
      <c r="CA1" s="23">
        <f t="shared" si="1"/>
        <v>4.3499999999999996</v>
      </c>
      <c r="CB1" s="23">
        <f t="shared" si="1"/>
        <v>4.4000000000000004</v>
      </c>
      <c r="CC1" s="23">
        <f t="shared" si="1"/>
        <v>4.45</v>
      </c>
      <c r="CD1" s="23">
        <f t="shared" si="1"/>
        <v>4.5</v>
      </c>
      <c r="CE1" s="23">
        <f t="shared" si="1"/>
        <v>4.55</v>
      </c>
      <c r="CF1" s="23">
        <f t="shared" si="1"/>
        <v>4.5999999999999996</v>
      </c>
      <c r="CG1" s="23">
        <f t="shared" si="1"/>
        <v>4.6500000000000004</v>
      </c>
      <c r="CH1" s="23">
        <f t="shared" si="1"/>
        <v>4.7</v>
      </c>
      <c r="CI1" s="23">
        <f t="shared" si="1"/>
        <v>4.75</v>
      </c>
      <c r="CJ1" s="23">
        <f t="shared" si="1"/>
        <v>4.8</v>
      </c>
      <c r="CK1" s="23">
        <f t="shared" si="1"/>
        <v>4.8499999999999996</v>
      </c>
      <c r="CL1" s="23">
        <f t="shared" si="1"/>
        <v>4.9000000000000004</v>
      </c>
      <c r="CM1" s="23">
        <f t="shared" si="1"/>
        <v>4.95</v>
      </c>
      <c r="CN1" s="23">
        <f t="shared" si="1"/>
        <v>5</v>
      </c>
      <c r="CO1" s="23">
        <f t="shared" si="1"/>
        <v>5.05</v>
      </c>
      <c r="CP1" s="23">
        <f t="shared" si="1"/>
        <v>5.0999999999999996</v>
      </c>
      <c r="CQ1" s="23">
        <f t="shared" si="1"/>
        <v>5.15</v>
      </c>
      <c r="CR1" s="23">
        <f t="shared" si="1"/>
        <v>5.2</v>
      </c>
      <c r="CS1" s="23">
        <f t="shared" si="1"/>
        <v>5.25</v>
      </c>
      <c r="CT1" s="23">
        <f t="shared" si="1"/>
        <v>5.3</v>
      </c>
      <c r="CU1" s="23">
        <f t="shared" si="1"/>
        <v>5.35</v>
      </c>
      <c r="CV1" s="23">
        <f t="shared" si="1"/>
        <v>5.4</v>
      </c>
      <c r="CW1" s="23">
        <f t="shared" si="1"/>
        <v>5.45</v>
      </c>
      <c r="CX1" s="23">
        <f t="shared" si="1"/>
        <v>5.5</v>
      </c>
      <c r="CY1" s="23">
        <f t="shared" si="1"/>
        <v>5.55</v>
      </c>
      <c r="CZ1" s="23">
        <f t="shared" si="1"/>
        <v>5.6</v>
      </c>
      <c r="DA1" s="23">
        <f t="shared" si="1"/>
        <v>5.65</v>
      </c>
      <c r="DB1" s="23">
        <f t="shared" si="1"/>
        <v>5.7</v>
      </c>
      <c r="DC1" s="23">
        <f t="shared" si="1"/>
        <v>5.75</v>
      </c>
      <c r="DD1" s="23">
        <f t="shared" si="1"/>
        <v>5.8</v>
      </c>
      <c r="DE1" s="23">
        <f t="shared" si="1"/>
        <v>5.85</v>
      </c>
      <c r="DF1" s="23">
        <f t="shared" si="1"/>
        <v>5.9</v>
      </c>
      <c r="DG1" s="23">
        <f t="shared" si="1"/>
        <v>6</v>
      </c>
      <c r="DH1" s="23">
        <f t="shared" si="1"/>
        <v>6.05</v>
      </c>
      <c r="DI1" s="23">
        <f t="shared" si="1"/>
        <v>6.1</v>
      </c>
      <c r="DJ1" s="23">
        <f t="shared" si="1"/>
        <v>6.15</v>
      </c>
      <c r="DK1" s="23">
        <f t="shared" si="1"/>
        <v>6.2</v>
      </c>
      <c r="DL1" s="23">
        <f t="shared" si="1"/>
        <v>6.25</v>
      </c>
      <c r="DM1" s="23">
        <f t="shared" si="1"/>
        <v>6.3</v>
      </c>
      <c r="DN1" s="23">
        <f t="shared" si="1"/>
        <v>6.35</v>
      </c>
      <c r="DO1" s="23">
        <f t="shared" si="1"/>
        <v>6.4</v>
      </c>
      <c r="DP1" s="23">
        <f t="shared" si="1"/>
        <v>6.45</v>
      </c>
      <c r="DQ1" s="23">
        <f t="shared" si="1"/>
        <v>6.5</v>
      </c>
      <c r="DR1" s="23">
        <f t="shared" si="1"/>
        <v>6.55</v>
      </c>
      <c r="DS1" s="23">
        <f t="shared" si="1"/>
        <v>6.6</v>
      </c>
      <c r="DT1" s="23">
        <f t="shared" si="1"/>
        <v>6.65</v>
      </c>
      <c r="DU1" s="23">
        <f t="shared" si="1"/>
        <v>6.7</v>
      </c>
      <c r="DV1" s="23">
        <f t="shared" si="1"/>
        <v>6.75</v>
      </c>
      <c r="DW1" s="23">
        <f t="shared" si="1"/>
        <v>6.8</v>
      </c>
      <c r="DX1" s="23">
        <f t="shared" si="1"/>
        <v>6.85</v>
      </c>
      <c r="DY1" s="23">
        <f t="shared" si="1"/>
        <v>6.9</v>
      </c>
      <c r="DZ1" s="23">
        <f t="shared" si="1"/>
        <v>6.95</v>
      </c>
      <c r="EA1" s="23">
        <f t="shared" ref="EA1:EK1" si="2">EA3</f>
        <v>7</v>
      </c>
      <c r="EB1" s="23">
        <f t="shared" si="2"/>
        <v>7.05</v>
      </c>
      <c r="EC1" s="23">
        <f t="shared" si="2"/>
        <v>7.1</v>
      </c>
      <c r="ED1" s="23">
        <f t="shared" si="2"/>
        <v>7.15</v>
      </c>
      <c r="EE1" s="23">
        <f t="shared" si="2"/>
        <v>7.2</v>
      </c>
      <c r="EF1" s="23">
        <f t="shared" si="2"/>
        <v>7.25</v>
      </c>
      <c r="EG1" s="23">
        <f t="shared" si="2"/>
        <v>7.3</v>
      </c>
      <c r="EH1" s="23">
        <f t="shared" si="2"/>
        <v>7.35</v>
      </c>
      <c r="EI1" s="23">
        <f t="shared" si="2"/>
        <v>7.4</v>
      </c>
      <c r="EJ1" s="23">
        <f t="shared" si="2"/>
        <v>7.45</v>
      </c>
      <c r="EK1" s="23">
        <f t="shared" si="2"/>
        <v>7.5</v>
      </c>
    </row>
    <row r="2" spans="1:141" x14ac:dyDescent="0.2">
      <c r="B2" s="23">
        <v>2</v>
      </c>
      <c r="C2" s="23">
        <f>B2+1</f>
        <v>3</v>
      </c>
      <c r="D2" s="23">
        <f t="shared" ref="D2:BO2" si="3">C2+1</f>
        <v>4</v>
      </c>
      <c r="E2" s="23">
        <f t="shared" si="3"/>
        <v>5</v>
      </c>
      <c r="F2" s="23">
        <f t="shared" si="3"/>
        <v>6</v>
      </c>
      <c r="G2" s="23">
        <f t="shared" si="3"/>
        <v>7</v>
      </c>
      <c r="H2" s="23">
        <f t="shared" si="3"/>
        <v>8</v>
      </c>
      <c r="I2" s="23">
        <f t="shared" si="3"/>
        <v>9</v>
      </c>
      <c r="J2" s="23">
        <f t="shared" si="3"/>
        <v>10</v>
      </c>
      <c r="K2" s="23">
        <f t="shared" si="3"/>
        <v>11</v>
      </c>
      <c r="L2" s="23">
        <f t="shared" si="3"/>
        <v>12</v>
      </c>
      <c r="M2" s="23">
        <f t="shared" si="3"/>
        <v>13</v>
      </c>
      <c r="N2" s="23">
        <f t="shared" si="3"/>
        <v>14</v>
      </c>
      <c r="O2" s="23">
        <f t="shared" si="3"/>
        <v>15</v>
      </c>
      <c r="P2" s="23">
        <f t="shared" si="3"/>
        <v>16</v>
      </c>
      <c r="Q2" s="23">
        <f t="shared" si="3"/>
        <v>17</v>
      </c>
      <c r="R2" s="23">
        <f t="shared" si="3"/>
        <v>18</v>
      </c>
      <c r="S2" s="23">
        <f t="shared" si="3"/>
        <v>19</v>
      </c>
      <c r="T2" s="23">
        <f t="shared" si="3"/>
        <v>20</v>
      </c>
      <c r="U2" s="23">
        <f t="shared" si="3"/>
        <v>21</v>
      </c>
      <c r="V2" s="23">
        <f t="shared" si="3"/>
        <v>22</v>
      </c>
      <c r="W2" s="23">
        <f t="shared" si="3"/>
        <v>23</v>
      </c>
      <c r="X2" s="23">
        <f t="shared" si="3"/>
        <v>24</v>
      </c>
      <c r="Y2" s="23">
        <f t="shared" si="3"/>
        <v>25</v>
      </c>
      <c r="Z2" s="23">
        <f t="shared" si="3"/>
        <v>26</v>
      </c>
      <c r="AA2" s="23">
        <f t="shared" si="3"/>
        <v>27</v>
      </c>
      <c r="AB2" s="23">
        <f t="shared" si="3"/>
        <v>28</v>
      </c>
      <c r="AC2" s="23">
        <f t="shared" si="3"/>
        <v>29</v>
      </c>
      <c r="AD2" s="23">
        <f t="shared" si="3"/>
        <v>30</v>
      </c>
      <c r="AE2" s="23">
        <f t="shared" si="3"/>
        <v>31</v>
      </c>
      <c r="AF2" s="23">
        <f t="shared" si="3"/>
        <v>32</v>
      </c>
      <c r="AG2" s="23">
        <f t="shared" si="3"/>
        <v>33</v>
      </c>
      <c r="AH2" s="23">
        <f t="shared" si="3"/>
        <v>34</v>
      </c>
      <c r="AI2" s="23">
        <f t="shared" si="3"/>
        <v>35</v>
      </c>
      <c r="AJ2" s="23">
        <f t="shared" si="3"/>
        <v>36</v>
      </c>
      <c r="AK2" s="23">
        <f t="shared" si="3"/>
        <v>37</v>
      </c>
      <c r="AL2" s="23">
        <f t="shared" si="3"/>
        <v>38</v>
      </c>
      <c r="AM2" s="23">
        <f t="shared" si="3"/>
        <v>39</v>
      </c>
      <c r="AN2" s="23">
        <f t="shared" si="3"/>
        <v>40</v>
      </c>
      <c r="AO2" s="23">
        <f t="shared" si="3"/>
        <v>41</v>
      </c>
      <c r="AP2" s="23">
        <f t="shared" si="3"/>
        <v>42</v>
      </c>
      <c r="AQ2" s="23">
        <f t="shared" si="3"/>
        <v>43</v>
      </c>
      <c r="AR2" s="23">
        <f t="shared" si="3"/>
        <v>44</v>
      </c>
      <c r="AS2" s="23">
        <f t="shared" si="3"/>
        <v>45</v>
      </c>
      <c r="AT2" s="23">
        <f t="shared" si="3"/>
        <v>46</v>
      </c>
      <c r="AU2" s="23">
        <f t="shared" si="3"/>
        <v>47</v>
      </c>
      <c r="AV2" s="23">
        <f t="shared" si="3"/>
        <v>48</v>
      </c>
      <c r="AW2" s="23">
        <f t="shared" si="3"/>
        <v>49</v>
      </c>
      <c r="AX2" s="23">
        <f t="shared" si="3"/>
        <v>50</v>
      </c>
      <c r="AY2" s="23">
        <f t="shared" si="3"/>
        <v>51</v>
      </c>
      <c r="AZ2" s="23">
        <f t="shared" si="3"/>
        <v>52</v>
      </c>
      <c r="BA2" s="23">
        <f t="shared" si="3"/>
        <v>53</v>
      </c>
      <c r="BB2" s="23">
        <f t="shared" si="3"/>
        <v>54</v>
      </c>
      <c r="BC2" s="23">
        <f t="shared" si="3"/>
        <v>55</v>
      </c>
      <c r="BD2" s="23">
        <f t="shared" si="3"/>
        <v>56</v>
      </c>
      <c r="BE2" s="23">
        <f t="shared" si="3"/>
        <v>57</v>
      </c>
      <c r="BF2" s="23">
        <f t="shared" si="3"/>
        <v>58</v>
      </c>
      <c r="BG2" s="23">
        <f t="shared" si="3"/>
        <v>59</v>
      </c>
      <c r="BH2" s="23">
        <f t="shared" si="3"/>
        <v>60</v>
      </c>
      <c r="BI2" s="23">
        <f t="shared" si="3"/>
        <v>61</v>
      </c>
      <c r="BJ2" s="23">
        <f t="shared" si="3"/>
        <v>62</v>
      </c>
      <c r="BK2" s="23">
        <f t="shared" si="3"/>
        <v>63</v>
      </c>
      <c r="BL2" s="23">
        <f t="shared" si="3"/>
        <v>64</v>
      </c>
      <c r="BM2" s="23">
        <f t="shared" si="3"/>
        <v>65</v>
      </c>
      <c r="BN2" s="23">
        <f t="shared" si="3"/>
        <v>66</v>
      </c>
      <c r="BO2" s="23">
        <f t="shared" si="3"/>
        <v>67</v>
      </c>
      <c r="BP2" s="23">
        <f t="shared" ref="BP2:EA2" si="4">BO2+1</f>
        <v>68</v>
      </c>
      <c r="BQ2" s="23">
        <f t="shared" si="4"/>
        <v>69</v>
      </c>
      <c r="BR2" s="23">
        <f t="shared" si="4"/>
        <v>70</v>
      </c>
      <c r="BS2" s="23">
        <f t="shared" si="4"/>
        <v>71</v>
      </c>
      <c r="BT2" s="23">
        <f t="shared" si="4"/>
        <v>72</v>
      </c>
      <c r="BU2" s="23">
        <f t="shared" si="4"/>
        <v>73</v>
      </c>
      <c r="BV2" s="23">
        <f t="shared" si="4"/>
        <v>74</v>
      </c>
      <c r="BW2" s="23">
        <f t="shared" si="4"/>
        <v>75</v>
      </c>
      <c r="BX2" s="23">
        <f t="shared" si="4"/>
        <v>76</v>
      </c>
      <c r="BY2" s="23">
        <f t="shared" si="4"/>
        <v>77</v>
      </c>
      <c r="BZ2" s="23">
        <f t="shared" si="4"/>
        <v>78</v>
      </c>
      <c r="CA2" s="23">
        <f t="shared" si="4"/>
        <v>79</v>
      </c>
      <c r="CB2" s="23">
        <f t="shared" si="4"/>
        <v>80</v>
      </c>
      <c r="CC2" s="23">
        <f t="shared" si="4"/>
        <v>81</v>
      </c>
      <c r="CD2" s="23">
        <f t="shared" si="4"/>
        <v>82</v>
      </c>
      <c r="CE2" s="23">
        <f t="shared" si="4"/>
        <v>83</v>
      </c>
      <c r="CF2" s="23">
        <f t="shared" si="4"/>
        <v>84</v>
      </c>
      <c r="CG2" s="23">
        <f t="shared" si="4"/>
        <v>85</v>
      </c>
      <c r="CH2" s="23">
        <f t="shared" si="4"/>
        <v>86</v>
      </c>
      <c r="CI2" s="23">
        <f t="shared" si="4"/>
        <v>87</v>
      </c>
      <c r="CJ2" s="23">
        <f t="shared" si="4"/>
        <v>88</v>
      </c>
      <c r="CK2" s="23">
        <f t="shared" si="4"/>
        <v>89</v>
      </c>
      <c r="CL2" s="23">
        <f t="shared" si="4"/>
        <v>90</v>
      </c>
      <c r="CM2" s="23">
        <f t="shared" si="4"/>
        <v>91</v>
      </c>
      <c r="CN2" s="23">
        <f t="shared" si="4"/>
        <v>92</v>
      </c>
      <c r="CO2" s="23">
        <f t="shared" si="4"/>
        <v>93</v>
      </c>
      <c r="CP2" s="23">
        <f t="shared" si="4"/>
        <v>94</v>
      </c>
      <c r="CQ2" s="23">
        <f t="shared" si="4"/>
        <v>95</v>
      </c>
      <c r="CR2" s="23">
        <f t="shared" si="4"/>
        <v>96</v>
      </c>
      <c r="CS2" s="23">
        <f t="shared" si="4"/>
        <v>97</v>
      </c>
      <c r="CT2" s="23">
        <f t="shared" si="4"/>
        <v>98</v>
      </c>
      <c r="CU2" s="23">
        <f t="shared" si="4"/>
        <v>99</v>
      </c>
      <c r="CV2" s="23">
        <f t="shared" si="4"/>
        <v>100</v>
      </c>
      <c r="CW2" s="23">
        <f t="shared" si="4"/>
        <v>101</v>
      </c>
      <c r="CX2" s="23">
        <f t="shared" si="4"/>
        <v>102</v>
      </c>
      <c r="CY2" s="23">
        <f t="shared" si="4"/>
        <v>103</v>
      </c>
      <c r="CZ2" s="23">
        <f t="shared" si="4"/>
        <v>104</v>
      </c>
      <c r="DA2" s="23">
        <f t="shared" si="4"/>
        <v>105</v>
      </c>
      <c r="DB2" s="23">
        <f t="shared" si="4"/>
        <v>106</v>
      </c>
      <c r="DC2" s="23">
        <f t="shared" si="4"/>
        <v>107</v>
      </c>
      <c r="DD2" s="23">
        <f t="shared" si="4"/>
        <v>108</v>
      </c>
      <c r="DE2" s="23">
        <f t="shared" si="4"/>
        <v>109</v>
      </c>
      <c r="DF2" s="23">
        <f t="shared" si="4"/>
        <v>110</v>
      </c>
      <c r="DG2" s="23">
        <f t="shared" si="4"/>
        <v>111</v>
      </c>
      <c r="DH2" s="23">
        <f t="shared" si="4"/>
        <v>112</v>
      </c>
      <c r="DI2" s="23">
        <f t="shared" si="4"/>
        <v>113</v>
      </c>
      <c r="DJ2" s="23">
        <f t="shared" si="4"/>
        <v>114</v>
      </c>
      <c r="DK2" s="23">
        <f t="shared" si="4"/>
        <v>115</v>
      </c>
      <c r="DL2" s="23">
        <f t="shared" si="4"/>
        <v>116</v>
      </c>
      <c r="DM2" s="23">
        <f t="shared" si="4"/>
        <v>117</v>
      </c>
      <c r="DN2" s="23">
        <f t="shared" si="4"/>
        <v>118</v>
      </c>
      <c r="DO2" s="23">
        <f t="shared" si="4"/>
        <v>119</v>
      </c>
      <c r="DP2" s="23">
        <f t="shared" si="4"/>
        <v>120</v>
      </c>
      <c r="DQ2" s="23">
        <f t="shared" si="4"/>
        <v>121</v>
      </c>
      <c r="DR2" s="23">
        <f t="shared" si="4"/>
        <v>122</v>
      </c>
      <c r="DS2" s="23">
        <f t="shared" si="4"/>
        <v>123</v>
      </c>
      <c r="DT2" s="23">
        <f t="shared" si="4"/>
        <v>124</v>
      </c>
      <c r="DU2" s="23">
        <f t="shared" si="4"/>
        <v>125</v>
      </c>
      <c r="DV2" s="23">
        <f t="shared" si="4"/>
        <v>126</v>
      </c>
      <c r="DW2" s="23">
        <f t="shared" si="4"/>
        <v>127</v>
      </c>
      <c r="DX2" s="23">
        <f t="shared" si="4"/>
        <v>128</v>
      </c>
      <c r="DY2" s="23">
        <f t="shared" si="4"/>
        <v>129</v>
      </c>
      <c r="DZ2" s="23">
        <f t="shared" si="4"/>
        <v>130</v>
      </c>
      <c r="EA2" s="23">
        <f t="shared" si="4"/>
        <v>131</v>
      </c>
      <c r="EB2" s="23">
        <f t="shared" ref="EB2:EK2" si="5">EA2+1</f>
        <v>132</v>
      </c>
      <c r="EC2" s="23">
        <f t="shared" si="5"/>
        <v>133</v>
      </c>
      <c r="ED2" s="23">
        <f t="shared" si="5"/>
        <v>134</v>
      </c>
      <c r="EE2" s="23">
        <f t="shared" si="5"/>
        <v>135</v>
      </c>
      <c r="EF2" s="23">
        <f t="shared" si="5"/>
        <v>136</v>
      </c>
      <c r="EG2" s="23">
        <f t="shared" si="5"/>
        <v>137</v>
      </c>
      <c r="EH2" s="23">
        <f t="shared" si="5"/>
        <v>138</v>
      </c>
      <c r="EI2" s="23">
        <f t="shared" si="5"/>
        <v>139</v>
      </c>
      <c r="EJ2" s="23">
        <f t="shared" si="5"/>
        <v>140</v>
      </c>
      <c r="EK2" s="23">
        <f t="shared" si="5"/>
        <v>141</v>
      </c>
    </row>
    <row r="3" spans="1:141" ht="13.2" x14ac:dyDescent="0.25">
      <c r="A3" s="147"/>
      <c r="B3" s="218">
        <v>-2.6</v>
      </c>
      <c r="C3" s="218">
        <v>-2.5499999999999998</v>
      </c>
      <c r="D3" s="218">
        <v>-2.5</v>
      </c>
      <c r="E3" s="218">
        <v>-2.4500000000000002</v>
      </c>
      <c r="F3" s="218">
        <v>-2.4</v>
      </c>
      <c r="G3" s="218">
        <v>-2.35</v>
      </c>
      <c r="H3" s="218">
        <v>-2.2999999999999998</v>
      </c>
      <c r="I3" s="218">
        <v>-2.25</v>
      </c>
      <c r="J3" s="218">
        <v>-2.2000000000000002</v>
      </c>
      <c r="K3" s="218">
        <v>-2.15</v>
      </c>
      <c r="L3" s="148">
        <v>-2.1</v>
      </c>
      <c r="M3" s="148">
        <v>-2</v>
      </c>
      <c r="N3" s="148">
        <v>-1.9</v>
      </c>
      <c r="O3" s="148">
        <v>-1.8</v>
      </c>
      <c r="P3" s="148">
        <v>-1.7</v>
      </c>
      <c r="Q3" s="148">
        <v>-1.6</v>
      </c>
      <c r="R3" s="148">
        <v>-1.5</v>
      </c>
      <c r="S3" s="148">
        <v>-1.4</v>
      </c>
      <c r="T3" s="148">
        <v>-1.3</v>
      </c>
      <c r="U3" s="148">
        <v>-1.2</v>
      </c>
      <c r="V3" s="148">
        <v>-1.1000000000000001</v>
      </c>
      <c r="W3" s="148">
        <v>-1</v>
      </c>
      <c r="X3" s="148">
        <v>-0.9</v>
      </c>
      <c r="Y3" s="148">
        <v>-0.8</v>
      </c>
      <c r="Z3" s="148">
        <v>-0.7</v>
      </c>
      <c r="AA3" s="148">
        <v>-0.6</v>
      </c>
      <c r="AB3" s="148">
        <v>-0.5</v>
      </c>
      <c r="AC3" s="148">
        <v>-0.4</v>
      </c>
      <c r="AD3" s="148">
        <v>-0.3</v>
      </c>
      <c r="AE3" s="148">
        <v>-0.2</v>
      </c>
      <c r="AF3" s="148">
        <v>-0.1</v>
      </c>
      <c r="AG3" s="148">
        <v>0</v>
      </c>
      <c r="AH3" s="148">
        <v>0.1</v>
      </c>
      <c r="AI3" s="148">
        <v>0.2</v>
      </c>
      <c r="AJ3" s="148">
        <v>0.3</v>
      </c>
      <c r="AK3" s="148">
        <v>0.4</v>
      </c>
      <c r="AL3" s="148">
        <v>0.5</v>
      </c>
      <c r="AM3" s="148">
        <v>0.6</v>
      </c>
      <c r="AN3" s="148">
        <v>0.7</v>
      </c>
      <c r="AO3" s="148">
        <v>0.8</v>
      </c>
      <c r="AP3" s="148">
        <v>0.9</v>
      </c>
      <c r="AQ3" s="148">
        <v>1</v>
      </c>
      <c r="AR3" s="148">
        <v>1.1000000000000001</v>
      </c>
      <c r="AS3" s="148">
        <v>1.2</v>
      </c>
      <c r="AT3" s="148">
        <v>1.3</v>
      </c>
      <c r="AU3" s="148">
        <v>1.4</v>
      </c>
      <c r="AV3" s="148">
        <v>1.5</v>
      </c>
      <c r="AW3" s="148">
        <v>1.6</v>
      </c>
      <c r="AX3" s="148">
        <v>1.7</v>
      </c>
      <c r="AY3" s="148">
        <v>1.8</v>
      </c>
      <c r="AZ3" s="148">
        <v>1.9</v>
      </c>
      <c r="BA3" s="148">
        <v>2</v>
      </c>
      <c r="BB3" s="148">
        <v>2.1</v>
      </c>
      <c r="BC3" s="148">
        <v>2.2000000000000002</v>
      </c>
      <c r="BD3" s="148">
        <v>2.2999999999999998</v>
      </c>
      <c r="BE3" s="148">
        <v>2.4</v>
      </c>
      <c r="BF3" s="148">
        <v>2.5</v>
      </c>
      <c r="BG3" s="148">
        <v>2.6</v>
      </c>
      <c r="BH3" s="148">
        <v>2.7</v>
      </c>
      <c r="BI3" s="148">
        <v>2.8</v>
      </c>
      <c r="BJ3" s="148">
        <v>2.9</v>
      </c>
      <c r="BK3" s="148">
        <v>3</v>
      </c>
      <c r="BL3" s="148">
        <v>3.1</v>
      </c>
      <c r="BM3" s="148">
        <v>3.2</v>
      </c>
      <c r="BN3" s="148">
        <v>3.3</v>
      </c>
      <c r="BO3" s="148">
        <v>3.4</v>
      </c>
      <c r="BP3" s="148">
        <v>3.5</v>
      </c>
      <c r="BQ3" s="148">
        <v>3.6</v>
      </c>
      <c r="BR3" s="148">
        <v>3.7</v>
      </c>
      <c r="BS3" s="148">
        <v>3.8</v>
      </c>
      <c r="BT3" s="148">
        <v>3.9</v>
      </c>
      <c r="BU3" s="148">
        <v>4</v>
      </c>
      <c r="BV3" s="148">
        <v>4.0999999999999996</v>
      </c>
      <c r="BW3" s="148">
        <v>4.1500000000000004</v>
      </c>
      <c r="BX3" s="148">
        <v>4.2</v>
      </c>
      <c r="BY3" s="148">
        <v>4.25</v>
      </c>
      <c r="BZ3" s="148">
        <v>4.3</v>
      </c>
      <c r="CA3" s="148">
        <v>4.3499999999999996</v>
      </c>
      <c r="CB3" s="148">
        <v>4.4000000000000004</v>
      </c>
      <c r="CC3" s="148">
        <v>4.45</v>
      </c>
      <c r="CD3" s="148">
        <v>4.5</v>
      </c>
      <c r="CE3" s="148">
        <v>4.55</v>
      </c>
      <c r="CF3" s="148">
        <v>4.5999999999999996</v>
      </c>
      <c r="CG3" s="148">
        <v>4.6500000000000004</v>
      </c>
      <c r="CH3" s="148">
        <v>4.7</v>
      </c>
      <c r="CI3" s="148">
        <v>4.75</v>
      </c>
      <c r="CJ3" s="148">
        <v>4.8</v>
      </c>
      <c r="CK3" s="148">
        <v>4.8499999999999996</v>
      </c>
      <c r="CL3" s="148">
        <v>4.9000000000000004</v>
      </c>
      <c r="CM3" s="148">
        <v>4.95</v>
      </c>
      <c r="CN3" s="148">
        <v>5</v>
      </c>
      <c r="CO3" s="148">
        <v>5.05</v>
      </c>
      <c r="CP3" s="148">
        <v>5.0999999999999996</v>
      </c>
      <c r="CQ3" s="148">
        <v>5.15</v>
      </c>
      <c r="CR3" s="148">
        <v>5.2</v>
      </c>
      <c r="CS3" s="148">
        <v>5.25</v>
      </c>
      <c r="CT3" s="148">
        <v>5.3</v>
      </c>
      <c r="CU3" s="148">
        <v>5.35</v>
      </c>
      <c r="CV3" s="148">
        <v>5.4</v>
      </c>
      <c r="CW3" s="148">
        <v>5.45</v>
      </c>
      <c r="CX3" s="148">
        <v>5.5</v>
      </c>
      <c r="CY3" s="148">
        <v>5.55</v>
      </c>
      <c r="CZ3" s="148">
        <v>5.6</v>
      </c>
      <c r="DA3" s="148">
        <v>5.65</v>
      </c>
      <c r="DB3" s="148">
        <v>5.7</v>
      </c>
      <c r="DC3" s="148">
        <v>5.75</v>
      </c>
      <c r="DD3" s="148">
        <v>5.8</v>
      </c>
      <c r="DE3" s="148">
        <v>5.85</v>
      </c>
      <c r="DF3" s="148">
        <v>5.9</v>
      </c>
      <c r="DG3" s="148">
        <v>6</v>
      </c>
      <c r="DH3" s="148">
        <v>6.05</v>
      </c>
      <c r="DI3" s="148">
        <v>6.1</v>
      </c>
      <c r="DJ3" s="148">
        <v>6.15</v>
      </c>
      <c r="DK3" s="148">
        <v>6.2</v>
      </c>
      <c r="DL3" s="148">
        <v>6.25</v>
      </c>
      <c r="DM3" s="148">
        <v>6.3</v>
      </c>
      <c r="DN3" s="148">
        <v>6.35</v>
      </c>
      <c r="DO3" s="148">
        <v>6.4</v>
      </c>
      <c r="DP3" s="148">
        <v>6.45</v>
      </c>
      <c r="DQ3" s="148">
        <v>6.5</v>
      </c>
      <c r="DR3" s="148">
        <v>6.55</v>
      </c>
      <c r="DS3" s="148">
        <v>6.6</v>
      </c>
      <c r="DT3" s="148">
        <v>6.65</v>
      </c>
      <c r="DU3" s="148">
        <v>6.7</v>
      </c>
      <c r="DV3" s="148">
        <v>6.75</v>
      </c>
      <c r="DW3" s="148">
        <v>6.8</v>
      </c>
      <c r="DX3" s="148">
        <v>6.85</v>
      </c>
      <c r="DY3" s="148">
        <v>6.9</v>
      </c>
      <c r="DZ3" s="148">
        <v>6.95</v>
      </c>
      <c r="EA3" s="148">
        <v>7</v>
      </c>
      <c r="EB3" s="148">
        <v>7.05</v>
      </c>
      <c r="EC3" s="148">
        <v>7.1</v>
      </c>
      <c r="ED3" s="148">
        <v>7.15</v>
      </c>
      <c r="EE3" s="148">
        <v>7.2</v>
      </c>
      <c r="EF3" s="148">
        <v>7.25</v>
      </c>
      <c r="EG3" s="148">
        <v>7.3</v>
      </c>
      <c r="EH3" s="148">
        <v>7.35</v>
      </c>
      <c r="EI3" s="148">
        <v>7.4</v>
      </c>
      <c r="EJ3" s="148">
        <v>7.45</v>
      </c>
      <c r="EK3" s="148">
        <v>7.5</v>
      </c>
    </row>
    <row r="4" spans="1:141" ht="13.2" x14ac:dyDescent="0.25">
      <c r="A4" s="254">
        <v>36770</v>
      </c>
      <c r="B4" s="219">
        <v>-4.446491037187501</v>
      </c>
      <c r="C4" s="219">
        <v>-4.3707380639062547</v>
      </c>
      <c r="D4" s="219">
        <v>-4.2949850906250013</v>
      </c>
      <c r="E4" s="219">
        <v>-4.2192321173437541</v>
      </c>
      <c r="F4" s="219">
        <v>-4.1434791440625016</v>
      </c>
      <c r="G4" s="219">
        <v>-4.0677261707812535</v>
      </c>
      <c r="H4" s="219">
        <v>-3.9919731975000019</v>
      </c>
      <c r="I4" s="219">
        <v>-3.9162202242187529</v>
      </c>
      <c r="J4" s="219">
        <v>-3.8404672509375017</v>
      </c>
      <c r="K4" s="219">
        <v>-3.7647142776562523</v>
      </c>
      <c r="L4" s="219">
        <v>-3.6889613043750016</v>
      </c>
      <c r="M4" s="219">
        <v>-3.6132083310937517</v>
      </c>
      <c r="N4" s="219">
        <v>-3.5374553578125014</v>
      </c>
      <c r="O4" s="219">
        <v>-3.4617023845312511</v>
      </c>
      <c r="P4" s="219">
        <v>-3.3859494112500013</v>
      </c>
      <c r="Q4" s="219">
        <v>-3.3101964379687514</v>
      </c>
      <c r="R4" s="219">
        <v>-3.2344434646875011</v>
      </c>
      <c r="S4" s="219">
        <v>-3.1586904914062508</v>
      </c>
      <c r="T4" s="219">
        <v>-3.0829375181250009</v>
      </c>
      <c r="U4" s="219">
        <v>-3.0071845448437511</v>
      </c>
      <c r="V4" s="220">
        <v>-2.9314315715625008</v>
      </c>
      <c r="W4" s="219">
        <v>-2.8556785982812505</v>
      </c>
      <c r="X4" s="220">
        <v>-2.7799256250000006</v>
      </c>
      <c r="Y4" s="219">
        <v>-2.7080878125000005</v>
      </c>
      <c r="Z4" s="220">
        <v>-2.63625</v>
      </c>
      <c r="AA4" s="219">
        <v>-2.5681250000000002</v>
      </c>
      <c r="AB4" s="221">
        <v>-2.5</v>
      </c>
      <c r="AC4" s="219">
        <v>-2</v>
      </c>
      <c r="AD4" s="221">
        <v>-1.5</v>
      </c>
      <c r="AE4" s="219">
        <v>-1</v>
      </c>
      <c r="AF4" s="219">
        <v>-0.5</v>
      </c>
      <c r="AG4" s="219">
        <v>0</v>
      </c>
      <c r="AH4" s="219">
        <v>0.4</v>
      </c>
      <c r="AI4" s="219">
        <v>0.8</v>
      </c>
      <c r="AJ4" s="219">
        <v>1.2</v>
      </c>
      <c r="AK4" s="219">
        <v>1.6</v>
      </c>
      <c r="AL4" s="219">
        <v>2</v>
      </c>
      <c r="AM4" s="219">
        <v>2.4</v>
      </c>
      <c r="AN4" s="219">
        <v>2.8</v>
      </c>
      <c r="AO4" s="219">
        <v>3.144000000000001</v>
      </c>
      <c r="AP4" s="219">
        <v>3.4880000000000009</v>
      </c>
      <c r="AQ4" s="219">
        <v>3.7838400000000005</v>
      </c>
      <c r="AR4" s="219">
        <v>4.0796800000000006</v>
      </c>
      <c r="AS4" s="219">
        <v>4.3341024000000008</v>
      </c>
      <c r="AT4" s="219">
        <v>4.5885248000000001</v>
      </c>
      <c r="AU4" s="219">
        <v>4.807328064</v>
      </c>
      <c r="AV4" s="219">
        <v>5.026131328</v>
      </c>
      <c r="AW4" s="219">
        <v>5.2143021350400005</v>
      </c>
      <c r="AX4" s="219">
        <v>5.4024729420800002</v>
      </c>
      <c r="AY4" s="219">
        <v>5.5642998361344009</v>
      </c>
      <c r="AZ4" s="219">
        <v>5.7261267301888008</v>
      </c>
      <c r="BA4" s="219">
        <v>5.8652978590755849</v>
      </c>
      <c r="BB4" s="219">
        <v>6.0044689879623689</v>
      </c>
      <c r="BC4" s="219">
        <v>6.1241561588050031</v>
      </c>
      <c r="BD4" s="219">
        <v>6.2438433296476372</v>
      </c>
      <c r="BE4" s="219">
        <v>6.3467742965723026</v>
      </c>
      <c r="BF4" s="219">
        <v>6.449705263496968</v>
      </c>
      <c r="BG4" s="219">
        <v>6.5382258950521805</v>
      </c>
      <c r="BH4" s="219">
        <v>6.6267465266073922</v>
      </c>
      <c r="BI4" s="219">
        <v>6.7028742697448749</v>
      </c>
      <c r="BJ4" s="219">
        <v>6.7790020128823567</v>
      </c>
      <c r="BK4" s="219">
        <v>6.8444718719805913</v>
      </c>
      <c r="BL4" s="219">
        <v>6.9099417310788258</v>
      </c>
      <c r="BM4" s="219">
        <v>6.9754115901770604</v>
      </c>
      <c r="BN4" s="219">
        <v>7.0408814492752949</v>
      </c>
      <c r="BO4" s="219">
        <v>7.1063513083735295</v>
      </c>
      <c r="BP4" s="219">
        <v>7.171821167471764</v>
      </c>
      <c r="BQ4" s="219">
        <v>7.2372910265699986</v>
      </c>
      <c r="BR4" s="219">
        <v>7.3027608856682331</v>
      </c>
      <c r="BS4" s="219">
        <v>7.3682307447664677</v>
      </c>
      <c r="BT4" s="219">
        <v>7.4337006038647022</v>
      </c>
      <c r="BU4" s="219">
        <v>7.4991704629629368</v>
      </c>
      <c r="BV4" s="219">
        <v>7.5646403220611713</v>
      </c>
      <c r="BW4" s="219">
        <v>7.6301101811594059</v>
      </c>
      <c r="BX4" s="219">
        <v>7.6955800402576404</v>
      </c>
      <c r="BY4" s="219">
        <v>7.761049899355875</v>
      </c>
      <c r="BZ4" s="219">
        <v>7.8265197584541095</v>
      </c>
      <c r="CA4" s="219">
        <v>7.8919896175523441</v>
      </c>
      <c r="CB4" s="219">
        <v>7.9574594766505786</v>
      </c>
      <c r="CC4" s="219">
        <v>8.0229293357488132</v>
      </c>
      <c r="CD4" s="219">
        <v>8.0883991948470477</v>
      </c>
      <c r="CE4" s="219">
        <v>8.1538690539452823</v>
      </c>
      <c r="CF4" s="219">
        <v>8.2193389130435168</v>
      </c>
      <c r="CG4" s="219">
        <v>8.2848087721417514</v>
      </c>
      <c r="CH4" s="219">
        <v>8.3502786312399859</v>
      </c>
      <c r="CI4" s="219">
        <v>8.4157484903382205</v>
      </c>
      <c r="CJ4" s="219">
        <v>8.481218349436455</v>
      </c>
      <c r="CK4" s="219">
        <v>8.5466882085346896</v>
      </c>
      <c r="CL4" s="219">
        <v>8.6121580676329241</v>
      </c>
      <c r="CM4" s="219">
        <v>8.6776279267311587</v>
      </c>
      <c r="CN4" s="219">
        <v>8.7430977858293932</v>
      </c>
      <c r="CO4" s="219">
        <v>8.8085676449276278</v>
      </c>
      <c r="CP4" s="219">
        <v>8.8740375040258623</v>
      </c>
      <c r="CQ4" s="219">
        <v>8.9395073631240969</v>
      </c>
      <c r="CR4" s="219">
        <v>9.0049772222223314</v>
      </c>
      <c r="CS4" s="219">
        <v>9.070447081320566</v>
      </c>
      <c r="CT4" s="219">
        <v>9.1359169404188005</v>
      </c>
      <c r="CU4" s="219">
        <v>9.2013867995170351</v>
      </c>
      <c r="CV4" s="219">
        <v>9.2668566586152696</v>
      </c>
      <c r="CW4" s="219">
        <v>9.3323265177135042</v>
      </c>
      <c r="CX4" s="219">
        <v>9.3977963768117387</v>
      </c>
      <c r="CY4" s="219">
        <v>9.4632662359099733</v>
      </c>
      <c r="CZ4" s="219">
        <v>9.5287360950082078</v>
      </c>
      <c r="DA4" s="219">
        <v>9.5942059541064424</v>
      </c>
      <c r="DB4" s="219">
        <v>9.6596758132046769</v>
      </c>
      <c r="DC4" s="219">
        <v>9.7251456723029115</v>
      </c>
      <c r="DD4" s="219">
        <v>9.790615531401146</v>
      </c>
      <c r="DE4" s="219">
        <v>9.8560853904993806</v>
      </c>
      <c r="DF4" s="219">
        <v>9.9215552495976151</v>
      </c>
      <c r="DG4" s="219">
        <v>9.9870251086958497</v>
      </c>
      <c r="DH4" s="219">
        <v>10.052494967794084</v>
      </c>
      <c r="DI4" s="219">
        <v>10.117964826892319</v>
      </c>
      <c r="DJ4" s="219">
        <v>10.183434685990553</v>
      </c>
      <c r="DK4" s="219">
        <v>10.248904545088788</v>
      </c>
      <c r="DL4" s="219">
        <v>10.314374404187022</v>
      </c>
      <c r="DM4" s="219">
        <v>10.379844263285257</v>
      </c>
      <c r="DN4" s="219">
        <v>10.445314122383492</v>
      </c>
      <c r="DO4" s="219">
        <v>10.510783981481726</v>
      </c>
      <c r="DP4" s="219">
        <v>10.576253840579961</v>
      </c>
      <c r="DQ4" s="219">
        <v>10.641723699678195</v>
      </c>
      <c r="DR4" s="219">
        <v>10.70719355877643</v>
      </c>
      <c r="DS4" s="219">
        <v>10.772663417874664</v>
      </c>
      <c r="DT4" s="219">
        <v>10.838133276972899</v>
      </c>
      <c r="DU4" s="219">
        <v>10.903603136071133</v>
      </c>
      <c r="DV4" s="219">
        <v>10.969072995169368</v>
      </c>
      <c r="DW4" s="219">
        <v>11.034542854267603</v>
      </c>
      <c r="DX4" s="219">
        <v>11.100012713365837</v>
      </c>
      <c r="DY4" s="219">
        <v>11.165482572464072</v>
      </c>
      <c r="DZ4" s="219">
        <v>11.230952431562306</v>
      </c>
      <c r="EA4" s="219">
        <v>11.296422290660541</v>
      </c>
      <c r="EB4" s="219">
        <v>11.361892149758775</v>
      </c>
      <c r="EC4" s="219">
        <v>11.42736200885701</v>
      </c>
      <c r="ED4" s="219">
        <v>11.492831867955244</v>
      </c>
      <c r="EE4" s="219">
        <v>11.558301727053479</v>
      </c>
      <c r="EF4" s="219">
        <v>11.623771586151713</v>
      </c>
      <c r="EG4" s="219">
        <v>11.689241445249948</v>
      </c>
      <c r="EH4" s="219">
        <v>11.754711304348183</v>
      </c>
      <c r="EI4" s="219">
        <v>11.820181163446417</v>
      </c>
      <c r="EJ4" s="219">
        <v>11.885651022544652</v>
      </c>
      <c r="EK4" s="219">
        <v>11.951120881642886</v>
      </c>
    </row>
    <row r="5" spans="1:141" ht="13.2" x14ac:dyDescent="0.25">
      <c r="A5" s="254">
        <v>36800</v>
      </c>
      <c r="B5" s="219">
        <v>-4.446491037187501</v>
      </c>
      <c r="C5" s="219">
        <v>-4.3707380639062547</v>
      </c>
      <c r="D5" s="219">
        <v>-4.2949850906250013</v>
      </c>
      <c r="E5" s="219">
        <v>-4.2192321173437541</v>
      </c>
      <c r="F5" s="219">
        <v>-4.1434791440625016</v>
      </c>
      <c r="G5" s="219">
        <v>-4.0677261707812535</v>
      </c>
      <c r="H5" s="219">
        <v>-3.9919731975000019</v>
      </c>
      <c r="I5" s="219">
        <v>-3.9162202242187529</v>
      </c>
      <c r="J5" s="219">
        <v>-3.8404672509375017</v>
      </c>
      <c r="K5" s="219">
        <v>-3.7647142776562523</v>
      </c>
      <c r="L5" s="219">
        <v>-3.6889613043750016</v>
      </c>
      <c r="M5" s="219">
        <v>-3.6132083310937517</v>
      </c>
      <c r="N5" s="219">
        <v>-3.5374553578125014</v>
      </c>
      <c r="O5" s="219">
        <v>-3.4617023845312511</v>
      </c>
      <c r="P5" s="219">
        <v>-3.3859494112500013</v>
      </c>
      <c r="Q5" s="219">
        <v>-3.3101964379687514</v>
      </c>
      <c r="R5" s="219">
        <v>-3.2344434646875011</v>
      </c>
      <c r="S5" s="219">
        <v>-3.1586904914062508</v>
      </c>
      <c r="T5" s="219">
        <v>-3.0829375181250009</v>
      </c>
      <c r="U5" s="219">
        <v>-3.0071845448437511</v>
      </c>
      <c r="V5" s="220">
        <v>-2.9314315715625008</v>
      </c>
      <c r="W5" s="219">
        <v>-2.8556785982812505</v>
      </c>
      <c r="X5" s="220">
        <v>-2.7799256250000006</v>
      </c>
      <c r="Y5" s="219">
        <v>-2.7080878125000005</v>
      </c>
      <c r="Z5" s="220">
        <v>-2.63625</v>
      </c>
      <c r="AA5" s="219">
        <v>-2.5681250000000002</v>
      </c>
      <c r="AB5" s="221">
        <v>-2.5</v>
      </c>
      <c r="AC5" s="219">
        <v>-2</v>
      </c>
      <c r="AD5" s="221">
        <v>-1.5</v>
      </c>
      <c r="AE5" s="219">
        <v>-1</v>
      </c>
      <c r="AF5" s="219">
        <v>-0.5</v>
      </c>
      <c r="AG5" s="219">
        <v>0</v>
      </c>
      <c r="AH5" s="219">
        <v>0.35</v>
      </c>
      <c r="AI5" s="219">
        <v>0.7</v>
      </c>
      <c r="AJ5" s="219">
        <v>1.05</v>
      </c>
      <c r="AK5" s="219">
        <v>1.4</v>
      </c>
      <c r="AL5" s="219">
        <v>1.75</v>
      </c>
      <c r="AM5" s="219">
        <v>2.1</v>
      </c>
      <c r="AN5" s="219">
        <v>2.4500000000000002</v>
      </c>
      <c r="AO5" s="219">
        <v>2.7509999999999994</v>
      </c>
      <c r="AP5" s="219">
        <v>3.0519999999999992</v>
      </c>
      <c r="AQ5" s="219">
        <v>3.310859999999999</v>
      </c>
      <c r="AR5" s="219">
        <v>3.5697199999999989</v>
      </c>
      <c r="AS5" s="219">
        <v>3.7923395999999991</v>
      </c>
      <c r="AT5" s="219">
        <v>4.014959199999999</v>
      </c>
      <c r="AU5" s="219">
        <v>4.2064120559999996</v>
      </c>
      <c r="AV5" s="219">
        <v>4.3978649119999993</v>
      </c>
      <c r="AW5" s="219">
        <v>4.5625143681599996</v>
      </c>
      <c r="AX5" s="219">
        <v>4.7271638243199998</v>
      </c>
      <c r="AY5" s="219">
        <v>4.8687623566175997</v>
      </c>
      <c r="AZ5" s="219">
        <v>5.0103608889152005</v>
      </c>
      <c r="BA5" s="219">
        <v>5.1321356266911362</v>
      </c>
      <c r="BB5" s="219">
        <v>5.2539103644670728</v>
      </c>
      <c r="BC5" s="219">
        <v>5.358636638954378</v>
      </c>
      <c r="BD5" s="219">
        <v>5.4633629134416832</v>
      </c>
      <c r="BE5" s="219">
        <v>5.5534275095007661</v>
      </c>
      <c r="BF5" s="219">
        <v>5.6434921055598481</v>
      </c>
      <c r="BG5" s="219">
        <v>5.7209476581706591</v>
      </c>
      <c r="BH5" s="219">
        <v>5.79840321078147</v>
      </c>
      <c r="BI5" s="219">
        <v>5.8650149860267673</v>
      </c>
      <c r="BJ5" s="219">
        <v>5.9316267612720646</v>
      </c>
      <c r="BK5" s="219">
        <v>5.9889128879830196</v>
      </c>
      <c r="BL5" s="219">
        <v>6.0461990146939755</v>
      </c>
      <c r="BM5" s="219">
        <v>6.1034851414049314</v>
      </c>
      <c r="BN5" s="219">
        <v>6.1607712681158864</v>
      </c>
      <c r="BO5" s="219">
        <v>6.2180573948268414</v>
      </c>
      <c r="BP5" s="219">
        <v>6.2753435215377973</v>
      </c>
      <c r="BQ5" s="219">
        <v>6.3326296482487532</v>
      </c>
      <c r="BR5" s="219">
        <v>6.3899157749597082</v>
      </c>
      <c r="BS5" s="219">
        <v>6.4472019016706632</v>
      </c>
      <c r="BT5" s="219">
        <v>6.5044880283816191</v>
      </c>
      <c r="BU5" s="219">
        <v>6.561774155092575</v>
      </c>
      <c r="BV5" s="219">
        <v>6.61906028180353</v>
      </c>
      <c r="BW5" s="219">
        <v>6.6763464085144868</v>
      </c>
      <c r="BX5" s="219">
        <v>6.7336325352254409</v>
      </c>
      <c r="BY5" s="219">
        <v>6.7909186619363986</v>
      </c>
      <c r="BZ5" s="219">
        <v>6.8482047886473518</v>
      </c>
      <c r="CA5" s="219">
        <v>6.9054909153583104</v>
      </c>
      <c r="CB5" s="219">
        <v>6.9627770420692627</v>
      </c>
      <c r="CC5" s="219">
        <v>7.0200631687802222</v>
      </c>
      <c r="CD5" s="219">
        <v>7.0773492954911736</v>
      </c>
      <c r="CE5" s="219">
        <v>7.134635422202134</v>
      </c>
      <c r="CF5" s="219">
        <v>7.1919215489130845</v>
      </c>
      <c r="CG5" s="219">
        <v>7.2492076756240458</v>
      </c>
      <c r="CH5" s="219">
        <v>7.3064938023349955</v>
      </c>
      <c r="CI5" s="219">
        <v>7.3637799290459576</v>
      </c>
      <c r="CJ5" s="219">
        <v>7.4210660557569064</v>
      </c>
      <c r="CK5" s="219">
        <v>7.4783521824678694</v>
      </c>
      <c r="CL5" s="219">
        <v>7.5356383091788173</v>
      </c>
      <c r="CM5" s="219">
        <v>7.5929244358897812</v>
      </c>
      <c r="CN5" s="219">
        <v>7.6502105626007282</v>
      </c>
      <c r="CO5" s="219">
        <v>7.707496689311693</v>
      </c>
      <c r="CP5" s="219">
        <v>7.7647828160226391</v>
      </c>
      <c r="CQ5" s="219">
        <v>7.8220689427336048</v>
      </c>
      <c r="CR5" s="219">
        <v>7.87935506944455</v>
      </c>
      <c r="CS5" s="219">
        <v>7.9366411961555166</v>
      </c>
      <c r="CT5" s="219">
        <v>7.9939273228664609</v>
      </c>
      <c r="CU5" s="219">
        <v>8.0512134495774283</v>
      </c>
      <c r="CV5" s="219">
        <v>8.1084995762883718</v>
      </c>
      <c r="CW5" s="219">
        <v>8.1657857029993401</v>
      </c>
      <c r="CX5" s="219">
        <v>8.2230718297102818</v>
      </c>
      <c r="CY5" s="219">
        <v>8.2803579564212519</v>
      </c>
      <c r="CZ5" s="219">
        <v>8.3376440831321919</v>
      </c>
      <c r="DA5" s="219">
        <v>8.3949302098431637</v>
      </c>
      <c r="DB5" s="219">
        <v>8.4522163365541019</v>
      </c>
      <c r="DC5" s="219">
        <v>8.5095024632650755</v>
      </c>
      <c r="DD5" s="219">
        <v>8.5667885899760119</v>
      </c>
      <c r="DE5" s="219">
        <v>8.6240747166869873</v>
      </c>
      <c r="DF5" s="219">
        <v>8.6813608433979219</v>
      </c>
      <c r="DG5" s="219">
        <v>8.7386469701088991</v>
      </c>
      <c r="DH5" s="219">
        <v>8.7959330968198319</v>
      </c>
      <c r="DI5" s="219">
        <v>8.8532192235308109</v>
      </c>
      <c r="DJ5" s="219">
        <v>8.910505350241742</v>
      </c>
      <c r="DK5" s="219">
        <v>8.9677914769527227</v>
      </c>
      <c r="DL5" s="219">
        <v>9.025077603663652</v>
      </c>
      <c r="DM5" s="219">
        <v>9.0823637303746345</v>
      </c>
      <c r="DN5" s="219">
        <v>9.139649857085562</v>
      </c>
      <c r="DO5" s="219">
        <v>9.1969359837965463</v>
      </c>
      <c r="DP5" s="219">
        <v>9.254222110507472</v>
      </c>
      <c r="DQ5" s="219">
        <v>9.3115082372184581</v>
      </c>
      <c r="DR5" s="219">
        <v>9.368794363929382</v>
      </c>
      <c r="DS5" s="219">
        <v>9.4260804906403699</v>
      </c>
      <c r="DT5" s="219">
        <v>9.483366617351292</v>
      </c>
      <c r="DU5" s="219">
        <v>9.5406527440622817</v>
      </c>
      <c r="DV5" s="219">
        <v>9.5979388707732021</v>
      </c>
      <c r="DW5" s="219">
        <v>9.6552249974841935</v>
      </c>
      <c r="DX5" s="219">
        <v>9.7125111241951121</v>
      </c>
      <c r="DY5" s="219">
        <v>9.7697972509061053</v>
      </c>
      <c r="DZ5" s="219">
        <v>9.8270833776170221</v>
      </c>
      <c r="EA5" s="219">
        <v>9.8843695043280171</v>
      </c>
      <c r="EB5" s="219">
        <v>9.9416556310389321</v>
      </c>
      <c r="EC5" s="219">
        <v>9.9989417577499289</v>
      </c>
      <c r="ED5" s="219">
        <v>10.056227884460842</v>
      </c>
      <c r="EE5" s="219">
        <v>10.113514011171841</v>
      </c>
      <c r="EF5" s="219">
        <v>10.170800137882752</v>
      </c>
      <c r="EG5" s="219">
        <v>10.228086264593752</v>
      </c>
      <c r="EH5" s="219">
        <v>10.285372391304662</v>
      </c>
      <c r="EI5" s="219">
        <v>10.342658518015664</v>
      </c>
      <c r="EJ5" s="219">
        <v>10.399944644726572</v>
      </c>
      <c r="EK5" s="219">
        <v>10.457230771437576</v>
      </c>
    </row>
    <row r="6" spans="1:141" ht="13.2" x14ac:dyDescent="0.25">
      <c r="A6" s="254">
        <v>36831</v>
      </c>
      <c r="B6" s="219">
        <v>-4.446491037187501</v>
      </c>
      <c r="C6" s="219">
        <v>-4.3707380639062547</v>
      </c>
      <c r="D6" s="219">
        <v>-4.2949850906250013</v>
      </c>
      <c r="E6" s="219">
        <v>-4.2192321173437541</v>
      </c>
      <c r="F6" s="219">
        <v>-4.1434791440625016</v>
      </c>
      <c r="G6" s="219">
        <v>-4.0677261707812535</v>
      </c>
      <c r="H6" s="219">
        <v>-3.9919731975000019</v>
      </c>
      <c r="I6" s="219">
        <v>-3.9162202242187529</v>
      </c>
      <c r="J6" s="219">
        <v>-3.8404672509375017</v>
      </c>
      <c r="K6" s="219">
        <v>-3.7647142776562523</v>
      </c>
      <c r="L6" s="219">
        <v>-3.6889613043750016</v>
      </c>
      <c r="M6" s="219">
        <v>-3.6132083310937517</v>
      </c>
      <c r="N6" s="219">
        <v>-3.5374553578125014</v>
      </c>
      <c r="O6" s="219">
        <v>-3.4617023845312511</v>
      </c>
      <c r="P6" s="219">
        <v>-3.3859494112500013</v>
      </c>
      <c r="Q6" s="219">
        <v>-3.3101964379687514</v>
      </c>
      <c r="R6" s="219">
        <v>-3.2344434646875011</v>
      </c>
      <c r="S6" s="219">
        <v>-3.1586904914062508</v>
      </c>
      <c r="T6" s="219">
        <v>-3.0829375181250009</v>
      </c>
      <c r="U6" s="219">
        <v>-3.0071845448437511</v>
      </c>
      <c r="V6" s="220">
        <v>-2.9314315715625008</v>
      </c>
      <c r="W6" s="219">
        <v>-2.8556785982812505</v>
      </c>
      <c r="X6" s="220">
        <v>-2.7799256250000006</v>
      </c>
      <c r="Y6" s="219">
        <v>-2.7080878125000005</v>
      </c>
      <c r="Z6" s="220">
        <v>-2.63625</v>
      </c>
      <c r="AA6" s="219">
        <v>-2.5681250000000002</v>
      </c>
      <c r="AB6" s="221">
        <v>-2.5</v>
      </c>
      <c r="AC6" s="219">
        <v>-2</v>
      </c>
      <c r="AD6" s="221">
        <v>-1.5</v>
      </c>
      <c r="AE6" s="219">
        <v>-1</v>
      </c>
      <c r="AF6" s="219">
        <v>-0.5</v>
      </c>
      <c r="AG6" s="219">
        <v>0</v>
      </c>
      <c r="AH6" s="219">
        <v>0.3</v>
      </c>
      <c r="AI6" s="219">
        <v>0.6</v>
      </c>
      <c r="AJ6" s="219">
        <v>0.9</v>
      </c>
      <c r="AK6" s="219">
        <v>1.2</v>
      </c>
      <c r="AL6" s="219">
        <v>1.5</v>
      </c>
      <c r="AM6" s="219">
        <v>1.8</v>
      </c>
      <c r="AN6" s="219">
        <v>2.1</v>
      </c>
      <c r="AO6" s="219">
        <v>2.3579999999999997</v>
      </c>
      <c r="AP6" s="219">
        <v>2.6159999999999997</v>
      </c>
      <c r="AQ6" s="219">
        <v>2.8378799999999997</v>
      </c>
      <c r="AR6" s="219">
        <v>3.0597599999999998</v>
      </c>
      <c r="AS6" s="219">
        <v>3.2505768000000002</v>
      </c>
      <c r="AT6" s="219">
        <v>3.4413936000000001</v>
      </c>
      <c r="AU6" s="219">
        <v>3.605496048</v>
      </c>
      <c r="AV6" s="219">
        <v>3.7695984960000004</v>
      </c>
      <c r="AW6" s="219">
        <v>3.9107266012800004</v>
      </c>
      <c r="AX6" s="219">
        <v>4.0518547065600004</v>
      </c>
      <c r="AY6" s="219">
        <v>4.1732248771008003</v>
      </c>
      <c r="AZ6" s="219">
        <v>4.2945950476416002</v>
      </c>
      <c r="BA6" s="219">
        <v>4.3989733943066884</v>
      </c>
      <c r="BB6" s="219">
        <v>4.5033517409717758</v>
      </c>
      <c r="BC6" s="219">
        <v>4.5931171191037512</v>
      </c>
      <c r="BD6" s="219">
        <v>4.6828824972357266</v>
      </c>
      <c r="BE6" s="219">
        <v>4.7600807224292252</v>
      </c>
      <c r="BF6" s="219">
        <v>4.8372789476227238</v>
      </c>
      <c r="BG6" s="219">
        <v>4.9036694212891323</v>
      </c>
      <c r="BH6" s="219">
        <v>4.9700598949555417</v>
      </c>
      <c r="BI6" s="219">
        <v>5.0271557023086535</v>
      </c>
      <c r="BJ6" s="219">
        <v>5.0842515096617653</v>
      </c>
      <c r="BK6" s="219">
        <v>5.1333539039854417</v>
      </c>
      <c r="BL6" s="219">
        <v>5.182456298309118</v>
      </c>
      <c r="BM6" s="219">
        <v>5.2315586926327944</v>
      </c>
      <c r="BN6" s="219">
        <v>5.2806610869564707</v>
      </c>
      <c r="BO6" s="219">
        <v>5.3297634812801471</v>
      </c>
      <c r="BP6" s="219">
        <v>5.3788658756038235</v>
      </c>
      <c r="BQ6" s="219">
        <v>5.4279682699274998</v>
      </c>
      <c r="BR6" s="219">
        <v>5.4770706642511762</v>
      </c>
      <c r="BS6" s="219">
        <v>5.5261730585748525</v>
      </c>
      <c r="BT6" s="219">
        <v>5.5752754528985289</v>
      </c>
      <c r="BU6" s="219">
        <v>5.6243778472222052</v>
      </c>
      <c r="BV6" s="219">
        <v>5.6734802415458816</v>
      </c>
      <c r="BW6" s="219">
        <v>5.722582635869558</v>
      </c>
      <c r="BX6" s="219">
        <v>5.7716850301932343</v>
      </c>
      <c r="BY6" s="219">
        <v>5.8207874245169107</v>
      </c>
      <c r="BZ6" s="219">
        <v>5.869889818840587</v>
      </c>
      <c r="CA6" s="219">
        <v>5.9189922131642634</v>
      </c>
      <c r="CB6" s="219">
        <v>5.9680946074879397</v>
      </c>
      <c r="CC6" s="219">
        <v>6.0171970018116161</v>
      </c>
      <c r="CD6" s="219">
        <v>6.0662993961352925</v>
      </c>
      <c r="CE6" s="219">
        <v>6.1154017904589688</v>
      </c>
      <c r="CF6" s="219">
        <v>6.1645041847826452</v>
      </c>
      <c r="CG6" s="219">
        <v>6.2136065791063215</v>
      </c>
      <c r="CH6" s="219">
        <v>6.2627089734299979</v>
      </c>
      <c r="CI6" s="219">
        <v>6.3118113677536742</v>
      </c>
      <c r="CJ6" s="219">
        <v>6.3609137620773506</v>
      </c>
      <c r="CK6" s="219">
        <v>6.410016156401027</v>
      </c>
      <c r="CL6" s="219">
        <v>6.4591185507247033</v>
      </c>
      <c r="CM6" s="219">
        <v>6.5082209450483797</v>
      </c>
      <c r="CN6" s="219">
        <v>6.557323339372056</v>
      </c>
      <c r="CO6" s="219">
        <v>6.6064257336957324</v>
      </c>
      <c r="CP6" s="219">
        <v>6.6555281280194087</v>
      </c>
      <c r="CQ6" s="219">
        <v>6.7046305223430851</v>
      </c>
      <c r="CR6" s="219">
        <v>6.7537329166667615</v>
      </c>
      <c r="CS6" s="219">
        <v>6.8028353109904378</v>
      </c>
      <c r="CT6" s="219">
        <v>6.8519377053141142</v>
      </c>
      <c r="CU6" s="219">
        <v>6.9010400996377905</v>
      </c>
      <c r="CV6" s="219">
        <v>6.9501424939614669</v>
      </c>
      <c r="CW6" s="219">
        <v>6.9992448882851432</v>
      </c>
      <c r="CX6" s="219">
        <v>7.0483472826088196</v>
      </c>
      <c r="CY6" s="219">
        <v>7.097449676932496</v>
      </c>
      <c r="CZ6" s="219">
        <v>7.1465520712561723</v>
      </c>
      <c r="DA6" s="219">
        <v>7.1956544655798487</v>
      </c>
      <c r="DB6" s="219">
        <v>7.244756859903525</v>
      </c>
      <c r="DC6" s="219">
        <v>7.2938592542272014</v>
      </c>
      <c r="DD6" s="219">
        <v>7.3429616485508777</v>
      </c>
      <c r="DE6" s="219">
        <v>7.3920640428745541</v>
      </c>
      <c r="DF6" s="219">
        <v>7.4411664371982305</v>
      </c>
      <c r="DG6" s="219">
        <v>7.4902688315219068</v>
      </c>
      <c r="DH6" s="219">
        <v>7.5393712258455832</v>
      </c>
      <c r="DI6" s="219">
        <v>7.5884736201692595</v>
      </c>
      <c r="DJ6" s="219">
        <v>7.6375760144929359</v>
      </c>
      <c r="DK6" s="219">
        <v>7.6866784088166122</v>
      </c>
      <c r="DL6" s="219">
        <v>7.7357808031402886</v>
      </c>
      <c r="DM6" s="219">
        <v>7.784883197463965</v>
      </c>
      <c r="DN6" s="219">
        <v>7.8339855917876413</v>
      </c>
      <c r="DO6" s="219">
        <v>7.8830879861113177</v>
      </c>
      <c r="DP6" s="219">
        <v>7.932190380434994</v>
      </c>
      <c r="DQ6" s="219">
        <v>7.9812927747586704</v>
      </c>
      <c r="DR6" s="219">
        <v>8.0303951690823467</v>
      </c>
      <c r="DS6" s="219">
        <v>8.0794975634060222</v>
      </c>
      <c r="DT6" s="219">
        <v>8.1285999577296995</v>
      </c>
      <c r="DU6" s="219">
        <v>8.1777023520533731</v>
      </c>
      <c r="DV6" s="219">
        <v>8.2268047463770522</v>
      </c>
      <c r="DW6" s="219">
        <v>8.2759071407007241</v>
      </c>
      <c r="DX6" s="219">
        <v>8.3250095350244049</v>
      </c>
      <c r="DY6" s="219">
        <v>8.374111929348075</v>
      </c>
      <c r="DZ6" s="219">
        <v>8.4232143236717576</v>
      </c>
      <c r="EA6" s="219">
        <v>8.472316717995426</v>
      </c>
      <c r="EB6" s="219">
        <v>8.5214191123191103</v>
      </c>
      <c r="EC6" s="219">
        <v>8.5705215066427769</v>
      </c>
      <c r="ED6" s="219">
        <v>8.619623900966463</v>
      </c>
      <c r="EE6" s="219">
        <v>8.6687262952901278</v>
      </c>
      <c r="EF6" s="219">
        <v>8.7178286896138157</v>
      </c>
      <c r="EG6" s="219">
        <v>8.7669310839374788</v>
      </c>
      <c r="EH6" s="219">
        <v>8.8160334782611685</v>
      </c>
      <c r="EI6" s="219">
        <v>8.8651358725848297</v>
      </c>
      <c r="EJ6" s="219">
        <v>8.9142382669085212</v>
      </c>
      <c r="EK6" s="219">
        <v>8.9633406612321807</v>
      </c>
    </row>
    <row r="7" spans="1:141" ht="13.2" x14ac:dyDescent="0.25">
      <c r="A7" s="254">
        <v>36861</v>
      </c>
      <c r="B7" s="219">
        <v>-4.446491037187501</v>
      </c>
      <c r="C7" s="219">
        <v>-4.3707380639062547</v>
      </c>
      <c r="D7" s="219">
        <v>-4.2949850906250013</v>
      </c>
      <c r="E7" s="219">
        <v>-4.2192321173437541</v>
      </c>
      <c r="F7" s="219">
        <v>-4.1434791440625016</v>
      </c>
      <c r="G7" s="219">
        <v>-4.0677261707812535</v>
      </c>
      <c r="H7" s="219">
        <v>-3.9919731975000019</v>
      </c>
      <c r="I7" s="219">
        <v>-3.9162202242187529</v>
      </c>
      <c r="J7" s="219">
        <v>-3.8404672509375017</v>
      </c>
      <c r="K7" s="219">
        <v>-3.7647142776562523</v>
      </c>
      <c r="L7" s="219">
        <v>-3.6889613043750016</v>
      </c>
      <c r="M7" s="219">
        <v>-3.6132083310937517</v>
      </c>
      <c r="N7" s="219">
        <v>-3.5374553578125014</v>
      </c>
      <c r="O7" s="219">
        <v>-3.4617023845312511</v>
      </c>
      <c r="P7" s="219">
        <v>-3.3859494112500013</v>
      </c>
      <c r="Q7" s="219">
        <v>-3.3101964379687514</v>
      </c>
      <c r="R7" s="219">
        <v>-3.2344434646875011</v>
      </c>
      <c r="S7" s="219">
        <v>-3.1586904914062508</v>
      </c>
      <c r="T7" s="219">
        <v>-3.0829375181250009</v>
      </c>
      <c r="U7" s="219">
        <v>-3.0071845448437511</v>
      </c>
      <c r="V7" s="220">
        <v>-2.9314315715625008</v>
      </c>
      <c r="W7" s="219">
        <v>-2.8556785982812505</v>
      </c>
      <c r="X7" s="220">
        <v>-2.7799256250000006</v>
      </c>
      <c r="Y7" s="219">
        <v>-2.7080878125000005</v>
      </c>
      <c r="Z7" s="220">
        <v>-2.63625</v>
      </c>
      <c r="AA7" s="219">
        <v>-2.5681250000000002</v>
      </c>
      <c r="AB7" s="221">
        <v>-2.5</v>
      </c>
      <c r="AC7" s="219">
        <v>-2</v>
      </c>
      <c r="AD7" s="221">
        <v>-1.5</v>
      </c>
      <c r="AE7" s="219">
        <v>-1</v>
      </c>
      <c r="AF7" s="219">
        <v>-0.5</v>
      </c>
      <c r="AG7" s="219">
        <v>0</v>
      </c>
      <c r="AH7" s="219">
        <v>0.3</v>
      </c>
      <c r="AI7" s="219">
        <v>0.6</v>
      </c>
      <c r="AJ7" s="219">
        <v>0.9</v>
      </c>
      <c r="AK7" s="219">
        <v>1.2</v>
      </c>
      <c r="AL7" s="219">
        <v>1.5</v>
      </c>
      <c r="AM7" s="219">
        <v>1.8</v>
      </c>
      <c r="AN7" s="219">
        <v>2.1</v>
      </c>
      <c r="AO7" s="219">
        <v>2.3579999999999997</v>
      </c>
      <c r="AP7" s="219">
        <v>2.6159999999999997</v>
      </c>
      <c r="AQ7" s="219">
        <v>2.8378799999999997</v>
      </c>
      <c r="AR7" s="219">
        <v>3.0597599999999998</v>
      </c>
      <c r="AS7" s="219">
        <v>3.2505768000000002</v>
      </c>
      <c r="AT7" s="219">
        <v>3.4413936000000001</v>
      </c>
      <c r="AU7" s="219">
        <v>3.605496048</v>
      </c>
      <c r="AV7" s="219">
        <v>3.7695984960000004</v>
      </c>
      <c r="AW7" s="219">
        <v>3.9107266012800004</v>
      </c>
      <c r="AX7" s="219">
        <v>4.0518547065600004</v>
      </c>
      <c r="AY7" s="219">
        <v>4.1732248771008003</v>
      </c>
      <c r="AZ7" s="219">
        <v>4.2945950476416002</v>
      </c>
      <c r="BA7" s="219">
        <v>4.3989733943066884</v>
      </c>
      <c r="BB7" s="219">
        <v>4.5033517409717758</v>
      </c>
      <c r="BC7" s="219">
        <v>4.5931171191037512</v>
      </c>
      <c r="BD7" s="219">
        <v>4.6828824972357266</v>
      </c>
      <c r="BE7" s="219">
        <v>4.7600807224292252</v>
      </c>
      <c r="BF7" s="219">
        <v>4.8372789476227238</v>
      </c>
      <c r="BG7" s="219">
        <v>4.9036694212891323</v>
      </c>
      <c r="BH7" s="219">
        <v>4.9700598949555417</v>
      </c>
      <c r="BI7" s="219">
        <v>5.0271557023086535</v>
      </c>
      <c r="BJ7" s="219">
        <v>5.0842515096617653</v>
      </c>
      <c r="BK7" s="219">
        <v>5.1333539039854417</v>
      </c>
      <c r="BL7" s="219">
        <v>5.182456298309118</v>
      </c>
      <c r="BM7" s="219">
        <v>5.2315586926327944</v>
      </c>
      <c r="BN7" s="219">
        <v>5.2806610869564707</v>
      </c>
      <c r="BO7" s="219">
        <v>5.3297634812801471</v>
      </c>
      <c r="BP7" s="219">
        <v>5.3788658756038235</v>
      </c>
      <c r="BQ7" s="219">
        <v>5.4279682699274998</v>
      </c>
      <c r="BR7" s="219">
        <v>5.4770706642511762</v>
      </c>
      <c r="BS7" s="219">
        <v>5.5261730585748525</v>
      </c>
      <c r="BT7" s="219">
        <v>5.5752754528985289</v>
      </c>
      <c r="BU7" s="219">
        <v>5.6243778472222052</v>
      </c>
      <c r="BV7" s="219">
        <v>5.6734802415458816</v>
      </c>
      <c r="BW7" s="219">
        <v>5.722582635869558</v>
      </c>
      <c r="BX7" s="219">
        <v>5.7716850301932343</v>
      </c>
      <c r="BY7" s="219">
        <v>5.8207874245169107</v>
      </c>
      <c r="BZ7" s="219">
        <v>5.869889818840587</v>
      </c>
      <c r="CA7" s="219">
        <v>5.9189922131642634</v>
      </c>
      <c r="CB7" s="219">
        <v>5.9680946074879397</v>
      </c>
      <c r="CC7" s="219">
        <v>6.0171970018116161</v>
      </c>
      <c r="CD7" s="219">
        <v>6.0662993961352925</v>
      </c>
      <c r="CE7" s="219">
        <v>6.1154017904589688</v>
      </c>
      <c r="CF7" s="219">
        <v>6.1645041847826452</v>
      </c>
      <c r="CG7" s="219">
        <v>6.2136065791063215</v>
      </c>
      <c r="CH7" s="219">
        <v>6.2627089734299979</v>
      </c>
      <c r="CI7" s="219">
        <v>6.3118113677536742</v>
      </c>
      <c r="CJ7" s="219">
        <v>6.3609137620773506</v>
      </c>
      <c r="CK7" s="219">
        <v>6.410016156401027</v>
      </c>
      <c r="CL7" s="219">
        <v>6.4591185507247033</v>
      </c>
      <c r="CM7" s="219">
        <v>6.5082209450483797</v>
      </c>
      <c r="CN7" s="219">
        <v>6.557323339372056</v>
      </c>
      <c r="CO7" s="219">
        <v>6.6064257336957324</v>
      </c>
      <c r="CP7" s="219">
        <v>6.6555281280194087</v>
      </c>
      <c r="CQ7" s="219">
        <v>6.7046305223430851</v>
      </c>
      <c r="CR7" s="219">
        <v>6.7537329166667615</v>
      </c>
      <c r="CS7" s="219">
        <v>6.8028353109904378</v>
      </c>
      <c r="CT7" s="219">
        <v>6.8519377053141142</v>
      </c>
      <c r="CU7" s="219">
        <v>6.9010400996377905</v>
      </c>
      <c r="CV7" s="219">
        <v>6.9501424939614669</v>
      </c>
      <c r="CW7" s="219">
        <v>6.9992448882851432</v>
      </c>
      <c r="CX7" s="219">
        <v>7.0483472826088196</v>
      </c>
      <c r="CY7" s="219">
        <v>7.097449676932496</v>
      </c>
      <c r="CZ7" s="219">
        <v>7.1465520712561723</v>
      </c>
      <c r="DA7" s="219">
        <v>7.1956544655798487</v>
      </c>
      <c r="DB7" s="219">
        <v>7.244756859903525</v>
      </c>
      <c r="DC7" s="219">
        <v>7.2938592542272014</v>
      </c>
      <c r="DD7" s="219">
        <v>7.3429616485508777</v>
      </c>
      <c r="DE7" s="219">
        <v>7.3920640428745541</v>
      </c>
      <c r="DF7" s="219">
        <v>7.4411664371982305</v>
      </c>
      <c r="DG7" s="219">
        <v>7.4902688315219068</v>
      </c>
      <c r="DH7" s="219">
        <v>7.5393712258455832</v>
      </c>
      <c r="DI7" s="219">
        <v>7.5884736201692595</v>
      </c>
      <c r="DJ7" s="219">
        <v>7.6375760144929359</v>
      </c>
      <c r="DK7" s="219">
        <v>7.6866784088166122</v>
      </c>
      <c r="DL7" s="219">
        <v>7.7357808031402886</v>
      </c>
      <c r="DM7" s="219">
        <v>7.784883197463965</v>
      </c>
      <c r="DN7" s="219">
        <v>7.8339855917876413</v>
      </c>
      <c r="DO7" s="219">
        <v>7.8830879861113177</v>
      </c>
      <c r="DP7" s="219">
        <v>7.932190380434994</v>
      </c>
      <c r="DQ7" s="219">
        <v>7.9812927747586704</v>
      </c>
      <c r="DR7" s="219">
        <v>8.0303951690823467</v>
      </c>
      <c r="DS7" s="219">
        <v>8.0794975634060222</v>
      </c>
      <c r="DT7" s="219">
        <v>8.1285999577296995</v>
      </c>
      <c r="DU7" s="219">
        <v>8.1777023520533731</v>
      </c>
      <c r="DV7" s="219">
        <v>8.2268047463770522</v>
      </c>
      <c r="DW7" s="219">
        <v>8.2759071407007241</v>
      </c>
      <c r="DX7" s="219">
        <v>8.3250095350244049</v>
      </c>
      <c r="DY7" s="219">
        <v>8.374111929348075</v>
      </c>
      <c r="DZ7" s="219">
        <v>8.4232143236717576</v>
      </c>
      <c r="EA7" s="219">
        <v>8.472316717995426</v>
      </c>
      <c r="EB7" s="219">
        <v>8.5214191123191103</v>
      </c>
      <c r="EC7" s="219">
        <v>8.5705215066427769</v>
      </c>
      <c r="ED7" s="219">
        <v>8.619623900966463</v>
      </c>
      <c r="EE7" s="219">
        <v>8.6687262952901278</v>
      </c>
      <c r="EF7" s="219">
        <v>8.7178286896138157</v>
      </c>
      <c r="EG7" s="219">
        <v>8.7669310839374788</v>
      </c>
      <c r="EH7" s="219">
        <v>8.8160334782611685</v>
      </c>
      <c r="EI7" s="219">
        <v>8.8651358725848297</v>
      </c>
      <c r="EJ7" s="219">
        <v>8.9142382669085212</v>
      </c>
      <c r="EK7" s="219">
        <v>8.9633406612321807</v>
      </c>
    </row>
    <row r="8" spans="1:141" ht="13.2" x14ac:dyDescent="0.25">
      <c r="A8" s="254">
        <v>36892</v>
      </c>
      <c r="B8" s="219">
        <v>-4.446491037187501</v>
      </c>
      <c r="C8" s="219">
        <v>-4.3707380639062547</v>
      </c>
      <c r="D8" s="219">
        <v>-4.2949850906250013</v>
      </c>
      <c r="E8" s="219">
        <v>-4.2192321173437541</v>
      </c>
      <c r="F8" s="219">
        <v>-4.1434791440625016</v>
      </c>
      <c r="G8" s="219">
        <v>-4.0677261707812535</v>
      </c>
      <c r="H8" s="219">
        <v>-3.9919731975000019</v>
      </c>
      <c r="I8" s="219">
        <v>-3.9162202242187529</v>
      </c>
      <c r="J8" s="219">
        <v>-3.8404672509375017</v>
      </c>
      <c r="K8" s="219">
        <v>-3.7647142776562523</v>
      </c>
      <c r="L8" s="219">
        <v>-3.6889613043750016</v>
      </c>
      <c r="M8" s="219">
        <v>-3.6132083310937517</v>
      </c>
      <c r="N8" s="219">
        <v>-3.5374553578125014</v>
      </c>
      <c r="O8" s="219">
        <v>-3.4617023845312511</v>
      </c>
      <c r="P8" s="219">
        <v>-3.3859494112500013</v>
      </c>
      <c r="Q8" s="219">
        <v>-3.3101964379687514</v>
      </c>
      <c r="R8" s="219">
        <v>-3.2344434646875011</v>
      </c>
      <c r="S8" s="219">
        <v>-3.1586904914062508</v>
      </c>
      <c r="T8" s="219">
        <v>-3.0829375181250009</v>
      </c>
      <c r="U8" s="219">
        <v>-3.0071845448437511</v>
      </c>
      <c r="V8" s="220">
        <v>-2.9314315715625008</v>
      </c>
      <c r="W8" s="219">
        <v>-2.8556785982812505</v>
      </c>
      <c r="X8" s="220">
        <v>-2.7799256250000006</v>
      </c>
      <c r="Y8" s="219">
        <v>-2.7080878125000005</v>
      </c>
      <c r="Z8" s="220">
        <v>-2.63625</v>
      </c>
      <c r="AA8" s="219">
        <v>-2.5681250000000002</v>
      </c>
      <c r="AB8" s="221">
        <v>-2.5</v>
      </c>
      <c r="AC8" s="219">
        <v>-2</v>
      </c>
      <c r="AD8" s="221">
        <v>-1.5</v>
      </c>
      <c r="AE8" s="219">
        <v>-1</v>
      </c>
      <c r="AF8" s="219">
        <v>-0.5</v>
      </c>
      <c r="AG8" s="219">
        <v>0</v>
      </c>
      <c r="AH8" s="219">
        <v>0.3</v>
      </c>
      <c r="AI8" s="219">
        <v>0.6</v>
      </c>
      <c r="AJ8" s="219">
        <v>0.9</v>
      </c>
      <c r="AK8" s="219">
        <v>1.2</v>
      </c>
      <c r="AL8" s="219">
        <v>1.5</v>
      </c>
      <c r="AM8" s="219">
        <v>1.8</v>
      </c>
      <c r="AN8" s="219">
        <v>2.1</v>
      </c>
      <c r="AO8" s="219">
        <v>2.3579999999999997</v>
      </c>
      <c r="AP8" s="219">
        <v>2.6159999999999997</v>
      </c>
      <c r="AQ8" s="219">
        <v>2.8378799999999997</v>
      </c>
      <c r="AR8" s="219">
        <v>3.0597599999999998</v>
      </c>
      <c r="AS8" s="219">
        <v>3.2505768000000002</v>
      </c>
      <c r="AT8" s="219">
        <v>3.4413936000000001</v>
      </c>
      <c r="AU8" s="219">
        <v>3.605496048</v>
      </c>
      <c r="AV8" s="219">
        <v>3.7695984960000004</v>
      </c>
      <c r="AW8" s="219">
        <v>3.9107266012800004</v>
      </c>
      <c r="AX8" s="219">
        <v>4.0518547065600004</v>
      </c>
      <c r="AY8" s="219">
        <v>4.1732248771008003</v>
      </c>
      <c r="AZ8" s="219">
        <v>4.2945950476416002</v>
      </c>
      <c r="BA8" s="219">
        <v>4.3989733943066884</v>
      </c>
      <c r="BB8" s="219">
        <v>4.5033517409717758</v>
      </c>
      <c r="BC8" s="219">
        <v>4.5931171191037512</v>
      </c>
      <c r="BD8" s="219">
        <v>4.6828824972357266</v>
      </c>
      <c r="BE8" s="219">
        <v>4.7600807224292252</v>
      </c>
      <c r="BF8" s="219">
        <v>4.8372789476227238</v>
      </c>
      <c r="BG8" s="219">
        <v>4.9036694212891323</v>
      </c>
      <c r="BH8" s="219">
        <v>4.9700598949555417</v>
      </c>
      <c r="BI8" s="219">
        <v>5.0271557023086535</v>
      </c>
      <c r="BJ8" s="219">
        <v>5.0842515096617653</v>
      </c>
      <c r="BK8" s="219">
        <v>5.1333539039854417</v>
      </c>
      <c r="BL8" s="219">
        <v>5.182456298309118</v>
      </c>
      <c r="BM8" s="219">
        <v>5.2315586926327944</v>
      </c>
      <c r="BN8" s="219">
        <v>5.2806610869564707</v>
      </c>
      <c r="BO8" s="219">
        <v>5.3297634812801471</v>
      </c>
      <c r="BP8" s="219">
        <v>5.3788658756038235</v>
      </c>
      <c r="BQ8" s="219">
        <v>5.4279682699274998</v>
      </c>
      <c r="BR8" s="219">
        <v>5.4770706642511762</v>
      </c>
      <c r="BS8" s="219">
        <v>5.5261730585748525</v>
      </c>
      <c r="BT8" s="219">
        <v>5.5752754528985289</v>
      </c>
      <c r="BU8" s="219">
        <v>5.6243778472222052</v>
      </c>
      <c r="BV8" s="219">
        <v>5.6734802415458816</v>
      </c>
      <c r="BW8" s="219">
        <v>5.722582635869558</v>
      </c>
      <c r="BX8" s="219">
        <v>5.7716850301932343</v>
      </c>
      <c r="BY8" s="219">
        <v>5.8207874245169107</v>
      </c>
      <c r="BZ8" s="219">
        <v>5.869889818840587</v>
      </c>
      <c r="CA8" s="219">
        <v>5.9189922131642634</v>
      </c>
      <c r="CB8" s="219">
        <v>5.9680946074879397</v>
      </c>
      <c r="CC8" s="219">
        <v>6.0171970018116161</v>
      </c>
      <c r="CD8" s="219">
        <v>6.0662993961352925</v>
      </c>
      <c r="CE8" s="219">
        <v>6.1154017904589688</v>
      </c>
      <c r="CF8" s="219">
        <v>6.1645041847826452</v>
      </c>
      <c r="CG8" s="219">
        <v>6.2136065791063215</v>
      </c>
      <c r="CH8" s="219">
        <v>6.2627089734299979</v>
      </c>
      <c r="CI8" s="219">
        <v>6.3118113677536742</v>
      </c>
      <c r="CJ8" s="219">
        <v>6.3609137620773506</v>
      </c>
      <c r="CK8" s="219">
        <v>6.410016156401027</v>
      </c>
      <c r="CL8" s="219">
        <v>6.4591185507247033</v>
      </c>
      <c r="CM8" s="219">
        <v>6.5082209450483797</v>
      </c>
      <c r="CN8" s="219">
        <v>6.557323339372056</v>
      </c>
      <c r="CO8" s="219">
        <v>6.6064257336957324</v>
      </c>
      <c r="CP8" s="219">
        <v>6.6555281280194087</v>
      </c>
      <c r="CQ8" s="219">
        <v>6.7046305223430851</v>
      </c>
      <c r="CR8" s="219">
        <v>6.7537329166667615</v>
      </c>
      <c r="CS8" s="219">
        <v>6.8028353109904378</v>
      </c>
      <c r="CT8" s="219">
        <v>6.8519377053141142</v>
      </c>
      <c r="CU8" s="219">
        <v>6.9010400996377905</v>
      </c>
      <c r="CV8" s="219">
        <v>6.9501424939614669</v>
      </c>
      <c r="CW8" s="219">
        <v>6.9992448882851432</v>
      </c>
      <c r="CX8" s="219">
        <v>7.0483472826088196</v>
      </c>
      <c r="CY8" s="219">
        <v>7.097449676932496</v>
      </c>
      <c r="CZ8" s="219">
        <v>7.1465520712561723</v>
      </c>
      <c r="DA8" s="219">
        <v>7.1956544655798487</v>
      </c>
      <c r="DB8" s="219">
        <v>7.244756859903525</v>
      </c>
      <c r="DC8" s="219">
        <v>7.2938592542272014</v>
      </c>
      <c r="DD8" s="219">
        <v>7.3429616485508777</v>
      </c>
      <c r="DE8" s="219">
        <v>7.3920640428745541</v>
      </c>
      <c r="DF8" s="219">
        <v>7.4411664371982305</v>
      </c>
      <c r="DG8" s="219">
        <v>7.4902688315219068</v>
      </c>
      <c r="DH8" s="219">
        <v>7.5393712258455832</v>
      </c>
      <c r="DI8" s="219">
        <v>7.5884736201692595</v>
      </c>
      <c r="DJ8" s="219">
        <v>7.6375760144929359</v>
      </c>
      <c r="DK8" s="219">
        <v>7.6866784088166122</v>
      </c>
      <c r="DL8" s="219">
        <v>7.7357808031402886</v>
      </c>
      <c r="DM8" s="219">
        <v>7.784883197463965</v>
      </c>
      <c r="DN8" s="219">
        <v>7.8339855917876413</v>
      </c>
      <c r="DO8" s="219">
        <v>7.8830879861113177</v>
      </c>
      <c r="DP8" s="219">
        <v>7.932190380434994</v>
      </c>
      <c r="DQ8" s="219">
        <v>7.9812927747586704</v>
      </c>
      <c r="DR8" s="219">
        <v>8.0303951690823467</v>
      </c>
      <c r="DS8" s="219">
        <v>8.0794975634060222</v>
      </c>
      <c r="DT8" s="219">
        <v>8.1285999577296995</v>
      </c>
      <c r="DU8" s="219">
        <v>8.1777023520533731</v>
      </c>
      <c r="DV8" s="219">
        <v>8.2268047463770522</v>
      </c>
      <c r="DW8" s="219">
        <v>8.2759071407007241</v>
      </c>
      <c r="DX8" s="219">
        <v>8.3250095350244049</v>
      </c>
      <c r="DY8" s="219">
        <v>8.374111929348075</v>
      </c>
      <c r="DZ8" s="219">
        <v>8.4232143236717576</v>
      </c>
      <c r="EA8" s="219">
        <v>8.472316717995426</v>
      </c>
      <c r="EB8" s="219">
        <v>8.5214191123191103</v>
      </c>
      <c r="EC8" s="219">
        <v>8.5705215066427769</v>
      </c>
      <c r="ED8" s="219">
        <v>8.619623900966463</v>
      </c>
      <c r="EE8" s="219">
        <v>8.6687262952901278</v>
      </c>
      <c r="EF8" s="219">
        <v>8.7178286896138157</v>
      </c>
      <c r="EG8" s="219">
        <v>8.7669310839374788</v>
      </c>
      <c r="EH8" s="219">
        <v>8.8160334782611685</v>
      </c>
      <c r="EI8" s="219">
        <v>8.8651358725848297</v>
      </c>
      <c r="EJ8" s="219">
        <v>8.9142382669085212</v>
      </c>
      <c r="EK8" s="219">
        <v>8.9633406612321807</v>
      </c>
    </row>
    <row r="9" spans="1:141" ht="13.2" x14ac:dyDescent="0.25">
      <c r="A9" s="254">
        <v>36923</v>
      </c>
      <c r="B9" s="219">
        <v>-4.446491037187501</v>
      </c>
      <c r="C9" s="219">
        <v>-4.3707380639062547</v>
      </c>
      <c r="D9" s="219">
        <v>-4.2949850906250013</v>
      </c>
      <c r="E9" s="219">
        <v>-4.2192321173437541</v>
      </c>
      <c r="F9" s="219">
        <v>-4.1434791440625016</v>
      </c>
      <c r="G9" s="219">
        <v>-4.0677261707812535</v>
      </c>
      <c r="H9" s="219">
        <v>-3.9919731975000019</v>
      </c>
      <c r="I9" s="219">
        <v>-3.9162202242187529</v>
      </c>
      <c r="J9" s="219">
        <v>-3.8404672509375017</v>
      </c>
      <c r="K9" s="219">
        <v>-3.7647142776562523</v>
      </c>
      <c r="L9" s="219">
        <v>-3.6889613043750016</v>
      </c>
      <c r="M9" s="219">
        <v>-3.6132083310937517</v>
      </c>
      <c r="N9" s="219">
        <v>-3.5374553578125014</v>
      </c>
      <c r="O9" s="219">
        <v>-3.4617023845312511</v>
      </c>
      <c r="P9" s="219">
        <v>-3.3859494112500013</v>
      </c>
      <c r="Q9" s="219">
        <v>-3.3101964379687514</v>
      </c>
      <c r="R9" s="219">
        <v>-3.2344434646875011</v>
      </c>
      <c r="S9" s="219">
        <v>-3.1586904914062508</v>
      </c>
      <c r="T9" s="219">
        <v>-3.0829375181250009</v>
      </c>
      <c r="U9" s="219">
        <v>-3.0071845448437511</v>
      </c>
      <c r="V9" s="220">
        <v>-2.9314315715625008</v>
      </c>
      <c r="W9" s="219">
        <v>-2.8556785982812505</v>
      </c>
      <c r="X9" s="220">
        <v>-2.7799256250000006</v>
      </c>
      <c r="Y9" s="219">
        <v>-2.7080878125000005</v>
      </c>
      <c r="Z9" s="220">
        <v>-2.63625</v>
      </c>
      <c r="AA9" s="219">
        <v>-2.5681250000000002</v>
      </c>
      <c r="AB9" s="221">
        <v>-2.5</v>
      </c>
      <c r="AC9" s="219">
        <v>-2</v>
      </c>
      <c r="AD9" s="221">
        <v>-1.5</v>
      </c>
      <c r="AE9" s="219">
        <v>-1</v>
      </c>
      <c r="AF9" s="219">
        <v>-0.5</v>
      </c>
      <c r="AG9" s="219">
        <v>0</v>
      </c>
      <c r="AH9" s="219">
        <v>0.3</v>
      </c>
      <c r="AI9" s="219">
        <v>0.6</v>
      </c>
      <c r="AJ9" s="219">
        <v>0.9</v>
      </c>
      <c r="AK9" s="219">
        <v>1.2</v>
      </c>
      <c r="AL9" s="219">
        <v>1.5</v>
      </c>
      <c r="AM9" s="219">
        <v>1.8</v>
      </c>
      <c r="AN9" s="219">
        <v>2.1</v>
      </c>
      <c r="AO9" s="219">
        <v>2.3579999999999997</v>
      </c>
      <c r="AP9" s="219">
        <v>2.6159999999999997</v>
      </c>
      <c r="AQ9" s="219">
        <v>2.8378799999999997</v>
      </c>
      <c r="AR9" s="219">
        <v>3.0597599999999998</v>
      </c>
      <c r="AS9" s="219">
        <v>3.2505768000000002</v>
      </c>
      <c r="AT9" s="219">
        <v>3.4413936000000001</v>
      </c>
      <c r="AU9" s="219">
        <v>3.605496048</v>
      </c>
      <c r="AV9" s="219">
        <v>3.7695984960000004</v>
      </c>
      <c r="AW9" s="219">
        <v>3.9107266012800004</v>
      </c>
      <c r="AX9" s="219">
        <v>4.0518547065600004</v>
      </c>
      <c r="AY9" s="219">
        <v>4.1732248771008003</v>
      </c>
      <c r="AZ9" s="219">
        <v>4.2945950476416002</v>
      </c>
      <c r="BA9" s="219">
        <v>4.3989733943066884</v>
      </c>
      <c r="BB9" s="219">
        <v>4.5033517409717758</v>
      </c>
      <c r="BC9" s="219">
        <v>4.5931171191037512</v>
      </c>
      <c r="BD9" s="219">
        <v>4.6828824972357266</v>
      </c>
      <c r="BE9" s="219">
        <v>4.7600807224292252</v>
      </c>
      <c r="BF9" s="219">
        <v>4.8372789476227238</v>
      </c>
      <c r="BG9" s="219">
        <v>4.9036694212891323</v>
      </c>
      <c r="BH9" s="219">
        <v>4.9700598949555417</v>
      </c>
      <c r="BI9" s="219">
        <v>5.0271557023086535</v>
      </c>
      <c r="BJ9" s="219">
        <v>5.0842515096617653</v>
      </c>
      <c r="BK9" s="219">
        <v>5.1333539039854417</v>
      </c>
      <c r="BL9" s="219">
        <v>5.182456298309118</v>
      </c>
      <c r="BM9" s="219">
        <v>5.2315586926327944</v>
      </c>
      <c r="BN9" s="219">
        <v>5.2806610869564707</v>
      </c>
      <c r="BO9" s="219">
        <v>5.3297634812801471</v>
      </c>
      <c r="BP9" s="219">
        <v>5.3788658756038235</v>
      </c>
      <c r="BQ9" s="219">
        <v>5.4279682699274998</v>
      </c>
      <c r="BR9" s="219">
        <v>5.4770706642511762</v>
      </c>
      <c r="BS9" s="219">
        <v>5.5261730585748525</v>
      </c>
      <c r="BT9" s="219">
        <v>5.5752754528985289</v>
      </c>
      <c r="BU9" s="219">
        <v>5.6243778472222052</v>
      </c>
      <c r="BV9" s="219">
        <v>5.6734802415458816</v>
      </c>
      <c r="BW9" s="219">
        <v>5.722582635869558</v>
      </c>
      <c r="BX9" s="219">
        <v>5.7716850301932343</v>
      </c>
      <c r="BY9" s="219">
        <v>5.8207874245169107</v>
      </c>
      <c r="BZ9" s="219">
        <v>5.869889818840587</v>
      </c>
      <c r="CA9" s="219">
        <v>5.9189922131642634</v>
      </c>
      <c r="CB9" s="219">
        <v>5.9680946074879397</v>
      </c>
      <c r="CC9" s="219">
        <v>6.0171970018116161</v>
      </c>
      <c r="CD9" s="219">
        <v>6.0662993961352925</v>
      </c>
      <c r="CE9" s="219">
        <v>6.1154017904589688</v>
      </c>
      <c r="CF9" s="219">
        <v>6.1645041847826452</v>
      </c>
      <c r="CG9" s="219">
        <v>6.2136065791063215</v>
      </c>
      <c r="CH9" s="219">
        <v>6.2627089734299979</v>
      </c>
      <c r="CI9" s="219">
        <v>6.3118113677536742</v>
      </c>
      <c r="CJ9" s="219">
        <v>6.3609137620773506</v>
      </c>
      <c r="CK9" s="219">
        <v>6.410016156401027</v>
      </c>
      <c r="CL9" s="219">
        <v>6.4591185507247033</v>
      </c>
      <c r="CM9" s="219">
        <v>6.5082209450483797</v>
      </c>
      <c r="CN9" s="219">
        <v>6.557323339372056</v>
      </c>
      <c r="CO9" s="219">
        <v>6.6064257336957324</v>
      </c>
      <c r="CP9" s="219">
        <v>6.6555281280194087</v>
      </c>
      <c r="CQ9" s="219">
        <v>6.7046305223430851</v>
      </c>
      <c r="CR9" s="219">
        <v>6.7537329166667615</v>
      </c>
      <c r="CS9" s="219">
        <v>6.8028353109904378</v>
      </c>
      <c r="CT9" s="219">
        <v>6.8519377053141142</v>
      </c>
      <c r="CU9" s="219">
        <v>6.9010400996377905</v>
      </c>
      <c r="CV9" s="219">
        <v>6.9501424939614669</v>
      </c>
      <c r="CW9" s="219">
        <v>6.9992448882851432</v>
      </c>
      <c r="CX9" s="219">
        <v>7.0483472826088196</v>
      </c>
      <c r="CY9" s="219">
        <v>7.097449676932496</v>
      </c>
      <c r="CZ9" s="219">
        <v>7.1465520712561723</v>
      </c>
      <c r="DA9" s="219">
        <v>7.1956544655798487</v>
      </c>
      <c r="DB9" s="219">
        <v>7.244756859903525</v>
      </c>
      <c r="DC9" s="219">
        <v>7.2938592542272014</v>
      </c>
      <c r="DD9" s="219">
        <v>7.3429616485508777</v>
      </c>
      <c r="DE9" s="219">
        <v>7.3920640428745541</v>
      </c>
      <c r="DF9" s="219">
        <v>7.4411664371982305</v>
      </c>
      <c r="DG9" s="219">
        <v>7.4902688315219068</v>
      </c>
      <c r="DH9" s="219">
        <v>7.5393712258455832</v>
      </c>
      <c r="DI9" s="219">
        <v>7.5884736201692595</v>
      </c>
      <c r="DJ9" s="219">
        <v>7.6375760144929359</v>
      </c>
      <c r="DK9" s="219">
        <v>7.6866784088166122</v>
      </c>
      <c r="DL9" s="219">
        <v>7.7357808031402886</v>
      </c>
      <c r="DM9" s="219">
        <v>7.784883197463965</v>
      </c>
      <c r="DN9" s="219">
        <v>7.8339855917876413</v>
      </c>
      <c r="DO9" s="219">
        <v>7.8830879861113177</v>
      </c>
      <c r="DP9" s="219">
        <v>7.932190380434994</v>
      </c>
      <c r="DQ9" s="219">
        <v>7.9812927747586704</v>
      </c>
      <c r="DR9" s="219">
        <v>8.0303951690823467</v>
      </c>
      <c r="DS9" s="219">
        <v>8.0794975634060222</v>
      </c>
      <c r="DT9" s="219">
        <v>8.1285999577296995</v>
      </c>
      <c r="DU9" s="219">
        <v>8.1777023520533731</v>
      </c>
      <c r="DV9" s="219">
        <v>8.2268047463770522</v>
      </c>
      <c r="DW9" s="219">
        <v>8.2759071407007241</v>
      </c>
      <c r="DX9" s="219">
        <v>8.3250095350244049</v>
      </c>
      <c r="DY9" s="219">
        <v>8.374111929348075</v>
      </c>
      <c r="DZ9" s="219">
        <v>8.4232143236717576</v>
      </c>
      <c r="EA9" s="219">
        <v>8.472316717995426</v>
      </c>
      <c r="EB9" s="219">
        <v>8.5214191123191103</v>
      </c>
      <c r="EC9" s="219">
        <v>8.5705215066427769</v>
      </c>
      <c r="ED9" s="219">
        <v>8.619623900966463</v>
      </c>
      <c r="EE9" s="219">
        <v>8.6687262952901278</v>
      </c>
      <c r="EF9" s="219">
        <v>8.7178286896138157</v>
      </c>
      <c r="EG9" s="219">
        <v>8.7669310839374788</v>
      </c>
      <c r="EH9" s="219">
        <v>8.8160334782611685</v>
      </c>
      <c r="EI9" s="219">
        <v>8.8651358725848297</v>
      </c>
      <c r="EJ9" s="219">
        <v>8.9142382669085212</v>
      </c>
      <c r="EK9" s="219">
        <v>8.9633406612321807</v>
      </c>
    </row>
    <row r="10" spans="1:141" ht="13.2" x14ac:dyDescent="0.25">
      <c r="A10" s="254">
        <v>36951</v>
      </c>
      <c r="B10" s="219">
        <v>-4.446491037187501</v>
      </c>
      <c r="C10" s="219">
        <v>-4.3707380639062547</v>
      </c>
      <c r="D10" s="219">
        <v>-4.2949850906250013</v>
      </c>
      <c r="E10" s="219">
        <v>-4.2192321173437541</v>
      </c>
      <c r="F10" s="219">
        <v>-4.1434791440625016</v>
      </c>
      <c r="G10" s="219">
        <v>-4.0677261707812535</v>
      </c>
      <c r="H10" s="219">
        <v>-3.9919731975000019</v>
      </c>
      <c r="I10" s="219">
        <v>-3.9162202242187529</v>
      </c>
      <c r="J10" s="219">
        <v>-3.8404672509375017</v>
      </c>
      <c r="K10" s="219">
        <v>-3.7647142776562523</v>
      </c>
      <c r="L10" s="219">
        <v>-3.6889613043750016</v>
      </c>
      <c r="M10" s="219">
        <v>-3.6132083310937517</v>
      </c>
      <c r="N10" s="219">
        <v>-3.5374553578125014</v>
      </c>
      <c r="O10" s="219">
        <v>-3.4617023845312511</v>
      </c>
      <c r="P10" s="219">
        <v>-3.3859494112500013</v>
      </c>
      <c r="Q10" s="219">
        <v>-3.3101964379687514</v>
      </c>
      <c r="R10" s="219">
        <v>-3.2344434646875011</v>
      </c>
      <c r="S10" s="219">
        <v>-3.1586904914062508</v>
      </c>
      <c r="T10" s="219">
        <v>-3.0829375181250009</v>
      </c>
      <c r="U10" s="219">
        <v>-3.0071845448437511</v>
      </c>
      <c r="V10" s="220">
        <v>-2.9314315715625008</v>
      </c>
      <c r="W10" s="219">
        <v>-2.8556785982812505</v>
      </c>
      <c r="X10" s="220">
        <v>-2.7799256250000006</v>
      </c>
      <c r="Y10" s="219">
        <v>-2.7080878125000005</v>
      </c>
      <c r="Z10" s="220">
        <v>-2.63625</v>
      </c>
      <c r="AA10" s="219">
        <v>-2.5681250000000002</v>
      </c>
      <c r="AB10" s="221">
        <v>-2.5</v>
      </c>
      <c r="AC10" s="219">
        <v>-2</v>
      </c>
      <c r="AD10" s="221">
        <v>-1.5</v>
      </c>
      <c r="AE10" s="219">
        <v>-1</v>
      </c>
      <c r="AF10" s="219">
        <v>-0.5</v>
      </c>
      <c r="AG10" s="219">
        <v>0</v>
      </c>
      <c r="AH10" s="219">
        <v>0.3</v>
      </c>
      <c r="AI10" s="219">
        <v>0.6</v>
      </c>
      <c r="AJ10" s="219">
        <v>0.9</v>
      </c>
      <c r="AK10" s="219">
        <v>1.2</v>
      </c>
      <c r="AL10" s="219">
        <v>1.5</v>
      </c>
      <c r="AM10" s="219">
        <v>1.8</v>
      </c>
      <c r="AN10" s="219">
        <v>2.1</v>
      </c>
      <c r="AO10" s="219">
        <v>2.3579999999999997</v>
      </c>
      <c r="AP10" s="219">
        <v>2.6159999999999997</v>
      </c>
      <c r="AQ10" s="219">
        <v>2.8378799999999997</v>
      </c>
      <c r="AR10" s="219">
        <v>3.0597599999999998</v>
      </c>
      <c r="AS10" s="219">
        <v>3.2505768000000002</v>
      </c>
      <c r="AT10" s="219">
        <v>3.4413936000000001</v>
      </c>
      <c r="AU10" s="219">
        <v>3.605496048</v>
      </c>
      <c r="AV10" s="219">
        <v>3.7695984960000004</v>
      </c>
      <c r="AW10" s="219">
        <v>3.9107266012800004</v>
      </c>
      <c r="AX10" s="219">
        <v>4.0518547065600004</v>
      </c>
      <c r="AY10" s="219">
        <v>4.1732248771008003</v>
      </c>
      <c r="AZ10" s="219">
        <v>4.2945950476416002</v>
      </c>
      <c r="BA10" s="219">
        <v>4.3989733943066884</v>
      </c>
      <c r="BB10" s="219">
        <v>4.5033517409717758</v>
      </c>
      <c r="BC10" s="219">
        <v>4.5931171191037512</v>
      </c>
      <c r="BD10" s="219">
        <v>4.6828824972357266</v>
      </c>
      <c r="BE10" s="219">
        <v>4.7600807224292252</v>
      </c>
      <c r="BF10" s="219">
        <v>4.8372789476227238</v>
      </c>
      <c r="BG10" s="219">
        <v>4.9036694212891323</v>
      </c>
      <c r="BH10" s="219">
        <v>4.9700598949555417</v>
      </c>
      <c r="BI10" s="219">
        <v>5.0271557023086535</v>
      </c>
      <c r="BJ10" s="219">
        <v>5.0842515096617653</v>
      </c>
      <c r="BK10" s="219">
        <v>5.1333539039854417</v>
      </c>
      <c r="BL10" s="219">
        <v>5.182456298309118</v>
      </c>
      <c r="BM10" s="219">
        <v>5.2315586926327944</v>
      </c>
      <c r="BN10" s="219">
        <v>5.2806610869564707</v>
      </c>
      <c r="BO10" s="219">
        <v>5.3297634812801471</v>
      </c>
      <c r="BP10" s="219">
        <v>5.3788658756038235</v>
      </c>
      <c r="BQ10" s="219">
        <v>5.4279682699274998</v>
      </c>
      <c r="BR10" s="219">
        <v>5.4770706642511762</v>
      </c>
      <c r="BS10" s="219">
        <v>5.5261730585748525</v>
      </c>
      <c r="BT10" s="219">
        <v>5.5752754528985289</v>
      </c>
      <c r="BU10" s="219">
        <v>5.6243778472222052</v>
      </c>
      <c r="BV10" s="219">
        <v>5.6734802415458816</v>
      </c>
      <c r="BW10" s="219">
        <v>5.722582635869558</v>
      </c>
      <c r="BX10" s="219">
        <v>5.7716850301932343</v>
      </c>
      <c r="BY10" s="219">
        <v>5.8207874245169107</v>
      </c>
      <c r="BZ10" s="219">
        <v>5.869889818840587</v>
      </c>
      <c r="CA10" s="219">
        <v>5.9189922131642634</v>
      </c>
      <c r="CB10" s="219">
        <v>5.9680946074879397</v>
      </c>
      <c r="CC10" s="219">
        <v>6.0171970018116161</v>
      </c>
      <c r="CD10" s="219">
        <v>6.0662993961352925</v>
      </c>
      <c r="CE10" s="219">
        <v>6.1154017904589688</v>
      </c>
      <c r="CF10" s="219">
        <v>6.1645041847826452</v>
      </c>
      <c r="CG10" s="219">
        <v>6.2136065791063215</v>
      </c>
      <c r="CH10" s="219">
        <v>6.2627089734299979</v>
      </c>
      <c r="CI10" s="219">
        <v>6.3118113677536742</v>
      </c>
      <c r="CJ10" s="219">
        <v>6.3609137620773506</v>
      </c>
      <c r="CK10" s="219">
        <v>6.410016156401027</v>
      </c>
      <c r="CL10" s="219">
        <v>6.4591185507247033</v>
      </c>
      <c r="CM10" s="219">
        <v>6.5082209450483797</v>
      </c>
      <c r="CN10" s="219">
        <v>6.557323339372056</v>
      </c>
      <c r="CO10" s="219">
        <v>6.6064257336957324</v>
      </c>
      <c r="CP10" s="219">
        <v>6.6555281280194087</v>
      </c>
      <c r="CQ10" s="219">
        <v>6.7046305223430851</v>
      </c>
      <c r="CR10" s="219">
        <v>6.7537329166667615</v>
      </c>
      <c r="CS10" s="219">
        <v>6.8028353109904378</v>
      </c>
      <c r="CT10" s="219">
        <v>6.8519377053141142</v>
      </c>
      <c r="CU10" s="219">
        <v>6.9010400996377905</v>
      </c>
      <c r="CV10" s="219">
        <v>6.9501424939614669</v>
      </c>
      <c r="CW10" s="219">
        <v>6.9992448882851432</v>
      </c>
      <c r="CX10" s="219">
        <v>7.0483472826088196</v>
      </c>
      <c r="CY10" s="219">
        <v>7.097449676932496</v>
      </c>
      <c r="CZ10" s="219">
        <v>7.1465520712561723</v>
      </c>
      <c r="DA10" s="219">
        <v>7.1956544655798487</v>
      </c>
      <c r="DB10" s="219">
        <v>7.244756859903525</v>
      </c>
      <c r="DC10" s="219">
        <v>7.2938592542272014</v>
      </c>
      <c r="DD10" s="219">
        <v>7.3429616485508777</v>
      </c>
      <c r="DE10" s="219">
        <v>7.3920640428745541</v>
      </c>
      <c r="DF10" s="219">
        <v>7.4411664371982305</v>
      </c>
      <c r="DG10" s="219">
        <v>7.4902688315219068</v>
      </c>
      <c r="DH10" s="219">
        <v>7.5393712258455832</v>
      </c>
      <c r="DI10" s="219">
        <v>7.5884736201692595</v>
      </c>
      <c r="DJ10" s="219">
        <v>7.6375760144929359</v>
      </c>
      <c r="DK10" s="219">
        <v>7.6866784088166122</v>
      </c>
      <c r="DL10" s="219">
        <v>7.7357808031402886</v>
      </c>
      <c r="DM10" s="219">
        <v>7.784883197463965</v>
      </c>
      <c r="DN10" s="219">
        <v>7.8339855917876413</v>
      </c>
      <c r="DO10" s="219">
        <v>7.8830879861113177</v>
      </c>
      <c r="DP10" s="219">
        <v>7.932190380434994</v>
      </c>
      <c r="DQ10" s="219">
        <v>7.9812927747586704</v>
      </c>
      <c r="DR10" s="219">
        <v>8.0303951690823467</v>
      </c>
      <c r="DS10" s="219">
        <v>8.0794975634060222</v>
      </c>
      <c r="DT10" s="219">
        <v>8.1285999577296995</v>
      </c>
      <c r="DU10" s="219">
        <v>8.1777023520533731</v>
      </c>
      <c r="DV10" s="219">
        <v>8.2268047463770522</v>
      </c>
      <c r="DW10" s="219">
        <v>8.2759071407007241</v>
      </c>
      <c r="DX10" s="219">
        <v>8.3250095350244049</v>
      </c>
      <c r="DY10" s="219">
        <v>8.374111929348075</v>
      </c>
      <c r="DZ10" s="219">
        <v>8.4232143236717576</v>
      </c>
      <c r="EA10" s="219">
        <v>8.472316717995426</v>
      </c>
      <c r="EB10" s="219">
        <v>8.5214191123191103</v>
      </c>
      <c r="EC10" s="219">
        <v>8.5705215066427769</v>
      </c>
      <c r="ED10" s="219">
        <v>8.619623900966463</v>
      </c>
      <c r="EE10" s="219">
        <v>8.6687262952901278</v>
      </c>
      <c r="EF10" s="219">
        <v>8.7178286896138157</v>
      </c>
      <c r="EG10" s="219">
        <v>8.7669310839374788</v>
      </c>
      <c r="EH10" s="219">
        <v>8.8160334782611685</v>
      </c>
      <c r="EI10" s="219">
        <v>8.8651358725848297</v>
      </c>
      <c r="EJ10" s="219">
        <v>8.9142382669085212</v>
      </c>
      <c r="EK10" s="219">
        <v>8.9633406612321807</v>
      </c>
    </row>
    <row r="11" spans="1:141" ht="13.2" x14ac:dyDescent="0.25">
      <c r="A11" s="254">
        <v>36982</v>
      </c>
      <c r="B11" s="219">
        <v>-2.2232455185937505</v>
      </c>
      <c r="C11" s="219">
        <v>-2.1853690319531274</v>
      </c>
      <c r="D11" s="219">
        <v>-2.1474925453125007</v>
      </c>
      <c r="E11" s="219">
        <v>-2.1096160586718771</v>
      </c>
      <c r="F11" s="219">
        <v>-2.0717395720312508</v>
      </c>
      <c r="G11" s="219">
        <v>-2.0338630853906268</v>
      </c>
      <c r="H11" s="219">
        <v>-1.995986598750001</v>
      </c>
      <c r="I11" s="219">
        <v>-1.9581101121093765</v>
      </c>
      <c r="J11" s="219">
        <v>-1.9202336254687509</v>
      </c>
      <c r="K11" s="219">
        <v>-1.8823571388281262</v>
      </c>
      <c r="L11" s="219">
        <v>-1.8444806521875008</v>
      </c>
      <c r="M11" s="219">
        <v>-1.8066041655468759</v>
      </c>
      <c r="N11" s="219">
        <v>-1.7687276789062507</v>
      </c>
      <c r="O11" s="219">
        <v>-1.7308511922656256</v>
      </c>
      <c r="P11" s="219">
        <v>-1.6929747056250006</v>
      </c>
      <c r="Q11" s="219">
        <v>-1.6550982189843757</v>
      </c>
      <c r="R11" s="219">
        <v>-1.6172217323437506</v>
      </c>
      <c r="S11" s="219">
        <v>-1.5793452457031254</v>
      </c>
      <c r="T11" s="219">
        <v>-1.5414687590625005</v>
      </c>
      <c r="U11" s="219">
        <v>-1.5035922724218755</v>
      </c>
      <c r="V11" s="220">
        <v>-1.4657157857812504</v>
      </c>
      <c r="W11" s="219">
        <v>-1.4278392991406252</v>
      </c>
      <c r="X11" s="220">
        <v>-1.3899628125000003</v>
      </c>
      <c r="Y11" s="219">
        <v>-1.3540439062500003</v>
      </c>
      <c r="Z11" s="220">
        <v>-1.318125</v>
      </c>
      <c r="AA11" s="219">
        <v>-1.2840625000000001</v>
      </c>
      <c r="AB11" s="221">
        <v>-1.25</v>
      </c>
      <c r="AC11" s="219">
        <v>-1</v>
      </c>
      <c r="AD11" s="221">
        <v>-0.75</v>
      </c>
      <c r="AE11" s="219">
        <v>-0.5</v>
      </c>
      <c r="AF11" s="219">
        <v>-0.25</v>
      </c>
      <c r="AG11" s="219">
        <v>0</v>
      </c>
      <c r="AH11" s="151">
        <v>0.25</v>
      </c>
      <c r="AI11" s="219">
        <v>0.5</v>
      </c>
      <c r="AJ11" s="219">
        <v>0.75</v>
      </c>
      <c r="AK11" s="219">
        <v>1</v>
      </c>
      <c r="AL11" s="219">
        <v>1.25</v>
      </c>
      <c r="AM11" s="219">
        <v>1.5</v>
      </c>
      <c r="AN11" s="219">
        <v>1.75</v>
      </c>
      <c r="AO11" s="219">
        <v>1.9650000000000001</v>
      </c>
      <c r="AP11" s="219">
        <v>2.1800000000000002</v>
      </c>
      <c r="AQ11" s="219">
        <v>2.3649000000000004</v>
      </c>
      <c r="AR11" s="219">
        <v>2.5498000000000003</v>
      </c>
      <c r="AS11" s="219">
        <v>2.7088140000000003</v>
      </c>
      <c r="AT11" s="219">
        <v>2.8678280000000003</v>
      </c>
      <c r="AU11" s="219">
        <v>3.0045800400000005</v>
      </c>
      <c r="AV11" s="219">
        <v>3.1413320800000002</v>
      </c>
      <c r="AW11" s="219">
        <v>3.2589388344000003</v>
      </c>
      <c r="AX11" s="219">
        <v>3.3765455888</v>
      </c>
      <c r="AY11" s="219">
        <v>3.4776873975839999</v>
      </c>
      <c r="AZ11" s="219">
        <v>3.5788292063679998</v>
      </c>
      <c r="BA11" s="219">
        <v>3.6658111619222398</v>
      </c>
      <c r="BB11" s="219">
        <v>3.7527931174764797</v>
      </c>
      <c r="BC11" s="219">
        <v>3.8275975992531261</v>
      </c>
      <c r="BD11" s="219">
        <v>3.9024020810297726</v>
      </c>
      <c r="BE11" s="219">
        <v>3.9667339353576887</v>
      </c>
      <c r="BF11" s="219">
        <v>4.0310657896856048</v>
      </c>
      <c r="BG11" s="219">
        <v>4.0863911844076126</v>
      </c>
      <c r="BH11" s="219">
        <v>4.1417165791296204</v>
      </c>
      <c r="BI11" s="219">
        <v>4.1892964185905477</v>
      </c>
      <c r="BJ11" s="219">
        <v>4.2368762580514741</v>
      </c>
      <c r="BK11" s="219">
        <v>4.2777949199878709</v>
      </c>
      <c r="BL11" s="219">
        <v>4.3187135819242686</v>
      </c>
      <c r="BM11" s="219">
        <v>4.3596322438606663</v>
      </c>
      <c r="BN11" s="219">
        <v>4.4005509057970631</v>
      </c>
      <c r="BO11" s="219">
        <v>4.4414695677334599</v>
      </c>
      <c r="BP11" s="219">
        <v>4.4823882296698576</v>
      </c>
      <c r="BQ11" s="219">
        <v>4.5233068916062553</v>
      </c>
      <c r="BR11" s="219">
        <v>4.5642255535426521</v>
      </c>
      <c r="BS11" s="219">
        <v>4.605144215479049</v>
      </c>
      <c r="BT11" s="219">
        <v>4.6460628774154467</v>
      </c>
      <c r="BU11" s="219">
        <v>4.6869815393518444</v>
      </c>
      <c r="BV11" s="219">
        <v>4.7279002012882412</v>
      </c>
      <c r="BW11" s="219">
        <v>4.7688188632246398</v>
      </c>
      <c r="BX11" s="219">
        <v>4.8097375251610357</v>
      </c>
      <c r="BY11" s="219">
        <v>4.8506561870974352</v>
      </c>
      <c r="BZ11" s="219">
        <v>4.8915748490338302</v>
      </c>
      <c r="CA11" s="219">
        <v>4.9324935109702306</v>
      </c>
      <c r="CB11" s="219">
        <v>4.9734121729066247</v>
      </c>
      <c r="CC11" s="219">
        <v>5.014330834843026</v>
      </c>
      <c r="CD11" s="219">
        <v>5.0552494967794193</v>
      </c>
      <c r="CE11" s="219">
        <v>5.0961681587158214</v>
      </c>
      <c r="CF11" s="219">
        <v>5.1370868206522138</v>
      </c>
      <c r="CG11" s="219">
        <v>5.1780054825886168</v>
      </c>
      <c r="CH11" s="219">
        <v>5.2189241445250083</v>
      </c>
      <c r="CI11" s="219">
        <v>5.2598428064614122</v>
      </c>
      <c r="CJ11" s="219">
        <v>5.3007614683978028</v>
      </c>
      <c r="CK11" s="219">
        <v>5.3416801303342076</v>
      </c>
      <c r="CL11" s="219">
        <v>5.3825987922705973</v>
      </c>
      <c r="CM11" s="219">
        <v>5.423517454207003</v>
      </c>
      <c r="CN11" s="219">
        <v>5.4644361161433919</v>
      </c>
      <c r="CO11" s="219">
        <v>5.5053547780797985</v>
      </c>
      <c r="CP11" s="219">
        <v>5.5462734400161864</v>
      </c>
      <c r="CQ11" s="219">
        <v>5.5871921019525939</v>
      </c>
      <c r="CR11" s="219">
        <v>5.6281107638889809</v>
      </c>
      <c r="CS11" s="219">
        <v>5.6690294258253893</v>
      </c>
      <c r="CT11" s="219">
        <v>5.7099480877617754</v>
      </c>
      <c r="CU11" s="219">
        <v>5.7508667496981847</v>
      </c>
      <c r="CV11" s="219">
        <v>5.7917854116345699</v>
      </c>
      <c r="CW11" s="219">
        <v>5.8327040735709801</v>
      </c>
      <c r="CX11" s="219">
        <v>5.8736227355073645</v>
      </c>
      <c r="CY11" s="219">
        <v>5.9145413974437755</v>
      </c>
      <c r="CZ11" s="219">
        <v>5.955460059380159</v>
      </c>
      <c r="DA11" s="219">
        <v>5.9963787213165709</v>
      </c>
      <c r="DB11" s="219">
        <v>6.0372973832529535</v>
      </c>
      <c r="DC11" s="219">
        <v>6.0782160451893663</v>
      </c>
      <c r="DD11" s="219">
        <v>6.119134707125748</v>
      </c>
      <c r="DE11" s="219">
        <v>6.1600533690621617</v>
      </c>
      <c r="DF11" s="219">
        <v>6.2009720309985426</v>
      </c>
      <c r="DG11" s="219">
        <v>6.2418906929349571</v>
      </c>
      <c r="DH11" s="219">
        <v>6.2828093548713371</v>
      </c>
      <c r="DI11" s="219">
        <v>6.3237280168077525</v>
      </c>
      <c r="DJ11" s="219">
        <v>6.3646466787441316</v>
      </c>
      <c r="DK11" s="219">
        <v>6.4055653406805479</v>
      </c>
      <c r="DL11" s="219">
        <v>6.4464840026169261</v>
      </c>
      <c r="DM11" s="219">
        <v>6.4874026645533434</v>
      </c>
      <c r="DN11" s="219">
        <v>6.5283213264897206</v>
      </c>
      <c r="DO11" s="219">
        <v>6.5692399884261388</v>
      </c>
      <c r="DP11" s="219">
        <v>6.6101586503625152</v>
      </c>
      <c r="DQ11" s="219">
        <v>6.6510773122989342</v>
      </c>
      <c r="DR11" s="219">
        <v>6.6919959742353097</v>
      </c>
      <c r="DS11" s="219">
        <v>6.7329146361717296</v>
      </c>
      <c r="DT11" s="219">
        <v>6.7738332981081042</v>
      </c>
      <c r="DU11" s="219">
        <v>6.814751960044525</v>
      </c>
      <c r="DV11" s="219">
        <v>6.8556706219808987</v>
      </c>
      <c r="DW11" s="219">
        <v>6.8965892839173204</v>
      </c>
      <c r="DX11" s="219">
        <v>6.9375079458536932</v>
      </c>
      <c r="DY11" s="219">
        <v>6.9784266077901158</v>
      </c>
      <c r="DZ11" s="219">
        <v>7.0193452697264878</v>
      </c>
      <c r="EA11" s="219">
        <v>7.0602639316629112</v>
      </c>
      <c r="EB11" s="219">
        <v>7.1011825935992823</v>
      </c>
      <c r="EC11" s="219">
        <v>7.1421012555357066</v>
      </c>
      <c r="ED11" s="219">
        <v>7.1830199174720768</v>
      </c>
      <c r="EE11" s="219">
        <v>7.223938579408502</v>
      </c>
      <c r="EF11" s="219">
        <v>7.2648572413448713</v>
      </c>
      <c r="EG11" s="219">
        <v>7.3057759032812974</v>
      </c>
      <c r="EH11" s="219">
        <v>7.3466945652176658</v>
      </c>
      <c r="EI11" s="219">
        <v>7.3876132271540929</v>
      </c>
      <c r="EJ11" s="219">
        <v>7.4285318890904604</v>
      </c>
      <c r="EK11" s="219">
        <v>7.4694505510268883</v>
      </c>
    </row>
    <row r="12" spans="1:141" ht="13.2" x14ac:dyDescent="0.25">
      <c r="A12" s="254">
        <v>37012</v>
      </c>
      <c r="B12" s="219">
        <v>-2.2232455185937505</v>
      </c>
      <c r="C12" s="219">
        <v>-2.1853690319531274</v>
      </c>
      <c r="D12" s="219">
        <v>-2.1474925453125007</v>
      </c>
      <c r="E12" s="219">
        <v>-2.1096160586718771</v>
      </c>
      <c r="F12" s="219">
        <v>-2.0717395720312508</v>
      </c>
      <c r="G12" s="219">
        <v>-2.0338630853906268</v>
      </c>
      <c r="H12" s="219">
        <v>-1.995986598750001</v>
      </c>
      <c r="I12" s="219">
        <v>-1.9581101121093765</v>
      </c>
      <c r="J12" s="219">
        <v>-1.9202336254687509</v>
      </c>
      <c r="K12" s="219">
        <v>-1.8823571388281262</v>
      </c>
      <c r="L12" s="219">
        <v>-1.8444806521875008</v>
      </c>
      <c r="M12" s="219">
        <v>-1.8066041655468759</v>
      </c>
      <c r="N12" s="219">
        <v>-1.7687276789062507</v>
      </c>
      <c r="O12" s="219">
        <v>-1.7308511922656256</v>
      </c>
      <c r="P12" s="219">
        <v>-1.6929747056250006</v>
      </c>
      <c r="Q12" s="219">
        <v>-1.6550982189843757</v>
      </c>
      <c r="R12" s="219">
        <v>-1.6172217323437506</v>
      </c>
      <c r="S12" s="219">
        <v>-1.5793452457031254</v>
      </c>
      <c r="T12" s="219">
        <v>-1.5414687590625005</v>
      </c>
      <c r="U12" s="219">
        <v>-1.5035922724218755</v>
      </c>
      <c r="V12" s="220">
        <v>-1.4657157857812504</v>
      </c>
      <c r="W12" s="219">
        <v>-1.4278392991406252</v>
      </c>
      <c r="X12" s="220">
        <v>-1.3899628125000003</v>
      </c>
      <c r="Y12" s="219">
        <v>-1.3540439062500003</v>
      </c>
      <c r="Z12" s="220">
        <v>-1.318125</v>
      </c>
      <c r="AA12" s="219">
        <v>-1.2840625000000001</v>
      </c>
      <c r="AB12" s="221">
        <v>-1.25</v>
      </c>
      <c r="AC12" s="219">
        <v>-1</v>
      </c>
      <c r="AD12" s="221">
        <v>-0.75</v>
      </c>
      <c r="AE12" s="219">
        <v>-0.5</v>
      </c>
      <c r="AF12" s="219">
        <v>-0.25</v>
      </c>
      <c r="AG12" s="219">
        <v>0</v>
      </c>
      <c r="AH12" s="151">
        <v>0.25</v>
      </c>
      <c r="AI12" s="219">
        <v>0.5</v>
      </c>
      <c r="AJ12" s="219">
        <v>0.75</v>
      </c>
      <c r="AK12" s="219">
        <v>1</v>
      </c>
      <c r="AL12" s="219">
        <v>1.25</v>
      </c>
      <c r="AM12" s="219">
        <v>1.5</v>
      </c>
      <c r="AN12" s="219">
        <v>1.75</v>
      </c>
      <c r="AO12" s="219">
        <v>1.9650000000000001</v>
      </c>
      <c r="AP12" s="219">
        <v>2.1800000000000002</v>
      </c>
      <c r="AQ12" s="219">
        <v>2.3649000000000004</v>
      </c>
      <c r="AR12" s="219">
        <v>2.5498000000000003</v>
      </c>
      <c r="AS12" s="219">
        <v>2.7088140000000003</v>
      </c>
      <c r="AT12" s="219">
        <v>2.8678280000000003</v>
      </c>
      <c r="AU12" s="219">
        <v>3.0045800400000005</v>
      </c>
      <c r="AV12" s="219">
        <v>3.1413320800000002</v>
      </c>
      <c r="AW12" s="219">
        <v>3.2589388344000003</v>
      </c>
      <c r="AX12" s="219">
        <v>3.3765455888</v>
      </c>
      <c r="AY12" s="219">
        <v>3.4776873975839999</v>
      </c>
      <c r="AZ12" s="219">
        <v>3.5788292063679998</v>
      </c>
      <c r="BA12" s="219">
        <v>3.6658111619222398</v>
      </c>
      <c r="BB12" s="219">
        <v>3.7527931174764797</v>
      </c>
      <c r="BC12" s="219">
        <v>3.8275975992531261</v>
      </c>
      <c r="BD12" s="219">
        <v>3.9024020810297726</v>
      </c>
      <c r="BE12" s="219">
        <v>3.9667339353576887</v>
      </c>
      <c r="BF12" s="219">
        <v>4.0310657896856048</v>
      </c>
      <c r="BG12" s="219">
        <v>4.0863911844076126</v>
      </c>
      <c r="BH12" s="219">
        <v>4.1417165791296204</v>
      </c>
      <c r="BI12" s="219">
        <v>4.1892964185905477</v>
      </c>
      <c r="BJ12" s="219">
        <v>4.2368762580514741</v>
      </c>
      <c r="BK12" s="219">
        <v>4.2777949199878709</v>
      </c>
      <c r="BL12" s="219">
        <v>4.3187135819242686</v>
      </c>
      <c r="BM12" s="219">
        <v>4.3596322438606663</v>
      </c>
      <c r="BN12" s="219">
        <v>4.4005509057970631</v>
      </c>
      <c r="BO12" s="219">
        <v>4.4414695677334599</v>
      </c>
      <c r="BP12" s="219">
        <v>4.4823882296698576</v>
      </c>
      <c r="BQ12" s="219">
        <v>4.5233068916062553</v>
      </c>
      <c r="BR12" s="219">
        <v>4.5642255535426521</v>
      </c>
      <c r="BS12" s="219">
        <v>4.605144215479049</v>
      </c>
      <c r="BT12" s="219">
        <v>4.6460628774154467</v>
      </c>
      <c r="BU12" s="219">
        <v>4.6869815393518444</v>
      </c>
      <c r="BV12" s="219">
        <v>4.7279002012882412</v>
      </c>
      <c r="BW12" s="219">
        <v>4.7688188632246398</v>
      </c>
      <c r="BX12" s="219">
        <v>4.8097375251610357</v>
      </c>
      <c r="BY12" s="219">
        <v>4.8506561870974352</v>
      </c>
      <c r="BZ12" s="219">
        <v>4.8915748490338302</v>
      </c>
      <c r="CA12" s="219">
        <v>4.9324935109702306</v>
      </c>
      <c r="CB12" s="219">
        <v>4.9734121729066247</v>
      </c>
      <c r="CC12" s="219">
        <v>5.014330834843026</v>
      </c>
      <c r="CD12" s="219">
        <v>5.0552494967794193</v>
      </c>
      <c r="CE12" s="219">
        <v>5.0961681587158214</v>
      </c>
      <c r="CF12" s="219">
        <v>5.1370868206522138</v>
      </c>
      <c r="CG12" s="219">
        <v>5.1780054825886168</v>
      </c>
      <c r="CH12" s="219">
        <v>5.2189241445250083</v>
      </c>
      <c r="CI12" s="219">
        <v>5.2598428064614122</v>
      </c>
      <c r="CJ12" s="219">
        <v>5.3007614683978028</v>
      </c>
      <c r="CK12" s="219">
        <v>5.3416801303342076</v>
      </c>
      <c r="CL12" s="219">
        <v>5.3825987922705973</v>
      </c>
      <c r="CM12" s="219">
        <v>5.423517454207003</v>
      </c>
      <c r="CN12" s="219">
        <v>5.4644361161433919</v>
      </c>
      <c r="CO12" s="219">
        <v>5.5053547780797985</v>
      </c>
      <c r="CP12" s="219">
        <v>5.5462734400161864</v>
      </c>
      <c r="CQ12" s="219">
        <v>5.5871921019525939</v>
      </c>
      <c r="CR12" s="219">
        <v>5.6281107638889809</v>
      </c>
      <c r="CS12" s="219">
        <v>5.6690294258253893</v>
      </c>
      <c r="CT12" s="219">
        <v>5.7099480877617754</v>
      </c>
      <c r="CU12" s="219">
        <v>5.7508667496981847</v>
      </c>
      <c r="CV12" s="219">
        <v>5.7917854116345699</v>
      </c>
      <c r="CW12" s="219">
        <v>5.8327040735709801</v>
      </c>
      <c r="CX12" s="219">
        <v>5.8736227355073645</v>
      </c>
      <c r="CY12" s="219">
        <v>5.9145413974437755</v>
      </c>
      <c r="CZ12" s="219">
        <v>5.955460059380159</v>
      </c>
      <c r="DA12" s="219">
        <v>5.9963787213165709</v>
      </c>
      <c r="DB12" s="219">
        <v>6.0372973832529535</v>
      </c>
      <c r="DC12" s="219">
        <v>6.0782160451893663</v>
      </c>
      <c r="DD12" s="219">
        <v>6.119134707125748</v>
      </c>
      <c r="DE12" s="219">
        <v>6.1600533690621617</v>
      </c>
      <c r="DF12" s="219">
        <v>6.2009720309985426</v>
      </c>
      <c r="DG12" s="219">
        <v>6.2418906929349571</v>
      </c>
      <c r="DH12" s="219">
        <v>6.2828093548713371</v>
      </c>
      <c r="DI12" s="219">
        <v>6.3237280168077525</v>
      </c>
      <c r="DJ12" s="219">
        <v>6.3646466787441316</v>
      </c>
      <c r="DK12" s="219">
        <v>6.4055653406805479</v>
      </c>
      <c r="DL12" s="219">
        <v>6.4464840026169261</v>
      </c>
      <c r="DM12" s="219">
        <v>6.4874026645533434</v>
      </c>
      <c r="DN12" s="219">
        <v>6.5283213264897206</v>
      </c>
      <c r="DO12" s="219">
        <v>6.5692399884261388</v>
      </c>
      <c r="DP12" s="219">
        <v>6.6101586503625152</v>
      </c>
      <c r="DQ12" s="219">
        <v>6.6510773122989342</v>
      </c>
      <c r="DR12" s="219">
        <v>6.6919959742353097</v>
      </c>
      <c r="DS12" s="219">
        <v>6.7329146361717296</v>
      </c>
      <c r="DT12" s="219">
        <v>6.7738332981081042</v>
      </c>
      <c r="DU12" s="219">
        <v>6.814751960044525</v>
      </c>
      <c r="DV12" s="219">
        <v>6.8556706219808987</v>
      </c>
      <c r="DW12" s="219">
        <v>6.8965892839173204</v>
      </c>
      <c r="DX12" s="219">
        <v>6.9375079458536932</v>
      </c>
      <c r="DY12" s="219">
        <v>6.9784266077901158</v>
      </c>
      <c r="DZ12" s="219">
        <v>7.0193452697264878</v>
      </c>
      <c r="EA12" s="219">
        <v>7.0602639316629112</v>
      </c>
      <c r="EB12" s="219">
        <v>7.1011825935992823</v>
      </c>
      <c r="EC12" s="219">
        <v>7.1421012555357066</v>
      </c>
      <c r="ED12" s="219">
        <v>7.1830199174720768</v>
      </c>
      <c r="EE12" s="219">
        <v>7.223938579408502</v>
      </c>
      <c r="EF12" s="219">
        <v>7.2648572413448713</v>
      </c>
      <c r="EG12" s="219">
        <v>7.3057759032812974</v>
      </c>
      <c r="EH12" s="219">
        <v>7.3466945652176658</v>
      </c>
      <c r="EI12" s="219">
        <v>7.3876132271540929</v>
      </c>
      <c r="EJ12" s="219">
        <v>7.4285318890904604</v>
      </c>
      <c r="EK12" s="219">
        <v>7.4694505510268883</v>
      </c>
    </row>
    <row r="13" spans="1:141" ht="13.2" x14ac:dyDescent="0.25">
      <c r="A13" s="254">
        <v>37043</v>
      </c>
      <c r="B13" s="219">
        <v>-2.2232455185937505</v>
      </c>
      <c r="C13" s="219">
        <v>-2.1853690319531274</v>
      </c>
      <c r="D13" s="219">
        <v>-2.1474925453125007</v>
      </c>
      <c r="E13" s="219">
        <v>-2.1096160586718771</v>
      </c>
      <c r="F13" s="219">
        <v>-2.0717395720312508</v>
      </c>
      <c r="G13" s="219">
        <v>-2.0338630853906268</v>
      </c>
      <c r="H13" s="219">
        <v>-1.995986598750001</v>
      </c>
      <c r="I13" s="219">
        <v>-1.9581101121093765</v>
      </c>
      <c r="J13" s="219">
        <v>-1.9202336254687509</v>
      </c>
      <c r="K13" s="219">
        <v>-1.8823571388281262</v>
      </c>
      <c r="L13" s="219">
        <v>-1.8444806521875008</v>
      </c>
      <c r="M13" s="219">
        <v>-1.8066041655468759</v>
      </c>
      <c r="N13" s="219">
        <v>-1.7687276789062507</v>
      </c>
      <c r="O13" s="219">
        <v>-1.7308511922656256</v>
      </c>
      <c r="P13" s="219">
        <v>-1.6929747056250006</v>
      </c>
      <c r="Q13" s="219">
        <v>-1.6550982189843757</v>
      </c>
      <c r="R13" s="219">
        <v>-1.6172217323437506</v>
      </c>
      <c r="S13" s="219">
        <v>-1.5793452457031254</v>
      </c>
      <c r="T13" s="219">
        <v>-1.5414687590625005</v>
      </c>
      <c r="U13" s="219">
        <v>-1.5035922724218755</v>
      </c>
      <c r="V13" s="220">
        <v>-1.4657157857812504</v>
      </c>
      <c r="W13" s="219">
        <v>-1.4278392991406252</v>
      </c>
      <c r="X13" s="220">
        <v>-1.3899628125000003</v>
      </c>
      <c r="Y13" s="219">
        <v>-1.3540439062500003</v>
      </c>
      <c r="Z13" s="220">
        <v>-1.318125</v>
      </c>
      <c r="AA13" s="219">
        <v>-1.2840625000000001</v>
      </c>
      <c r="AB13" s="221">
        <v>-1.25</v>
      </c>
      <c r="AC13" s="219">
        <v>-1</v>
      </c>
      <c r="AD13" s="221">
        <v>-0.75</v>
      </c>
      <c r="AE13" s="219">
        <v>-0.5</v>
      </c>
      <c r="AF13" s="219">
        <v>-0.25</v>
      </c>
      <c r="AG13" s="219">
        <v>0</v>
      </c>
      <c r="AH13" s="151">
        <v>0.25</v>
      </c>
      <c r="AI13" s="219">
        <v>0.5</v>
      </c>
      <c r="AJ13" s="219">
        <v>0.75</v>
      </c>
      <c r="AK13" s="219">
        <v>1</v>
      </c>
      <c r="AL13" s="219">
        <v>1.25</v>
      </c>
      <c r="AM13" s="219">
        <v>1.5</v>
      </c>
      <c r="AN13" s="219">
        <v>1.75</v>
      </c>
      <c r="AO13" s="219">
        <v>1.9650000000000001</v>
      </c>
      <c r="AP13" s="219">
        <v>2.1800000000000002</v>
      </c>
      <c r="AQ13" s="219">
        <v>2.3649000000000004</v>
      </c>
      <c r="AR13" s="219">
        <v>2.5498000000000003</v>
      </c>
      <c r="AS13" s="219">
        <v>2.7088140000000003</v>
      </c>
      <c r="AT13" s="219">
        <v>2.8678280000000003</v>
      </c>
      <c r="AU13" s="219">
        <v>3.0045800400000005</v>
      </c>
      <c r="AV13" s="219">
        <v>3.1413320800000002</v>
      </c>
      <c r="AW13" s="219">
        <v>3.2589388344000003</v>
      </c>
      <c r="AX13" s="219">
        <v>3.3765455888</v>
      </c>
      <c r="AY13" s="219">
        <v>3.4776873975839999</v>
      </c>
      <c r="AZ13" s="219">
        <v>3.5788292063679998</v>
      </c>
      <c r="BA13" s="219">
        <v>3.6658111619222398</v>
      </c>
      <c r="BB13" s="219">
        <v>3.7527931174764797</v>
      </c>
      <c r="BC13" s="219">
        <v>3.8275975992531261</v>
      </c>
      <c r="BD13" s="219">
        <v>3.9024020810297726</v>
      </c>
      <c r="BE13" s="219">
        <v>3.9667339353576887</v>
      </c>
      <c r="BF13" s="219">
        <v>4.0310657896856048</v>
      </c>
      <c r="BG13" s="219">
        <v>4.0863911844076126</v>
      </c>
      <c r="BH13" s="219">
        <v>4.1417165791296204</v>
      </c>
      <c r="BI13" s="219">
        <v>4.1892964185905477</v>
      </c>
      <c r="BJ13" s="219">
        <v>4.2368762580514741</v>
      </c>
      <c r="BK13" s="219">
        <v>4.2777949199878709</v>
      </c>
      <c r="BL13" s="219">
        <v>4.3187135819242686</v>
      </c>
      <c r="BM13" s="219">
        <v>4.3596322438606663</v>
      </c>
      <c r="BN13" s="219">
        <v>4.4005509057970631</v>
      </c>
      <c r="BO13" s="219">
        <v>4.4414695677334599</v>
      </c>
      <c r="BP13" s="219">
        <v>4.4823882296698576</v>
      </c>
      <c r="BQ13" s="219">
        <v>4.5233068916062553</v>
      </c>
      <c r="BR13" s="219">
        <v>4.5642255535426521</v>
      </c>
      <c r="BS13" s="219">
        <v>4.605144215479049</v>
      </c>
      <c r="BT13" s="219">
        <v>4.6460628774154467</v>
      </c>
      <c r="BU13" s="219">
        <v>4.6869815393518444</v>
      </c>
      <c r="BV13" s="219">
        <v>4.7279002012882412</v>
      </c>
      <c r="BW13" s="219">
        <v>4.7688188632246398</v>
      </c>
      <c r="BX13" s="219">
        <v>4.8097375251610357</v>
      </c>
      <c r="BY13" s="219">
        <v>4.8506561870974352</v>
      </c>
      <c r="BZ13" s="219">
        <v>4.8915748490338302</v>
      </c>
      <c r="CA13" s="219">
        <v>4.9324935109702306</v>
      </c>
      <c r="CB13" s="219">
        <v>4.9734121729066247</v>
      </c>
      <c r="CC13" s="219">
        <v>5.014330834843026</v>
      </c>
      <c r="CD13" s="219">
        <v>5.0552494967794193</v>
      </c>
      <c r="CE13" s="219">
        <v>5.0961681587158214</v>
      </c>
      <c r="CF13" s="219">
        <v>5.1370868206522138</v>
      </c>
      <c r="CG13" s="219">
        <v>5.1780054825886168</v>
      </c>
      <c r="CH13" s="219">
        <v>5.2189241445250083</v>
      </c>
      <c r="CI13" s="219">
        <v>5.2598428064614122</v>
      </c>
      <c r="CJ13" s="219">
        <v>5.3007614683978028</v>
      </c>
      <c r="CK13" s="219">
        <v>5.3416801303342076</v>
      </c>
      <c r="CL13" s="219">
        <v>5.3825987922705973</v>
      </c>
      <c r="CM13" s="219">
        <v>5.423517454207003</v>
      </c>
      <c r="CN13" s="219">
        <v>5.4644361161433919</v>
      </c>
      <c r="CO13" s="219">
        <v>5.5053547780797985</v>
      </c>
      <c r="CP13" s="219">
        <v>5.5462734400161864</v>
      </c>
      <c r="CQ13" s="219">
        <v>5.5871921019525939</v>
      </c>
      <c r="CR13" s="219">
        <v>5.6281107638889809</v>
      </c>
      <c r="CS13" s="219">
        <v>5.6690294258253893</v>
      </c>
      <c r="CT13" s="219">
        <v>5.7099480877617754</v>
      </c>
      <c r="CU13" s="219">
        <v>5.7508667496981847</v>
      </c>
      <c r="CV13" s="219">
        <v>5.7917854116345699</v>
      </c>
      <c r="CW13" s="219">
        <v>5.8327040735709801</v>
      </c>
      <c r="CX13" s="219">
        <v>5.8736227355073645</v>
      </c>
      <c r="CY13" s="219">
        <v>5.9145413974437755</v>
      </c>
      <c r="CZ13" s="219">
        <v>5.955460059380159</v>
      </c>
      <c r="DA13" s="219">
        <v>5.9963787213165709</v>
      </c>
      <c r="DB13" s="219">
        <v>6.0372973832529535</v>
      </c>
      <c r="DC13" s="219">
        <v>6.0782160451893663</v>
      </c>
      <c r="DD13" s="219">
        <v>6.119134707125748</v>
      </c>
      <c r="DE13" s="219">
        <v>6.1600533690621617</v>
      </c>
      <c r="DF13" s="219">
        <v>6.2009720309985426</v>
      </c>
      <c r="DG13" s="219">
        <v>6.2418906929349571</v>
      </c>
      <c r="DH13" s="219">
        <v>6.2828093548713371</v>
      </c>
      <c r="DI13" s="219">
        <v>6.3237280168077525</v>
      </c>
      <c r="DJ13" s="219">
        <v>6.3646466787441316</v>
      </c>
      <c r="DK13" s="219">
        <v>6.4055653406805479</v>
      </c>
      <c r="DL13" s="219">
        <v>6.4464840026169261</v>
      </c>
      <c r="DM13" s="219">
        <v>6.4874026645533434</v>
      </c>
      <c r="DN13" s="219">
        <v>6.5283213264897206</v>
      </c>
      <c r="DO13" s="219">
        <v>6.5692399884261388</v>
      </c>
      <c r="DP13" s="219">
        <v>6.6101586503625152</v>
      </c>
      <c r="DQ13" s="219">
        <v>6.6510773122989342</v>
      </c>
      <c r="DR13" s="219">
        <v>6.6919959742353097</v>
      </c>
      <c r="DS13" s="219">
        <v>6.7329146361717296</v>
      </c>
      <c r="DT13" s="219">
        <v>6.7738332981081042</v>
      </c>
      <c r="DU13" s="219">
        <v>6.814751960044525</v>
      </c>
      <c r="DV13" s="219">
        <v>6.8556706219808987</v>
      </c>
      <c r="DW13" s="219">
        <v>6.8965892839173204</v>
      </c>
      <c r="DX13" s="219">
        <v>6.9375079458536932</v>
      </c>
      <c r="DY13" s="219">
        <v>6.9784266077901158</v>
      </c>
      <c r="DZ13" s="219">
        <v>7.0193452697264878</v>
      </c>
      <c r="EA13" s="219">
        <v>7.0602639316629112</v>
      </c>
      <c r="EB13" s="219">
        <v>7.1011825935992823</v>
      </c>
      <c r="EC13" s="219">
        <v>7.1421012555357066</v>
      </c>
      <c r="ED13" s="219">
        <v>7.1830199174720768</v>
      </c>
      <c r="EE13" s="219">
        <v>7.223938579408502</v>
      </c>
      <c r="EF13" s="219">
        <v>7.2648572413448713</v>
      </c>
      <c r="EG13" s="219">
        <v>7.3057759032812974</v>
      </c>
      <c r="EH13" s="219">
        <v>7.3466945652176658</v>
      </c>
      <c r="EI13" s="219">
        <v>7.3876132271540929</v>
      </c>
      <c r="EJ13" s="219">
        <v>7.4285318890904604</v>
      </c>
      <c r="EK13" s="219">
        <v>7.4694505510268883</v>
      </c>
    </row>
    <row r="14" spans="1:141" ht="13.2" x14ac:dyDescent="0.25">
      <c r="A14" s="254">
        <v>37073</v>
      </c>
      <c r="B14" s="219">
        <v>-2.2232455185937505</v>
      </c>
      <c r="C14" s="219">
        <v>-2.1853690319531274</v>
      </c>
      <c r="D14" s="219">
        <v>-2.1474925453125007</v>
      </c>
      <c r="E14" s="219">
        <v>-2.1096160586718771</v>
      </c>
      <c r="F14" s="219">
        <v>-2.0717395720312508</v>
      </c>
      <c r="G14" s="219">
        <v>-2.0338630853906268</v>
      </c>
      <c r="H14" s="219">
        <v>-1.995986598750001</v>
      </c>
      <c r="I14" s="219">
        <v>-1.9581101121093765</v>
      </c>
      <c r="J14" s="219">
        <v>-1.9202336254687509</v>
      </c>
      <c r="K14" s="219">
        <v>-1.8823571388281262</v>
      </c>
      <c r="L14" s="219">
        <v>-1.8444806521875008</v>
      </c>
      <c r="M14" s="219">
        <v>-1.8066041655468759</v>
      </c>
      <c r="N14" s="219">
        <v>-1.7687276789062507</v>
      </c>
      <c r="O14" s="219">
        <v>-1.7308511922656256</v>
      </c>
      <c r="P14" s="219">
        <v>-1.6929747056250006</v>
      </c>
      <c r="Q14" s="219">
        <v>-1.6550982189843757</v>
      </c>
      <c r="R14" s="219">
        <v>-1.6172217323437506</v>
      </c>
      <c r="S14" s="219">
        <v>-1.5793452457031254</v>
      </c>
      <c r="T14" s="219">
        <v>-1.5414687590625005</v>
      </c>
      <c r="U14" s="219">
        <v>-1.5035922724218755</v>
      </c>
      <c r="V14" s="220">
        <v>-1.4657157857812504</v>
      </c>
      <c r="W14" s="219">
        <v>-1.4278392991406252</v>
      </c>
      <c r="X14" s="220">
        <v>-1.3899628125000003</v>
      </c>
      <c r="Y14" s="219">
        <v>-1.3540439062500003</v>
      </c>
      <c r="Z14" s="220">
        <v>-1.318125</v>
      </c>
      <c r="AA14" s="219">
        <v>-1.2840625000000001</v>
      </c>
      <c r="AB14" s="221">
        <v>-1.25</v>
      </c>
      <c r="AC14" s="219">
        <v>-1</v>
      </c>
      <c r="AD14" s="221">
        <v>-0.75</v>
      </c>
      <c r="AE14" s="219">
        <v>-0.5</v>
      </c>
      <c r="AF14" s="219">
        <v>-0.25</v>
      </c>
      <c r="AG14" s="219">
        <v>0</v>
      </c>
      <c r="AH14" s="151">
        <v>0.25</v>
      </c>
      <c r="AI14" s="219">
        <v>0.5</v>
      </c>
      <c r="AJ14" s="219">
        <v>0.75</v>
      </c>
      <c r="AK14" s="219">
        <v>1</v>
      </c>
      <c r="AL14" s="219">
        <v>1.25</v>
      </c>
      <c r="AM14" s="219">
        <v>1.5</v>
      </c>
      <c r="AN14" s="219">
        <v>1.75</v>
      </c>
      <c r="AO14" s="219">
        <v>1.9650000000000001</v>
      </c>
      <c r="AP14" s="219">
        <v>2.1800000000000002</v>
      </c>
      <c r="AQ14" s="219">
        <v>2.3649000000000004</v>
      </c>
      <c r="AR14" s="219">
        <v>2.5498000000000003</v>
      </c>
      <c r="AS14" s="219">
        <v>2.7088140000000003</v>
      </c>
      <c r="AT14" s="219">
        <v>2.8678280000000003</v>
      </c>
      <c r="AU14" s="219">
        <v>3.0045800400000005</v>
      </c>
      <c r="AV14" s="219">
        <v>3.1413320800000002</v>
      </c>
      <c r="AW14" s="219">
        <v>3.2589388344000003</v>
      </c>
      <c r="AX14" s="219">
        <v>3.3765455888</v>
      </c>
      <c r="AY14" s="219">
        <v>3.4776873975839999</v>
      </c>
      <c r="AZ14" s="219">
        <v>3.5788292063679998</v>
      </c>
      <c r="BA14" s="219">
        <v>3.6658111619222398</v>
      </c>
      <c r="BB14" s="219">
        <v>3.7527931174764797</v>
      </c>
      <c r="BC14" s="219">
        <v>3.8275975992531261</v>
      </c>
      <c r="BD14" s="219">
        <v>3.9024020810297726</v>
      </c>
      <c r="BE14" s="219">
        <v>3.9667339353576887</v>
      </c>
      <c r="BF14" s="219">
        <v>4.0310657896856048</v>
      </c>
      <c r="BG14" s="219">
        <v>4.0863911844076126</v>
      </c>
      <c r="BH14" s="219">
        <v>4.1417165791296204</v>
      </c>
      <c r="BI14" s="219">
        <v>4.1892964185905477</v>
      </c>
      <c r="BJ14" s="219">
        <v>4.2368762580514741</v>
      </c>
      <c r="BK14" s="219">
        <v>4.2777949199878709</v>
      </c>
      <c r="BL14" s="219">
        <v>4.3187135819242686</v>
      </c>
      <c r="BM14" s="219">
        <v>4.3596322438606663</v>
      </c>
      <c r="BN14" s="219">
        <v>4.4005509057970631</v>
      </c>
      <c r="BO14" s="219">
        <v>4.4414695677334599</v>
      </c>
      <c r="BP14" s="219">
        <v>4.4823882296698576</v>
      </c>
      <c r="BQ14" s="219">
        <v>4.5233068916062553</v>
      </c>
      <c r="BR14" s="219">
        <v>4.5642255535426521</v>
      </c>
      <c r="BS14" s="219">
        <v>4.605144215479049</v>
      </c>
      <c r="BT14" s="219">
        <v>4.6460628774154467</v>
      </c>
      <c r="BU14" s="219">
        <v>4.6869815393518444</v>
      </c>
      <c r="BV14" s="219">
        <v>4.7279002012882412</v>
      </c>
      <c r="BW14" s="219">
        <v>4.7688188632246398</v>
      </c>
      <c r="BX14" s="219">
        <v>4.8097375251610357</v>
      </c>
      <c r="BY14" s="219">
        <v>4.8506561870974352</v>
      </c>
      <c r="BZ14" s="219">
        <v>4.8915748490338302</v>
      </c>
      <c r="CA14" s="219">
        <v>4.9324935109702306</v>
      </c>
      <c r="CB14" s="219">
        <v>4.9734121729066247</v>
      </c>
      <c r="CC14" s="219">
        <v>5.014330834843026</v>
      </c>
      <c r="CD14" s="219">
        <v>5.0552494967794193</v>
      </c>
      <c r="CE14" s="219">
        <v>5.0961681587158214</v>
      </c>
      <c r="CF14" s="219">
        <v>5.1370868206522138</v>
      </c>
      <c r="CG14" s="219">
        <v>5.1780054825886168</v>
      </c>
      <c r="CH14" s="219">
        <v>5.2189241445250083</v>
      </c>
      <c r="CI14" s="219">
        <v>5.2598428064614122</v>
      </c>
      <c r="CJ14" s="219">
        <v>5.3007614683978028</v>
      </c>
      <c r="CK14" s="219">
        <v>5.3416801303342076</v>
      </c>
      <c r="CL14" s="219">
        <v>5.3825987922705973</v>
      </c>
      <c r="CM14" s="219">
        <v>5.423517454207003</v>
      </c>
      <c r="CN14" s="219">
        <v>5.4644361161433919</v>
      </c>
      <c r="CO14" s="219">
        <v>5.5053547780797985</v>
      </c>
      <c r="CP14" s="219">
        <v>5.5462734400161864</v>
      </c>
      <c r="CQ14" s="219">
        <v>5.5871921019525939</v>
      </c>
      <c r="CR14" s="219">
        <v>5.6281107638889809</v>
      </c>
      <c r="CS14" s="219">
        <v>5.6690294258253893</v>
      </c>
      <c r="CT14" s="219">
        <v>5.7099480877617754</v>
      </c>
      <c r="CU14" s="219">
        <v>5.7508667496981847</v>
      </c>
      <c r="CV14" s="219">
        <v>5.7917854116345699</v>
      </c>
      <c r="CW14" s="219">
        <v>5.8327040735709801</v>
      </c>
      <c r="CX14" s="219">
        <v>5.8736227355073645</v>
      </c>
      <c r="CY14" s="219">
        <v>5.9145413974437755</v>
      </c>
      <c r="CZ14" s="219">
        <v>5.955460059380159</v>
      </c>
      <c r="DA14" s="219">
        <v>5.9963787213165709</v>
      </c>
      <c r="DB14" s="219">
        <v>6.0372973832529535</v>
      </c>
      <c r="DC14" s="219">
        <v>6.0782160451893663</v>
      </c>
      <c r="DD14" s="219">
        <v>6.119134707125748</v>
      </c>
      <c r="DE14" s="219">
        <v>6.1600533690621617</v>
      </c>
      <c r="DF14" s="219">
        <v>6.2009720309985426</v>
      </c>
      <c r="DG14" s="219">
        <v>6.2418906929349571</v>
      </c>
      <c r="DH14" s="219">
        <v>6.2828093548713371</v>
      </c>
      <c r="DI14" s="219">
        <v>6.3237280168077525</v>
      </c>
      <c r="DJ14" s="219">
        <v>6.3646466787441316</v>
      </c>
      <c r="DK14" s="219">
        <v>6.4055653406805479</v>
      </c>
      <c r="DL14" s="219">
        <v>6.4464840026169261</v>
      </c>
      <c r="DM14" s="219">
        <v>6.4874026645533434</v>
      </c>
      <c r="DN14" s="219">
        <v>6.5283213264897206</v>
      </c>
      <c r="DO14" s="219">
        <v>6.5692399884261388</v>
      </c>
      <c r="DP14" s="219">
        <v>6.6101586503625152</v>
      </c>
      <c r="DQ14" s="219">
        <v>6.6510773122989342</v>
      </c>
      <c r="DR14" s="219">
        <v>6.6919959742353097</v>
      </c>
      <c r="DS14" s="219">
        <v>6.7329146361717296</v>
      </c>
      <c r="DT14" s="219">
        <v>6.7738332981081042</v>
      </c>
      <c r="DU14" s="219">
        <v>6.814751960044525</v>
      </c>
      <c r="DV14" s="219">
        <v>6.8556706219808987</v>
      </c>
      <c r="DW14" s="219">
        <v>6.8965892839173204</v>
      </c>
      <c r="DX14" s="219">
        <v>6.9375079458536932</v>
      </c>
      <c r="DY14" s="219">
        <v>6.9784266077901158</v>
      </c>
      <c r="DZ14" s="219">
        <v>7.0193452697264878</v>
      </c>
      <c r="EA14" s="219">
        <v>7.0602639316629112</v>
      </c>
      <c r="EB14" s="219">
        <v>7.1011825935992823</v>
      </c>
      <c r="EC14" s="219">
        <v>7.1421012555357066</v>
      </c>
      <c r="ED14" s="219">
        <v>7.1830199174720768</v>
      </c>
      <c r="EE14" s="219">
        <v>7.223938579408502</v>
      </c>
      <c r="EF14" s="219">
        <v>7.2648572413448713</v>
      </c>
      <c r="EG14" s="219">
        <v>7.3057759032812974</v>
      </c>
      <c r="EH14" s="219">
        <v>7.3466945652176658</v>
      </c>
      <c r="EI14" s="219">
        <v>7.3876132271540929</v>
      </c>
      <c r="EJ14" s="219">
        <v>7.4285318890904604</v>
      </c>
      <c r="EK14" s="219">
        <v>7.4694505510268883</v>
      </c>
    </row>
    <row r="15" spans="1:141" ht="13.2" x14ac:dyDescent="0.25">
      <c r="A15" s="254">
        <v>37104</v>
      </c>
      <c r="B15" s="219">
        <v>-2.2232455185937505</v>
      </c>
      <c r="C15" s="219">
        <v>-2.1853690319531274</v>
      </c>
      <c r="D15" s="219">
        <v>-2.1474925453125007</v>
      </c>
      <c r="E15" s="219">
        <v>-2.1096160586718771</v>
      </c>
      <c r="F15" s="219">
        <v>-2.0717395720312508</v>
      </c>
      <c r="G15" s="219">
        <v>-2.0338630853906268</v>
      </c>
      <c r="H15" s="219">
        <v>-1.995986598750001</v>
      </c>
      <c r="I15" s="219">
        <v>-1.9581101121093765</v>
      </c>
      <c r="J15" s="219">
        <v>-1.9202336254687509</v>
      </c>
      <c r="K15" s="219">
        <v>-1.8823571388281262</v>
      </c>
      <c r="L15" s="219">
        <v>-1.8444806521875008</v>
      </c>
      <c r="M15" s="219">
        <v>-1.8066041655468759</v>
      </c>
      <c r="N15" s="219">
        <v>-1.7687276789062507</v>
      </c>
      <c r="O15" s="219">
        <v>-1.7308511922656256</v>
      </c>
      <c r="P15" s="219">
        <v>-1.6929747056250006</v>
      </c>
      <c r="Q15" s="219">
        <v>-1.6550982189843757</v>
      </c>
      <c r="R15" s="219">
        <v>-1.6172217323437506</v>
      </c>
      <c r="S15" s="219">
        <v>-1.5793452457031254</v>
      </c>
      <c r="T15" s="219">
        <v>-1.5414687590625005</v>
      </c>
      <c r="U15" s="219">
        <v>-1.5035922724218755</v>
      </c>
      <c r="V15" s="220">
        <v>-1.4657157857812504</v>
      </c>
      <c r="W15" s="219">
        <v>-1.4278392991406252</v>
      </c>
      <c r="X15" s="220">
        <v>-1.3899628125000003</v>
      </c>
      <c r="Y15" s="219">
        <v>-1.3540439062500003</v>
      </c>
      <c r="Z15" s="220">
        <v>-1.318125</v>
      </c>
      <c r="AA15" s="219">
        <v>-1.2840625000000001</v>
      </c>
      <c r="AB15" s="221">
        <v>-1.25</v>
      </c>
      <c r="AC15" s="219">
        <v>-1</v>
      </c>
      <c r="AD15" s="221">
        <v>-0.75</v>
      </c>
      <c r="AE15" s="219">
        <v>-0.5</v>
      </c>
      <c r="AF15" s="219">
        <v>-0.25</v>
      </c>
      <c r="AG15" s="219">
        <v>0</v>
      </c>
      <c r="AH15" s="151">
        <v>0.25</v>
      </c>
      <c r="AI15" s="219">
        <v>0.5</v>
      </c>
      <c r="AJ15" s="219">
        <v>0.75</v>
      </c>
      <c r="AK15" s="219">
        <v>1</v>
      </c>
      <c r="AL15" s="219">
        <v>1.25</v>
      </c>
      <c r="AM15" s="219">
        <v>1.5</v>
      </c>
      <c r="AN15" s="219">
        <v>1.75</v>
      </c>
      <c r="AO15" s="219">
        <v>1.9650000000000001</v>
      </c>
      <c r="AP15" s="219">
        <v>2.1800000000000002</v>
      </c>
      <c r="AQ15" s="219">
        <v>2.3649000000000004</v>
      </c>
      <c r="AR15" s="219">
        <v>2.5498000000000003</v>
      </c>
      <c r="AS15" s="219">
        <v>2.7088140000000003</v>
      </c>
      <c r="AT15" s="219">
        <v>2.8678280000000003</v>
      </c>
      <c r="AU15" s="219">
        <v>3.0045800400000005</v>
      </c>
      <c r="AV15" s="219">
        <v>3.1413320800000002</v>
      </c>
      <c r="AW15" s="219">
        <v>3.2589388344000003</v>
      </c>
      <c r="AX15" s="219">
        <v>3.3765455888</v>
      </c>
      <c r="AY15" s="219">
        <v>3.4776873975839999</v>
      </c>
      <c r="AZ15" s="219">
        <v>3.5788292063679998</v>
      </c>
      <c r="BA15" s="219">
        <v>3.6658111619222398</v>
      </c>
      <c r="BB15" s="219">
        <v>3.7527931174764797</v>
      </c>
      <c r="BC15" s="219">
        <v>3.8275975992531261</v>
      </c>
      <c r="BD15" s="219">
        <v>3.9024020810297726</v>
      </c>
      <c r="BE15" s="219">
        <v>3.9667339353576887</v>
      </c>
      <c r="BF15" s="219">
        <v>4.0310657896856048</v>
      </c>
      <c r="BG15" s="219">
        <v>4.0863911844076126</v>
      </c>
      <c r="BH15" s="219">
        <v>4.1417165791296204</v>
      </c>
      <c r="BI15" s="219">
        <v>4.1892964185905477</v>
      </c>
      <c r="BJ15" s="219">
        <v>4.2368762580514741</v>
      </c>
      <c r="BK15" s="219">
        <v>4.2777949199878709</v>
      </c>
      <c r="BL15" s="219">
        <v>4.3187135819242686</v>
      </c>
      <c r="BM15" s="219">
        <v>4.3596322438606663</v>
      </c>
      <c r="BN15" s="219">
        <v>4.4005509057970631</v>
      </c>
      <c r="BO15" s="219">
        <v>4.4414695677334599</v>
      </c>
      <c r="BP15" s="219">
        <v>4.4823882296698576</v>
      </c>
      <c r="BQ15" s="219">
        <v>4.5233068916062553</v>
      </c>
      <c r="BR15" s="219">
        <v>4.5642255535426521</v>
      </c>
      <c r="BS15" s="219">
        <v>4.605144215479049</v>
      </c>
      <c r="BT15" s="219">
        <v>4.6460628774154467</v>
      </c>
      <c r="BU15" s="219">
        <v>4.6869815393518444</v>
      </c>
      <c r="BV15" s="219">
        <v>4.7279002012882412</v>
      </c>
      <c r="BW15" s="219">
        <v>4.7688188632246398</v>
      </c>
      <c r="BX15" s="219">
        <v>4.8097375251610357</v>
      </c>
      <c r="BY15" s="219">
        <v>4.8506561870974352</v>
      </c>
      <c r="BZ15" s="219">
        <v>4.8915748490338302</v>
      </c>
      <c r="CA15" s="219">
        <v>4.9324935109702306</v>
      </c>
      <c r="CB15" s="219">
        <v>4.9734121729066247</v>
      </c>
      <c r="CC15" s="219">
        <v>5.014330834843026</v>
      </c>
      <c r="CD15" s="219">
        <v>5.0552494967794193</v>
      </c>
      <c r="CE15" s="219">
        <v>5.0961681587158214</v>
      </c>
      <c r="CF15" s="219">
        <v>5.1370868206522138</v>
      </c>
      <c r="CG15" s="219">
        <v>5.1780054825886168</v>
      </c>
      <c r="CH15" s="219">
        <v>5.2189241445250083</v>
      </c>
      <c r="CI15" s="219">
        <v>5.2598428064614122</v>
      </c>
      <c r="CJ15" s="219">
        <v>5.3007614683978028</v>
      </c>
      <c r="CK15" s="219">
        <v>5.3416801303342076</v>
      </c>
      <c r="CL15" s="219">
        <v>5.3825987922705973</v>
      </c>
      <c r="CM15" s="219">
        <v>5.423517454207003</v>
      </c>
      <c r="CN15" s="219">
        <v>5.4644361161433919</v>
      </c>
      <c r="CO15" s="219">
        <v>5.5053547780797985</v>
      </c>
      <c r="CP15" s="219">
        <v>5.5462734400161864</v>
      </c>
      <c r="CQ15" s="219">
        <v>5.5871921019525939</v>
      </c>
      <c r="CR15" s="219">
        <v>5.6281107638889809</v>
      </c>
      <c r="CS15" s="219">
        <v>5.6690294258253893</v>
      </c>
      <c r="CT15" s="219">
        <v>5.7099480877617754</v>
      </c>
      <c r="CU15" s="219">
        <v>5.7508667496981847</v>
      </c>
      <c r="CV15" s="219">
        <v>5.7917854116345699</v>
      </c>
      <c r="CW15" s="219">
        <v>5.8327040735709801</v>
      </c>
      <c r="CX15" s="219">
        <v>5.8736227355073645</v>
      </c>
      <c r="CY15" s="219">
        <v>5.9145413974437755</v>
      </c>
      <c r="CZ15" s="219">
        <v>5.955460059380159</v>
      </c>
      <c r="DA15" s="219">
        <v>5.9963787213165709</v>
      </c>
      <c r="DB15" s="219">
        <v>6.0372973832529535</v>
      </c>
      <c r="DC15" s="219">
        <v>6.0782160451893663</v>
      </c>
      <c r="DD15" s="219">
        <v>6.119134707125748</v>
      </c>
      <c r="DE15" s="219">
        <v>6.1600533690621617</v>
      </c>
      <c r="DF15" s="219">
        <v>6.2009720309985426</v>
      </c>
      <c r="DG15" s="219">
        <v>6.2418906929349571</v>
      </c>
      <c r="DH15" s="219">
        <v>6.2828093548713371</v>
      </c>
      <c r="DI15" s="219">
        <v>6.3237280168077525</v>
      </c>
      <c r="DJ15" s="219">
        <v>6.3646466787441316</v>
      </c>
      <c r="DK15" s="219">
        <v>6.4055653406805479</v>
      </c>
      <c r="DL15" s="219">
        <v>6.4464840026169261</v>
      </c>
      <c r="DM15" s="219">
        <v>6.4874026645533434</v>
      </c>
      <c r="DN15" s="219">
        <v>6.5283213264897206</v>
      </c>
      <c r="DO15" s="219">
        <v>6.5692399884261388</v>
      </c>
      <c r="DP15" s="219">
        <v>6.6101586503625152</v>
      </c>
      <c r="DQ15" s="219">
        <v>6.6510773122989342</v>
      </c>
      <c r="DR15" s="219">
        <v>6.6919959742353097</v>
      </c>
      <c r="DS15" s="219">
        <v>6.7329146361717296</v>
      </c>
      <c r="DT15" s="219">
        <v>6.7738332981081042</v>
      </c>
      <c r="DU15" s="219">
        <v>6.814751960044525</v>
      </c>
      <c r="DV15" s="219">
        <v>6.8556706219808987</v>
      </c>
      <c r="DW15" s="219">
        <v>6.8965892839173204</v>
      </c>
      <c r="DX15" s="219">
        <v>6.9375079458536932</v>
      </c>
      <c r="DY15" s="219">
        <v>6.9784266077901158</v>
      </c>
      <c r="DZ15" s="219">
        <v>7.0193452697264878</v>
      </c>
      <c r="EA15" s="219">
        <v>7.0602639316629112</v>
      </c>
      <c r="EB15" s="219">
        <v>7.1011825935992823</v>
      </c>
      <c r="EC15" s="219">
        <v>7.1421012555357066</v>
      </c>
      <c r="ED15" s="219">
        <v>7.1830199174720768</v>
      </c>
      <c r="EE15" s="219">
        <v>7.223938579408502</v>
      </c>
      <c r="EF15" s="219">
        <v>7.2648572413448713</v>
      </c>
      <c r="EG15" s="219">
        <v>7.3057759032812974</v>
      </c>
      <c r="EH15" s="219">
        <v>7.3466945652176658</v>
      </c>
      <c r="EI15" s="219">
        <v>7.3876132271540929</v>
      </c>
      <c r="EJ15" s="219">
        <v>7.4285318890904604</v>
      </c>
      <c r="EK15" s="219">
        <v>7.4694505510268883</v>
      </c>
    </row>
    <row r="16" spans="1:141" ht="13.2" x14ac:dyDescent="0.25">
      <c r="A16" s="254">
        <v>37135</v>
      </c>
      <c r="B16" s="219">
        <v>-2.2232455185937505</v>
      </c>
      <c r="C16" s="219">
        <v>-2.1853690319531274</v>
      </c>
      <c r="D16" s="219">
        <v>-2.1474925453125007</v>
      </c>
      <c r="E16" s="219">
        <v>-2.1096160586718771</v>
      </c>
      <c r="F16" s="219">
        <v>-2.0717395720312508</v>
      </c>
      <c r="G16" s="219">
        <v>-2.0338630853906268</v>
      </c>
      <c r="H16" s="219">
        <v>-1.995986598750001</v>
      </c>
      <c r="I16" s="219">
        <v>-1.9581101121093765</v>
      </c>
      <c r="J16" s="219">
        <v>-1.9202336254687509</v>
      </c>
      <c r="K16" s="219">
        <v>-1.8823571388281262</v>
      </c>
      <c r="L16" s="219">
        <v>-1.8444806521875008</v>
      </c>
      <c r="M16" s="219">
        <v>-1.8066041655468759</v>
      </c>
      <c r="N16" s="219">
        <v>-1.7687276789062507</v>
      </c>
      <c r="O16" s="219">
        <v>-1.7308511922656256</v>
      </c>
      <c r="P16" s="219">
        <v>-1.6929747056250006</v>
      </c>
      <c r="Q16" s="219">
        <v>-1.6550982189843757</v>
      </c>
      <c r="R16" s="219">
        <v>-1.6172217323437506</v>
      </c>
      <c r="S16" s="219">
        <v>-1.5793452457031254</v>
      </c>
      <c r="T16" s="219">
        <v>-1.5414687590625005</v>
      </c>
      <c r="U16" s="219">
        <v>-1.5035922724218755</v>
      </c>
      <c r="V16" s="220">
        <v>-1.4657157857812504</v>
      </c>
      <c r="W16" s="219">
        <v>-1.4278392991406252</v>
      </c>
      <c r="X16" s="220">
        <v>-1.3899628125000003</v>
      </c>
      <c r="Y16" s="219">
        <v>-1.3540439062500003</v>
      </c>
      <c r="Z16" s="220">
        <v>-1.318125</v>
      </c>
      <c r="AA16" s="219">
        <v>-1.2840625000000001</v>
      </c>
      <c r="AB16" s="221">
        <v>-1.25</v>
      </c>
      <c r="AC16" s="219">
        <v>-1</v>
      </c>
      <c r="AD16" s="221">
        <v>-0.75</v>
      </c>
      <c r="AE16" s="219">
        <v>-0.5</v>
      </c>
      <c r="AF16" s="219">
        <v>-0.25</v>
      </c>
      <c r="AG16" s="219">
        <v>0</v>
      </c>
      <c r="AH16" s="151">
        <v>0.25</v>
      </c>
      <c r="AI16" s="219">
        <v>0.5</v>
      </c>
      <c r="AJ16" s="219">
        <v>0.75</v>
      </c>
      <c r="AK16" s="219">
        <v>1</v>
      </c>
      <c r="AL16" s="219">
        <v>1.25</v>
      </c>
      <c r="AM16" s="219">
        <v>1.5</v>
      </c>
      <c r="AN16" s="219">
        <v>1.75</v>
      </c>
      <c r="AO16" s="219">
        <v>1.9650000000000001</v>
      </c>
      <c r="AP16" s="219">
        <v>2.1800000000000002</v>
      </c>
      <c r="AQ16" s="219">
        <v>2.3649000000000004</v>
      </c>
      <c r="AR16" s="219">
        <v>2.5498000000000003</v>
      </c>
      <c r="AS16" s="219">
        <v>2.7088140000000003</v>
      </c>
      <c r="AT16" s="219">
        <v>2.8678280000000003</v>
      </c>
      <c r="AU16" s="219">
        <v>3.0045800400000005</v>
      </c>
      <c r="AV16" s="219">
        <v>3.1413320800000002</v>
      </c>
      <c r="AW16" s="219">
        <v>3.2589388344000003</v>
      </c>
      <c r="AX16" s="219">
        <v>3.3765455888</v>
      </c>
      <c r="AY16" s="219">
        <v>3.4776873975839999</v>
      </c>
      <c r="AZ16" s="219">
        <v>3.5788292063679998</v>
      </c>
      <c r="BA16" s="219">
        <v>3.6658111619222398</v>
      </c>
      <c r="BB16" s="219">
        <v>3.7527931174764797</v>
      </c>
      <c r="BC16" s="219">
        <v>3.8275975992531261</v>
      </c>
      <c r="BD16" s="219">
        <v>3.9024020810297726</v>
      </c>
      <c r="BE16" s="219">
        <v>3.9667339353576887</v>
      </c>
      <c r="BF16" s="219">
        <v>4.0310657896856048</v>
      </c>
      <c r="BG16" s="219">
        <v>4.0863911844076126</v>
      </c>
      <c r="BH16" s="219">
        <v>4.1417165791296204</v>
      </c>
      <c r="BI16" s="219">
        <v>4.1892964185905477</v>
      </c>
      <c r="BJ16" s="219">
        <v>4.2368762580514741</v>
      </c>
      <c r="BK16" s="219">
        <v>4.2777949199878709</v>
      </c>
      <c r="BL16" s="219">
        <v>4.3187135819242686</v>
      </c>
      <c r="BM16" s="219">
        <v>4.3596322438606663</v>
      </c>
      <c r="BN16" s="219">
        <v>4.4005509057970631</v>
      </c>
      <c r="BO16" s="219">
        <v>4.4414695677334599</v>
      </c>
      <c r="BP16" s="219">
        <v>4.4823882296698576</v>
      </c>
      <c r="BQ16" s="219">
        <v>4.5233068916062553</v>
      </c>
      <c r="BR16" s="219">
        <v>4.5642255535426521</v>
      </c>
      <c r="BS16" s="219">
        <v>4.605144215479049</v>
      </c>
      <c r="BT16" s="219">
        <v>4.6460628774154467</v>
      </c>
      <c r="BU16" s="219">
        <v>4.6869815393518444</v>
      </c>
      <c r="BV16" s="219">
        <v>4.7279002012882412</v>
      </c>
      <c r="BW16" s="219">
        <v>4.7688188632246398</v>
      </c>
      <c r="BX16" s="219">
        <v>4.8097375251610357</v>
      </c>
      <c r="BY16" s="219">
        <v>4.8506561870974352</v>
      </c>
      <c r="BZ16" s="219">
        <v>4.8915748490338302</v>
      </c>
      <c r="CA16" s="219">
        <v>4.9324935109702306</v>
      </c>
      <c r="CB16" s="219">
        <v>4.9734121729066247</v>
      </c>
      <c r="CC16" s="219">
        <v>5.014330834843026</v>
      </c>
      <c r="CD16" s="219">
        <v>5.0552494967794193</v>
      </c>
      <c r="CE16" s="219">
        <v>5.0961681587158214</v>
      </c>
      <c r="CF16" s="219">
        <v>5.1370868206522138</v>
      </c>
      <c r="CG16" s="219">
        <v>5.1780054825886168</v>
      </c>
      <c r="CH16" s="219">
        <v>5.2189241445250083</v>
      </c>
      <c r="CI16" s="219">
        <v>5.2598428064614122</v>
      </c>
      <c r="CJ16" s="219">
        <v>5.3007614683978028</v>
      </c>
      <c r="CK16" s="219">
        <v>5.3416801303342076</v>
      </c>
      <c r="CL16" s="219">
        <v>5.3825987922705973</v>
      </c>
      <c r="CM16" s="219">
        <v>5.423517454207003</v>
      </c>
      <c r="CN16" s="219">
        <v>5.4644361161433919</v>
      </c>
      <c r="CO16" s="219">
        <v>5.5053547780797985</v>
      </c>
      <c r="CP16" s="219">
        <v>5.5462734400161864</v>
      </c>
      <c r="CQ16" s="219">
        <v>5.5871921019525939</v>
      </c>
      <c r="CR16" s="219">
        <v>5.6281107638889809</v>
      </c>
      <c r="CS16" s="219">
        <v>5.6690294258253893</v>
      </c>
      <c r="CT16" s="219">
        <v>5.7099480877617754</v>
      </c>
      <c r="CU16" s="219">
        <v>5.7508667496981847</v>
      </c>
      <c r="CV16" s="219">
        <v>5.7917854116345699</v>
      </c>
      <c r="CW16" s="219">
        <v>5.8327040735709801</v>
      </c>
      <c r="CX16" s="219">
        <v>5.8736227355073645</v>
      </c>
      <c r="CY16" s="219">
        <v>5.9145413974437755</v>
      </c>
      <c r="CZ16" s="219">
        <v>5.955460059380159</v>
      </c>
      <c r="DA16" s="219">
        <v>5.9963787213165709</v>
      </c>
      <c r="DB16" s="219">
        <v>6.0372973832529535</v>
      </c>
      <c r="DC16" s="219">
        <v>6.0782160451893663</v>
      </c>
      <c r="DD16" s="219">
        <v>6.119134707125748</v>
      </c>
      <c r="DE16" s="219">
        <v>6.1600533690621617</v>
      </c>
      <c r="DF16" s="219">
        <v>6.2009720309985426</v>
      </c>
      <c r="DG16" s="219">
        <v>6.2418906929349571</v>
      </c>
      <c r="DH16" s="219">
        <v>6.2828093548713371</v>
      </c>
      <c r="DI16" s="219">
        <v>6.3237280168077525</v>
      </c>
      <c r="DJ16" s="219">
        <v>6.3646466787441316</v>
      </c>
      <c r="DK16" s="219">
        <v>6.4055653406805479</v>
      </c>
      <c r="DL16" s="219">
        <v>6.4464840026169261</v>
      </c>
      <c r="DM16" s="219">
        <v>6.4874026645533434</v>
      </c>
      <c r="DN16" s="219">
        <v>6.5283213264897206</v>
      </c>
      <c r="DO16" s="219">
        <v>6.5692399884261388</v>
      </c>
      <c r="DP16" s="219">
        <v>6.6101586503625152</v>
      </c>
      <c r="DQ16" s="219">
        <v>6.6510773122989342</v>
      </c>
      <c r="DR16" s="219">
        <v>6.6919959742353097</v>
      </c>
      <c r="DS16" s="219">
        <v>6.7329146361717296</v>
      </c>
      <c r="DT16" s="219">
        <v>6.7738332981081042</v>
      </c>
      <c r="DU16" s="219">
        <v>6.814751960044525</v>
      </c>
      <c r="DV16" s="219">
        <v>6.8556706219808987</v>
      </c>
      <c r="DW16" s="219">
        <v>6.8965892839173204</v>
      </c>
      <c r="DX16" s="219">
        <v>6.9375079458536932</v>
      </c>
      <c r="DY16" s="219">
        <v>6.9784266077901158</v>
      </c>
      <c r="DZ16" s="219">
        <v>7.0193452697264878</v>
      </c>
      <c r="EA16" s="219">
        <v>7.0602639316629112</v>
      </c>
      <c r="EB16" s="219">
        <v>7.1011825935992823</v>
      </c>
      <c r="EC16" s="219">
        <v>7.1421012555357066</v>
      </c>
      <c r="ED16" s="219">
        <v>7.1830199174720768</v>
      </c>
      <c r="EE16" s="219">
        <v>7.223938579408502</v>
      </c>
      <c r="EF16" s="219">
        <v>7.2648572413448713</v>
      </c>
      <c r="EG16" s="219">
        <v>7.3057759032812974</v>
      </c>
      <c r="EH16" s="219">
        <v>7.3466945652176658</v>
      </c>
      <c r="EI16" s="219">
        <v>7.3876132271540929</v>
      </c>
      <c r="EJ16" s="219">
        <v>7.4285318890904604</v>
      </c>
      <c r="EK16" s="219">
        <v>7.4694505510268883</v>
      </c>
    </row>
    <row r="17" spans="1:141" ht="13.2" x14ac:dyDescent="0.25">
      <c r="A17" s="254">
        <v>37165</v>
      </c>
      <c r="B17" s="219">
        <v>-2.2232455185937505</v>
      </c>
      <c r="C17" s="219">
        <v>-2.1853690319531274</v>
      </c>
      <c r="D17" s="219">
        <v>-2.1474925453125007</v>
      </c>
      <c r="E17" s="219">
        <v>-2.1096160586718771</v>
      </c>
      <c r="F17" s="219">
        <v>-2.0717395720312508</v>
      </c>
      <c r="G17" s="219">
        <v>-2.0338630853906268</v>
      </c>
      <c r="H17" s="219">
        <v>-1.995986598750001</v>
      </c>
      <c r="I17" s="219">
        <v>-1.9581101121093765</v>
      </c>
      <c r="J17" s="219">
        <v>-1.9202336254687509</v>
      </c>
      <c r="K17" s="219">
        <v>-1.8823571388281262</v>
      </c>
      <c r="L17" s="219">
        <v>-1.8444806521875008</v>
      </c>
      <c r="M17" s="219">
        <v>-1.8066041655468759</v>
      </c>
      <c r="N17" s="219">
        <v>-1.7687276789062507</v>
      </c>
      <c r="O17" s="219">
        <v>-1.7308511922656256</v>
      </c>
      <c r="P17" s="219">
        <v>-1.6929747056250006</v>
      </c>
      <c r="Q17" s="219">
        <v>-1.6550982189843757</v>
      </c>
      <c r="R17" s="219">
        <v>-1.6172217323437506</v>
      </c>
      <c r="S17" s="219">
        <v>-1.5793452457031254</v>
      </c>
      <c r="T17" s="219">
        <v>-1.5414687590625005</v>
      </c>
      <c r="U17" s="219">
        <v>-1.5035922724218755</v>
      </c>
      <c r="V17" s="220">
        <v>-1.4657157857812504</v>
      </c>
      <c r="W17" s="219">
        <v>-1.4278392991406252</v>
      </c>
      <c r="X17" s="220">
        <v>-1.3899628125000003</v>
      </c>
      <c r="Y17" s="219">
        <v>-1.3540439062500003</v>
      </c>
      <c r="Z17" s="220">
        <v>-1.318125</v>
      </c>
      <c r="AA17" s="219">
        <v>-1.2840625000000001</v>
      </c>
      <c r="AB17" s="221">
        <v>-1.25</v>
      </c>
      <c r="AC17" s="219">
        <v>-1</v>
      </c>
      <c r="AD17" s="221">
        <v>-0.75</v>
      </c>
      <c r="AE17" s="219">
        <v>-0.5</v>
      </c>
      <c r="AF17" s="219">
        <v>-0.25</v>
      </c>
      <c r="AG17" s="219">
        <v>0</v>
      </c>
      <c r="AH17" s="151">
        <v>0.25</v>
      </c>
      <c r="AI17" s="219">
        <v>0.5</v>
      </c>
      <c r="AJ17" s="219">
        <v>0.75</v>
      </c>
      <c r="AK17" s="219">
        <v>1</v>
      </c>
      <c r="AL17" s="219">
        <v>1.25</v>
      </c>
      <c r="AM17" s="219">
        <v>1.5</v>
      </c>
      <c r="AN17" s="219">
        <v>1.75</v>
      </c>
      <c r="AO17" s="219">
        <v>1.9650000000000001</v>
      </c>
      <c r="AP17" s="219">
        <v>2.1800000000000002</v>
      </c>
      <c r="AQ17" s="219">
        <v>2.3649000000000004</v>
      </c>
      <c r="AR17" s="219">
        <v>2.5498000000000003</v>
      </c>
      <c r="AS17" s="219">
        <v>2.7088140000000003</v>
      </c>
      <c r="AT17" s="219">
        <v>2.8678280000000003</v>
      </c>
      <c r="AU17" s="219">
        <v>3.0045800400000005</v>
      </c>
      <c r="AV17" s="219">
        <v>3.1413320800000002</v>
      </c>
      <c r="AW17" s="219">
        <v>3.2589388344000003</v>
      </c>
      <c r="AX17" s="219">
        <v>3.3765455888</v>
      </c>
      <c r="AY17" s="219">
        <v>3.4776873975839999</v>
      </c>
      <c r="AZ17" s="219">
        <v>3.5788292063679998</v>
      </c>
      <c r="BA17" s="219">
        <v>3.6658111619222398</v>
      </c>
      <c r="BB17" s="219">
        <v>3.7527931174764797</v>
      </c>
      <c r="BC17" s="219">
        <v>3.8275975992531261</v>
      </c>
      <c r="BD17" s="219">
        <v>3.9024020810297726</v>
      </c>
      <c r="BE17" s="219">
        <v>3.9667339353576887</v>
      </c>
      <c r="BF17" s="219">
        <v>4.0310657896856048</v>
      </c>
      <c r="BG17" s="219">
        <v>4.0863911844076126</v>
      </c>
      <c r="BH17" s="219">
        <v>4.1417165791296204</v>
      </c>
      <c r="BI17" s="219">
        <v>4.1892964185905477</v>
      </c>
      <c r="BJ17" s="219">
        <v>4.2368762580514741</v>
      </c>
      <c r="BK17" s="219">
        <v>4.2777949199878709</v>
      </c>
      <c r="BL17" s="219">
        <v>4.3187135819242686</v>
      </c>
      <c r="BM17" s="219">
        <v>4.3596322438606663</v>
      </c>
      <c r="BN17" s="219">
        <v>4.4005509057970631</v>
      </c>
      <c r="BO17" s="219">
        <v>4.4414695677334599</v>
      </c>
      <c r="BP17" s="219">
        <v>4.4823882296698576</v>
      </c>
      <c r="BQ17" s="219">
        <v>4.5233068916062553</v>
      </c>
      <c r="BR17" s="219">
        <v>4.5642255535426521</v>
      </c>
      <c r="BS17" s="219">
        <v>4.605144215479049</v>
      </c>
      <c r="BT17" s="219">
        <v>4.6460628774154467</v>
      </c>
      <c r="BU17" s="219">
        <v>4.6869815393518444</v>
      </c>
      <c r="BV17" s="219">
        <v>4.7279002012882412</v>
      </c>
      <c r="BW17" s="219">
        <v>4.7688188632246398</v>
      </c>
      <c r="BX17" s="219">
        <v>4.8097375251610357</v>
      </c>
      <c r="BY17" s="219">
        <v>4.8506561870974352</v>
      </c>
      <c r="BZ17" s="219">
        <v>4.8915748490338302</v>
      </c>
      <c r="CA17" s="219">
        <v>4.9324935109702306</v>
      </c>
      <c r="CB17" s="219">
        <v>4.9734121729066247</v>
      </c>
      <c r="CC17" s="219">
        <v>5.014330834843026</v>
      </c>
      <c r="CD17" s="219">
        <v>5.0552494967794193</v>
      </c>
      <c r="CE17" s="219">
        <v>5.0961681587158214</v>
      </c>
      <c r="CF17" s="219">
        <v>5.1370868206522138</v>
      </c>
      <c r="CG17" s="219">
        <v>5.1780054825886168</v>
      </c>
      <c r="CH17" s="219">
        <v>5.2189241445250083</v>
      </c>
      <c r="CI17" s="219">
        <v>5.2598428064614122</v>
      </c>
      <c r="CJ17" s="219">
        <v>5.3007614683978028</v>
      </c>
      <c r="CK17" s="219">
        <v>5.3416801303342076</v>
      </c>
      <c r="CL17" s="219">
        <v>5.3825987922705973</v>
      </c>
      <c r="CM17" s="219">
        <v>5.423517454207003</v>
      </c>
      <c r="CN17" s="219">
        <v>5.4644361161433919</v>
      </c>
      <c r="CO17" s="219">
        <v>5.5053547780797985</v>
      </c>
      <c r="CP17" s="219">
        <v>5.5462734400161864</v>
      </c>
      <c r="CQ17" s="219">
        <v>5.5871921019525939</v>
      </c>
      <c r="CR17" s="219">
        <v>5.6281107638889809</v>
      </c>
      <c r="CS17" s="219">
        <v>5.6690294258253893</v>
      </c>
      <c r="CT17" s="219">
        <v>5.7099480877617754</v>
      </c>
      <c r="CU17" s="219">
        <v>5.7508667496981847</v>
      </c>
      <c r="CV17" s="219">
        <v>5.7917854116345699</v>
      </c>
      <c r="CW17" s="219">
        <v>5.8327040735709801</v>
      </c>
      <c r="CX17" s="219">
        <v>5.8736227355073645</v>
      </c>
      <c r="CY17" s="219">
        <v>5.9145413974437755</v>
      </c>
      <c r="CZ17" s="219">
        <v>5.955460059380159</v>
      </c>
      <c r="DA17" s="219">
        <v>5.9963787213165709</v>
      </c>
      <c r="DB17" s="219">
        <v>6.0372973832529535</v>
      </c>
      <c r="DC17" s="219">
        <v>6.0782160451893663</v>
      </c>
      <c r="DD17" s="219">
        <v>6.119134707125748</v>
      </c>
      <c r="DE17" s="219">
        <v>6.1600533690621617</v>
      </c>
      <c r="DF17" s="219">
        <v>6.2009720309985426</v>
      </c>
      <c r="DG17" s="219">
        <v>6.2418906929349571</v>
      </c>
      <c r="DH17" s="219">
        <v>6.2828093548713371</v>
      </c>
      <c r="DI17" s="219">
        <v>6.3237280168077525</v>
      </c>
      <c r="DJ17" s="219">
        <v>6.3646466787441316</v>
      </c>
      <c r="DK17" s="219">
        <v>6.4055653406805479</v>
      </c>
      <c r="DL17" s="219">
        <v>6.4464840026169261</v>
      </c>
      <c r="DM17" s="219">
        <v>6.4874026645533434</v>
      </c>
      <c r="DN17" s="219">
        <v>6.5283213264897206</v>
      </c>
      <c r="DO17" s="219">
        <v>6.5692399884261388</v>
      </c>
      <c r="DP17" s="219">
        <v>6.6101586503625152</v>
      </c>
      <c r="DQ17" s="219">
        <v>6.6510773122989342</v>
      </c>
      <c r="DR17" s="219">
        <v>6.6919959742353097</v>
      </c>
      <c r="DS17" s="219">
        <v>6.7329146361717296</v>
      </c>
      <c r="DT17" s="219">
        <v>6.7738332981081042</v>
      </c>
      <c r="DU17" s="219">
        <v>6.814751960044525</v>
      </c>
      <c r="DV17" s="219">
        <v>6.8556706219808987</v>
      </c>
      <c r="DW17" s="219">
        <v>6.8965892839173204</v>
      </c>
      <c r="DX17" s="219">
        <v>6.9375079458536932</v>
      </c>
      <c r="DY17" s="219">
        <v>6.9784266077901158</v>
      </c>
      <c r="DZ17" s="219">
        <v>7.0193452697264878</v>
      </c>
      <c r="EA17" s="219">
        <v>7.0602639316629112</v>
      </c>
      <c r="EB17" s="219">
        <v>7.1011825935992823</v>
      </c>
      <c r="EC17" s="219">
        <v>7.1421012555357066</v>
      </c>
      <c r="ED17" s="219">
        <v>7.1830199174720768</v>
      </c>
      <c r="EE17" s="219">
        <v>7.223938579408502</v>
      </c>
      <c r="EF17" s="219">
        <v>7.2648572413448713</v>
      </c>
      <c r="EG17" s="219">
        <v>7.3057759032812974</v>
      </c>
      <c r="EH17" s="219">
        <v>7.3466945652176658</v>
      </c>
      <c r="EI17" s="219">
        <v>7.3876132271540929</v>
      </c>
      <c r="EJ17" s="219">
        <v>7.4285318890904604</v>
      </c>
      <c r="EK17" s="219">
        <v>7.4694505510268883</v>
      </c>
    </row>
    <row r="18" spans="1:141" ht="13.2" x14ac:dyDescent="0.25">
      <c r="A18" s="149">
        <v>37196</v>
      </c>
      <c r="B18" s="219">
        <v>-1.7785964148750009</v>
      </c>
      <c r="C18" s="219">
        <v>-1.7482952255625008</v>
      </c>
      <c r="D18" s="219">
        <v>-1.7179940362500008</v>
      </c>
      <c r="E18" s="219">
        <v>-1.6876928469375008</v>
      </c>
      <c r="F18" s="219">
        <v>-1.6573916576250007</v>
      </c>
      <c r="G18" s="219">
        <v>-1.6270904683125007</v>
      </c>
      <c r="H18" s="219">
        <v>-1.5967892790000007</v>
      </c>
      <c r="I18" s="219">
        <v>-1.5664880896875006</v>
      </c>
      <c r="J18" s="219">
        <v>-1.5361869003750006</v>
      </c>
      <c r="K18" s="219">
        <v>-1.5058857110625006</v>
      </c>
      <c r="L18" s="219">
        <v>-1.4755845217500005</v>
      </c>
      <c r="M18" s="219">
        <v>-1.4452833324375005</v>
      </c>
      <c r="N18" s="219">
        <v>-1.4149821431250005</v>
      </c>
      <c r="O18" s="219">
        <v>-1.3846809538125004</v>
      </c>
      <c r="P18" s="219">
        <v>-1.3543797645000004</v>
      </c>
      <c r="Q18" s="219">
        <v>-1.3240785751875004</v>
      </c>
      <c r="R18" s="219">
        <v>-1.2937773858750004</v>
      </c>
      <c r="S18" s="219">
        <v>-1.2634761965625003</v>
      </c>
      <c r="T18" s="219">
        <v>-1.2331750072500003</v>
      </c>
      <c r="U18" s="219">
        <v>-1.2028738179375003</v>
      </c>
      <c r="V18" s="220">
        <v>-1.1725726286250002</v>
      </c>
      <c r="W18" s="219">
        <v>-1.1422714393125002</v>
      </c>
      <c r="X18" s="220">
        <v>-1.1119702500000002</v>
      </c>
      <c r="Y18" s="219">
        <v>-1.0832351250000003</v>
      </c>
      <c r="Z18" s="220">
        <v>-1.0545000000000002</v>
      </c>
      <c r="AA18" s="219">
        <v>-1.0272500000000002</v>
      </c>
      <c r="AB18" s="221">
        <v>-1</v>
      </c>
      <c r="AC18" s="219">
        <v>-0.8</v>
      </c>
      <c r="AD18" s="221">
        <v>-0.6</v>
      </c>
      <c r="AE18" s="219">
        <v>-0.4</v>
      </c>
      <c r="AF18" s="219">
        <v>-0.2</v>
      </c>
      <c r="AG18" s="150">
        <v>0</v>
      </c>
      <c r="AH18" s="150">
        <v>0.2</v>
      </c>
      <c r="AI18" s="150">
        <v>0.4</v>
      </c>
      <c r="AJ18" s="150">
        <v>0.6</v>
      </c>
      <c r="AK18" s="150">
        <v>0.8</v>
      </c>
      <c r="AL18" s="150">
        <v>1</v>
      </c>
      <c r="AM18" s="150">
        <v>1.2</v>
      </c>
      <c r="AN18" s="150">
        <v>1.4</v>
      </c>
      <c r="AO18" s="150">
        <v>1.58</v>
      </c>
      <c r="AP18" s="150">
        <v>1.76</v>
      </c>
      <c r="AQ18" s="150">
        <v>1.9220000000000006</v>
      </c>
      <c r="AR18" s="150">
        <v>2.0840000000000005</v>
      </c>
      <c r="AS18" s="150">
        <v>2.2298000000000004</v>
      </c>
      <c r="AT18" s="150">
        <v>2.3756000000000004</v>
      </c>
      <c r="AU18" s="150">
        <v>2.5068200000000003</v>
      </c>
      <c r="AV18" s="150">
        <v>2.6380400000000002</v>
      </c>
      <c r="AW18" s="150">
        <v>2.756138</v>
      </c>
      <c r="AX18" s="150">
        <v>2.8742359999999998</v>
      </c>
      <c r="AY18" s="150">
        <v>2.9805241999999996</v>
      </c>
      <c r="AZ18" s="150">
        <v>3.0868123999999995</v>
      </c>
      <c r="BA18" s="150">
        <v>3.1824717799999993</v>
      </c>
      <c r="BB18" s="150">
        <v>3.2781311599999992</v>
      </c>
      <c r="BC18" s="150">
        <v>3.3642246019999993</v>
      </c>
      <c r="BD18" s="150">
        <v>3.450318043999999</v>
      </c>
      <c r="BE18" s="150">
        <v>3.5278021417999987</v>
      </c>
      <c r="BF18" s="150">
        <v>3.6052862395999989</v>
      </c>
      <c r="BG18" s="150">
        <v>3.6750219276199987</v>
      </c>
      <c r="BH18" s="150">
        <v>3.7447576156399989</v>
      </c>
      <c r="BI18" s="150">
        <v>3.8144933036599991</v>
      </c>
      <c r="BJ18" s="150">
        <v>3.8842289916799988</v>
      </c>
      <c r="BK18" s="150">
        <v>3.9539646796999985</v>
      </c>
      <c r="BL18" s="150">
        <v>4.0237003677199983</v>
      </c>
      <c r="BM18" s="150">
        <v>4.093436055739998</v>
      </c>
      <c r="BN18" s="150">
        <v>4.1631717437599978</v>
      </c>
      <c r="BO18" s="150">
        <v>4.2329074317799975</v>
      </c>
      <c r="BP18" s="150">
        <v>4.3026431197999973</v>
      </c>
      <c r="BQ18" s="150">
        <v>4.372378807819997</v>
      </c>
      <c r="BR18" s="150">
        <v>4.4421144958399967</v>
      </c>
      <c r="BS18" s="150">
        <v>4.5118501838599965</v>
      </c>
      <c r="BT18" s="150">
        <v>4.5815858718799962</v>
      </c>
      <c r="BU18" s="150">
        <v>4.651321559899996</v>
      </c>
      <c r="BV18" s="150">
        <v>4.7210572479199957</v>
      </c>
      <c r="BW18" s="150">
        <v>4.7907929359399954</v>
      </c>
      <c r="BX18" s="150">
        <v>4.8605286239599952</v>
      </c>
      <c r="BY18" s="150">
        <v>4.9302643119799949</v>
      </c>
      <c r="BZ18" s="150">
        <v>4.9999999999999947</v>
      </c>
      <c r="CA18" s="150">
        <v>5.0697356880199944</v>
      </c>
      <c r="CB18" s="150">
        <v>5.1394713760399942</v>
      </c>
      <c r="CC18" s="150">
        <v>5.2092070640599939</v>
      </c>
      <c r="CD18" s="150">
        <v>5.2789427520799936</v>
      </c>
      <c r="CE18" s="150">
        <v>5.3486784400999934</v>
      </c>
      <c r="CF18" s="150">
        <v>5.4184141281199931</v>
      </c>
      <c r="CG18" s="150">
        <v>5.4881498161399929</v>
      </c>
      <c r="CH18" s="150">
        <v>5.5578855041599926</v>
      </c>
      <c r="CI18" s="150">
        <v>5.6276211921799923</v>
      </c>
      <c r="CJ18" s="150">
        <v>5.6973568801999921</v>
      </c>
      <c r="CK18" s="150">
        <v>5.7670925682199918</v>
      </c>
      <c r="CL18" s="150">
        <v>5.8368282562399916</v>
      </c>
      <c r="CM18" s="150">
        <v>5.9065639442599913</v>
      </c>
      <c r="CN18" s="150">
        <v>5.9762996322799911</v>
      </c>
      <c r="CO18" s="150">
        <v>6.0460353202999908</v>
      </c>
      <c r="CP18" s="150">
        <v>6.1157710083199905</v>
      </c>
      <c r="CQ18" s="150">
        <v>6.1855066963399903</v>
      </c>
      <c r="CR18" s="150">
        <v>6.25524238435999</v>
      </c>
      <c r="CS18" s="150">
        <v>6.3249780723799898</v>
      </c>
      <c r="CT18" s="150">
        <v>6.3947137603999895</v>
      </c>
      <c r="CU18" s="150">
        <v>6.4644494484199893</v>
      </c>
      <c r="CV18" s="150">
        <v>6.534185136439989</v>
      </c>
      <c r="CW18" s="150">
        <v>6.6039208244599887</v>
      </c>
      <c r="CX18" s="150">
        <v>6.6736565124799885</v>
      </c>
      <c r="CY18" s="150">
        <v>6.7433922004999882</v>
      </c>
      <c r="CZ18" s="150">
        <v>6.813127888519988</v>
      </c>
      <c r="DA18" s="150">
        <v>6.8828635765399877</v>
      </c>
      <c r="DB18" s="150">
        <v>6.9525992645599874</v>
      </c>
      <c r="DC18" s="150">
        <v>7.0223349525799872</v>
      </c>
      <c r="DD18" s="150">
        <v>7.0920706405999869</v>
      </c>
      <c r="DE18" s="150">
        <v>7.1618063286199867</v>
      </c>
      <c r="DF18" s="150">
        <v>7.2315420166399864</v>
      </c>
      <c r="DG18" s="150">
        <v>7.3012777046599862</v>
      </c>
      <c r="DH18" s="150">
        <v>7.3710133926799859</v>
      </c>
      <c r="DI18" s="150">
        <v>7.4407490806999856</v>
      </c>
      <c r="DJ18" s="150">
        <v>7.5104847687199854</v>
      </c>
      <c r="DK18" s="150">
        <v>7.5802204567399851</v>
      </c>
      <c r="DL18" s="150">
        <v>7.6499561447599849</v>
      </c>
      <c r="DM18" s="150">
        <v>7.7196918327799846</v>
      </c>
      <c r="DN18" s="150">
        <v>7.7894275207999844</v>
      </c>
      <c r="DO18" s="150">
        <v>7.8591632088199841</v>
      </c>
      <c r="DP18" s="150">
        <v>7.9288988968399838</v>
      </c>
      <c r="DQ18" s="150">
        <v>7.9986345848599836</v>
      </c>
      <c r="DR18" s="150">
        <v>8.0683702728799833</v>
      </c>
      <c r="DS18" s="150">
        <v>8.1381059608999831</v>
      </c>
      <c r="DT18" s="150">
        <v>8.2078416489199828</v>
      </c>
      <c r="DU18" s="150">
        <v>8.2775773369399825</v>
      </c>
      <c r="DV18" s="150">
        <v>8.3473130249599823</v>
      </c>
      <c r="DW18" s="150">
        <v>8.417048712979982</v>
      </c>
      <c r="DX18" s="150">
        <v>8.4867844009999818</v>
      </c>
      <c r="DY18" s="150">
        <v>8.5565200890199815</v>
      </c>
      <c r="DZ18" s="150">
        <v>8.6262557770399813</v>
      </c>
      <c r="EA18" s="150">
        <v>8.695991465059981</v>
      </c>
      <c r="EB18" s="150">
        <v>8.7657271530799807</v>
      </c>
      <c r="EC18" s="150">
        <v>8.8354628410999805</v>
      </c>
      <c r="ED18" s="150">
        <v>8.9051985291199802</v>
      </c>
      <c r="EE18" s="150">
        <v>8.97493421713998</v>
      </c>
      <c r="EF18" s="150">
        <v>9.0446699051599797</v>
      </c>
      <c r="EG18" s="150">
        <v>9.1144055931799794</v>
      </c>
      <c r="EH18" s="150">
        <v>9.1841412811999792</v>
      </c>
      <c r="EI18" s="150">
        <v>9.2538769692199789</v>
      </c>
      <c r="EJ18" s="150">
        <v>9.3236126572399787</v>
      </c>
      <c r="EK18" s="150">
        <v>9.3933483452599784</v>
      </c>
    </row>
    <row r="19" spans="1:141" ht="13.2" x14ac:dyDescent="0.25">
      <c r="A19" s="149">
        <v>37226</v>
      </c>
      <c r="B19" s="219">
        <v>-1.7785964148750009</v>
      </c>
      <c r="C19" s="219">
        <v>-1.7482952255625008</v>
      </c>
      <c r="D19" s="219">
        <v>-1.7179940362500008</v>
      </c>
      <c r="E19" s="219">
        <v>-1.6876928469375008</v>
      </c>
      <c r="F19" s="219">
        <v>-1.6573916576250007</v>
      </c>
      <c r="G19" s="219">
        <v>-1.6270904683125007</v>
      </c>
      <c r="H19" s="219">
        <v>-1.5967892790000007</v>
      </c>
      <c r="I19" s="219">
        <v>-1.5664880896875006</v>
      </c>
      <c r="J19" s="219">
        <v>-1.5361869003750006</v>
      </c>
      <c r="K19" s="219">
        <v>-1.5058857110625006</v>
      </c>
      <c r="L19" s="219">
        <v>-1.4755845217500005</v>
      </c>
      <c r="M19" s="219">
        <v>-1.4452833324375005</v>
      </c>
      <c r="N19" s="219">
        <v>-1.4149821431250005</v>
      </c>
      <c r="O19" s="219">
        <v>-1.3846809538125004</v>
      </c>
      <c r="P19" s="219">
        <v>-1.3543797645000004</v>
      </c>
      <c r="Q19" s="219">
        <v>-1.3240785751875004</v>
      </c>
      <c r="R19" s="219">
        <v>-1.2937773858750004</v>
      </c>
      <c r="S19" s="219">
        <v>-1.2634761965625003</v>
      </c>
      <c r="T19" s="219">
        <v>-1.2331750072500003</v>
      </c>
      <c r="U19" s="219">
        <v>-1.2028738179375003</v>
      </c>
      <c r="V19" s="220">
        <v>-1.1725726286250002</v>
      </c>
      <c r="W19" s="219">
        <v>-1.1422714393125002</v>
      </c>
      <c r="X19" s="220">
        <v>-1.1119702500000002</v>
      </c>
      <c r="Y19" s="219">
        <v>-1.0832351250000003</v>
      </c>
      <c r="Z19" s="220">
        <v>-1.0545000000000002</v>
      </c>
      <c r="AA19" s="219">
        <v>-1.0272500000000002</v>
      </c>
      <c r="AB19" s="221">
        <v>-1</v>
      </c>
      <c r="AC19" s="219">
        <v>-0.8</v>
      </c>
      <c r="AD19" s="221">
        <v>-0.6</v>
      </c>
      <c r="AE19" s="219">
        <v>-0.4</v>
      </c>
      <c r="AF19" s="219">
        <v>-0.2</v>
      </c>
      <c r="AG19" s="150">
        <v>0</v>
      </c>
      <c r="AH19" s="150">
        <v>0.2</v>
      </c>
      <c r="AI19" s="150">
        <v>0.4</v>
      </c>
      <c r="AJ19" s="150">
        <v>0.6</v>
      </c>
      <c r="AK19" s="150">
        <v>0.8</v>
      </c>
      <c r="AL19" s="150">
        <v>1</v>
      </c>
      <c r="AM19" s="150">
        <v>1.2</v>
      </c>
      <c r="AN19" s="150">
        <v>1.4</v>
      </c>
      <c r="AO19" s="150">
        <v>1.58</v>
      </c>
      <c r="AP19" s="150">
        <v>1.76</v>
      </c>
      <c r="AQ19" s="150">
        <v>1.9220000000000006</v>
      </c>
      <c r="AR19" s="150">
        <v>2.0840000000000005</v>
      </c>
      <c r="AS19" s="150">
        <v>2.2298000000000004</v>
      </c>
      <c r="AT19" s="150">
        <v>2.3756000000000004</v>
      </c>
      <c r="AU19" s="150">
        <v>2.5068200000000003</v>
      </c>
      <c r="AV19" s="150">
        <v>2.6380400000000002</v>
      </c>
      <c r="AW19" s="150">
        <v>2.756138</v>
      </c>
      <c r="AX19" s="150">
        <v>2.8742359999999998</v>
      </c>
      <c r="AY19" s="150">
        <v>2.9805241999999996</v>
      </c>
      <c r="AZ19" s="150">
        <v>3.0868123999999995</v>
      </c>
      <c r="BA19" s="150">
        <v>3.1824717799999993</v>
      </c>
      <c r="BB19" s="150">
        <v>3.2781311599999992</v>
      </c>
      <c r="BC19" s="150">
        <v>3.3642246019999993</v>
      </c>
      <c r="BD19" s="150">
        <v>3.450318043999999</v>
      </c>
      <c r="BE19" s="150">
        <v>3.5278021417999987</v>
      </c>
      <c r="BF19" s="150">
        <v>3.6052862395999989</v>
      </c>
      <c r="BG19" s="150">
        <v>3.6750219276199987</v>
      </c>
      <c r="BH19" s="150">
        <v>3.7447576156399989</v>
      </c>
      <c r="BI19" s="150">
        <v>3.8144933036599991</v>
      </c>
      <c r="BJ19" s="150">
        <v>3.8842289916799988</v>
      </c>
      <c r="BK19" s="150">
        <v>3.9539646796999985</v>
      </c>
      <c r="BL19" s="150">
        <v>4.0237003677199983</v>
      </c>
      <c r="BM19" s="150">
        <v>4.093436055739998</v>
      </c>
      <c r="BN19" s="150">
        <v>4.1631717437599978</v>
      </c>
      <c r="BO19" s="150">
        <v>4.2329074317799975</v>
      </c>
      <c r="BP19" s="150">
        <v>4.3026431197999973</v>
      </c>
      <c r="BQ19" s="150">
        <v>4.372378807819997</v>
      </c>
      <c r="BR19" s="150">
        <v>4.4421144958399967</v>
      </c>
      <c r="BS19" s="150">
        <v>4.5118501838599965</v>
      </c>
      <c r="BT19" s="150">
        <v>4.5815858718799962</v>
      </c>
      <c r="BU19" s="150">
        <v>4.651321559899996</v>
      </c>
      <c r="BV19" s="150">
        <v>4.7210572479199957</v>
      </c>
      <c r="BW19" s="150">
        <v>4.7907929359399954</v>
      </c>
      <c r="BX19" s="150">
        <v>4.8605286239599952</v>
      </c>
      <c r="BY19" s="150">
        <v>4.9302643119799949</v>
      </c>
      <c r="BZ19" s="150">
        <v>4.9999999999999947</v>
      </c>
      <c r="CA19" s="150">
        <v>5.0697356880199944</v>
      </c>
      <c r="CB19" s="150">
        <v>5.1394713760399942</v>
      </c>
      <c r="CC19" s="150">
        <v>5.2092070640599939</v>
      </c>
      <c r="CD19" s="150">
        <v>5.2789427520799936</v>
      </c>
      <c r="CE19" s="150">
        <v>5.3486784400999934</v>
      </c>
      <c r="CF19" s="150">
        <v>5.4184141281199931</v>
      </c>
      <c r="CG19" s="150">
        <v>5.4881498161399929</v>
      </c>
      <c r="CH19" s="150">
        <v>5.5578855041599926</v>
      </c>
      <c r="CI19" s="150">
        <v>5.6276211921799923</v>
      </c>
      <c r="CJ19" s="150">
        <v>5.6973568801999921</v>
      </c>
      <c r="CK19" s="150">
        <v>5.7670925682199918</v>
      </c>
      <c r="CL19" s="150">
        <v>5.8368282562399916</v>
      </c>
      <c r="CM19" s="150">
        <v>5.9065639442599913</v>
      </c>
      <c r="CN19" s="150">
        <v>5.9762996322799911</v>
      </c>
      <c r="CO19" s="150">
        <v>6.0460353202999908</v>
      </c>
      <c r="CP19" s="150">
        <v>6.1157710083199905</v>
      </c>
      <c r="CQ19" s="150">
        <v>6.1855066963399903</v>
      </c>
      <c r="CR19" s="150">
        <v>6.25524238435999</v>
      </c>
      <c r="CS19" s="150">
        <v>6.3249780723799898</v>
      </c>
      <c r="CT19" s="150">
        <v>6.3947137603999895</v>
      </c>
      <c r="CU19" s="150">
        <v>6.4644494484199893</v>
      </c>
      <c r="CV19" s="150">
        <v>6.534185136439989</v>
      </c>
      <c r="CW19" s="150">
        <v>6.6039208244599887</v>
      </c>
      <c r="CX19" s="150">
        <v>6.6736565124799885</v>
      </c>
      <c r="CY19" s="150">
        <v>6.7433922004999882</v>
      </c>
      <c r="CZ19" s="150">
        <v>6.813127888519988</v>
      </c>
      <c r="DA19" s="150">
        <v>6.8828635765399877</v>
      </c>
      <c r="DB19" s="150">
        <v>6.9525992645599874</v>
      </c>
      <c r="DC19" s="150">
        <v>7.0223349525799872</v>
      </c>
      <c r="DD19" s="150">
        <v>7.0920706405999869</v>
      </c>
      <c r="DE19" s="150">
        <v>7.1618063286199867</v>
      </c>
      <c r="DF19" s="150">
        <v>7.2315420166399864</v>
      </c>
      <c r="DG19" s="150">
        <v>7.3012777046599862</v>
      </c>
      <c r="DH19" s="150">
        <v>7.3710133926799859</v>
      </c>
      <c r="DI19" s="150">
        <v>7.4407490806999856</v>
      </c>
      <c r="DJ19" s="150">
        <v>7.5104847687199854</v>
      </c>
      <c r="DK19" s="150">
        <v>7.5802204567399851</v>
      </c>
      <c r="DL19" s="150">
        <v>7.6499561447599849</v>
      </c>
      <c r="DM19" s="150">
        <v>7.7196918327799846</v>
      </c>
      <c r="DN19" s="150">
        <v>7.7894275207999844</v>
      </c>
      <c r="DO19" s="150">
        <v>7.8591632088199841</v>
      </c>
      <c r="DP19" s="150">
        <v>7.9288988968399838</v>
      </c>
      <c r="DQ19" s="150">
        <v>7.9986345848599836</v>
      </c>
      <c r="DR19" s="150">
        <v>8.0683702728799833</v>
      </c>
      <c r="DS19" s="150">
        <v>8.1381059608999831</v>
      </c>
      <c r="DT19" s="150">
        <v>8.2078416489199828</v>
      </c>
      <c r="DU19" s="150">
        <v>8.2775773369399825</v>
      </c>
      <c r="DV19" s="150">
        <v>8.3473130249599823</v>
      </c>
      <c r="DW19" s="150">
        <v>8.417048712979982</v>
      </c>
      <c r="DX19" s="150">
        <v>8.4867844009999818</v>
      </c>
      <c r="DY19" s="150">
        <v>8.5565200890199815</v>
      </c>
      <c r="DZ19" s="150">
        <v>8.6262557770399813</v>
      </c>
      <c r="EA19" s="150">
        <v>8.695991465059981</v>
      </c>
      <c r="EB19" s="150">
        <v>8.7657271530799807</v>
      </c>
      <c r="EC19" s="150">
        <v>8.8354628410999805</v>
      </c>
      <c r="ED19" s="150">
        <v>8.9051985291199802</v>
      </c>
      <c r="EE19" s="150">
        <v>8.97493421713998</v>
      </c>
      <c r="EF19" s="150">
        <v>9.0446699051599797</v>
      </c>
      <c r="EG19" s="150">
        <v>9.1144055931799794</v>
      </c>
      <c r="EH19" s="150">
        <v>9.1841412811999792</v>
      </c>
      <c r="EI19" s="150">
        <v>9.2538769692199789</v>
      </c>
      <c r="EJ19" s="150">
        <v>9.3236126572399787</v>
      </c>
      <c r="EK19" s="150">
        <v>9.3933483452599784</v>
      </c>
    </row>
    <row r="20" spans="1:141" ht="13.2" x14ac:dyDescent="0.25">
      <c r="A20" s="149">
        <v>37257</v>
      </c>
      <c r="B20" s="219">
        <v>-1.7785964148750009</v>
      </c>
      <c r="C20" s="219">
        <v>-1.7482952255625008</v>
      </c>
      <c r="D20" s="219">
        <v>-1.7179940362500008</v>
      </c>
      <c r="E20" s="219">
        <v>-1.6876928469375008</v>
      </c>
      <c r="F20" s="219">
        <v>-1.6573916576250007</v>
      </c>
      <c r="G20" s="219">
        <v>-1.6270904683125007</v>
      </c>
      <c r="H20" s="219">
        <v>-1.5967892790000007</v>
      </c>
      <c r="I20" s="219">
        <v>-1.5664880896875006</v>
      </c>
      <c r="J20" s="219">
        <v>-1.5361869003750006</v>
      </c>
      <c r="K20" s="219">
        <v>-1.5058857110625006</v>
      </c>
      <c r="L20" s="219">
        <v>-1.4755845217500005</v>
      </c>
      <c r="M20" s="219">
        <v>-1.4452833324375005</v>
      </c>
      <c r="N20" s="219">
        <v>-1.4149821431250005</v>
      </c>
      <c r="O20" s="219">
        <v>-1.3846809538125004</v>
      </c>
      <c r="P20" s="219">
        <v>-1.3543797645000004</v>
      </c>
      <c r="Q20" s="219">
        <v>-1.3240785751875004</v>
      </c>
      <c r="R20" s="219">
        <v>-1.2937773858750004</v>
      </c>
      <c r="S20" s="219">
        <v>-1.2634761965625003</v>
      </c>
      <c r="T20" s="219">
        <v>-1.2331750072500003</v>
      </c>
      <c r="U20" s="219">
        <v>-1.2028738179375003</v>
      </c>
      <c r="V20" s="220">
        <v>-1.1725726286250002</v>
      </c>
      <c r="W20" s="219">
        <v>-1.1422714393125002</v>
      </c>
      <c r="X20" s="220">
        <v>-1.1119702500000002</v>
      </c>
      <c r="Y20" s="219">
        <v>-1.0832351250000003</v>
      </c>
      <c r="Z20" s="220">
        <v>-1.0545000000000002</v>
      </c>
      <c r="AA20" s="219">
        <v>-1.0272500000000002</v>
      </c>
      <c r="AB20" s="221">
        <v>-1</v>
      </c>
      <c r="AC20" s="219">
        <v>-0.8</v>
      </c>
      <c r="AD20" s="221">
        <v>-0.6</v>
      </c>
      <c r="AE20" s="219">
        <v>-0.4</v>
      </c>
      <c r="AF20" s="219">
        <v>-0.2</v>
      </c>
      <c r="AG20" s="150">
        <v>0</v>
      </c>
      <c r="AH20" s="150">
        <v>0.2</v>
      </c>
      <c r="AI20" s="150">
        <v>0.4</v>
      </c>
      <c r="AJ20" s="150">
        <v>0.6</v>
      </c>
      <c r="AK20" s="150">
        <v>0.8</v>
      </c>
      <c r="AL20" s="150">
        <v>1</v>
      </c>
      <c r="AM20" s="150">
        <v>1.2</v>
      </c>
      <c r="AN20" s="150">
        <v>1.4</v>
      </c>
      <c r="AO20" s="150">
        <v>1.58</v>
      </c>
      <c r="AP20" s="150">
        <v>1.76</v>
      </c>
      <c r="AQ20" s="150">
        <v>1.9220000000000006</v>
      </c>
      <c r="AR20" s="150">
        <v>2.0840000000000005</v>
      </c>
      <c r="AS20" s="150">
        <v>2.2298000000000004</v>
      </c>
      <c r="AT20" s="150">
        <v>2.3756000000000004</v>
      </c>
      <c r="AU20" s="150">
        <v>2.5068200000000003</v>
      </c>
      <c r="AV20" s="150">
        <v>2.6380400000000002</v>
      </c>
      <c r="AW20" s="150">
        <v>2.756138</v>
      </c>
      <c r="AX20" s="150">
        <v>2.8742359999999998</v>
      </c>
      <c r="AY20" s="150">
        <v>2.9805241999999996</v>
      </c>
      <c r="AZ20" s="150">
        <v>3.0868123999999995</v>
      </c>
      <c r="BA20" s="150">
        <v>3.1824717799999993</v>
      </c>
      <c r="BB20" s="150">
        <v>3.2781311599999992</v>
      </c>
      <c r="BC20" s="150">
        <v>3.3642246019999993</v>
      </c>
      <c r="BD20" s="150">
        <v>3.450318043999999</v>
      </c>
      <c r="BE20" s="150">
        <v>3.5278021417999987</v>
      </c>
      <c r="BF20" s="150">
        <v>3.6052862395999989</v>
      </c>
      <c r="BG20" s="150">
        <v>3.6750219276199987</v>
      </c>
      <c r="BH20" s="150">
        <v>3.7447576156399989</v>
      </c>
      <c r="BI20" s="150">
        <v>3.8144933036599991</v>
      </c>
      <c r="BJ20" s="150">
        <v>3.8842289916799988</v>
      </c>
      <c r="BK20" s="150">
        <v>3.9539646796999985</v>
      </c>
      <c r="BL20" s="150">
        <v>4.0237003677199983</v>
      </c>
      <c r="BM20" s="150">
        <v>4.093436055739998</v>
      </c>
      <c r="BN20" s="150">
        <v>4.1631717437599978</v>
      </c>
      <c r="BO20" s="150">
        <v>4.2329074317799975</v>
      </c>
      <c r="BP20" s="150">
        <v>4.3026431197999973</v>
      </c>
      <c r="BQ20" s="150">
        <v>4.372378807819997</v>
      </c>
      <c r="BR20" s="150">
        <v>4.4421144958399967</v>
      </c>
      <c r="BS20" s="150">
        <v>4.5118501838599965</v>
      </c>
      <c r="BT20" s="150">
        <v>4.5815858718799962</v>
      </c>
      <c r="BU20" s="150">
        <v>4.651321559899996</v>
      </c>
      <c r="BV20" s="150">
        <v>4.7210572479199957</v>
      </c>
      <c r="BW20" s="150">
        <v>4.7907929359399954</v>
      </c>
      <c r="BX20" s="150">
        <v>4.8605286239599952</v>
      </c>
      <c r="BY20" s="150">
        <v>4.9302643119799949</v>
      </c>
      <c r="BZ20" s="150">
        <v>4.9999999999999947</v>
      </c>
      <c r="CA20" s="150">
        <v>5.0697356880199944</v>
      </c>
      <c r="CB20" s="150">
        <v>5.1394713760399942</v>
      </c>
      <c r="CC20" s="150">
        <v>5.2092070640599939</v>
      </c>
      <c r="CD20" s="150">
        <v>5.2789427520799936</v>
      </c>
      <c r="CE20" s="150">
        <v>5.3486784400999934</v>
      </c>
      <c r="CF20" s="150">
        <v>5.4184141281199931</v>
      </c>
      <c r="CG20" s="150">
        <v>5.4881498161399929</v>
      </c>
      <c r="CH20" s="150">
        <v>5.5578855041599926</v>
      </c>
      <c r="CI20" s="150">
        <v>5.6276211921799923</v>
      </c>
      <c r="CJ20" s="150">
        <v>5.6973568801999921</v>
      </c>
      <c r="CK20" s="150">
        <v>5.7670925682199918</v>
      </c>
      <c r="CL20" s="150">
        <v>5.8368282562399916</v>
      </c>
      <c r="CM20" s="150">
        <v>5.9065639442599913</v>
      </c>
      <c r="CN20" s="150">
        <v>5.9762996322799911</v>
      </c>
      <c r="CO20" s="150">
        <v>6.0460353202999908</v>
      </c>
      <c r="CP20" s="150">
        <v>6.1157710083199905</v>
      </c>
      <c r="CQ20" s="150">
        <v>6.1855066963399903</v>
      </c>
      <c r="CR20" s="150">
        <v>6.25524238435999</v>
      </c>
      <c r="CS20" s="150">
        <v>6.3249780723799898</v>
      </c>
      <c r="CT20" s="150">
        <v>6.3947137603999895</v>
      </c>
      <c r="CU20" s="150">
        <v>6.4644494484199893</v>
      </c>
      <c r="CV20" s="150">
        <v>6.534185136439989</v>
      </c>
      <c r="CW20" s="150">
        <v>6.6039208244599887</v>
      </c>
      <c r="CX20" s="150">
        <v>6.6736565124799885</v>
      </c>
      <c r="CY20" s="150">
        <v>6.7433922004999882</v>
      </c>
      <c r="CZ20" s="150">
        <v>6.813127888519988</v>
      </c>
      <c r="DA20" s="150">
        <v>6.8828635765399877</v>
      </c>
      <c r="DB20" s="150">
        <v>6.9525992645599874</v>
      </c>
      <c r="DC20" s="150">
        <v>7.0223349525799872</v>
      </c>
      <c r="DD20" s="150">
        <v>7.0920706405999869</v>
      </c>
      <c r="DE20" s="150">
        <v>7.1618063286199867</v>
      </c>
      <c r="DF20" s="150">
        <v>7.2315420166399864</v>
      </c>
      <c r="DG20" s="150">
        <v>7.3012777046599862</v>
      </c>
      <c r="DH20" s="150">
        <v>7.3710133926799859</v>
      </c>
      <c r="DI20" s="150">
        <v>7.4407490806999856</v>
      </c>
      <c r="DJ20" s="150">
        <v>7.5104847687199854</v>
      </c>
      <c r="DK20" s="150">
        <v>7.5802204567399851</v>
      </c>
      <c r="DL20" s="150">
        <v>7.6499561447599849</v>
      </c>
      <c r="DM20" s="150">
        <v>7.7196918327799846</v>
      </c>
      <c r="DN20" s="150">
        <v>7.7894275207999844</v>
      </c>
      <c r="DO20" s="150">
        <v>7.8591632088199841</v>
      </c>
      <c r="DP20" s="150">
        <v>7.9288988968399838</v>
      </c>
      <c r="DQ20" s="150">
        <v>7.9986345848599836</v>
      </c>
      <c r="DR20" s="150">
        <v>8.0683702728799833</v>
      </c>
      <c r="DS20" s="150">
        <v>8.1381059608999831</v>
      </c>
      <c r="DT20" s="150">
        <v>8.2078416489199828</v>
      </c>
      <c r="DU20" s="150">
        <v>8.2775773369399825</v>
      </c>
      <c r="DV20" s="150">
        <v>8.3473130249599823</v>
      </c>
      <c r="DW20" s="150">
        <v>8.417048712979982</v>
      </c>
      <c r="DX20" s="150">
        <v>8.4867844009999818</v>
      </c>
      <c r="DY20" s="150">
        <v>8.5565200890199815</v>
      </c>
      <c r="DZ20" s="150">
        <v>8.6262557770399813</v>
      </c>
      <c r="EA20" s="150">
        <v>8.695991465059981</v>
      </c>
      <c r="EB20" s="150">
        <v>8.7657271530799807</v>
      </c>
      <c r="EC20" s="150">
        <v>8.8354628410999805</v>
      </c>
      <c r="ED20" s="150">
        <v>8.9051985291199802</v>
      </c>
      <c r="EE20" s="150">
        <v>8.97493421713998</v>
      </c>
      <c r="EF20" s="150">
        <v>9.0446699051599797</v>
      </c>
      <c r="EG20" s="150">
        <v>9.1144055931799794</v>
      </c>
      <c r="EH20" s="150">
        <v>9.1841412811999792</v>
      </c>
      <c r="EI20" s="150">
        <v>9.2538769692199789</v>
      </c>
      <c r="EJ20" s="150">
        <v>9.3236126572399787</v>
      </c>
      <c r="EK20" s="150">
        <v>9.3933483452599784</v>
      </c>
    </row>
    <row r="21" spans="1:141" ht="13.2" x14ac:dyDescent="0.25">
      <c r="A21" s="149">
        <v>37288</v>
      </c>
      <c r="B21" s="219">
        <v>-1.7785964148750009</v>
      </c>
      <c r="C21" s="219">
        <v>-1.7482952255625008</v>
      </c>
      <c r="D21" s="219">
        <v>-1.7179940362500008</v>
      </c>
      <c r="E21" s="219">
        <v>-1.6876928469375008</v>
      </c>
      <c r="F21" s="219">
        <v>-1.6573916576250007</v>
      </c>
      <c r="G21" s="219">
        <v>-1.6270904683125007</v>
      </c>
      <c r="H21" s="219">
        <v>-1.5967892790000007</v>
      </c>
      <c r="I21" s="219">
        <v>-1.5664880896875006</v>
      </c>
      <c r="J21" s="219">
        <v>-1.5361869003750006</v>
      </c>
      <c r="K21" s="219">
        <v>-1.5058857110625006</v>
      </c>
      <c r="L21" s="219">
        <v>-1.4755845217500005</v>
      </c>
      <c r="M21" s="219">
        <v>-1.4452833324375005</v>
      </c>
      <c r="N21" s="219">
        <v>-1.4149821431250005</v>
      </c>
      <c r="O21" s="219">
        <v>-1.3846809538125004</v>
      </c>
      <c r="P21" s="219">
        <v>-1.3543797645000004</v>
      </c>
      <c r="Q21" s="219">
        <v>-1.3240785751875004</v>
      </c>
      <c r="R21" s="219">
        <v>-1.2937773858750004</v>
      </c>
      <c r="S21" s="219">
        <v>-1.2634761965625003</v>
      </c>
      <c r="T21" s="219">
        <v>-1.2331750072500003</v>
      </c>
      <c r="U21" s="219">
        <v>-1.2028738179375003</v>
      </c>
      <c r="V21" s="220">
        <v>-1.1725726286250002</v>
      </c>
      <c r="W21" s="219">
        <v>-1.1422714393125002</v>
      </c>
      <c r="X21" s="220">
        <v>-1.1119702500000002</v>
      </c>
      <c r="Y21" s="219">
        <v>-1.0832351250000003</v>
      </c>
      <c r="Z21" s="220">
        <v>-1.0545000000000002</v>
      </c>
      <c r="AA21" s="219">
        <v>-1.0272500000000002</v>
      </c>
      <c r="AB21" s="221">
        <v>-1</v>
      </c>
      <c r="AC21" s="219">
        <v>-0.8</v>
      </c>
      <c r="AD21" s="221">
        <v>-0.6</v>
      </c>
      <c r="AE21" s="219">
        <v>-0.4</v>
      </c>
      <c r="AF21" s="219">
        <v>-0.2</v>
      </c>
      <c r="AG21" s="150">
        <v>0</v>
      </c>
      <c r="AH21" s="150">
        <v>0.2</v>
      </c>
      <c r="AI21" s="150">
        <v>0.4</v>
      </c>
      <c r="AJ21" s="150">
        <v>0.6</v>
      </c>
      <c r="AK21" s="150">
        <v>0.8</v>
      </c>
      <c r="AL21" s="150">
        <v>1</v>
      </c>
      <c r="AM21" s="150">
        <v>1.2</v>
      </c>
      <c r="AN21" s="150">
        <v>1.4</v>
      </c>
      <c r="AO21" s="150">
        <v>1.58</v>
      </c>
      <c r="AP21" s="150">
        <v>1.76</v>
      </c>
      <c r="AQ21" s="150">
        <v>1.9220000000000006</v>
      </c>
      <c r="AR21" s="150">
        <v>2.0840000000000005</v>
      </c>
      <c r="AS21" s="150">
        <v>2.2298000000000004</v>
      </c>
      <c r="AT21" s="150">
        <v>2.3756000000000004</v>
      </c>
      <c r="AU21" s="150">
        <v>2.5068200000000003</v>
      </c>
      <c r="AV21" s="150">
        <v>2.6380400000000002</v>
      </c>
      <c r="AW21" s="150">
        <v>2.756138</v>
      </c>
      <c r="AX21" s="150">
        <v>2.8742359999999998</v>
      </c>
      <c r="AY21" s="150">
        <v>2.9805241999999996</v>
      </c>
      <c r="AZ21" s="150">
        <v>3.0868123999999995</v>
      </c>
      <c r="BA21" s="150">
        <v>3.1824717799999993</v>
      </c>
      <c r="BB21" s="150">
        <v>3.2781311599999992</v>
      </c>
      <c r="BC21" s="150">
        <v>3.3642246019999993</v>
      </c>
      <c r="BD21" s="150">
        <v>3.450318043999999</v>
      </c>
      <c r="BE21" s="150">
        <v>3.5278021417999987</v>
      </c>
      <c r="BF21" s="150">
        <v>3.6052862395999989</v>
      </c>
      <c r="BG21" s="150">
        <v>3.6750219276199987</v>
      </c>
      <c r="BH21" s="150">
        <v>3.7447576156399989</v>
      </c>
      <c r="BI21" s="150">
        <v>3.8144933036599991</v>
      </c>
      <c r="BJ21" s="150">
        <v>3.8842289916799988</v>
      </c>
      <c r="BK21" s="150">
        <v>3.9539646796999985</v>
      </c>
      <c r="BL21" s="150">
        <v>4.0237003677199983</v>
      </c>
      <c r="BM21" s="150">
        <v>4.093436055739998</v>
      </c>
      <c r="BN21" s="150">
        <v>4.1631717437599978</v>
      </c>
      <c r="BO21" s="150">
        <v>4.2329074317799975</v>
      </c>
      <c r="BP21" s="150">
        <v>4.3026431197999973</v>
      </c>
      <c r="BQ21" s="150">
        <v>4.372378807819997</v>
      </c>
      <c r="BR21" s="150">
        <v>4.4421144958399967</v>
      </c>
      <c r="BS21" s="150">
        <v>4.5118501838599965</v>
      </c>
      <c r="BT21" s="150">
        <v>4.5815858718799962</v>
      </c>
      <c r="BU21" s="150">
        <v>4.651321559899996</v>
      </c>
      <c r="BV21" s="150">
        <v>4.7210572479199957</v>
      </c>
      <c r="BW21" s="150">
        <v>4.7907929359399954</v>
      </c>
      <c r="BX21" s="150">
        <v>4.8605286239599952</v>
      </c>
      <c r="BY21" s="150">
        <v>4.9302643119799949</v>
      </c>
      <c r="BZ21" s="150">
        <v>4.9999999999999947</v>
      </c>
      <c r="CA21" s="150">
        <v>5.0697356880199944</v>
      </c>
      <c r="CB21" s="150">
        <v>5.1394713760399942</v>
      </c>
      <c r="CC21" s="150">
        <v>5.2092070640599939</v>
      </c>
      <c r="CD21" s="150">
        <v>5.2789427520799936</v>
      </c>
      <c r="CE21" s="150">
        <v>5.3486784400999934</v>
      </c>
      <c r="CF21" s="150">
        <v>5.4184141281199931</v>
      </c>
      <c r="CG21" s="150">
        <v>5.4881498161399929</v>
      </c>
      <c r="CH21" s="150">
        <v>5.5578855041599926</v>
      </c>
      <c r="CI21" s="150">
        <v>5.6276211921799923</v>
      </c>
      <c r="CJ21" s="150">
        <v>5.6973568801999921</v>
      </c>
      <c r="CK21" s="150">
        <v>5.7670925682199918</v>
      </c>
      <c r="CL21" s="150">
        <v>5.8368282562399916</v>
      </c>
      <c r="CM21" s="150">
        <v>5.9065639442599913</v>
      </c>
      <c r="CN21" s="150">
        <v>5.9762996322799911</v>
      </c>
      <c r="CO21" s="150">
        <v>6.0460353202999908</v>
      </c>
      <c r="CP21" s="150">
        <v>6.1157710083199905</v>
      </c>
      <c r="CQ21" s="150">
        <v>6.1855066963399903</v>
      </c>
      <c r="CR21" s="150">
        <v>6.25524238435999</v>
      </c>
      <c r="CS21" s="150">
        <v>6.3249780723799898</v>
      </c>
      <c r="CT21" s="150">
        <v>6.3947137603999895</v>
      </c>
      <c r="CU21" s="150">
        <v>6.4644494484199893</v>
      </c>
      <c r="CV21" s="150">
        <v>6.534185136439989</v>
      </c>
      <c r="CW21" s="150">
        <v>6.6039208244599887</v>
      </c>
      <c r="CX21" s="150">
        <v>6.6736565124799885</v>
      </c>
      <c r="CY21" s="150">
        <v>6.7433922004999882</v>
      </c>
      <c r="CZ21" s="150">
        <v>6.813127888519988</v>
      </c>
      <c r="DA21" s="150">
        <v>6.8828635765399877</v>
      </c>
      <c r="DB21" s="150">
        <v>6.9525992645599874</v>
      </c>
      <c r="DC21" s="150">
        <v>7.0223349525799872</v>
      </c>
      <c r="DD21" s="150">
        <v>7.0920706405999869</v>
      </c>
      <c r="DE21" s="150">
        <v>7.1618063286199867</v>
      </c>
      <c r="DF21" s="150">
        <v>7.2315420166399864</v>
      </c>
      <c r="DG21" s="150">
        <v>7.3012777046599862</v>
      </c>
      <c r="DH21" s="150">
        <v>7.3710133926799859</v>
      </c>
      <c r="DI21" s="150">
        <v>7.4407490806999856</v>
      </c>
      <c r="DJ21" s="150">
        <v>7.5104847687199854</v>
      </c>
      <c r="DK21" s="150">
        <v>7.5802204567399851</v>
      </c>
      <c r="DL21" s="150">
        <v>7.6499561447599849</v>
      </c>
      <c r="DM21" s="150">
        <v>7.7196918327799846</v>
      </c>
      <c r="DN21" s="150">
        <v>7.7894275207999844</v>
      </c>
      <c r="DO21" s="150">
        <v>7.8591632088199841</v>
      </c>
      <c r="DP21" s="150">
        <v>7.9288988968399838</v>
      </c>
      <c r="DQ21" s="150">
        <v>7.9986345848599836</v>
      </c>
      <c r="DR21" s="150">
        <v>8.0683702728799833</v>
      </c>
      <c r="DS21" s="150">
        <v>8.1381059608999831</v>
      </c>
      <c r="DT21" s="150">
        <v>8.2078416489199828</v>
      </c>
      <c r="DU21" s="150">
        <v>8.2775773369399825</v>
      </c>
      <c r="DV21" s="150">
        <v>8.3473130249599823</v>
      </c>
      <c r="DW21" s="150">
        <v>8.417048712979982</v>
      </c>
      <c r="DX21" s="150">
        <v>8.4867844009999818</v>
      </c>
      <c r="DY21" s="150">
        <v>8.5565200890199815</v>
      </c>
      <c r="DZ21" s="150">
        <v>8.6262557770399813</v>
      </c>
      <c r="EA21" s="150">
        <v>8.695991465059981</v>
      </c>
      <c r="EB21" s="150">
        <v>8.7657271530799807</v>
      </c>
      <c r="EC21" s="150">
        <v>8.8354628410999805</v>
      </c>
      <c r="ED21" s="150">
        <v>8.9051985291199802</v>
      </c>
      <c r="EE21" s="150">
        <v>8.97493421713998</v>
      </c>
      <c r="EF21" s="150">
        <v>9.0446699051599797</v>
      </c>
      <c r="EG21" s="150">
        <v>9.1144055931799794</v>
      </c>
      <c r="EH21" s="150">
        <v>9.1841412811999792</v>
      </c>
      <c r="EI21" s="150">
        <v>9.2538769692199789</v>
      </c>
      <c r="EJ21" s="150">
        <v>9.3236126572399787</v>
      </c>
      <c r="EK21" s="150">
        <v>9.3933483452599784</v>
      </c>
    </row>
    <row r="22" spans="1:141" ht="13.2" x14ac:dyDescent="0.25">
      <c r="A22" s="149">
        <v>37316</v>
      </c>
      <c r="B22" s="219">
        <v>-1.7785964148750009</v>
      </c>
      <c r="C22" s="219">
        <v>-1.7482952255625008</v>
      </c>
      <c r="D22" s="219">
        <v>-1.7179940362500008</v>
      </c>
      <c r="E22" s="219">
        <v>-1.6876928469375008</v>
      </c>
      <c r="F22" s="219">
        <v>-1.6573916576250007</v>
      </c>
      <c r="G22" s="219">
        <v>-1.6270904683125007</v>
      </c>
      <c r="H22" s="219">
        <v>-1.5967892790000007</v>
      </c>
      <c r="I22" s="219">
        <v>-1.5664880896875006</v>
      </c>
      <c r="J22" s="219">
        <v>-1.5361869003750006</v>
      </c>
      <c r="K22" s="219">
        <v>-1.5058857110625006</v>
      </c>
      <c r="L22" s="219">
        <v>-1.4755845217500005</v>
      </c>
      <c r="M22" s="219">
        <v>-1.4452833324375005</v>
      </c>
      <c r="N22" s="219">
        <v>-1.4149821431250005</v>
      </c>
      <c r="O22" s="219">
        <v>-1.3846809538125004</v>
      </c>
      <c r="P22" s="219">
        <v>-1.3543797645000004</v>
      </c>
      <c r="Q22" s="219">
        <v>-1.3240785751875004</v>
      </c>
      <c r="R22" s="219">
        <v>-1.2937773858750004</v>
      </c>
      <c r="S22" s="219">
        <v>-1.2634761965625003</v>
      </c>
      <c r="T22" s="219">
        <v>-1.2331750072500003</v>
      </c>
      <c r="U22" s="219">
        <v>-1.2028738179375003</v>
      </c>
      <c r="V22" s="220">
        <v>-1.1725726286250002</v>
      </c>
      <c r="W22" s="219">
        <v>-1.1422714393125002</v>
      </c>
      <c r="X22" s="220">
        <v>-1.1119702500000002</v>
      </c>
      <c r="Y22" s="219">
        <v>-1.0832351250000003</v>
      </c>
      <c r="Z22" s="220">
        <v>-1.0545000000000002</v>
      </c>
      <c r="AA22" s="219">
        <v>-1.0272500000000002</v>
      </c>
      <c r="AB22" s="221">
        <v>-1</v>
      </c>
      <c r="AC22" s="219">
        <v>-0.8</v>
      </c>
      <c r="AD22" s="221">
        <v>-0.6</v>
      </c>
      <c r="AE22" s="219">
        <v>-0.4</v>
      </c>
      <c r="AF22" s="219">
        <v>-0.2</v>
      </c>
      <c r="AG22" s="150">
        <v>0</v>
      </c>
      <c r="AH22" s="150">
        <v>0.2</v>
      </c>
      <c r="AI22" s="150">
        <v>0.4</v>
      </c>
      <c r="AJ22" s="150">
        <v>0.6</v>
      </c>
      <c r="AK22" s="150">
        <v>0.8</v>
      </c>
      <c r="AL22" s="150">
        <v>1</v>
      </c>
      <c r="AM22" s="150">
        <v>1.2</v>
      </c>
      <c r="AN22" s="150">
        <v>1.4</v>
      </c>
      <c r="AO22" s="150">
        <v>1.58</v>
      </c>
      <c r="AP22" s="150">
        <v>1.76</v>
      </c>
      <c r="AQ22" s="150">
        <v>1.9220000000000006</v>
      </c>
      <c r="AR22" s="150">
        <v>2.0840000000000005</v>
      </c>
      <c r="AS22" s="150">
        <v>2.2298000000000004</v>
      </c>
      <c r="AT22" s="150">
        <v>2.3756000000000004</v>
      </c>
      <c r="AU22" s="150">
        <v>2.5068200000000003</v>
      </c>
      <c r="AV22" s="150">
        <v>2.6380400000000002</v>
      </c>
      <c r="AW22" s="150">
        <v>2.756138</v>
      </c>
      <c r="AX22" s="150">
        <v>2.8742359999999998</v>
      </c>
      <c r="AY22" s="150">
        <v>2.9805241999999996</v>
      </c>
      <c r="AZ22" s="150">
        <v>3.0868123999999995</v>
      </c>
      <c r="BA22" s="150">
        <v>3.1824717799999993</v>
      </c>
      <c r="BB22" s="150">
        <v>3.2781311599999992</v>
      </c>
      <c r="BC22" s="150">
        <v>3.3642246019999993</v>
      </c>
      <c r="BD22" s="150">
        <v>3.450318043999999</v>
      </c>
      <c r="BE22" s="150">
        <v>3.5278021417999987</v>
      </c>
      <c r="BF22" s="150">
        <v>3.6052862395999989</v>
      </c>
      <c r="BG22" s="150">
        <v>3.6750219276199987</v>
      </c>
      <c r="BH22" s="150">
        <v>3.7447576156399989</v>
      </c>
      <c r="BI22" s="150">
        <v>3.8144933036599991</v>
      </c>
      <c r="BJ22" s="150">
        <v>3.8842289916799988</v>
      </c>
      <c r="BK22" s="150">
        <v>3.9539646796999985</v>
      </c>
      <c r="BL22" s="150">
        <v>4.0237003677199983</v>
      </c>
      <c r="BM22" s="150">
        <v>4.093436055739998</v>
      </c>
      <c r="BN22" s="150">
        <v>4.1631717437599978</v>
      </c>
      <c r="BO22" s="150">
        <v>4.2329074317799975</v>
      </c>
      <c r="BP22" s="150">
        <v>4.3026431197999973</v>
      </c>
      <c r="BQ22" s="150">
        <v>4.372378807819997</v>
      </c>
      <c r="BR22" s="150">
        <v>4.4421144958399967</v>
      </c>
      <c r="BS22" s="150">
        <v>4.5118501838599965</v>
      </c>
      <c r="BT22" s="150">
        <v>4.5815858718799962</v>
      </c>
      <c r="BU22" s="150">
        <v>4.651321559899996</v>
      </c>
      <c r="BV22" s="150">
        <v>4.7210572479199957</v>
      </c>
      <c r="BW22" s="150">
        <v>4.7907929359399954</v>
      </c>
      <c r="BX22" s="150">
        <v>4.8605286239599952</v>
      </c>
      <c r="BY22" s="150">
        <v>4.9302643119799949</v>
      </c>
      <c r="BZ22" s="150">
        <v>4.9999999999999947</v>
      </c>
      <c r="CA22" s="150">
        <v>5.0697356880199944</v>
      </c>
      <c r="CB22" s="150">
        <v>5.1394713760399942</v>
      </c>
      <c r="CC22" s="150">
        <v>5.2092070640599939</v>
      </c>
      <c r="CD22" s="150">
        <v>5.2789427520799936</v>
      </c>
      <c r="CE22" s="150">
        <v>5.3486784400999934</v>
      </c>
      <c r="CF22" s="150">
        <v>5.4184141281199931</v>
      </c>
      <c r="CG22" s="150">
        <v>5.4881498161399929</v>
      </c>
      <c r="CH22" s="150">
        <v>5.5578855041599926</v>
      </c>
      <c r="CI22" s="150">
        <v>5.6276211921799923</v>
      </c>
      <c r="CJ22" s="150">
        <v>5.6973568801999921</v>
      </c>
      <c r="CK22" s="150">
        <v>5.7670925682199918</v>
      </c>
      <c r="CL22" s="150">
        <v>5.8368282562399916</v>
      </c>
      <c r="CM22" s="150">
        <v>5.9065639442599913</v>
      </c>
      <c r="CN22" s="150">
        <v>5.9762996322799911</v>
      </c>
      <c r="CO22" s="150">
        <v>6.0460353202999908</v>
      </c>
      <c r="CP22" s="150">
        <v>6.1157710083199905</v>
      </c>
      <c r="CQ22" s="150">
        <v>6.1855066963399903</v>
      </c>
      <c r="CR22" s="150">
        <v>6.25524238435999</v>
      </c>
      <c r="CS22" s="150">
        <v>6.3249780723799898</v>
      </c>
      <c r="CT22" s="150">
        <v>6.3947137603999895</v>
      </c>
      <c r="CU22" s="150">
        <v>6.4644494484199893</v>
      </c>
      <c r="CV22" s="150">
        <v>6.534185136439989</v>
      </c>
      <c r="CW22" s="150">
        <v>6.6039208244599887</v>
      </c>
      <c r="CX22" s="150">
        <v>6.6736565124799885</v>
      </c>
      <c r="CY22" s="150">
        <v>6.7433922004999882</v>
      </c>
      <c r="CZ22" s="150">
        <v>6.813127888519988</v>
      </c>
      <c r="DA22" s="150">
        <v>6.8828635765399877</v>
      </c>
      <c r="DB22" s="150">
        <v>6.9525992645599874</v>
      </c>
      <c r="DC22" s="150">
        <v>7.0223349525799872</v>
      </c>
      <c r="DD22" s="150">
        <v>7.0920706405999869</v>
      </c>
      <c r="DE22" s="150">
        <v>7.1618063286199867</v>
      </c>
      <c r="DF22" s="150">
        <v>7.2315420166399864</v>
      </c>
      <c r="DG22" s="150">
        <v>7.3012777046599862</v>
      </c>
      <c r="DH22" s="150">
        <v>7.3710133926799859</v>
      </c>
      <c r="DI22" s="150">
        <v>7.4407490806999856</v>
      </c>
      <c r="DJ22" s="150">
        <v>7.5104847687199854</v>
      </c>
      <c r="DK22" s="150">
        <v>7.5802204567399851</v>
      </c>
      <c r="DL22" s="150">
        <v>7.6499561447599849</v>
      </c>
      <c r="DM22" s="150">
        <v>7.7196918327799846</v>
      </c>
      <c r="DN22" s="150">
        <v>7.7894275207999844</v>
      </c>
      <c r="DO22" s="150">
        <v>7.8591632088199841</v>
      </c>
      <c r="DP22" s="150">
        <v>7.9288988968399838</v>
      </c>
      <c r="DQ22" s="150">
        <v>7.9986345848599836</v>
      </c>
      <c r="DR22" s="150">
        <v>8.0683702728799833</v>
      </c>
      <c r="DS22" s="150">
        <v>8.1381059608999831</v>
      </c>
      <c r="DT22" s="150">
        <v>8.2078416489199828</v>
      </c>
      <c r="DU22" s="150">
        <v>8.2775773369399825</v>
      </c>
      <c r="DV22" s="150">
        <v>8.3473130249599823</v>
      </c>
      <c r="DW22" s="150">
        <v>8.417048712979982</v>
      </c>
      <c r="DX22" s="150">
        <v>8.4867844009999818</v>
      </c>
      <c r="DY22" s="150">
        <v>8.5565200890199815</v>
      </c>
      <c r="DZ22" s="150">
        <v>8.6262557770399813</v>
      </c>
      <c r="EA22" s="150">
        <v>8.695991465059981</v>
      </c>
      <c r="EB22" s="150">
        <v>8.7657271530799807</v>
      </c>
      <c r="EC22" s="150">
        <v>8.8354628410999805</v>
      </c>
      <c r="ED22" s="150">
        <v>8.9051985291199802</v>
      </c>
      <c r="EE22" s="150">
        <v>8.97493421713998</v>
      </c>
      <c r="EF22" s="150">
        <v>9.0446699051599797</v>
      </c>
      <c r="EG22" s="150">
        <v>9.1144055931799794</v>
      </c>
      <c r="EH22" s="150">
        <v>9.1841412811999792</v>
      </c>
      <c r="EI22" s="150">
        <v>9.2538769692199789</v>
      </c>
      <c r="EJ22" s="150">
        <v>9.3236126572399787</v>
      </c>
      <c r="EK22" s="150">
        <v>9.3933483452599784</v>
      </c>
    </row>
    <row r="23" spans="1:141" ht="13.2" x14ac:dyDescent="0.25">
      <c r="A23" s="149">
        <v>37347</v>
      </c>
      <c r="B23" s="219">
        <v>-1.7785964148750009</v>
      </c>
      <c r="C23" s="219">
        <v>-1.7482952255625008</v>
      </c>
      <c r="D23" s="219">
        <v>-1.7179940362500008</v>
      </c>
      <c r="E23" s="219">
        <v>-1.6876928469375008</v>
      </c>
      <c r="F23" s="219">
        <v>-1.6573916576250007</v>
      </c>
      <c r="G23" s="219">
        <v>-1.6270904683125007</v>
      </c>
      <c r="H23" s="219">
        <v>-1.5967892790000007</v>
      </c>
      <c r="I23" s="219">
        <v>-1.5664880896875006</v>
      </c>
      <c r="J23" s="219">
        <v>-1.5361869003750006</v>
      </c>
      <c r="K23" s="219">
        <v>-1.5058857110625006</v>
      </c>
      <c r="L23" s="219">
        <v>-1.4755845217500005</v>
      </c>
      <c r="M23" s="219">
        <v>-1.4452833324375005</v>
      </c>
      <c r="N23" s="219">
        <v>-1.4149821431250005</v>
      </c>
      <c r="O23" s="219">
        <v>-1.3846809538125004</v>
      </c>
      <c r="P23" s="219">
        <v>-1.3543797645000004</v>
      </c>
      <c r="Q23" s="219">
        <v>-1.3240785751875004</v>
      </c>
      <c r="R23" s="219">
        <v>-1.2937773858750004</v>
      </c>
      <c r="S23" s="219">
        <v>-1.2634761965625003</v>
      </c>
      <c r="T23" s="219">
        <v>-1.2331750072500003</v>
      </c>
      <c r="U23" s="219">
        <v>-1.2028738179375003</v>
      </c>
      <c r="V23" s="220">
        <v>-1.1725726286250002</v>
      </c>
      <c r="W23" s="219">
        <v>-1.1422714393125002</v>
      </c>
      <c r="X23" s="220">
        <v>-1.1119702500000002</v>
      </c>
      <c r="Y23" s="219">
        <v>-1.0832351250000003</v>
      </c>
      <c r="Z23" s="220">
        <v>-1.0545000000000002</v>
      </c>
      <c r="AA23" s="219">
        <v>-1.0272500000000002</v>
      </c>
      <c r="AB23" s="221">
        <v>-1</v>
      </c>
      <c r="AC23" s="219">
        <v>-0.8</v>
      </c>
      <c r="AD23" s="221">
        <v>-0.6</v>
      </c>
      <c r="AE23" s="219">
        <v>-0.4</v>
      </c>
      <c r="AF23" s="219">
        <v>-0.2</v>
      </c>
      <c r="AG23" s="150">
        <v>0</v>
      </c>
      <c r="AH23" s="150">
        <v>0.2</v>
      </c>
      <c r="AI23" s="150">
        <v>0.4</v>
      </c>
      <c r="AJ23" s="150">
        <v>0.6</v>
      </c>
      <c r="AK23" s="150">
        <v>0.8</v>
      </c>
      <c r="AL23" s="150">
        <v>1</v>
      </c>
      <c r="AM23" s="150">
        <v>1.2</v>
      </c>
      <c r="AN23" s="150">
        <v>1.4</v>
      </c>
      <c r="AO23" s="150">
        <v>1.6</v>
      </c>
      <c r="AP23" s="150">
        <v>1.8</v>
      </c>
      <c r="AQ23" s="150">
        <v>2</v>
      </c>
      <c r="AR23" s="150">
        <v>2.2000000000000002</v>
      </c>
      <c r="AS23" s="150">
        <v>2.4</v>
      </c>
      <c r="AT23" s="150">
        <v>2.6</v>
      </c>
      <c r="AU23" s="150">
        <v>2.8</v>
      </c>
      <c r="AV23" s="150">
        <v>3</v>
      </c>
      <c r="AW23" s="150">
        <v>3.2</v>
      </c>
      <c r="AX23" s="150">
        <v>3.4</v>
      </c>
      <c r="AY23" s="150">
        <v>3.6</v>
      </c>
      <c r="AZ23" s="150">
        <v>3.8</v>
      </c>
      <c r="BA23" s="150">
        <v>4</v>
      </c>
      <c r="BB23" s="150">
        <v>4.2</v>
      </c>
      <c r="BC23" s="150">
        <v>4.4000000000000004</v>
      </c>
      <c r="BD23" s="150">
        <v>4.5999999999999996</v>
      </c>
      <c r="BE23" s="150">
        <v>4.8</v>
      </c>
      <c r="BF23" s="150">
        <v>5</v>
      </c>
      <c r="BG23" s="150">
        <v>5.2</v>
      </c>
      <c r="BH23" s="150">
        <v>5.4</v>
      </c>
      <c r="BI23" s="150">
        <v>5.6</v>
      </c>
      <c r="BJ23" s="150">
        <v>5.8</v>
      </c>
      <c r="BK23" s="150">
        <v>6</v>
      </c>
      <c r="BL23" s="150">
        <v>6.2</v>
      </c>
      <c r="BM23" s="150">
        <v>6.4</v>
      </c>
      <c r="BN23" s="150">
        <v>6.6</v>
      </c>
      <c r="BO23" s="150">
        <v>6.8</v>
      </c>
      <c r="BP23" s="150">
        <v>7</v>
      </c>
      <c r="BQ23" s="150">
        <v>7.2</v>
      </c>
      <c r="BR23" s="150">
        <v>7.4</v>
      </c>
      <c r="BS23" s="150">
        <v>7.6</v>
      </c>
      <c r="BT23" s="150">
        <v>7.8</v>
      </c>
      <c r="BU23" s="150">
        <v>8</v>
      </c>
      <c r="BV23" s="150">
        <v>8.1999999999999993</v>
      </c>
      <c r="BW23" s="150">
        <v>8.4</v>
      </c>
      <c r="BX23" s="150">
        <v>8.6</v>
      </c>
      <c r="BY23" s="150">
        <v>8.7999999999999936</v>
      </c>
      <c r="BZ23" s="150">
        <v>9</v>
      </c>
      <c r="CA23" s="150">
        <v>9.1999999999999922</v>
      </c>
      <c r="CB23" s="150">
        <v>9.4</v>
      </c>
      <c r="CC23" s="150">
        <v>9.5999999999999908</v>
      </c>
      <c r="CD23" s="150">
        <v>9.8000000000000007</v>
      </c>
      <c r="CE23" s="150">
        <v>9.9999999999999893</v>
      </c>
      <c r="CF23" s="150">
        <v>10.199999999999999</v>
      </c>
      <c r="CG23" s="150">
        <v>10.4</v>
      </c>
      <c r="CH23" s="150">
        <v>10.6</v>
      </c>
      <c r="CI23" s="150">
        <v>10.8</v>
      </c>
      <c r="CJ23" s="150">
        <v>11</v>
      </c>
      <c r="CK23" s="150">
        <v>11.2</v>
      </c>
      <c r="CL23" s="150">
        <v>11.4</v>
      </c>
      <c r="CM23" s="150">
        <v>11.6</v>
      </c>
      <c r="CN23" s="150">
        <v>11.8</v>
      </c>
      <c r="CO23" s="150">
        <v>12</v>
      </c>
      <c r="CP23" s="150">
        <v>12.2</v>
      </c>
      <c r="CQ23" s="150">
        <v>12.4</v>
      </c>
      <c r="CR23" s="150">
        <v>12.6</v>
      </c>
      <c r="CS23" s="150">
        <v>12.8</v>
      </c>
      <c r="CT23" s="150">
        <v>13</v>
      </c>
      <c r="CU23" s="150">
        <v>13.2</v>
      </c>
      <c r="CV23" s="150">
        <v>13.4</v>
      </c>
      <c r="CW23" s="150">
        <v>13.6</v>
      </c>
      <c r="CX23" s="150">
        <v>13.8</v>
      </c>
      <c r="CY23" s="150">
        <v>14</v>
      </c>
      <c r="CZ23" s="150">
        <v>14.2</v>
      </c>
      <c r="DA23" s="150">
        <v>14.4</v>
      </c>
      <c r="DB23" s="150">
        <v>14.6</v>
      </c>
      <c r="DC23" s="150">
        <v>14.8</v>
      </c>
      <c r="DD23" s="150">
        <v>15</v>
      </c>
      <c r="DE23" s="150">
        <v>15.2</v>
      </c>
      <c r="DF23" s="150">
        <v>15.4</v>
      </c>
      <c r="DG23" s="150">
        <v>15.6</v>
      </c>
      <c r="DH23" s="150">
        <v>15.8</v>
      </c>
      <c r="DI23" s="150">
        <v>16</v>
      </c>
      <c r="DJ23" s="150">
        <v>16.2</v>
      </c>
      <c r="DK23" s="150">
        <v>16.399999999999999</v>
      </c>
      <c r="DL23" s="150">
        <v>16.600000000000001</v>
      </c>
      <c r="DM23" s="150">
        <v>16.8</v>
      </c>
      <c r="DN23" s="150">
        <v>17</v>
      </c>
      <c r="DO23" s="150">
        <v>17.2</v>
      </c>
      <c r="DP23" s="150">
        <v>17.399999999999999</v>
      </c>
      <c r="DQ23" s="150">
        <v>17.600000000000001</v>
      </c>
      <c r="DR23" s="150">
        <v>17.8</v>
      </c>
      <c r="DS23" s="150">
        <v>18</v>
      </c>
      <c r="DT23" s="150">
        <v>18.2</v>
      </c>
      <c r="DU23" s="150">
        <v>18.399999999999999</v>
      </c>
      <c r="DV23" s="150">
        <v>18.600000000000001</v>
      </c>
      <c r="DW23" s="150">
        <v>18.8</v>
      </c>
      <c r="DX23" s="150">
        <v>19</v>
      </c>
      <c r="DY23" s="150">
        <v>19.2</v>
      </c>
      <c r="DZ23" s="150">
        <v>19.399999999999999</v>
      </c>
      <c r="EA23" s="150">
        <v>19.600000000000001</v>
      </c>
      <c r="EB23" s="150">
        <v>19.8</v>
      </c>
      <c r="EC23" s="150">
        <v>20</v>
      </c>
      <c r="ED23" s="150">
        <v>20.2</v>
      </c>
      <c r="EE23" s="150">
        <v>20.399999999999999</v>
      </c>
      <c r="EF23" s="150">
        <v>20.6</v>
      </c>
      <c r="EG23" s="150">
        <v>20.799999999999951</v>
      </c>
      <c r="EH23" s="150">
        <v>21</v>
      </c>
      <c r="EI23" s="150">
        <v>21.19999999999995</v>
      </c>
      <c r="EJ23" s="150">
        <v>21.4</v>
      </c>
      <c r="EK23" s="150">
        <v>21.599999999999948</v>
      </c>
    </row>
    <row r="24" spans="1:141" ht="13.2" x14ac:dyDescent="0.25">
      <c r="A24" s="149">
        <v>37377</v>
      </c>
      <c r="B24" s="219">
        <v>-1.7785964148750009</v>
      </c>
      <c r="C24" s="219">
        <v>-1.7482952255625008</v>
      </c>
      <c r="D24" s="219">
        <v>-1.7179940362500008</v>
      </c>
      <c r="E24" s="219">
        <v>-1.6876928469375008</v>
      </c>
      <c r="F24" s="219">
        <v>-1.6573916576250007</v>
      </c>
      <c r="G24" s="219">
        <v>-1.6270904683125007</v>
      </c>
      <c r="H24" s="219">
        <v>-1.5967892790000007</v>
      </c>
      <c r="I24" s="219">
        <v>-1.5664880896875006</v>
      </c>
      <c r="J24" s="219">
        <v>-1.5361869003750006</v>
      </c>
      <c r="K24" s="219">
        <v>-1.5058857110625006</v>
      </c>
      <c r="L24" s="219">
        <v>-1.4755845217500005</v>
      </c>
      <c r="M24" s="219">
        <v>-1.4452833324375005</v>
      </c>
      <c r="N24" s="219">
        <v>-1.4149821431250005</v>
      </c>
      <c r="O24" s="219">
        <v>-1.3846809538125004</v>
      </c>
      <c r="P24" s="219">
        <v>-1.3543797645000004</v>
      </c>
      <c r="Q24" s="219">
        <v>-1.3240785751875004</v>
      </c>
      <c r="R24" s="219">
        <v>-1.2937773858750004</v>
      </c>
      <c r="S24" s="219">
        <v>-1.2634761965625003</v>
      </c>
      <c r="T24" s="219">
        <v>-1.2331750072500003</v>
      </c>
      <c r="U24" s="219">
        <v>-1.2028738179375003</v>
      </c>
      <c r="V24" s="220">
        <v>-1.1725726286250002</v>
      </c>
      <c r="W24" s="219">
        <v>-1.1422714393125002</v>
      </c>
      <c r="X24" s="220">
        <v>-1.1119702500000002</v>
      </c>
      <c r="Y24" s="219">
        <v>-1.0832351250000003</v>
      </c>
      <c r="Z24" s="220">
        <v>-1.0545000000000002</v>
      </c>
      <c r="AA24" s="219">
        <v>-1.0272500000000002</v>
      </c>
      <c r="AB24" s="221">
        <v>-1</v>
      </c>
      <c r="AC24" s="219">
        <v>-0.8</v>
      </c>
      <c r="AD24" s="221">
        <v>-0.6</v>
      </c>
      <c r="AE24" s="219">
        <v>-0.4</v>
      </c>
      <c r="AF24" s="219">
        <v>-0.2</v>
      </c>
      <c r="AG24" s="150">
        <v>0</v>
      </c>
      <c r="AH24" s="150">
        <v>0.2</v>
      </c>
      <c r="AI24" s="150">
        <v>0.4</v>
      </c>
      <c r="AJ24" s="150">
        <v>0.6</v>
      </c>
      <c r="AK24" s="150">
        <v>0.8</v>
      </c>
      <c r="AL24" s="150">
        <v>1</v>
      </c>
      <c r="AM24" s="150">
        <v>1.2</v>
      </c>
      <c r="AN24" s="150">
        <v>1.4</v>
      </c>
      <c r="AO24" s="150">
        <v>1.6</v>
      </c>
      <c r="AP24" s="150">
        <v>1.8</v>
      </c>
      <c r="AQ24" s="150">
        <v>2</v>
      </c>
      <c r="AR24" s="150">
        <v>2.2000000000000002</v>
      </c>
      <c r="AS24" s="150">
        <v>2.4</v>
      </c>
      <c r="AT24" s="150">
        <v>2.6</v>
      </c>
      <c r="AU24" s="150">
        <v>2.8</v>
      </c>
      <c r="AV24" s="150">
        <v>3</v>
      </c>
      <c r="AW24" s="150">
        <v>3.2</v>
      </c>
      <c r="AX24" s="150">
        <v>3.4</v>
      </c>
      <c r="AY24" s="150">
        <v>3.6</v>
      </c>
      <c r="AZ24" s="150">
        <v>3.8</v>
      </c>
      <c r="BA24" s="150">
        <v>4</v>
      </c>
      <c r="BB24" s="150">
        <v>4.2</v>
      </c>
      <c r="BC24" s="150">
        <v>4.4000000000000004</v>
      </c>
      <c r="BD24" s="150">
        <v>4.5999999999999996</v>
      </c>
      <c r="BE24" s="150">
        <v>4.8</v>
      </c>
      <c r="BF24" s="150">
        <v>5</v>
      </c>
      <c r="BG24" s="150">
        <v>5.2</v>
      </c>
      <c r="BH24" s="150">
        <v>5.4</v>
      </c>
      <c r="BI24" s="150">
        <v>5.6</v>
      </c>
      <c r="BJ24" s="150">
        <v>5.8</v>
      </c>
      <c r="BK24" s="150">
        <v>6</v>
      </c>
      <c r="BL24" s="150">
        <v>6.2</v>
      </c>
      <c r="BM24" s="150">
        <v>6.4</v>
      </c>
      <c r="BN24" s="150">
        <v>6.6</v>
      </c>
      <c r="BO24" s="150">
        <v>6.8</v>
      </c>
      <c r="BP24" s="150">
        <v>7</v>
      </c>
      <c r="BQ24" s="150">
        <v>7.2</v>
      </c>
      <c r="BR24" s="150">
        <v>7.4</v>
      </c>
      <c r="BS24" s="150">
        <v>7.6</v>
      </c>
      <c r="BT24" s="150">
        <v>7.8</v>
      </c>
      <c r="BU24" s="150">
        <v>8</v>
      </c>
      <c r="BV24" s="150">
        <v>8.1999999999999993</v>
      </c>
      <c r="BW24" s="150">
        <v>8.4</v>
      </c>
      <c r="BX24" s="150">
        <v>8.6</v>
      </c>
      <c r="BY24" s="150">
        <v>8.7999999999999936</v>
      </c>
      <c r="BZ24" s="150">
        <v>9</v>
      </c>
      <c r="CA24" s="150">
        <v>9.1999999999999922</v>
      </c>
      <c r="CB24" s="150">
        <v>9.4</v>
      </c>
      <c r="CC24" s="150">
        <v>9.5999999999999908</v>
      </c>
      <c r="CD24" s="150">
        <v>9.8000000000000007</v>
      </c>
      <c r="CE24" s="150">
        <v>9.9999999999999893</v>
      </c>
      <c r="CF24" s="150">
        <v>10.199999999999999</v>
      </c>
      <c r="CG24" s="150">
        <v>10.4</v>
      </c>
      <c r="CH24" s="150">
        <v>10.6</v>
      </c>
      <c r="CI24" s="150">
        <v>10.8</v>
      </c>
      <c r="CJ24" s="150">
        <v>11</v>
      </c>
      <c r="CK24" s="150">
        <v>11.2</v>
      </c>
      <c r="CL24" s="150">
        <v>11.4</v>
      </c>
      <c r="CM24" s="150">
        <v>11.6</v>
      </c>
      <c r="CN24" s="150">
        <v>11.8</v>
      </c>
      <c r="CO24" s="150">
        <v>12</v>
      </c>
      <c r="CP24" s="150">
        <v>12.2</v>
      </c>
      <c r="CQ24" s="150">
        <v>12.4</v>
      </c>
      <c r="CR24" s="150">
        <v>12.6</v>
      </c>
      <c r="CS24" s="150">
        <v>12.8</v>
      </c>
      <c r="CT24" s="150">
        <v>13</v>
      </c>
      <c r="CU24" s="150">
        <v>13.2</v>
      </c>
      <c r="CV24" s="150">
        <v>13.4</v>
      </c>
      <c r="CW24" s="150">
        <v>13.6</v>
      </c>
      <c r="CX24" s="150">
        <v>13.8</v>
      </c>
      <c r="CY24" s="150">
        <v>14</v>
      </c>
      <c r="CZ24" s="150">
        <v>14.2</v>
      </c>
      <c r="DA24" s="150">
        <v>14.4</v>
      </c>
      <c r="DB24" s="150">
        <v>14.6</v>
      </c>
      <c r="DC24" s="150">
        <v>14.8</v>
      </c>
      <c r="DD24" s="150">
        <v>15</v>
      </c>
      <c r="DE24" s="150">
        <v>15.2</v>
      </c>
      <c r="DF24" s="150">
        <v>15.4</v>
      </c>
      <c r="DG24" s="150">
        <v>15.6</v>
      </c>
      <c r="DH24" s="150">
        <v>15.8</v>
      </c>
      <c r="DI24" s="150">
        <v>16</v>
      </c>
      <c r="DJ24" s="150">
        <v>16.2</v>
      </c>
      <c r="DK24" s="150">
        <v>16.399999999999999</v>
      </c>
      <c r="DL24" s="150">
        <v>16.600000000000001</v>
      </c>
      <c r="DM24" s="150">
        <v>16.8</v>
      </c>
      <c r="DN24" s="150">
        <v>17</v>
      </c>
      <c r="DO24" s="150">
        <v>17.2</v>
      </c>
      <c r="DP24" s="150">
        <v>17.399999999999999</v>
      </c>
      <c r="DQ24" s="150">
        <v>17.600000000000001</v>
      </c>
      <c r="DR24" s="150">
        <v>17.8</v>
      </c>
      <c r="DS24" s="150">
        <v>18</v>
      </c>
      <c r="DT24" s="150">
        <v>18.2</v>
      </c>
      <c r="DU24" s="150">
        <v>18.399999999999999</v>
      </c>
      <c r="DV24" s="150">
        <v>18.600000000000001</v>
      </c>
      <c r="DW24" s="150">
        <v>18.8</v>
      </c>
      <c r="DX24" s="150">
        <v>19</v>
      </c>
      <c r="DY24" s="150">
        <v>19.2</v>
      </c>
      <c r="DZ24" s="150">
        <v>19.399999999999999</v>
      </c>
      <c r="EA24" s="150">
        <v>19.600000000000001</v>
      </c>
      <c r="EB24" s="150">
        <v>19.8</v>
      </c>
      <c r="EC24" s="150">
        <v>20</v>
      </c>
      <c r="ED24" s="150">
        <v>20.2</v>
      </c>
      <c r="EE24" s="150">
        <v>20.399999999999999</v>
      </c>
      <c r="EF24" s="150">
        <v>20.6</v>
      </c>
      <c r="EG24" s="150">
        <v>20.799999999999951</v>
      </c>
      <c r="EH24" s="150">
        <v>21</v>
      </c>
      <c r="EI24" s="150">
        <v>21.19999999999995</v>
      </c>
      <c r="EJ24" s="150">
        <v>21.4</v>
      </c>
      <c r="EK24" s="150">
        <v>21.599999999999948</v>
      </c>
    </row>
    <row r="25" spans="1:141" ht="13.2" x14ac:dyDescent="0.25">
      <c r="A25" s="149">
        <v>37408</v>
      </c>
      <c r="B25" s="219">
        <v>-1.7785964148750009</v>
      </c>
      <c r="C25" s="219">
        <v>-1.7482952255625008</v>
      </c>
      <c r="D25" s="219">
        <v>-1.7179940362500008</v>
      </c>
      <c r="E25" s="219">
        <v>-1.6876928469375008</v>
      </c>
      <c r="F25" s="219">
        <v>-1.6573916576250007</v>
      </c>
      <c r="G25" s="219">
        <v>-1.6270904683125007</v>
      </c>
      <c r="H25" s="219">
        <v>-1.5967892790000007</v>
      </c>
      <c r="I25" s="219">
        <v>-1.5664880896875006</v>
      </c>
      <c r="J25" s="219">
        <v>-1.5361869003750006</v>
      </c>
      <c r="K25" s="219">
        <v>-1.5058857110625006</v>
      </c>
      <c r="L25" s="219">
        <v>-1.4755845217500005</v>
      </c>
      <c r="M25" s="219">
        <v>-1.4452833324375005</v>
      </c>
      <c r="N25" s="219">
        <v>-1.4149821431250005</v>
      </c>
      <c r="O25" s="219">
        <v>-1.3846809538125004</v>
      </c>
      <c r="P25" s="219">
        <v>-1.3543797645000004</v>
      </c>
      <c r="Q25" s="219">
        <v>-1.3240785751875004</v>
      </c>
      <c r="R25" s="219">
        <v>-1.2937773858750004</v>
      </c>
      <c r="S25" s="219">
        <v>-1.2634761965625003</v>
      </c>
      <c r="T25" s="219">
        <v>-1.2331750072500003</v>
      </c>
      <c r="U25" s="219">
        <v>-1.2028738179375003</v>
      </c>
      <c r="V25" s="220">
        <v>-1.1725726286250002</v>
      </c>
      <c r="W25" s="219">
        <v>-1.1422714393125002</v>
      </c>
      <c r="X25" s="220">
        <v>-1.1119702500000002</v>
      </c>
      <c r="Y25" s="219">
        <v>-1.0832351250000003</v>
      </c>
      <c r="Z25" s="220">
        <v>-1.0545000000000002</v>
      </c>
      <c r="AA25" s="219">
        <v>-1.0272500000000002</v>
      </c>
      <c r="AB25" s="221">
        <v>-1</v>
      </c>
      <c r="AC25" s="219">
        <v>-0.8</v>
      </c>
      <c r="AD25" s="221">
        <v>-0.6</v>
      </c>
      <c r="AE25" s="219">
        <v>-0.4</v>
      </c>
      <c r="AF25" s="219">
        <v>-0.2</v>
      </c>
      <c r="AG25" s="150">
        <v>0</v>
      </c>
      <c r="AH25" s="150">
        <v>0.2</v>
      </c>
      <c r="AI25" s="150">
        <v>0.4</v>
      </c>
      <c r="AJ25" s="150">
        <v>0.6</v>
      </c>
      <c r="AK25" s="150">
        <v>0.8</v>
      </c>
      <c r="AL25" s="150">
        <v>1</v>
      </c>
      <c r="AM25" s="150">
        <v>1.2</v>
      </c>
      <c r="AN25" s="150">
        <v>1.4</v>
      </c>
      <c r="AO25" s="150">
        <v>1.6</v>
      </c>
      <c r="AP25" s="150">
        <v>1.8</v>
      </c>
      <c r="AQ25" s="150">
        <v>2</v>
      </c>
      <c r="AR25" s="150">
        <v>2.2000000000000002</v>
      </c>
      <c r="AS25" s="150">
        <v>2.4</v>
      </c>
      <c r="AT25" s="150">
        <v>2.6</v>
      </c>
      <c r="AU25" s="150">
        <v>2.8</v>
      </c>
      <c r="AV25" s="150">
        <v>3</v>
      </c>
      <c r="AW25" s="150">
        <v>3.2</v>
      </c>
      <c r="AX25" s="150">
        <v>3.4</v>
      </c>
      <c r="AY25" s="150">
        <v>3.6</v>
      </c>
      <c r="AZ25" s="150">
        <v>3.8</v>
      </c>
      <c r="BA25" s="150">
        <v>4</v>
      </c>
      <c r="BB25" s="150">
        <v>4.2</v>
      </c>
      <c r="BC25" s="150">
        <v>4.4000000000000004</v>
      </c>
      <c r="BD25" s="150">
        <v>4.5999999999999996</v>
      </c>
      <c r="BE25" s="150">
        <v>4.8</v>
      </c>
      <c r="BF25" s="150">
        <v>5</v>
      </c>
      <c r="BG25" s="150">
        <v>5.2</v>
      </c>
      <c r="BH25" s="150">
        <v>5.4</v>
      </c>
      <c r="BI25" s="150">
        <v>5.6</v>
      </c>
      <c r="BJ25" s="150">
        <v>5.8</v>
      </c>
      <c r="BK25" s="150">
        <v>6</v>
      </c>
      <c r="BL25" s="150">
        <v>6.2</v>
      </c>
      <c r="BM25" s="150">
        <v>6.4</v>
      </c>
      <c r="BN25" s="150">
        <v>6.6</v>
      </c>
      <c r="BO25" s="150">
        <v>6.8</v>
      </c>
      <c r="BP25" s="150">
        <v>7</v>
      </c>
      <c r="BQ25" s="150">
        <v>7.2</v>
      </c>
      <c r="BR25" s="150">
        <v>7.4</v>
      </c>
      <c r="BS25" s="150">
        <v>7.6</v>
      </c>
      <c r="BT25" s="150">
        <v>7.8</v>
      </c>
      <c r="BU25" s="150">
        <v>8</v>
      </c>
      <c r="BV25" s="150">
        <v>8.1999999999999993</v>
      </c>
      <c r="BW25" s="150">
        <v>8.4</v>
      </c>
      <c r="BX25" s="150">
        <v>8.6</v>
      </c>
      <c r="BY25" s="150">
        <v>8.7999999999999936</v>
      </c>
      <c r="BZ25" s="150">
        <v>9</v>
      </c>
      <c r="CA25" s="150">
        <v>9.1999999999999922</v>
      </c>
      <c r="CB25" s="150">
        <v>9.4</v>
      </c>
      <c r="CC25" s="150">
        <v>9.5999999999999908</v>
      </c>
      <c r="CD25" s="150">
        <v>9.8000000000000007</v>
      </c>
      <c r="CE25" s="150">
        <v>9.9999999999999893</v>
      </c>
      <c r="CF25" s="150">
        <v>10.199999999999999</v>
      </c>
      <c r="CG25" s="150">
        <v>10.4</v>
      </c>
      <c r="CH25" s="150">
        <v>10.6</v>
      </c>
      <c r="CI25" s="150">
        <v>10.8</v>
      </c>
      <c r="CJ25" s="150">
        <v>11</v>
      </c>
      <c r="CK25" s="150">
        <v>11.2</v>
      </c>
      <c r="CL25" s="150">
        <v>11.4</v>
      </c>
      <c r="CM25" s="150">
        <v>11.6</v>
      </c>
      <c r="CN25" s="150">
        <v>11.8</v>
      </c>
      <c r="CO25" s="150">
        <v>12</v>
      </c>
      <c r="CP25" s="150">
        <v>12.2</v>
      </c>
      <c r="CQ25" s="150">
        <v>12.4</v>
      </c>
      <c r="CR25" s="150">
        <v>12.6</v>
      </c>
      <c r="CS25" s="150">
        <v>12.8</v>
      </c>
      <c r="CT25" s="150">
        <v>13</v>
      </c>
      <c r="CU25" s="150">
        <v>13.2</v>
      </c>
      <c r="CV25" s="150">
        <v>13.4</v>
      </c>
      <c r="CW25" s="150">
        <v>13.6</v>
      </c>
      <c r="CX25" s="150">
        <v>13.8</v>
      </c>
      <c r="CY25" s="150">
        <v>14</v>
      </c>
      <c r="CZ25" s="150">
        <v>14.2</v>
      </c>
      <c r="DA25" s="150">
        <v>14.4</v>
      </c>
      <c r="DB25" s="150">
        <v>14.6</v>
      </c>
      <c r="DC25" s="150">
        <v>14.8</v>
      </c>
      <c r="DD25" s="150">
        <v>15</v>
      </c>
      <c r="DE25" s="150">
        <v>15.2</v>
      </c>
      <c r="DF25" s="150">
        <v>15.4</v>
      </c>
      <c r="DG25" s="150">
        <v>15.6</v>
      </c>
      <c r="DH25" s="150">
        <v>15.8</v>
      </c>
      <c r="DI25" s="150">
        <v>16</v>
      </c>
      <c r="DJ25" s="150">
        <v>16.2</v>
      </c>
      <c r="DK25" s="150">
        <v>16.399999999999999</v>
      </c>
      <c r="DL25" s="150">
        <v>16.600000000000001</v>
      </c>
      <c r="DM25" s="150">
        <v>16.8</v>
      </c>
      <c r="DN25" s="150">
        <v>17</v>
      </c>
      <c r="DO25" s="150">
        <v>17.2</v>
      </c>
      <c r="DP25" s="150">
        <v>17.399999999999999</v>
      </c>
      <c r="DQ25" s="150">
        <v>17.600000000000001</v>
      </c>
      <c r="DR25" s="150">
        <v>17.8</v>
      </c>
      <c r="DS25" s="150">
        <v>18</v>
      </c>
      <c r="DT25" s="150">
        <v>18.2</v>
      </c>
      <c r="DU25" s="150">
        <v>18.399999999999999</v>
      </c>
      <c r="DV25" s="150">
        <v>18.600000000000001</v>
      </c>
      <c r="DW25" s="150">
        <v>18.8</v>
      </c>
      <c r="DX25" s="150">
        <v>19</v>
      </c>
      <c r="DY25" s="150">
        <v>19.2</v>
      </c>
      <c r="DZ25" s="150">
        <v>19.399999999999999</v>
      </c>
      <c r="EA25" s="150">
        <v>19.600000000000001</v>
      </c>
      <c r="EB25" s="150">
        <v>19.8</v>
      </c>
      <c r="EC25" s="150">
        <v>20</v>
      </c>
      <c r="ED25" s="150">
        <v>20.2</v>
      </c>
      <c r="EE25" s="150">
        <v>20.399999999999999</v>
      </c>
      <c r="EF25" s="150">
        <v>20.6</v>
      </c>
      <c r="EG25" s="150">
        <v>20.799999999999951</v>
      </c>
      <c r="EH25" s="150">
        <v>21</v>
      </c>
      <c r="EI25" s="150">
        <v>21.19999999999995</v>
      </c>
      <c r="EJ25" s="150">
        <v>21.4</v>
      </c>
      <c r="EK25" s="150">
        <v>21.599999999999948</v>
      </c>
    </row>
    <row r="26" spans="1:141" ht="13.2" x14ac:dyDescent="0.25">
      <c r="A26" s="149">
        <v>37438</v>
      </c>
      <c r="B26" s="219">
        <v>-1.7785964148750009</v>
      </c>
      <c r="C26" s="219">
        <v>-1.7482952255625008</v>
      </c>
      <c r="D26" s="219">
        <v>-1.7179940362500008</v>
      </c>
      <c r="E26" s="219">
        <v>-1.6876928469375008</v>
      </c>
      <c r="F26" s="219">
        <v>-1.6573916576250007</v>
      </c>
      <c r="G26" s="219">
        <v>-1.6270904683125007</v>
      </c>
      <c r="H26" s="219">
        <v>-1.5967892790000007</v>
      </c>
      <c r="I26" s="219">
        <v>-1.5664880896875006</v>
      </c>
      <c r="J26" s="219">
        <v>-1.5361869003750006</v>
      </c>
      <c r="K26" s="219">
        <v>-1.5058857110625006</v>
      </c>
      <c r="L26" s="219">
        <v>-1.4755845217500005</v>
      </c>
      <c r="M26" s="219">
        <v>-1.4452833324375005</v>
      </c>
      <c r="N26" s="219">
        <v>-1.4149821431250005</v>
      </c>
      <c r="O26" s="219">
        <v>-1.3846809538125004</v>
      </c>
      <c r="P26" s="219">
        <v>-1.3543797645000004</v>
      </c>
      <c r="Q26" s="219">
        <v>-1.3240785751875004</v>
      </c>
      <c r="R26" s="219">
        <v>-1.2937773858750004</v>
      </c>
      <c r="S26" s="219">
        <v>-1.2634761965625003</v>
      </c>
      <c r="T26" s="219">
        <v>-1.2331750072500003</v>
      </c>
      <c r="U26" s="219">
        <v>-1.2028738179375003</v>
      </c>
      <c r="V26" s="220">
        <v>-1.1725726286250002</v>
      </c>
      <c r="W26" s="219">
        <v>-1.1422714393125002</v>
      </c>
      <c r="X26" s="220">
        <v>-1.1119702500000002</v>
      </c>
      <c r="Y26" s="219">
        <v>-1.0832351250000003</v>
      </c>
      <c r="Z26" s="220">
        <v>-1.0545000000000002</v>
      </c>
      <c r="AA26" s="219">
        <v>-1.0272500000000002</v>
      </c>
      <c r="AB26" s="221">
        <v>-1</v>
      </c>
      <c r="AC26" s="219">
        <v>-0.8</v>
      </c>
      <c r="AD26" s="221">
        <v>-0.6</v>
      </c>
      <c r="AE26" s="219">
        <v>-0.4</v>
      </c>
      <c r="AF26" s="219">
        <v>-0.2</v>
      </c>
      <c r="AG26" s="150">
        <v>0</v>
      </c>
      <c r="AH26" s="150">
        <v>0.2</v>
      </c>
      <c r="AI26" s="150">
        <v>0.4</v>
      </c>
      <c r="AJ26" s="150">
        <v>0.6</v>
      </c>
      <c r="AK26" s="150">
        <v>0.8</v>
      </c>
      <c r="AL26" s="150">
        <v>1</v>
      </c>
      <c r="AM26" s="150">
        <v>1.2</v>
      </c>
      <c r="AN26" s="150">
        <v>1.4</v>
      </c>
      <c r="AO26" s="150">
        <v>1.6</v>
      </c>
      <c r="AP26" s="150">
        <v>1.8</v>
      </c>
      <c r="AQ26" s="150">
        <v>2</v>
      </c>
      <c r="AR26" s="150">
        <v>2.2000000000000002</v>
      </c>
      <c r="AS26" s="150">
        <v>2.4</v>
      </c>
      <c r="AT26" s="150">
        <v>2.6</v>
      </c>
      <c r="AU26" s="150">
        <v>2.8</v>
      </c>
      <c r="AV26" s="150">
        <v>3</v>
      </c>
      <c r="AW26" s="150">
        <v>3.2</v>
      </c>
      <c r="AX26" s="150">
        <v>3.4</v>
      </c>
      <c r="AY26" s="150">
        <v>3.6</v>
      </c>
      <c r="AZ26" s="150">
        <v>3.8</v>
      </c>
      <c r="BA26" s="150">
        <v>4</v>
      </c>
      <c r="BB26" s="150">
        <v>4.2</v>
      </c>
      <c r="BC26" s="150">
        <v>4.4000000000000004</v>
      </c>
      <c r="BD26" s="150">
        <v>4.5999999999999996</v>
      </c>
      <c r="BE26" s="150">
        <v>4.8</v>
      </c>
      <c r="BF26" s="150">
        <v>5</v>
      </c>
      <c r="BG26" s="150">
        <v>5.2</v>
      </c>
      <c r="BH26" s="150">
        <v>5.4</v>
      </c>
      <c r="BI26" s="150">
        <v>5.6</v>
      </c>
      <c r="BJ26" s="150">
        <v>5.8</v>
      </c>
      <c r="BK26" s="150">
        <v>6</v>
      </c>
      <c r="BL26" s="150">
        <v>6.2</v>
      </c>
      <c r="BM26" s="150">
        <v>6.4</v>
      </c>
      <c r="BN26" s="150">
        <v>6.6</v>
      </c>
      <c r="BO26" s="150">
        <v>6.8</v>
      </c>
      <c r="BP26" s="150">
        <v>7</v>
      </c>
      <c r="BQ26" s="150">
        <v>7.2</v>
      </c>
      <c r="BR26" s="150">
        <v>7.4</v>
      </c>
      <c r="BS26" s="150">
        <v>7.6</v>
      </c>
      <c r="BT26" s="150">
        <v>7.8</v>
      </c>
      <c r="BU26" s="150">
        <v>8</v>
      </c>
      <c r="BV26" s="150">
        <v>8.1999999999999993</v>
      </c>
      <c r="BW26" s="150">
        <v>8.4</v>
      </c>
      <c r="BX26" s="150">
        <v>8.6</v>
      </c>
      <c r="BY26" s="150">
        <v>8.7999999999999936</v>
      </c>
      <c r="BZ26" s="150">
        <v>9</v>
      </c>
      <c r="CA26" s="150">
        <v>9.1999999999999922</v>
      </c>
      <c r="CB26" s="150">
        <v>9.4</v>
      </c>
      <c r="CC26" s="150">
        <v>9.5999999999999908</v>
      </c>
      <c r="CD26" s="150">
        <v>9.8000000000000007</v>
      </c>
      <c r="CE26" s="150">
        <v>9.9999999999999893</v>
      </c>
      <c r="CF26" s="150">
        <v>10.199999999999999</v>
      </c>
      <c r="CG26" s="150">
        <v>10.4</v>
      </c>
      <c r="CH26" s="150">
        <v>10.6</v>
      </c>
      <c r="CI26" s="150">
        <v>10.8</v>
      </c>
      <c r="CJ26" s="150">
        <v>11</v>
      </c>
      <c r="CK26" s="150">
        <v>11.2</v>
      </c>
      <c r="CL26" s="150">
        <v>11.4</v>
      </c>
      <c r="CM26" s="150">
        <v>11.6</v>
      </c>
      <c r="CN26" s="150">
        <v>11.8</v>
      </c>
      <c r="CO26" s="150">
        <v>12</v>
      </c>
      <c r="CP26" s="150">
        <v>12.2</v>
      </c>
      <c r="CQ26" s="150">
        <v>12.4</v>
      </c>
      <c r="CR26" s="150">
        <v>12.6</v>
      </c>
      <c r="CS26" s="150">
        <v>12.8</v>
      </c>
      <c r="CT26" s="150">
        <v>13</v>
      </c>
      <c r="CU26" s="150">
        <v>13.2</v>
      </c>
      <c r="CV26" s="150">
        <v>13.4</v>
      </c>
      <c r="CW26" s="150">
        <v>13.6</v>
      </c>
      <c r="CX26" s="150">
        <v>13.8</v>
      </c>
      <c r="CY26" s="150">
        <v>14</v>
      </c>
      <c r="CZ26" s="150">
        <v>14.2</v>
      </c>
      <c r="DA26" s="150">
        <v>14.4</v>
      </c>
      <c r="DB26" s="150">
        <v>14.6</v>
      </c>
      <c r="DC26" s="150">
        <v>14.8</v>
      </c>
      <c r="DD26" s="150">
        <v>15</v>
      </c>
      <c r="DE26" s="150">
        <v>15.2</v>
      </c>
      <c r="DF26" s="150">
        <v>15.4</v>
      </c>
      <c r="DG26" s="150">
        <v>15.6</v>
      </c>
      <c r="DH26" s="150">
        <v>15.8</v>
      </c>
      <c r="DI26" s="150">
        <v>16</v>
      </c>
      <c r="DJ26" s="150">
        <v>16.2</v>
      </c>
      <c r="DK26" s="150">
        <v>16.399999999999999</v>
      </c>
      <c r="DL26" s="150">
        <v>16.600000000000001</v>
      </c>
      <c r="DM26" s="150">
        <v>16.8</v>
      </c>
      <c r="DN26" s="150">
        <v>17</v>
      </c>
      <c r="DO26" s="150">
        <v>17.2</v>
      </c>
      <c r="DP26" s="150">
        <v>17.399999999999999</v>
      </c>
      <c r="DQ26" s="150">
        <v>17.600000000000001</v>
      </c>
      <c r="DR26" s="150">
        <v>17.8</v>
      </c>
      <c r="DS26" s="150">
        <v>18</v>
      </c>
      <c r="DT26" s="150">
        <v>18.2</v>
      </c>
      <c r="DU26" s="150">
        <v>18.399999999999999</v>
      </c>
      <c r="DV26" s="150">
        <v>18.600000000000001</v>
      </c>
      <c r="DW26" s="150">
        <v>18.8</v>
      </c>
      <c r="DX26" s="150">
        <v>19</v>
      </c>
      <c r="DY26" s="150">
        <v>19.2</v>
      </c>
      <c r="DZ26" s="150">
        <v>19.399999999999999</v>
      </c>
      <c r="EA26" s="150">
        <v>19.600000000000001</v>
      </c>
      <c r="EB26" s="150">
        <v>19.8</v>
      </c>
      <c r="EC26" s="150">
        <v>20</v>
      </c>
      <c r="ED26" s="150">
        <v>20.2</v>
      </c>
      <c r="EE26" s="150">
        <v>20.399999999999999</v>
      </c>
      <c r="EF26" s="150">
        <v>20.6</v>
      </c>
      <c r="EG26" s="150">
        <v>20.799999999999951</v>
      </c>
      <c r="EH26" s="150">
        <v>21</v>
      </c>
      <c r="EI26" s="150">
        <v>21.19999999999995</v>
      </c>
      <c r="EJ26" s="150">
        <v>21.4</v>
      </c>
      <c r="EK26" s="150">
        <v>21.599999999999948</v>
      </c>
    </row>
    <row r="27" spans="1:141" ht="13.2" x14ac:dyDescent="0.25">
      <c r="A27" s="149">
        <v>37469</v>
      </c>
      <c r="B27" s="219">
        <v>-1.7785964148750009</v>
      </c>
      <c r="C27" s="219">
        <v>-1.7482952255625008</v>
      </c>
      <c r="D27" s="219">
        <v>-1.7179940362500008</v>
      </c>
      <c r="E27" s="219">
        <v>-1.6876928469375008</v>
      </c>
      <c r="F27" s="219">
        <v>-1.6573916576250007</v>
      </c>
      <c r="G27" s="219">
        <v>-1.6270904683125007</v>
      </c>
      <c r="H27" s="219">
        <v>-1.5967892790000007</v>
      </c>
      <c r="I27" s="219">
        <v>-1.5664880896875006</v>
      </c>
      <c r="J27" s="219">
        <v>-1.5361869003750006</v>
      </c>
      <c r="K27" s="219">
        <v>-1.5058857110625006</v>
      </c>
      <c r="L27" s="219">
        <v>-1.4755845217500005</v>
      </c>
      <c r="M27" s="219">
        <v>-1.4452833324375005</v>
      </c>
      <c r="N27" s="219">
        <v>-1.4149821431250005</v>
      </c>
      <c r="O27" s="219">
        <v>-1.3846809538125004</v>
      </c>
      <c r="P27" s="219">
        <v>-1.3543797645000004</v>
      </c>
      <c r="Q27" s="219">
        <v>-1.3240785751875004</v>
      </c>
      <c r="R27" s="219">
        <v>-1.2937773858750004</v>
      </c>
      <c r="S27" s="219">
        <v>-1.2634761965625003</v>
      </c>
      <c r="T27" s="219">
        <v>-1.2331750072500003</v>
      </c>
      <c r="U27" s="219">
        <v>-1.2028738179375003</v>
      </c>
      <c r="V27" s="220">
        <v>-1.1725726286250002</v>
      </c>
      <c r="W27" s="219">
        <v>-1.1422714393125002</v>
      </c>
      <c r="X27" s="220">
        <v>-1.1119702500000002</v>
      </c>
      <c r="Y27" s="219">
        <v>-1.0832351250000003</v>
      </c>
      <c r="Z27" s="220">
        <v>-1.0545000000000002</v>
      </c>
      <c r="AA27" s="219">
        <v>-1.0272500000000002</v>
      </c>
      <c r="AB27" s="221">
        <v>-1</v>
      </c>
      <c r="AC27" s="219">
        <v>-0.8</v>
      </c>
      <c r="AD27" s="221">
        <v>-0.6</v>
      </c>
      <c r="AE27" s="219">
        <v>-0.4</v>
      </c>
      <c r="AF27" s="219">
        <v>-0.2</v>
      </c>
      <c r="AG27" s="150">
        <v>0</v>
      </c>
      <c r="AH27" s="150">
        <v>0.2</v>
      </c>
      <c r="AI27" s="150">
        <v>0.4</v>
      </c>
      <c r="AJ27" s="150">
        <v>0.6</v>
      </c>
      <c r="AK27" s="150">
        <v>0.8</v>
      </c>
      <c r="AL27" s="150">
        <v>1</v>
      </c>
      <c r="AM27" s="150">
        <v>1.2</v>
      </c>
      <c r="AN27" s="150">
        <v>1.4</v>
      </c>
      <c r="AO27" s="150">
        <v>1.6</v>
      </c>
      <c r="AP27" s="150">
        <v>1.8</v>
      </c>
      <c r="AQ27" s="150">
        <v>2</v>
      </c>
      <c r="AR27" s="150">
        <v>2.2000000000000002</v>
      </c>
      <c r="AS27" s="150">
        <v>2.4</v>
      </c>
      <c r="AT27" s="150">
        <v>2.6</v>
      </c>
      <c r="AU27" s="150">
        <v>2.8</v>
      </c>
      <c r="AV27" s="150">
        <v>3</v>
      </c>
      <c r="AW27" s="150">
        <v>3.2</v>
      </c>
      <c r="AX27" s="150">
        <v>3.4</v>
      </c>
      <c r="AY27" s="150">
        <v>3.6</v>
      </c>
      <c r="AZ27" s="150">
        <v>3.8</v>
      </c>
      <c r="BA27" s="150">
        <v>4</v>
      </c>
      <c r="BB27" s="150">
        <v>4.2</v>
      </c>
      <c r="BC27" s="150">
        <v>4.4000000000000004</v>
      </c>
      <c r="BD27" s="150">
        <v>4.5999999999999996</v>
      </c>
      <c r="BE27" s="150">
        <v>4.8</v>
      </c>
      <c r="BF27" s="150">
        <v>5</v>
      </c>
      <c r="BG27" s="150">
        <v>5.2</v>
      </c>
      <c r="BH27" s="150">
        <v>5.4</v>
      </c>
      <c r="BI27" s="150">
        <v>5.6</v>
      </c>
      <c r="BJ27" s="150">
        <v>5.8</v>
      </c>
      <c r="BK27" s="150">
        <v>6</v>
      </c>
      <c r="BL27" s="150">
        <v>6.2</v>
      </c>
      <c r="BM27" s="150">
        <v>6.4</v>
      </c>
      <c r="BN27" s="150">
        <v>6.6</v>
      </c>
      <c r="BO27" s="150">
        <v>6.8</v>
      </c>
      <c r="BP27" s="150">
        <v>7</v>
      </c>
      <c r="BQ27" s="150">
        <v>7.2</v>
      </c>
      <c r="BR27" s="150">
        <v>7.4</v>
      </c>
      <c r="BS27" s="150">
        <v>7.6</v>
      </c>
      <c r="BT27" s="150">
        <v>7.8</v>
      </c>
      <c r="BU27" s="150">
        <v>8</v>
      </c>
      <c r="BV27" s="150">
        <v>8.1999999999999993</v>
      </c>
      <c r="BW27" s="150">
        <v>8.4</v>
      </c>
      <c r="BX27" s="150">
        <v>8.6</v>
      </c>
      <c r="BY27" s="150">
        <v>8.7999999999999936</v>
      </c>
      <c r="BZ27" s="150">
        <v>9</v>
      </c>
      <c r="CA27" s="150">
        <v>9.1999999999999922</v>
      </c>
      <c r="CB27" s="150">
        <v>9.4</v>
      </c>
      <c r="CC27" s="150">
        <v>9.5999999999999908</v>
      </c>
      <c r="CD27" s="150">
        <v>9.8000000000000007</v>
      </c>
      <c r="CE27" s="150">
        <v>9.9999999999999893</v>
      </c>
      <c r="CF27" s="150">
        <v>10.199999999999999</v>
      </c>
      <c r="CG27" s="150">
        <v>10.4</v>
      </c>
      <c r="CH27" s="150">
        <v>10.6</v>
      </c>
      <c r="CI27" s="150">
        <v>10.8</v>
      </c>
      <c r="CJ27" s="150">
        <v>11</v>
      </c>
      <c r="CK27" s="150">
        <v>11.2</v>
      </c>
      <c r="CL27" s="150">
        <v>11.4</v>
      </c>
      <c r="CM27" s="150">
        <v>11.6</v>
      </c>
      <c r="CN27" s="150">
        <v>11.8</v>
      </c>
      <c r="CO27" s="150">
        <v>12</v>
      </c>
      <c r="CP27" s="150">
        <v>12.2</v>
      </c>
      <c r="CQ27" s="150">
        <v>12.4</v>
      </c>
      <c r="CR27" s="150">
        <v>12.6</v>
      </c>
      <c r="CS27" s="150">
        <v>12.8</v>
      </c>
      <c r="CT27" s="150">
        <v>13</v>
      </c>
      <c r="CU27" s="150">
        <v>13.2</v>
      </c>
      <c r="CV27" s="150">
        <v>13.4</v>
      </c>
      <c r="CW27" s="150">
        <v>13.6</v>
      </c>
      <c r="CX27" s="150">
        <v>13.8</v>
      </c>
      <c r="CY27" s="150">
        <v>14</v>
      </c>
      <c r="CZ27" s="150">
        <v>14.2</v>
      </c>
      <c r="DA27" s="150">
        <v>14.4</v>
      </c>
      <c r="DB27" s="150">
        <v>14.6</v>
      </c>
      <c r="DC27" s="150">
        <v>14.8</v>
      </c>
      <c r="DD27" s="150">
        <v>15</v>
      </c>
      <c r="DE27" s="150">
        <v>15.2</v>
      </c>
      <c r="DF27" s="150">
        <v>15.4</v>
      </c>
      <c r="DG27" s="150">
        <v>15.6</v>
      </c>
      <c r="DH27" s="150">
        <v>15.8</v>
      </c>
      <c r="DI27" s="150">
        <v>16</v>
      </c>
      <c r="DJ27" s="150">
        <v>16.2</v>
      </c>
      <c r="DK27" s="150">
        <v>16.399999999999999</v>
      </c>
      <c r="DL27" s="150">
        <v>16.600000000000001</v>
      </c>
      <c r="DM27" s="150">
        <v>16.8</v>
      </c>
      <c r="DN27" s="150">
        <v>17</v>
      </c>
      <c r="DO27" s="150">
        <v>17.2</v>
      </c>
      <c r="DP27" s="150">
        <v>17.399999999999999</v>
      </c>
      <c r="DQ27" s="150">
        <v>17.600000000000001</v>
      </c>
      <c r="DR27" s="150">
        <v>17.8</v>
      </c>
      <c r="DS27" s="150">
        <v>18</v>
      </c>
      <c r="DT27" s="150">
        <v>18.2</v>
      </c>
      <c r="DU27" s="150">
        <v>18.399999999999999</v>
      </c>
      <c r="DV27" s="150">
        <v>18.600000000000001</v>
      </c>
      <c r="DW27" s="150">
        <v>18.8</v>
      </c>
      <c r="DX27" s="150">
        <v>19</v>
      </c>
      <c r="DY27" s="150">
        <v>19.2</v>
      </c>
      <c r="DZ27" s="150">
        <v>19.399999999999999</v>
      </c>
      <c r="EA27" s="150">
        <v>19.600000000000001</v>
      </c>
      <c r="EB27" s="150">
        <v>19.8</v>
      </c>
      <c r="EC27" s="150">
        <v>20</v>
      </c>
      <c r="ED27" s="150">
        <v>20.2</v>
      </c>
      <c r="EE27" s="150">
        <v>20.399999999999999</v>
      </c>
      <c r="EF27" s="150">
        <v>20.6</v>
      </c>
      <c r="EG27" s="150">
        <v>20.799999999999951</v>
      </c>
      <c r="EH27" s="150">
        <v>21</v>
      </c>
      <c r="EI27" s="150">
        <v>21.19999999999995</v>
      </c>
      <c r="EJ27" s="150">
        <v>21.4</v>
      </c>
      <c r="EK27" s="150">
        <v>21.599999999999948</v>
      </c>
    </row>
    <row r="28" spans="1:141" ht="13.2" x14ac:dyDescent="0.25">
      <c r="A28" s="149">
        <v>37500</v>
      </c>
      <c r="B28" s="219">
        <v>-1.7785964148750009</v>
      </c>
      <c r="C28" s="219">
        <v>-1.7482952255625008</v>
      </c>
      <c r="D28" s="219">
        <v>-1.7179940362500008</v>
      </c>
      <c r="E28" s="219">
        <v>-1.6876928469375008</v>
      </c>
      <c r="F28" s="219">
        <v>-1.6573916576250007</v>
      </c>
      <c r="G28" s="219">
        <v>-1.6270904683125007</v>
      </c>
      <c r="H28" s="219">
        <v>-1.5967892790000007</v>
      </c>
      <c r="I28" s="219">
        <v>-1.5664880896875006</v>
      </c>
      <c r="J28" s="219">
        <v>-1.5361869003750006</v>
      </c>
      <c r="K28" s="219">
        <v>-1.5058857110625006</v>
      </c>
      <c r="L28" s="219">
        <v>-1.4755845217500005</v>
      </c>
      <c r="M28" s="219">
        <v>-1.4452833324375005</v>
      </c>
      <c r="N28" s="219">
        <v>-1.4149821431250005</v>
      </c>
      <c r="O28" s="219">
        <v>-1.3846809538125004</v>
      </c>
      <c r="P28" s="219">
        <v>-1.3543797645000004</v>
      </c>
      <c r="Q28" s="219">
        <v>-1.3240785751875004</v>
      </c>
      <c r="R28" s="219">
        <v>-1.2937773858750004</v>
      </c>
      <c r="S28" s="219">
        <v>-1.2634761965625003</v>
      </c>
      <c r="T28" s="219">
        <v>-1.2331750072500003</v>
      </c>
      <c r="U28" s="219">
        <v>-1.2028738179375003</v>
      </c>
      <c r="V28" s="220">
        <v>-1.1725726286250002</v>
      </c>
      <c r="W28" s="219">
        <v>-1.1422714393125002</v>
      </c>
      <c r="X28" s="220">
        <v>-1.1119702500000002</v>
      </c>
      <c r="Y28" s="219">
        <v>-1.0832351250000003</v>
      </c>
      <c r="Z28" s="220">
        <v>-1.0545000000000002</v>
      </c>
      <c r="AA28" s="219">
        <v>-1.0272500000000002</v>
      </c>
      <c r="AB28" s="221">
        <v>-1</v>
      </c>
      <c r="AC28" s="219">
        <v>-0.8</v>
      </c>
      <c r="AD28" s="221">
        <v>-0.6</v>
      </c>
      <c r="AE28" s="219">
        <v>-0.4</v>
      </c>
      <c r="AF28" s="219">
        <v>-0.2</v>
      </c>
      <c r="AG28" s="150">
        <v>0</v>
      </c>
      <c r="AH28" s="150">
        <v>0.2</v>
      </c>
      <c r="AI28" s="150">
        <v>0.4</v>
      </c>
      <c r="AJ28" s="150">
        <v>0.6</v>
      </c>
      <c r="AK28" s="150">
        <v>0.8</v>
      </c>
      <c r="AL28" s="150">
        <v>1</v>
      </c>
      <c r="AM28" s="150">
        <v>1.2</v>
      </c>
      <c r="AN28" s="150">
        <v>1.4</v>
      </c>
      <c r="AO28" s="150">
        <v>1.6</v>
      </c>
      <c r="AP28" s="150">
        <v>1.8</v>
      </c>
      <c r="AQ28" s="150">
        <v>2</v>
      </c>
      <c r="AR28" s="150">
        <v>2.2000000000000002</v>
      </c>
      <c r="AS28" s="150">
        <v>2.4</v>
      </c>
      <c r="AT28" s="150">
        <v>2.6</v>
      </c>
      <c r="AU28" s="150">
        <v>2.8</v>
      </c>
      <c r="AV28" s="150">
        <v>3</v>
      </c>
      <c r="AW28" s="150">
        <v>3.2</v>
      </c>
      <c r="AX28" s="150">
        <v>3.4</v>
      </c>
      <c r="AY28" s="150">
        <v>3.6</v>
      </c>
      <c r="AZ28" s="150">
        <v>3.8</v>
      </c>
      <c r="BA28" s="150">
        <v>4</v>
      </c>
      <c r="BB28" s="150">
        <v>4.2</v>
      </c>
      <c r="BC28" s="150">
        <v>4.4000000000000004</v>
      </c>
      <c r="BD28" s="150">
        <v>4.5999999999999996</v>
      </c>
      <c r="BE28" s="150">
        <v>4.8</v>
      </c>
      <c r="BF28" s="150">
        <v>5</v>
      </c>
      <c r="BG28" s="150">
        <v>5.2</v>
      </c>
      <c r="BH28" s="150">
        <v>5.4</v>
      </c>
      <c r="BI28" s="150">
        <v>5.6</v>
      </c>
      <c r="BJ28" s="150">
        <v>5.8</v>
      </c>
      <c r="BK28" s="150">
        <v>6</v>
      </c>
      <c r="BL28" s="150">
        <v>6.2</v>
      </c>
      <c r="BM28" s="150">
        <v>6.4</v>
      </c>
      <c r="BN28" s="150">
        <v>6.6</v>
      </c>
      <c r="BO28" s="150">
        <v>6.8</v>
      </c>
      <c r="BP28" s="150">
        <v>7</v>
      </c>
      <c r="BQ28" s="150">
        <v>7.2</v>
      </c>
      <c r="BR28" s="150">
        <v>7.4</v>
      </c>
      <c r="BS28" s="150">
        <v>7.6</v>
      </c>
      <c r="BT28" s="150">
        <v>7.8</v>
      </c>
      <c r="BU28" s="150">
        <v>8</v>
      </c>
      <c r="BV28" s="150">
        <v>8.1999999999999993</v>
      </c>
      <c r="BW28" s="150">
        <v>8.4</v>
      </c>
      <c r="BX28" s="150">
        <v>8.6</v>
      </c>
      <c r="BY28" s="150">
        <v>8.7999999999999936</v>
      </c>
      <c r="BZ28" s="150">
        <v>9</v>
      </c>
      <c r="CA28" s="150">
        <v>9.1999999999999922</v>
      </c>
      <c r="CB28" s="150">
        <v>9.4</v>
      </c>
      <c r="CC28" s="150">
        <v>9.5999999999999908</v>
      </c>
      <c r="CD28" s="150">
        <v>9.8000000000000007</v>
      </c>
      <c r="CE28" s="150">
        <v>9.9999999999999893</v>
      </c>
      <c r="CF28" s="150">
        <v>10.199999999999999</v>
      </c>
      <c r="CG28" s="150">
        <v>10.4</v>
      </c>
      <c r="CH28" s="150">
        <v>10.6</v>
      </c>
      <c r="CI28" s="150">
        <v>10.8</v>
      </c>
      <c r="CJ28" s="150">
        <v>11</v>
      </c>
      <c r="CK28" s="150">
        <v>11.2</v>
      </c>
      <c r="CL28" s="150">
        <v>11.4</v>
      </c>
      <c r="CM28" s="150">
        <v>11.6</v>
      </c>
      <c r="CN28" s="150">
        <v>11.8</v>
      </c>
      <c r="CO28" s="150">
        <v>12</v>
      </c>
      <c r="CP28" s="150">
        <v>12.2</v>
      </c>
      <c r="CQ28" s="150">
        <v>12.4</v>
      </c>
      <c r="CR28" s="150">
        <v>12.6</v>
      </c>
      <c r="CS28" s="150">
        <v>12.8</v>
      </c>
      <c r="CT28" s="150">
        <v>13</v>
      </c>
      <c r="CU28" s="150">
        <v>13.2</v>
      </c>
      <c r="CV28" s="150">
        <v>13.4</v>
      </c>
      <c r="CW28" s="150">
        <v>13.6</v>
      </c>
      <c r="CX28" s="150">
        <v>13.8</v>
      </c>
      <c r="CY28" s="150">
        <v>14</v>
      </c>
      <c r="CZ28" s="150">
        <v>14.2</v>
      </c>
      <c r="DA28" s="150">
        <v>14.4</v>
      </c>
      <c r="DB28" s="150">
        <v>14.6</v>
      </c>
      <c r="DC28" s="150">
        <v>14.8</v>
      </c>
      <c r="DD28" s="150">
        <v>15</v>
      </c>
      <c r="DE28" s="150">
        <v>15.2</v>
      </c>
      <c r="DF28" s="150">
        <v>15.4</v>
      </c>
      <c r="DG28" s="150">
        <v>15.6</v>
      </c>
      <c r="DH28" s="150">
        <v>15.8</v>
      </c>
      <c r="DI28" s="150">
        <v>16</v>
      </c>
      <c r="DJ28" s="150">
        <v>16.2</v>
      </c>
      <c r="DK28" s="150">
        <v>16.399999999999999</v>
      </c>
      <c r="DL28" s="150">
        <v>16.600000000000001</v>
      </c>
      <c r="DM28" s="150">
        <v>16.8</v>
      </c>
      <c r="DN28" s="150">
        <v>17</v>
      </c>
      <c r="DO28" s="150">
        <v>17.2</v>
      </c>
      <c r="DP28" s="150">
        <v>17.399999999999999</v>
      </c>
      <c r="DQ28" s="150">
        <v>17.600000000000001</v>
      </c>
      <c r="DR28" s="150">
        <v>17.8</v>
      </c>
      <c r="DS28" s="150">
        <v>18</v>
      </c>
      <c r="DT28" s="150">
        <v>18.2</v>
      </c>
      <c r="DU28" s="150">
        <v>18.399999999999999</v>
      </c>
      <c r="DV28" s="150">
        <v>18.600000000000001</v>
      </c>
      <c r="DW28" s="150">
        <v>18.8</v>
      </c>
      <c r="DX28" s="150">
        <v>19</v>
      </c>
      <c r="DY28" s="150">
        <v>19.2</v>
      </c>
      <c r="DZ28" s="150">
        <v>19.399999999999999</v>
      </c>
      <c r="EA28" s="150">
        <v>19.600000000000001</v>
      </c>
      <c r="EB28" s="150">
        <v>19.8</v>
      </c>
      <c r="EC28" s="150">
        <v>20</v>
      </c>
      <c r="ED28" s="150">
        <v>20.2</v>
      </c>
      <c r="EE28" s="150">
        <v>20.399999999999999</v>
      </c>
      <c r="EF28" s="150">
        <v>20.6</v>
      </c>
      <c r="EG28" s="150">
        <v>20.799999999999951</v>
      </c>
      <c r="EH28" s="150">
        <v>21</v>
      </c>
      <c r="EI28" s="150">
        <v>21.19999999999995</v>
      </c>
      <c r="EJ28" s="150">
        <v>21.4</v>
      </c>
      <c r="EK28" s="150">
        <v>21.599999999999948</v>
      </c>
    </row>
    <row r="29" spans="1:141" ht="13.2" x14ac:dyDescent="0.25">
      <c r="A29" s="149">
        <v>37530</v>
      </c>
      <c r="B29" s="219">
        <v>-1.7785964148750009</v>
      </c>
      <c r="C29" s="219">
        <v>-1.7482952255625008</v>
      </c>
      <c r="D29" s="219">
        <v>-1.7179940362500008</v>
      </c>
      <c r="E29" s="219">
        <v>-1.6876928469375008</v>
      </c>
      <c r="F29" s="219">
        <v>-1.6573916576250007</v>
      </c>
      <c r="G29" s="219">
        <v>-1.6270904683125007</v>
      </c>
      <c r="H29" s="219">
        <v>-1.5967892790000007</v>
      </c>
      <c r="I29" s="219">
        <v>-1.5664880896875006</v>
      </c>
      <c r="J29" s="219">
        <v>-1.5361869003750006</v>
      </c>
      <c r="K29" s="219">
        <v>-1.5058857110625006</v>
      </c>
      <c r="L29" s="219">
        <v>-1.4755845217500005</v>
      </c>
      <c r="M29" s="219">
        <v>-1.4452833324375005</v>
      </c>
      <c r="N29" s="219">
        <v>-1.4149821431250005</v>
      </c>
      <c r="O29" s="219">
        <v>-1.3846809538125004</v>
      </c>
      <c r="P29" s="219">
        <v>-1.3543797645000004</v>
      </c>
      <c r="Q29" s="219">
        <v>-1.3240785751875004</v>
      </c>
      <c r="R29" s="219">
        <v>-1.2937773858750004</v>
      </c>
      <c r="S29" s="219">
        <v>-1.2634761965625003</v>
      </c>
      <c r="T29" s="219">
        <v>-1.2331750072500003</v>
      </c>
      <c r="U29" s="219">
        <v>-1.2028738179375003</v>
      </c>
      <c r="V29" s="220">
        <v>-1.1725726286250002</v>
      </c>
      <c r="W29" s="219">
        <v>-1.1422714393125002</v>
      </c>
      <c r="X29" s="220">
        <v>-1.1119702500000002</v>
      </c>
      <c r="Y29" s="219">
        <v>-1.0832351250000003</v>
      </c>
      <c r="Z29" s="220">
        <v>-1.0545000000000002</v>
      </c>
      <c r="AA29" s="219">
        <v>-1.0272500000000002</v>
      </c>
      <c r="AB29" s="221">
        <v>-1</v>
      </c>
      <c r="AC29" s="219">
        <v>-0.8</v>
      </c>
      <c r="AD29" s="221">
        <v>-0.6</v>
      </c>
      <c r="AE29" s="219">
        <v>-0.4</v>
      </c>
      <c r="AF29" s="219">
        <v>-0.2</v>
      </c>
      <c r="AG29" s="150">
        <v>0</v>
      </c>
      <c r="AH29" s="150">
        <v>0.2</v>
      </c>
      <c r="AI29" s="150">
        <v>0.4</v>
      </c>
      <c r="AJ29" s="150">
        <v>0.6</v>
      </c>
      <c r="AK29" s="150">
        <v>0.8</v>
      </c>
      <c r="AL29" s="150">
        <v>1</v>
      </c>
      <c r="AM29" s="150">
        <v>1.2</v>
      </c>
      <c r="AN29" s="150">
        <v>1.4</v>
      </c>
      <c r="AO29" s="150">
        <v>1.6</v>
      </c>
      <c r="AP29" s="150">
        <v>1.8</v>
      </c>
      <c r="AQ29" s="150">
        <v>2</v>
      </c>
      <c r="AR29" s="150">
        <v>2.2000000000000002</v>
      </c>
      <c r="AS29" s="150">
        <v>2.4</v>
      </c>
      <c r="AT29" s="150">
        <v>2.6</v>
      </c>
      <c r="AU29" s="150">
        <v>2.8</v>
      </c>
      <c r="AV29" s="150">
        <v>3</v>
      </c>
      <c r="AW29" s="150">
        <v>3.2</v>
      </c>
      <c r="AX29" s="150">
        <v>3.4</v>
      </c>
      <c r="AY29" s="150">
        <v>3.6</v>
      </c>
      <c r="AZ29" s="150">
        <v>3.8</v>
      </c>
      <c r="BA29" s="150">
        <v>4</v>
      </c>
      <c r="BB29" s="150">
        <v>4.2</v>
      </c>
      <c r="BC29" s="150">
        <v>4.4000000000000004</v>
      </c>
      <c r="BD29" s="150">
        <v>4.5999999999999996</v>
      </c>
      <c r="BE29" s="150">
        <v>4.8</v>
      </c>
      <c r="BF29" s="150">
        <v>5</v>
      </c>
      <c r="BG29" s="150">
        <v>5.2</v>
      </c>
      <c r="BH29" s="150">
        <v>5.4</v>
      </c>
      <c r="BI29" s="150">
        <v>5.6</v>
      </c>
      <c r="BJ29" s="150">
        <v>5.8</v>
      </c>
      <c r="BK29" s="150">
        <v>6</v>
      </c>
      <c r="BL29" s="150">
        <v>6.2</v>
      </c>
      <c r="BM29" s="150">
        <v>6.4</v>
      </c>
      <c r="BN29" s="150">
        <v>6.6</v>
      </c>
      <c r="BO29" s="150">
        <v>6.8</v>
      </c>
      <c r="BP29" s="150">
        <v>7</v>
      </c>
      <c r="BQ29" s="150">
        <v>7.2</v>
      </c>
      <c r="BR29" s="150">
        <v>7.4</v>
      </c>
      <c r="BS29" s="150">
        <v>7.6</v>
      </c>
      <c r="BT29" s="150">
        <v>7.8</v>
      </c>
      <c r="BU29" s="150">
        <v>8</v>
      </c>
      <c r="BV29" s="150">
        <v>8.1999999999999993</v>
      </c>
      <c r="BW29" s="150">
        <v>8.4</v>
      </c>
      <c r="BX29" s="150">
        <v>8.6</v>
      </c>
      <c r="BY29" s="150">
        <v>8.7999999999999936</v>
      </c>
      <c r="BZ29" s="150">
        <v>9</v>
      </c>
      <c r="CA29" s="150">
        <v>9.1999999999999922</v>
      </c>
      <c r="CB29" s="150">
        <v>9.4</v>
      </c>
      <c r="CC29" s="150">
        <v>9.5999999999999908</v>
      </c>
      <c r="CD29" s="150">
        <v>9.8000000000000007</v>
      </c>
      <c r="CE29" s="150">
        <v>9.9999999999999893</v>
      </c>
      <c r="CF29" s="150">
        <v>10.199999999999999</v>
      </c>
      <c r="CG29" s="150">
        <v>10.4</v>
      </c>
      <c r="CH29" s="150">
        <v>10.6</v>
      </c>
      <c r="CI29" s="150">
        <v>10.8</v>
      </c>
      <c r="CJ29" s="150">
        <v>11</v>
      </c>
      <c r="CK29" s="150">
        <v>11.2</v>
      </c>
      <c r="CL29" s="150">
        <v>11.4</v>
      </c>
      <c r="CM29" s="150">
        <v>11.6</v>
      </c>
      <c r="CN29" s="150">
        <v>11.8</v>
      </c>
      <c r="CO29" s="150">
        <v>12</v>
      </c>
      <c r="CP29" s="150">
        <v>12.2</v>
      </c>
      <c r="CQ29" s="150">
        <v>12.4</v>
      </c>
      <c r="CR29" s="150">
        <v>12.6</v>
      </c>
      <c r="CS29" s="150">
        <v>12.8</v>
      </c>
      <c r="CT29" s="150">
        <v>13</v>
      </c>
      <c r="CU29" s="150">
        <v>13.2</v>
      </c>
      <c r="CV29" s="150">
        <v>13.4</v>
      </c>
      <c r="CW29" s="150">
        <v>13.6</v>
      </c>
      <c r="CX29" s="150">
        <v>13.8</v>
      </c>
      <c r="CY29" s="150">
        <v>14</v>
      </c>
      <c r="CZ29" s="150">
        <v>14.2</v>
      </c>
      <c r="DA29" s="150">
        <v>14.4</v>
      </c>
      <c r="DB29" s="150">
        <v>14.6</v>
      </c>
      <c r="DC29" s="150">
        <v>14.8</v>
      </c>
      <c r="DD29" s="150">
        <v>15</v>
      </c>
      <c r="DE29" s="150">
        <v>15.2</v>
      </c>
      <c r="DF29" s="150">
        <v>15.4</v>
      </c>
      <c r="DG29" s="150">
        <v>15.6</v>
      </c>
      <c r="DH29" s="150">
        <v>15.8</v>
      </c>
      <c r="DI29" s="150">
        <v>16</v>
      </c>
      <c r="DJ29" s="150">
        <v>16.2</v>
      </c>
      <c r="DK29" s="150">
        <v>16.399999999999999</v>
      </c>
      <c r="DL29" s="150">
        <v>16.600000000000001</v>
      </c>
      <c r="DM29" s="150">
        <v>16.8</v>
      </c>
      <c r="DN29" s="150">
        <v>17</v>
      </c>
      <c r="DO29" s="150">
        <v>17.2</v>
      </c>
      <c r="DP29" s="150">
        <v>17.399999999999999</v>
      </c>
      <c r="DQ29" s="150">
        <v>17.600000000000001</v>
      </c>
      <c r="DR29" s="150">
        <v>17.8</v>
      </c>
      <c r="DS29" s="150">
        <v>18</v>
      </c>
      <c r="DT29" s="150">
        <v>18.2</v>
      </c>
      <c r="DU29" s="150">
        <v>18.399999999999999</v>
      </c>
      <c r="DV29" s="150">
        <v>18.600000000000001</v>
      </c>
      <c r="DW29" s="150">
        <v>18.8</v>
      </c>
      <c r="DX29" s="150">
        <v>19</v>
      </c>
      <c r="DY29" s="150">
        <v>19.2</v>
      </c>
      <c r="DZ29" s="150">
        <v>19.399999999999999</v>
      </c>
      <c r="EA29" s="150">
        <v>19.600000000000001</v>
      </c>
      <c r="EB29" s="150">
        <v>19.8</v>
      </c>
      <c r="EC29" s="150">
        <v>20</v>
      </c>
      <c r="ED29" s="150">
        <v>20.2</v>
      </c>
      <c r="EE29" s="150">
        <v>20.399999999999999</v>
      </c>
      <c r="EF29" s="150">
        <v>20.6</v>
      </c>
      <c r="EG29" s="150">
        <v>20.799999999999951</v>
      </c>
      <c r="EH29" s="150">
        <v>21</v>
      </c>
      <c r="EI29" s="150">
        <v>21.19999999999995</v>
      </c>
      <c r="EJ29" s="150">
        <v>21.4</v>
      </c>
      <c r="EK29" s="150">
        <v>21.599999999999948</v>
      </c>
    </row>
    <row r="30" spans="1:141" ht="13.2" x14ac:dyDescent="0.25">
      <c r="A30" s="149">
        <v>37561</v>
      </c>
      <c r="B30" s="219">
        <v>-1.7785964148750009</v>
      </c>
      <c r="C30" s="219">
        <v>-1.7482952255625008</v>
      </c>
      <c r="D30" s="219">
        <v>-1.7179940362500008</v>
      </c>
      <c r="E30" s="219">
        <v>-1.6876928469375008</v>
      </c>
      <c r="F30" s="219">
        <v>-1.6573916576250007</v>
      </c>
      <c r="G30" s="219">
        <v>-1.6270904683125007</v>
      </c>
      <c r="H30" s="219">
        <v>-1.5967892790000007</v>
      </c>
      <c r="I30" s="219">
        <v>-1.5664880896875006</v>
      </c>
      <c r="J30" s="219">
        <v>-1.5361869003750006</v>
      </c>
      <c r="K30" s="219">
        <v>-1.5058857110625006</v>
      </c>
      <c r="L30" s="219">
        <v>-1.4755845217500005</v>
      </c>
      <c r="M30" s="219">
        <v>-1.4452833324375005</v>
      </c>
      <c r="N30" s="219">
        <v>-1.4149821431250005</v>
      </c>
      <c r="O30" s="219">
        <v>-1.3846809538125004</v>
      </c>
      <c r="P30" s="219">
        <v>-1.3543797645000004</v>
      </c>
      <c r="Q30" s="219">
        <v>-1.3240785751875004</v>
      </c>
      <c r="R30" s="219">
        <v>-1.2937773858750004</v>
      </c>
      <c r="S30" s="219">
        <v>-1.2634761965625003</v>
      </c>
      <c r="T30" s="219">
        <v>-1.2331750072500003</v>
      </c>
      <c r="U30" s="219">
        <v>-1.2028738179375003</v>
      </c>
      <c r="V30" s="220">
        <v>-1.1725726286250002</v>
      </c>
      <c r="W30" s="219">
        <v>-1.1422714393125002</v>
      </c>
      <c r="X30" s="220">
        <v>-1.1119702500000002</v>
      </c>
      <c r="Y30" s="219">
        <v>-1.0832351250000003</v>
      </c>
      <c r="Z30" s="220">
        <v>-1.0545000000000002</v>
      </c>
      <c r="AA30" s="219">
        <v>-1.0272500000000002</v>
      </c>
      <c r="AB30" s="221">
        <v>-1</v>
      </c>
      <c r="AC30" s="219">
        <v>-0.8</v>
      </c>
      <c r="AD30" s="221">
        <v>-0.6</v>
      </c>
      <c r="AE30" s="219">
        <v>-0.4</v>
      </c>
      <c r="AF30" s="219">
        <v>-0.2</v>
      </c>
      <c r="AG30" s="150">
        <v>0</v>
      </c>
      <c r="AH30" s="150">
        <v>0.2</v>
      </c>
      <c r="AI30" s="150">
        <v>0.4</v>
      </c>
      <c r="AJ30" s="150">
        <v>0.6</v>
      </c>
      <c r="AK30" s="150">
        <v>0.8</v>
      </c>
      <c r="AL30" s="150">
        <v>1</v>
      </c>
      <c r="AM30" s="150">
        <v>1.2</v>
      </c>
      <c r="AN30" s="150">
        <v>1.4</v>
      </c>
      <c r="AO30" s="150">
        <v>1.6</v>
      </c>
      <c r="AP30" s="150">
        <v>1.8</v>
      </c>
      <c r="AQ30" s="150">
        <v>2</v>
      </c>
      <c r="AR30" s="150">
        <v>2.2000000000000002</v>
      </c>
      <c r="AS30" s="150">
        <v>2.4</v>
      </c>
      <c r="AT30" s="150">
        <v>2.6</v>
      </c>
      <c r="AU30" s="150">
        <v>2.8</v>
      </c>
      <c r="AV30" s="150">
        <v>3</v>
      </c>
      <c r="AW30" s="150">
        <v>3.2</v>
      </c>
      <c r="AX30" s="150">
        <v>3.4</v>
      </c>
      <c r="AY30" s="150">
        <v>3.6</v>
      </c>
      <c r="AZ30" s="150">
        <v>3.8</v>
      </c>
      <c r="BA30" s="150">
        <v>4</v>
      </c>
      <c r="BB30" s="150">
        <v>4.2</v>
      </c>
      <c r="BC30" s="150">
        <v>4.4000000000000004</v>
      </c>
      <c r="BD30" s="150">
        <v>4.5999999999999996</v>
      </c>
      <c r="BE30" s="150">
        <v>4.8</v>
      </c>
      <c r="BF30" s="150">
        <v>5</v>
      </c>
      <c r="BG30" s="150">
        <v>5.2</v>
      </c>
      <c r="BH30" s="150">
        <v>5.4</v>
      </c>
      <c r="BI30" s="150">
        <v>5.6</v>
      </c>
      <c r="BJ30" s="150">
        <v>5.8</v>
      </c>
      <c r="BK30" s="150">
        <v>6</v>
      </c>
      <c r="BL30" s="150">
        <v>6.2</v>
      </c>
      <c r="BM30" s="150">
        <v>6.4</v>
      </c>
      <c r="BN30" s="150">
        <v>6.6</v>
      </c>
      <c r="BO30" s="150">
        <v>6.8</v>
      </c>
      <c r="BP30" s="150">
        <v>7</v>
      </c>
      <c r="BQ30" s="150">
        <v>7.2</v>
      </c>
      <c r="BR30" s="150">
        <v>7.4</v>
      </c>
      <c r="BS30" s="150">
        <v>7.6</v>
      </c>
      <c r="BT30" s="150">
        <v>7.8</v>
      </c>
      <c r="BU30" s="150">
        <v>8</v>
      </c>
      <c r="BV30" s="150">
        <v>8.1999999999999993</v>
      </c>
      <c r="BW30" s="150">
        <v>8.4</v>
      </c>
      <c r="BX30" s="150">
        <v>8.6</v>
      </c>
      <c r="BY30" s="150">
        <v>8.7999999999999936</v>
      </c>
      <c r="BZ30" s="150">
        <v>9</v>
      </c>
      <c r="CA30" s="150">
        <v>9.1999999999999922</v>
      </c>
      <c r="CB30" s="150">
        <v>9.4</v>
      </c>
      <c r="CC30" s="150">
        <v>9.5999999999999908</v>
      </c>
      <c r="CD30" s="150">
        <v>9.8000000000000007</v>
      </c>
      <c r="CE30" s="150">
        <v>9.9999999999999893</v>
      </c>
      <c r="CF30" s="150">
        <v>10.199999999999999</v>
      </c>
      <c r="CG30" s="150">
        <v>10.4</v>
      </c>
      <c r="CH30" s="150">
        <v>10.6</v>
      </c>
      <c r="CI30" s="150">
        <v>10.8</v>
      </c>
      <c r="CJ30" s="150">
        <v>11</v>
      </c>
      <c r="CK30" s="150">
        <v>11.2</v>
      </c>
      <c r="CL30" s="150">
        <v>11.4</v>
      </c>
      <c r="CM30" s="150">
        <v>11.6</v>
      </c>
      <c r="CN30" s="150">
        <v>11.8</v>
      </c>
      <c r="CO30" s="150">
        <v>12</v>
      </c>
      <c r="CP30" s="150">
        <v>12.2</v>
      </c>
      <c r="CQ30" s="150">
        <v>12.4</v>
      </c>
      <c r="CR30" s="150">
        <v>12.6</v>
      </c>
      <c r="CS30" s="150">
        <v>12.8</v>
      </c>
      <c r="CT30" s="150">
        <v>13</v>
      </c>
      <c r="CU30" s="150">
        <v>13.2</v>
      </c>
      <c r="CV30" s="150">
        <v>13.4</v>
      </c>
      <c r="CW30" s="150">
        <v>13.6</v>
      </c>
      <c r="CX30" s="150">
        <v>13.8</v>
      </c>
      <c r="CY30" s="150">
        <v>14</v>
      </c>
      <c r="CZ30" s="150">
        <v>14.2</v>
      </c>
      <c r="DA30" s="150">
        <v>14.4</v>
      </c>
      <c r="DB30" s="150">
        <v>14.6</v>
      </c>
      <c r="DC30" s="150">
        <v>14.8</v>
      </c>
      <c r="DD30" s="150">
        <v>15</v>
      </c>
      <c r="DE30" s="150">
        <v>15.2</v>
      </c>
      <c r="DF30" s="150">
        <v>15.4</v>
      </c>
      <c r="DG30" s="150">
        <v>15.6</v>
      </c>
      <c r="DH30" s="150">
        <v>15.8</v>
      </c>
      <c r="DI30" s="150">
        <v>16</v>
      </c>
      <c r="DJ30" s="150">
        <v>16.2</v>
      </c>
      <c r="DK30" s="150">
        <v>16.399999999999999</v>
      </c>
      <c r="DL30" s="150">
        <v>16.600000000000001</v>
      </c>
      <c r="DM30" s="150">
        <v>16.8</v>
      </c>
      <c r="DN30" s="150">
        <v>17</v>
      </c>
      <c r="DO30" s="150">
        <v>17.2</v>
      </c>
      <c r="DP30" s="150">
        <v>17.399999999999999</v>
      </c>
      <c r="DQ30" s="150">
        <v>17.600000000000001</v>
      </c>
      <c r="DR30" s="150">
        <v>17.8</v>
      </c>
      <c r="DS30" s="150">
        <v>18</v>
      </c>
      <c r="DT30" s="150">
        <v>18.2</v>
      </c>
      <c r="DU30" s="150">
        <v>18.399999999999999</v>
      </c>
      <c r="DV30" s="150">
        <v>18.600000000000001</v>
      </c>
      <c r="DW30" s="150">
        <v>18.8</v>
      </c>
      <c r="DX30" s="150">
        <v>19</v>
      </c>
      <c r="DY30" s="150">
        <v>19.2</v>
      </c>
      <c r="DZ30" s="150">
        <v>19.399999999999999</v>
      </c>
      <c r="EA30" s="150">
        <v>19.600000000000001</v>
      </c>
      <c r="EB30" s="150">
        <v>19.8</v>
      </c>
      <c r="EC30" s="150">
        <v>20</v>
      </c>
      <c r="ED30" s="150">
        <v>20.2</v>
      </c>
      <c r="EE30" s="150">
        <v>20.399999999999999</v>
      </c>
      <c r="EF30" s="150">
        <v>20.6</v>
      </c>
      <c r="EG30" s="150">
        <v>20.799999999999951</v>
      </c>
      <c r="EH30" s="150">
        <v>21</v>
      </c>
      <c r="EI30" s="150">
        <v>21.19999999999995</v>
      </c>
      <c r="EJ30" s="150">
        <v>21.4</v>
      </c>
      <c r="EK30" s="150">
        <v>21.599999999999948</v>
      </c>
    </row>
    <row r="31" spans="1:141" ht="13.2" x14ac:dyDescent="0.25">
      <c r="A31" s="149">
        <v>37591</v>
      </c>
      <c r="B31" s="219">
        <v>-1.7785964148750009</v>
      </c>
      <c r="C31" s="219">
        <v>-1.7482952255625008</v>
      </c>
      <c r="D31" s="219">
        <v>-1.7179940362500008</v>
      </c>
      <c r="E31" s="219">
        <v>-1.6876928469375008</v>
      </c>
      <c r="F31" s="219">
        <v>-1.6573916576250007</v>
      </c>
      <c r="G31" s="219">
        <v>-1.6270904683125007</v>
      </c>
      <c r="H31" s="219">
        <v>-1.5967892790000007</v>
      </c>
      <c r="I31" s="219">
        <v>-1.5664880896875006</v>
      </c>
      <c r="J31" s="219">
        <v>-1.5361869003750006</v>
      </c>
      <c r="K31" s="219">
        <v>-1.5058857110625006</v>
      </c>
      <c r="L31" s="219">
        <v>-1.4755845217500005</v>
      </c>
      <c r="M31" s="219">
        <v>-1.4452833324375005</v>
      </c>
      <c r="N31" s="219">
        <v>-1.4149821431250005</v>
      </c>
      <c r="O31" s="219">
        <v>-1.3846809538125004</v>
      </c>
      <c r="P31" s="219">
        <v>-1.3543797645000004</v>
      </c>
      <c r="Q31" s="219">
        <v>-1.3240785751875004</v>
      </c>
      <c r="R31" s="219">
        <v>-1.2937773858750004</v>
      </c>
      <c r="S31" s="219">
        <v>-1.2634761965625003</v>
      </c>
      <c r="T31" s="219">
        <v>-1.2331750072500003</v>
      </c>
      <c r="U31" s="219">
        <v>-1.2028738179375003</v>
      </c>
      <c r="V31" s="220">
        <v>-1.1725726286250002</v>
      </c>
      <c r="W31" s="219">
        <v>-1.1422714393125002</v>
      </c>
      <c r="X31" s="220">
        <v>-1.1119702500000002</v>
      </c>
      <c r="Y31" s="219">
        <v>-1.0832351250000003</v>
      </c>
      <c r="Z31" s="220">
        <v>-1.0545000000000002</v>
      </c>
      <c r="AA31" s="219">
        <v>-1.0272500000000002</v>
      </c>
      <c r="AB31" s="221">
        <v>-1</v>
      </c>
      <c r="AC31" s="219">
        <v>-0.8</v>
      </c>
      <c r="AD31" s="221">
        <v>-0.6</v>
      </c>
      <c r="AE31" s="219">
        <v>-0.4</v>
      </c>
      <c r="AF31" s="219">
        <v>-0.2</v>
      </c>
      <c r="AG31" s="150">
        <v>0</v>
      </c>
      <c r="AH31" s="150">
        <v>0.2</v>
      </c>
      <c r="AI31" s="150">
        <v>0.4</v>
      </c>
      <c r="AJ31" s="150">
        <v>0.6</v>
      </c>
      <c r="AK31" s="150">
        <v>0.8</v>
      </c>
      <c r="AL31" s="150">
        <v>1</v>
      </c>
      <c r="AM31" s="150">
        <v>1.2</v>
      </c>
      <c r="AN31" s="150">
        <v>1.4</v>
      </c>
      <c r="AO31" s="150">
        <v>1.6</v>
      </c>
      <c r="AP31" s="150">
        <v>1.8</v>
      </c>
      <c r="AQ31" s="150">
        <v>2</v>
      </c>
      <c r="AR31" s="150">
        <v>2.2000000000000002</v>
      </c>
      <c r="AS31" s="150">
        <v>2.4</v>
      </c>
      <c r="AT31" s="150">
        <v>2.6</v>
      </c>
      <c r="AU31" s="150">
        <v>2.8</v>
      </c>
      <c r="AV31" s="150">
        <v>3</v>
      </c>
      <c r="AW31" s="150">
        <v>3.2</v>
      </c>
      <c r="AX31" s="150">
        <v>3.4</v>
      </c>
      <c r="AY31" s="150">
        <v>3.6</v>
      </c>
      <c r="AZ31" s="150">
        <v>3.8</v>
      </c>
      <c r="BA31" s="150">
        <v>4</v>
      </c>
      <c r="BB31" s="150">
        <v>4.2</v>
      </c>
      <c r="BC31" s="150">
        <v>4.4000000000000004</v>
      </c>
      <c r="BD31" s="150">
        <v>4.5999999999999996</v>
      </c>
      <c r="BE31" s="150">
        <v>4.8</v>
      </c>
      <c r="BF31" s="150">
        <v>5</v>
      </c>
      <c r="BG31" s="150">
        <v>5.2</v>
      </c>
      <c r="BH31" s="150">
        <v>5.4</v>
      </c>
      <c r="BI31" s="150">
        <v>5.6</v>
      </c>
      <c r="BJ31" s="150">
        <v>5.8</v>
      </c>
      <c r="BK31" s="150">
        <v>6</v>
      </c>
      <c r="BL31" s="150">
        <v>6.2</v>
      </c>
      <c r="BM31" s="150">
        <v>6.4</v>
      </c>
      <c r="BN31" s="150">
        <v>6.6</v>
      </c>
      <c r="BO31" s="150">
        <v>6.8</v>
      </c>
      <c r="BP31" s="150">
        <v>7</v>
      </c>
      <c r="BQ31" s="150">
        <v>7.2</v>
      </c>
      <c r="BR31" s="150">
        <v>7.4</v>
      </c>
      <c r="BS31" s="150">
        <v>7.6</v>
      </c>
      <c r="BT31" s="150">
        <v>7.8</v>
      </c>
      <c r="BU31" s="150">
        <v>8</v>
      </c>
      <c r="BV31" s="150">
        <v>8.1999999999999993</v>
      </c>
      <c r="BW31" s="150">
        <v>8.4</v>
      </c>
      <c r="BX31" s="150">
        <v>8.6</v>
      </c>
      <c r="BY31" s="150">
        <v>8.7999999999999936</v>
      </c>
      <c r="BZ31" s="150">
        <v>9</v>
      </c>
      <c r="CA31" s="150">
        <v>9.1999999999999922</v>
      </c>
      <c r="CB31" s="150">
        <v>9.4</v>
      </c>
      <c r="CC31" s="150">
        <v>9.5999999999999908</v>
      </c>
      <c r="CD31" s="150">
        <v>9.8000000000000007</v>
      </c>
      <c r="CE31" s="150">
        <v>9.9999999999999893</v>
      </c>
      <c r="CF31" s="150">
        <v>10.199999999999999</v>
      </c>
      <c r="CG31" s="150">
        <v>10.4</v>
      </c>
      <c r="CH31" s="150">
        <v>10.6</v>
      </c>
      <c r="CI31" s="150">
        <v>10.8</v>
      </c>
      <c r="CJ31" s="150">
        <v>11</v>
      </c>
      <c r="CK31" s="150">
        <v>11.2</v>
      </c>
      <c r="CL31" s="150">
        <v>11.4</v>
      </c>
      <c r="CM31" s="150">
        <v>11.6</v>
      </c>
      <c r="CN31" s="150">
        <v>11.8</v>
      </c>
      <c r="CO31" s="150">
        <v>12</v>
      </c>
      <c r="CP31" s="150">
        <v>12.2</v>
      </c>
      <c r="CQ31" s="150">
        <v>12.4</v>
      </c>
      <c r="CR31" s="150">
        <v>12.6</v>
      </c>
      <c r="CS31" s="150">
        <v>12.8</v>
      </c>
      <c r="CT31" s="150">
        <v>13</v>
      </c>
      <c r="CU31" s="150">
        <v>13.2</v>
      </c>
      <c r="CV31" s="150">
        <v>13.4</v>
      </c>
      <c r="CW31" s="150">
        <v>13.6</v>
      </c>
      <c r="CX31" s="150">
        <v>13.8</v>
      </c>
      <c r="CY31" s="150">
        <v>14</v>
      </c>
      <c r="CZ31" s="150">
        <v>14.2</v>
      </c>
      <c r="DA31" s="150">
        <v>14.4</v>
      </c>
      <c r="DB31" s="150">
        <v>14.6</v>
      </c>
      <c r="DC31" s="150">
        <v>14.8</v>
      </c>
      <c r="DD31" s="150">
        <v>15</v>
      </c>
      <c r="DE31" s="150">
        <v>15.2</v>
      </c>
      <c r="DF31" s="150">
        <v>15.4</v>
      </c>
      <c r="DG31" s="150">
        <v>15.6</v>
      </c>
      <c r="DH31" s="150">
        <v>15.8</v>
      </c>
      <c r="DI31" s="150">
        <v>16</v>
      </c>
      <c r="DJ31" s="150">
        <v>16.2</v>
      </c>
      <c r="DK31" s="150">
        <v>16.399999999999999</v>
      </c>
      <c r="DL31" s="150">
        <v>16.600000000000001</v>
      </c>
      <c r="DM31" s="150">
        <v>16.8</v>
      </c>
      <c r="DN31" s="150">
        <v>17</v>
      </c>
      <c r="DO31" s="150">
        <v>17.2</v>
      </c>
      <c r="DP31" s="150">
        <v>17.399999999999999</v>
      </c>
      <c r="DQ31" s="150">
        <v>17.600000000000001</v>
      </c>
      <c r="DR31" s="150">
        <v>17.8</v>
      </c>
      <c r="DS31" s="150">
        <v>18</v>
      </c>
      <c r="DT31" s="150">
        <v>18.2</v>
      </c>
      <c r="DU31" s="150">
        <v>18.399999999999999</v>
      </c>
      <c r="DV31" s="150">
        <v>18.600000000000001</v>
      </c>
      <c r="DW31" s="150">
        <v>18.8</v>
      </c>
      <c r="DX31" s="150">
        <v>19</v>
      </c>
      <c r="DY31" s="150">
        <v>19.2</v>
      </c>
      <c r="DZ31" s="150">
        <v>19.399999999999999</v>
      </c>
      <c r="EA31" s="150">
        <v>19.600000000000001</v>
      </c>
      <c r="EB31" s="150">
        <v>19.8</v>
      </c>
      <c r="EC31" s="150">
        <v>20</v>
      </c>
      <c r="ED31" s="150">
        <v>20.2</v>
      </c>
      <c r="EE31" s="150">
        <v>20.399999999999999</v>
      </c>
      <c r="EF31" s="150">
        <v>20.6</v>
      </c>
      <c r="EG31" s="150">
        <v>20.799999999999951</v>
      </c>
      <c r="EH31" s="150">
        <v>21</v>
      </c>
      <c r="EI31" s="150">
        <v>21.19999999999995</v>
      </c>
      <c r="EJ31" s="150">
        <v>21.4</v>
      </c>
      <c r="EK31" s="150">
        <v>21.599999999999948</v>
      </c>
    </row>
    <row r="32" spans="1:141" ht="13.2" x14ac:dyDescent="0.25">
      <c r="A32" s="149">
        <v>37622</v>
      </c>
      <c r="B32" s="219">
        <v>-1.7785964148750009</v>
      </c>
      <c r="C32" s="219">
        <v>-1.7482952255625008</v>
      </c>
      <c r="D32" s="219">
        <v>-1.7179940362500008</v>
      </c>
      <c r="E32" s="219">
        <v>-1.6876928469375008</v>
      </c>
      <c r="F32" s="219">
        <v>-1.6573916576250007</v>
      </c>
      <c r="G32" s="219">
        <v>-1.6270904683125007</v>
      </c>
      <c r="H32" s="219">
        <v>-1.5967892790000007</v>
      </c>
      <c r="I32" s="219">
        <v>-1.5664880896875006</v>
      </c>
      <c r="J32" s="219">
        <v>-1.5361869003750006</v>
      </c>
      <c r="K32" s="219">
        <v>-1.5058857110625006</v>
      </c>
      <c r="L32" s="219">
        <v>-1.4755845217500005</v>
      </c>
      <c r="M32" s="219">
        <v>-1.4452833324375005</v>
      </c>
      <c r="N32" s="219">
        <v>-1.4149821431250005</v>
      </c>
      <c r="O32" s="219">
        <v>-1.3846809538125004</v>
      </c>
      <c r="P32" s="219">
        <v>-1.3543797645000004</v>
      </c>
      <c r="Q32" s="219">
        <v>-1.3240785751875004</v>
      </c>
      <c r="R32" s="219">
        <v>-1.2937773858750004</v>
      </c>
      <c r="S32" s="219">
        <v>-1.2634761965625003</v>
      </c>
      <c r="T32" s="219">
        <v>-1.2331750072500003</v>
      </c>
      <c r="U32" s="219">
        <v>-1.2028738179375003</v>
      </c>
      <c r="V32" s="220">
        <v>-1.1725726286250002</v>
      </c>
      <c r="W32" s="219">
        <v>-1.1422714393125002</v>
      </c>
      <c r="X32" s="220">
        <v>-1.1119702500000002</v>
      </c>
      <c r="Y32" s="219">
        <v>-1.0832351250000003</v>
      </c>
      <c r="Z32" s="220">
        <v>-1.0545000000000002</v>
      </c>
      <c r="AA32" s="219">
        <v>-1.0272500000000002</v>
      </c>
      <c r="AB32" s="221">
        <v>-1</v>
      </c>
      <c r="AC32" s="219">
        <v>-0.8</v>
      </c>
      <c r="AD32" s="221">
        <v>-0.6</v>
      </c>
      <c r="AE32" s="219">
        <v>-0.4</v>
      </c>
      <c r="AF32" s="219">
        <v>-0.2</v>
      </c>
      <c r="AG32" s="150">
        <v>0</v>
      </c>
      <c r="AH32" s="150">
        <v>0.2</v>
      </c>
      <c r="AI32" s="150">
        <v>0.4</v>
      </c>
      <c r="AJ32" s="150">
        <v>0.6</v>
      </c>
      <c r="AK32" s="150">
        <v>0.8</v>
      </c>
      <c r="AL32" s="150">
        <v>1</v>
      </c>
      <c r="AM32" s="150">
        <v>1.2</v>
      </c>
      <c r="AN32" s="150">
        <v>1.4</v>
      </c>
      <c r="AO32" s="150">
        <v>1.6</v>
      </c>
      <c r="AP32" s="150">
        <v>1.8</v>
      </c>
      <c r="AQ32" s="150">
        <v>2</v>
      </c>
      <c r="AR32" s="150">
        <v>2.2000000000000002</v>
      </c>
      <c r="AS32" s="150">
        <v>2.4</v>
      </c>
      <c r="AT32" s="150">
        <v>2.6</v>
      </c>
      <c r="AU32" s="150">
        <v>2.8</v>
      </c>
      <c r="AV32" s="150">
        <v>3</v>
      </c>
      <c r="AW32" s="150">
        <v>3.2</v>
      </c>
      <c r="AX32" s="150">
        <v>3.4</v>
      </c>
      <c r="AY32" s="150">
        <v>3.6</v>
      </c>
      <c r="AZ32" s="150">
        <v>3.8</v>
      </c>
      <c r="BA32" s="150">
        <v>4</v>
      </c>
      <c r="BB32" s="150">
        <v>4.2</v>
      </c>
      <c r="BC32" s="150">
        <v>4.4000000000000004</v>
      </c>
      <c r="BD32" s="150">
        <v>4.5999999999999996</v>
      </c>
      <c r="BE32" s="150">
        <v>4.8</v>
      </c>
      <c r="BF32" s="150">
        <v>5</v>
      </c>
      <c r="BG32" s="150">
        <v>5.2</v>
      </c>
      <c r="BH32" s="150">
        <v>5.4</v>
      </c>
      <c r="BI32" s="150">
        <v>5.6</v>
      </c>
      <c r="BJ32" s="150">
        <v>5.8</v>
      </c>
      <c r="BK32" s="150">
        <v>6</v>
      </c>
      <c r="BL32" s="150">
        <v>6.2</v>
      </c>
      <c r="BM32" s="150">
        <v>6.4</v>
      </c>
      <c r="BN32" s="150">
        <v>6.6</v>
      </c>
      <c r="BO32" s="150">
        <v>6.8</v>
      </c>
      <c r="BP32" s="150">
        <v>7</v>
      </c>
      <c r="BQ32" s="150">
        <v>7.2</v>
      </c>
      <c r="BR32" s="150">
        <v>7.4</v>
      </c>
      <c r="BS32" s="150">
        <v>7.6</v>
      </c>
      <c r="BT32" s="150">
        <v>7.8</v>
      </c>
      <c r="BU32" s="150">
        <v>8</v>
      </c>
      <c r="BV32" s="150">
        <v>8.1999999999999993</v>
      </c>
      <c r="BW32" s="150">
        <v>8.4</v>
      </c>
      <c r="BX32" s="150">
        <v>8.6</v>
      </c>
      <c r="BY32" s="150">
        <v>8.7999999999999936</v>
      </c>
      <c r="BZ32" s="150">
        <v>9</v>
      </c>
      <c r="CA32" s="150">
        <v>9.1999999999999922</v>
      </c>
      <c r="CB32" s="150">
        <v>9.4</v>
      </c>
      <c r="CC32" s="150">
        <v>9.5999999999999908</v>
      </c>
      <c r="CD32" s="150">
        <v>9.8000000000000007</v>
      </c>
      <c r="CE32" s="150">
        <v>9.9999999999999893</v>
      </c>
      <c r="CF32" s="150">
        <v>10.199999999999999</v>
      </c>
      <c r="CG32" s="150">
        <v>10.4</v>
      </c>
      <c r="CH32" s="150">
        <v>10.6</v>
      </c>
      <c r="CI32" s="150">
        <v>10.8</v>
      </c>
      <c r="CJ32" s="150">
        <v>11</v>
      </c>
      <c r="CK32" s="150">
        <v>11.2</v>
      </c>
      <c r="CL32" s="150">
        <v>11.4</v>
      </c>
      <c r="CM32" s="150">
        <v>11.6</v>
      </c>
      <c r="CN32" s="150">
        <v>11.8</v>
      </c>
      <c r="CO32" s="150">
        <v>12</v>
      </c>
      <c r="CP32" s="150">
        <v>12.2</v>
      </c>
      <c r="CQ32" s="150">
        <v>12.4</v>
      </c>
      <c r="CR32" s="150">
        <v>12.6</v>
      </c>
      <c r="CS32" s="150">
        <v>12.8</v>
      </c>
      <c r="CT32" s="150">
        <v>13</v>
      </c>
      <c r="CU32" s="150">
        <v>13.2</v>
      </c>
      <c r="CV32" s="150">
        <v>13.4</v>
      </c>
      <c r="CW32" s="150">
        <v>13.6</v>
      </c>
      <c r="CX32" s="150">
        <v>13.8</v>
      </c>
      <c r="CY32" s="150">
        <v>14</v>
      </c>
      <c r="CZ32" s="150">
        <v>14.2</v>
      </c>
      <c r="DA32" s="150">
        <v>14.4</v>
      </c>
      <c r="DB32" s="150">
        <v>14.6</v>
      </c>
      <c r="DC32" s="150">
        <v>14.8</v>
      </c>
      <c r="DD32" s="150">
        <v>15</v>
      </c>
      <c r="DE32" s="150">
        <v>15.2</v>
      </c>
      <c r="DF32" s="150">
        <v>15.4</v>
      </c>
      <c r="DG32" s="150">
        <v>15.6</v>
      </c>
      <c r="DH32" s="150">
        <v>15.8</v>
      </c>
      <c r="DI32" s="150">
        <v>16</v>
      </c>
      <c r="DJ32" s="150">
        <v>16.2</v>
      </c>
      <c r="DK32" s="150">
        <v>16.399999999999999</v>
      </c>
      <c r="DL32" s="150">
        <v>16.600000000000001</v>
      </c>
      <c r="DM32" s="150">
        <v>16.8</v>
      </c>
      <c r="DN32" s="150">
        <v>17</v>
      </c>
      <c r="DO32" s="150">
        <v>17.2</v>
      </c>
      <c r="DP32" s="150">
        <v>17.399999999999999</v>
      </c>
      <c r="DQ32" s="150">
        <v>17.600000000000001</v>
      </c>
      <c r="DR32" s="150">
        <v>17.8</v>
      </c>
      <c r="DS32" s="150">
        <v>18</v>
      </c>
      <c r="DT32" s="150">
        <v>18.2</v>
      </c>
      <c r="DU32" s="150">
        <v>18.399999999999999</v>
      </c>
      <c r="DV32" s="150">
        <v>18.600000000000001</v>
      </c>
      <c r="DW32" s="150">
        <v>18.8</v>
      </c>
      <c r="DX32" s="150">
        <v>19</v>
      </c>
      <c r="DY32" s="150">
        <v>19.2</v>
      </c>
      <c r="DZ32" s="150">
        <v>19.399999999999999</v>
      </c>
      <c r="EA32" s="150">
        <v>19.600000000000001</v>
      </c>
      <c r="EB32" s="150">
        <v>19.8</v>
      </c>
      <c r="EC32" s="150">
        <v>20</v>
      </c>
      <c r="ED32" s="150">
        <v>20.2</v>
      </c>
      <c r="EE32" s="150">
        <v>20.399999999999999</v>
      </c>
      <c r="EF32" s="150">
        <v>20.6</v>
      </c>
      <c r="EG32" s="150">
        <v>20.799999999999951</v>
      </c>
      <c r="EH32" s="150">
        <v>21</v>
      </c>
      <c r="EI32" s="150">
        <v>21.19999999999995</v>
      </c>
      <c r="EJ32" s="150">
        <v>21.4</v>
      </c>
      <c r="EK32" s="150">
        <v>21.599999999999948</v>
      </c>
    </row>
    <row r="33" spans="1:141" ht="13.2" x14ac:dyDescent="0.25">
      <c r="A33" s="149">
        <v>37653</v>
      </c>
      <c r="B33" s="219">
        <v>-1.7785964148750009</v>
      </c>
      <c r="C33" s="219">
        <v>-1.7482952255625008</v>
      </c>
      <c r="D33" s="219">
        <v>-1.7179940362500008</v>
      </c>
      <c r="E33" s="219">
        <v>-1.6876928469375008</v>
      </c>
      <c r="F33" s="219">
        <v>-1.6573916576250007</v>
      </c>
      <c r="G33" s="219">
        <v>-1.6270904683125007</v>
      </c>
      <c r="H33" s="219">
        <v>-1.5967892790000007</v>
      </c>
      <c r="I33" s="219">
        <v>-1.5664880896875006</v>
      </c>
      <c r="J33" s="219">
        <v>-1.5361869003750006</v>
      </c>
      <c r="K33" s="219">
        <v>-1.5058857110625006</v>
      </c>
      <c r="L33" s="219">
        <v>-1.4755845217500005</v>
      </c>
      <c r="M33" s="219">
        <v>-1.4452833324375005</v>
      </c>
      <c r="N33" s="219">
        <v>-1.4149821431250005</v>
      </c>
      <c r="O33" s="219">
        <v>-1.3846809538125004</v>
      </c>
      <c r="P33" s="219">
        <v>-1.3543797645000004</v>
      </c>
      <c r="Q33" s="219">
        <v>-1.3240785751875004</v>
      </c>
      <c r="R33" s="219">
        <v>-1.2937773858750004</v>
      </c>
      <c r="S33" s="219">
        <v>-1.2634761965625003</v>
      </c>
      <c r="T33" s="219">
        <v>-1.2331750072500003</v>
      </c>
      <c r="U33" s="219">
        <v>-1.2028738179375003</v>
      </c>
      <c r="V33" s="220">
        <v>-1.1725726286250002</v>
      </c>
      <c r="W33" s="219">
        <v>-1.1422714393125002</v>
      </c>
      <c r="X33" s="220">
        <v>-1.1119702500000002</v>
      </c>
      <c r="Y33" s="219">
        <v>-1.0832351250000003</v>
      </c>
      <c r="Z33" s="220">
        <v>-1.0545000000000002</v>
      </c>
      <c r="AA33" s="219">
        <v>-1.0272500000000002</v>
      </c>
      <c r="AB33" s="221">
        <v>-1</v>
      </c>
      <c r="AC33" s="219">
        <v>-0.8</v>
      </c>
      <c r="AD33" s="221">
        <v>-0.6</v>
      </c>
      <c r="AE33" s="219">
        <v>-0.4</v>
      </c>
      <c r="AF33" s="219">
        <v>-0.2</v>
      </c>
      <c r="AG33" s="150">
        <v>0</v>
      </c>
      <c r="AH33" s="150">
        <v>0.2</v>
      </c>
      <c r="AI33" s="150">
        <v>0.4</v>
      </c>
      <c r="AJ33" s="150">
        <v>0.6</v>
      </c>
      <c r="AK33" s="150">
        <v>0.8</v>
      </c>
      <c r="AL33" s="150">
        <v>1</v>
      </c>
      <c r="AM33" s="150">
        <v>1.2</v>
      </c>
      <c r="AN33" s="150">
        <v>1.4</v>
      </c>
      <c r="AO33" s="150">
        <v>1.6</v>
      </c>
      <c r="AP33" s="150">
        <v>1.8</v>
      </c>
      <c r="AQ33" s="150">
        <v>2</v>
      </c>
      <c r="AR33" s="150">
        <v>2.2000000000000002</v>
      </c>
      <c r="AS33" s="150">
        <v>2.4</v>
      </c>
      <c r="AT33" s="150">
        <v>2.6</v>
      </c>
      <c r="AU33" s="150">
        <v>2.8</v>
      </c>
      <c r="AV33" s="150">
        <v>3</v>
      </c>
      <c r="AW33" s="150">
        <v>3.2</v>
      </c>
      <c r="AX33" s="150">
        <v>3.4</v>
      </c>
      <c r="AY33" s="150">
        <v>3.6</v>
      </c>
      <c r="AZ33" s="150">
        <v>3.8</v>
      </c>
      <c r="BA33" s="150">
        <v>4</v>
      </c>
      <c r="BB33" s="150">
        <v>4.2</v>
      </c>
      <c r="BC33" s="150">
        <v>4.4000000000000004</v>
      </c>
      <c r="BD33" s="150">
        <v>4.5999999999999996</v>
      </c>
      <c r="BE33" s="150">
        <v>4.8</v>
      </c>
      <c r="BF33" s="150">
        <v>5</v>
      </c>
      <c r="BG33" s="150">
        <v>5.2</v>
      </c>
      <c r="BH33" s="150">
        <v>5.4</v>
      </c>
      <c r="BI33" s="150">
        <v>5.6</v>
      </c>
      <c r="BJ33" s="150">
        <v>5.8</v>
      </c>
      <c r="BK33" s="150">
        <v>6</v>
      </c>
      <c r="BL33" s="150">
        <v>6.2</v>
      </c>
      <c r="BM33" s="150">
        <v>6.4</v>
      </c>
      <c r="BN33" s="150">
        <v>6.6</v>
      </c>
      <c r="BO33" s="150">
        <v>6.8</v>
      </c>
      <c r="BP33" s="150">
        <v>7</v>
      </c>
      <c r="BQ33" s="150">
        <v>7.2</v>
      </c>
      <c r="BR33" s="150">
        <v>7.4</v>
      </c>
      <c r="BS33" s="150">
        <v>7.6</v>
      </c>
      <c r="BT33" s="150">
        <v>7.8</v>
      </c>
      <c r="BU33" s="150">
        <v>8</v>
      </c>
      <c r="BV33" s="150">
        <v>8.1999999999999993</v>
      </c>
      <c r="BW33" s="150">
        <v>8.4</v>
      </c>
      <c r="BX33" s="150">
        <v>8.6</v>
      </c>
      <c r="BY33" s="150">
        <v>8.7999999999999936</v>
      </c>
      <c r="BZ33" s="150">
        <v>9</v>
      </c>
      <c r="CA33" s="150">
        <v>9.1999999999999922</v>
      </c>
      <c r="CB33" s="150">
        <v>9.4</v>
      </c>
      <c r="CC33" s="150">
        <v>9.5999999999999908</v>
      </c>
      <c r="CD33" s="150">
        <v>9.8000000000000007</v>
      </c>
      <c r="CE33" s="150">
        <v>9.9999999999999893</v>
      </c>
      <c r="CF33" s="150">
        <v>10.199999999999999</v>
      </c>
      <c r="CG33" s="150">
        <v>10.4</v>
      </c>
      <c r="CH33" s="150">
        <v>10.6</v>
      </c>
      <c r="CI33" s="150">
        <v>10.8</v>
      </c>
      <c r="CJ33" s="150">
        <v>11</v>
      </c>
      <c r="CK33" s="150">
        <v>11.2</v>
      </c>
      <c r="CL33" s="150">
        <v>11.4</v>
      </c>
      <c r="CM33" s="150">
        <v>11.6</v>
      </c>
      <c r="CN33" s="150">
        <v>11.8</v>
      </c>
      <c r="CO33" s="150">
        <v>12</v>
      </c>
      <c r="CP33" s="150">
        <v>12.2</v>
      </c>
      <c r="CQ33" s="150">
        <v>12.4</v>
      </c>
      <c r="CR33" s="150">
        <v>12.6</v>
      </c>
      <c r="CS33" s="150">
        <v>12.8</v>
      </c>
      <c r="CT33" s="150">
        <v>13</v>
      </c>
      <c r="CU33" s="150">
        <v>13.2</v>
      </c>
      <c r="CV33" s="150">
        <v>13.4</v>
      </c>
      <c r="CW33" s="150">
        <v>13.6</v>
      </c>
      <c r="CX33" s="150">
        <v>13.8</v>
      </c>
      <c r="CY33" s="150">
        <v>14</v>
      </c>
      <c r="CZ33" s="150">
        <v>14.2</v>
      </c>
      <c r="DA33" s="150">
        <v>14.4</v>
      </c>
      <c r="DB33" s="150">
        <v>14.6</v>
      </c>
      <c r="DC33" s="150">
        <v>14.8</v>
      </c>
      <c r="DD33" s="150">
        <v>15</v>
      </c>
      <c r="DE33" s="150">
        <v>15.2</v>
      </c>
      <c r="DF33" s="150">
        <v>15.4</v>
      </c>
      <c r="DG33" s="150">
        <v>15.6</v>
      </c>
      <c r="DH33" s="150">
        <v>15.8</v>
      </c>
      <c r="DI33" s="150">
        <v>16</v>
      </c>
      <c r="DJ33" s="150">
        <v>16.2</v>
      </c>
      <c r="DK33" s="150">
        <v>16.399999999999999</v>
      </c>
      <c r="DL33" s="150">
        <v>16.600000000000001</v>
      </c>
      <c r="DM33" s="150">
        <v>16.8</v>
      </c>
      <c r="DN33" s="150">
        <v>17</v>
      </c>
      <c r="DO33" s="150">
        <v>17.2</v>
      </c>
      <c r="DP33" s="150">
        <v>17.399999999999999</v>
      </c>
      <c r="DQ33" s="150">
        <v>17.600000000000001</v>
      </c>
      <c r="DR33" s="150">
        <v>17.8</v>
      </c>
      <c r="DS33" s="150">
        <v>18</v>
      </c>
      <c r="DT33" s="150">
        <v>18.2</v>
      </c>
      <c r="DU33" s="150">
        <v>18.399999999999999</v>
      </c>
      <c r="DV33" s="150">
        <v>18.600000000000001</v>
      </c>
      <c r="DW33" s="150">
        <v>18.8</v>
      </c>
      <c r="DX33" s="150">
        <v>19</v>
      </c>
      <c r="DY33" s="150">
        <v>19.2</v>
      </c>
      <c r="DZ33" s="150">
        <v>19.399999999999999</v>
      </c>
      <c r="EA33" s="150">
        <v>19.600000000000001</v>
      </c>
      <c r="EB33" s="150">
        <v>19.8</v>
      </c>
      <c r="EC33" s="150">
        <v>20</v>
      </c>
      <c r="ED33" s="150">
        <v>20.2</v>
      </c>
      <c r="EE33" s="150">
        <v>20.399999999999999</v>
      </c>
      <c r="EF33" s="150">
        <v>20.6</v>
      </c>
      <c r="EG33" s="150">
        <v>20.799999999999951</v>
      </c>
      <c r="EH33" s="150">
        <v>21</v>
      </c>
      <c r="EI33" s="150">
        <v>21.19999999999995</v>
      </c>
      <c r="EJ33" s="150">
        <v>21.4</v>
      </c>
      <c r="EK33" s="150">
        <v>21.599999999999948</v>
      </c>
    </row>
    <row r="34" spans="1:141" ht="13.2" x14ac:dyDescent="0.25">
      <c r="A34" s="149">
        <v>37681</v>
      </c>
      <c r="B34" s="219">
        <v>-1.7785964148750009</v>
      </c>
      <c r="C34" s="219">
        <v>-1.7482952255625008</v>
      </c>
      <c r="D34" s="219">
        <v>-1.7179940362500008</v>
      </c>
      <c r="E34" s="219">
        <v>-1.6876928469375008</v>
      </c>
      <c r="F34" s="219">
        <v>-1.6573916576250007</v>
      </c>
      <c r="G34" s="219">
        <v>-1.6270904683125007</v>
      </c>
      <c r="H34" s="219">
        <v>-1.5967892790000007</v>
      </c>
      <c r="I34" s="219">
        <v>-1.5664880896875006</v>
      </c>
      <c r="J34" s="219">
        <v>-1.5361869003750006</v>
      </c>
      <c r="K34" s="219">
        <v>-1.5058857110625006</v>
      </c>
      <c r="L34" s="219">
        <v>-1.4755845217500005</v>
      </c>
      <c r="M34" s="219">
        <v>-1.4452833324375005</v>
      </c>
      <c r="N34" s="219">
        <v>-1.4149821431250005</v>
      </c>
      <c r="O34" s="219">
        <v>-1.3846809538125004</v>
      </c>
      <c r="P34" s="219">
        <v>-1.3543797645000004</v>
      </c>
      <c r="Q34" s="219">
        <v>-1.3240785751875004</v>
      </c>
      <c r="R34" s="219">
        <v>-1.2937773858750004</v>
      </c>
      <c r="S34" s="219">
        <v>-1.2634761965625003</v>
      </c>
      <c r="T34" s="219">
        <v>-1.2331750072500003</v>
      </c>
      <c r="U34" s="219">
        <v>-1.2028738179375003</v>
      </c>
      <c r="V34" s="220">
        <v>-1.1725726286250002</v>
      </c>
      <c r="W34" s="219">
        <v>-1.1422714393125002</v>
      </c>
      <c r="X34" s="220">
        <v>-1.1119702500000002</v>
      </c>
      <c r="Y34" s="219">
        <v>-1.0832351250000003</v>
      </c>
      <c r="Z34" s="220">
        <v>-1.0545000000000002</v>
      </c>
      <c r="AA34" s="219">
        <v>-1.0272500000000002</v>
      </c>
      <c r="AB34" s="221">
        <v>-1</v>
      </c>
      <c r="AC34" s="219">
        <v>-0.8</v>
      </c>
      <c r="AD34" s="221">
        <v>-0.6</v>
      </c>
      <c r="AE34" s="219">
        <v>-0.4</v>
      </c>
      <c r="AF34" s="219">
        <v>-0.2</v>
      </c>
      <c r="AG34" s="150">
        <v>0</v>
      </c>
      <c r="AH34" s="150">
        <v>0.2</v>
      </c>
      <c r="AI34" s="150">
        <v>0.4</v>
      </c>
      <c r="AJ34" s="150">
        <v>0.6</v>
      </c>
      <c r="AK34" s="150">
        <v>0.8</v>
      </c>
      <c r="AL34" s="150">
        <v>1</v>
      </c>
      <c r="AM34" s="150">
        <v>1.2</v>
      </c>
      <c r="AN34" s="150">
        <v>1.4</v>
      </c>
      <c r="AO34" s="150">
        <v>1.6</v>
      </c>
      <c r="AP34" s="150">
        <v>1.8</v>
      </c>
      <c r="AQ34" s="150">
        <v>2</v>
      </c>
      <c r="AR34" s="150">
        <v>2.2000000000000002</v>
      </c>
      <c r="AS34" s="150">
        <v>2.4</v>
      </c>
      <c r="AT34" s="150">
        <v>2.6</v>
      </c>
      <c r="AU34" s="150">
        <v>2.8</v>
      </c>
      <c r="AV34" s="150">
        <v>3</v>
      </c>
      <c r="AW34" s="150">
        <v>3.2</v>
      </c>
      <c r="AX34" s="150">
        <v>3.4</v>
      </c>
      <c r="AY34" s="150">
        <v>3.6</v>
      </c>
      <c r="AZ34" s="150">
        <v>3.8</v>
      </c>
      <c r="BA34" s="150">
        <v>4</v>
      </c>
      <c r="BB34" s="150">
        <v>4.2</v>
      </c>
      <c r="BC34" s="150">
        <v>4.4000000000000004</v>
      </c>
      <c r="BD34" s="150">
        <v>4.5999999999999996</v>
      </c>
      <c r="BE34" s="150">
        <v>4.8</v>
      </c>
      <c r="BF34" s="150">
        <v>5</v>
      </c>
      <c r="BG34" s="150">
        <v>5.2</v>
      </c>
      <c r="BH34" s="150">
        <v>5.4</v>
      </c>
      <c r="BI34" s="150">
        <v>5.6</v>
      </c>
      <c r="BJ34" s="150">
        <v>5.8</v>
      </c>
      <c r="BK34" s="150">
        <v>6</v>
      </c>
      <c r="BL34" s="150">
        <v>6.2</v>
      </c>
      <c r="BM34" s="150">
        <v>6.4</v>
      </c>
      <c r="BN34" s="150">
        <v>6.6</v>
      </c>
      <c r="BO34" s="150">
        <v>6.8</v>
      </c>
      <c r="BP34" s="150">
        <v>7</v>
      </c>
      <c r="BQ34" s="150">
        <v>7.2</v>
      </c>
      <c r="BR34" s="150">
        <v>7.4</v>
      </c>
      <c r="BS34" s="150">
        <v>7.6</v>
      </c>
      <c r="BT34" s="150">
        <v>7.8</v>
      </c>
      <c r="BU34" s="150">
        <v>8</v>
      </c>
      <c r="BV34" s="150">
        <v>8.1999999999999993</v>
      </c>
      <c r="BW34" s="150">
        <v>8.4</v>
      </c>
      <c r="BX34" s="150">
        <v>8.6</v>
      </c>
      <c r="BY34" s="150">
        <v>8.7999999999999936</v>
      </c>
      <c r="BZ34" s="150">
        <v>9</v>
      </c>
      <c r="CA34" s="150">
        <v>9.1999999999999922</v>
      </c>
      <c r="CB34" s="150">
        <v>9.4</v>
      </c>
      <c r="CC34" s="150">
        <v>9.5999999999999908</v>
      </c>
      <c r="CD34" s="150">
        <v>9.8000000000000007</v>
      </c>
      <c r="CE34" s="150">
        <v>9.9999999999999893</v>
      </c>
      <c r="CF34" s="150">
        <v>10.199999999999999</v>
      </c>
      <c r="CG34" s="150">
        <v>10.4</v>
      </c>
      <c r="CH34" s="150">
        <v>10.6</v>
      </c>
      <c r="CI34" s="150">
        <v>10.8</v>
      </c>
      <c r="CJ34" s="150">
        <v>11</v>
      </c>
      <c r="CK34" s="150">
        <v>11.2</v>
      </c>
      <c r="CL34" s="150">
        <v>11.4</v>
      </c>
      <c r="CM34" s="150">
        <v>11.6</v>
      </c>
      <c r="CN34" s="150">
        <v>11.8</v>
      </c>
      <c r="CO34" s="150">
        <v>12</v>
      </c>
      <c r="CP34" s="150">
        <v>12.2</v>
      </c>
      <c r="CQ34" s="150">
        <v>12.4</v>
      </c>
      <c r="CR34" s="150">
        <v>12.6</v>
      </c>
      <c r="CS34" s="150">
        <v>12.8</v>
      </c>
      <c r="CT34" s="150">
        <v>13</v>
      </c>
      <c r="CU34" s="150">
        <v>13.2</v>
      </c>
      <c r="CV34" s="150">
        <v>13.4</v>
      </c>
      <c r="CW34" s="150">
        <v>13.6</v>
      </c>
      <c r="CX34" s="150">
        <v>13.8</v>
      </c>
      <c r="CY34" s="150">
        <v>14</v>
      </c>
      <c r="CZ34" s="150">
        <v>14.2</v>
      </c>
      <c r="DA34" s="150">
        <v>14.4</v>
      </c>
      <c r="DB34" s="150">
        <v>14.6</v>
      </c>
      <c r="DC34" s="150">
        <v>14.8</v>
      </c>
      <c r="DD34" s="150">
        <v>15</v>
      </c>
      <c r="DE34" s="150">
        <v>15.2</v>
      </c>
      <c r="DF34" s="150">
        <v>15.4</v>
      </c>
      <c r="DG34" s="150">
        <v>15.6</v>
      </c>
      <c r="DH34" s="150">
        <v>15.8</v>
      </c>
      <c r="DI34" s="150">
        <v>16</v>
      </c>
      <c r="DJ34" s="150">
        <v>16.2</v>
      </c>
      <c r="DK34" s="150">
        <v>16.399999999999999</v>
      </c>
      <c r="DL34" s="150">
        <v>16.600000000000001</v>
      </c>
      <c r="DM34" s="150">
        <v>16.8</v>
      </c>
      <c r="DN34" s="150">
        <v>17</v>
      </c>
      <c r="DO34" s="150">
        <v>17.2</v>
      </c>
      <c r="DP34" s="150">
        <v>17.399999999999999</v>
      </c>
      <c r="DQ34" s="150">
        <v>17.600000000000001</v>
      </c>
      <c r="DR34" s="150">
        <v>17.8</v>
      </c>
      <c r="DS34" s="150">
        <v>18</v>
      </c>
      <c r="DT34" s="150">
        <v>18.2</v>
      </c>
      <c r="DU34" s="150">
        <v>18.399999999999999</v>
      </c>
      <c r="DV34" s="150">
        <v>18.600000000000001</v>
      </c>
      <c r="DW34" s="150">
        <v>18.8</v>
      </c>
      <c r="DX34" s="150">
        <v>19</v>
      </c>
      <c r="DY34" s="150">
        <v>19.2</v>
      </c>
      <c r="DZ34" s="150">
        <v>19.399999999999999</v>
      </c>
      <c r="EA34" s="150">
        <v>19.600000000000001</v>
      </c>
      <c r="EB34" s="150">
        <v>19.8</v>
      </c>
      <c r="EC34" s="150">
        <v>20</v>
      </c>
      <c r="ED34" s="150">
        <v>20.2</v>
      </c>
      <c r="EE34" s="150">
        <v>20.399999999999999</v>
      </c>
      <c r="EF34" s="150">
        <v>20.6</v>
      </c>
      <c r="EG34" s="150">
        <v>20.799999999999951</v>
      </c>
      <c r="EH34" s="150">
        <v>21</v>
      </c>
      <c r="EI34" s="150">
        <v>21.19999999999995</v>
      </c>
      <c r="EJ34" s="150">
        <v>21.4</v>
      </c>
      <c r="EK34" s="150">
        <v>21.599999999999948</v>
      </c>
    </row>
    <row r="35" spans="1:141" ht="13.2" x14ac:dyDescent="0.25">
      <c r="A35" s="149">
        <v>37712</v>
      </c>
      <c r="B35" s="219">
        <v>-1.7785964148750009</v>
      </c>
      <c r="C35" s="219">
        <v>-1.7482952255625008</v>
      </c>
      <c r="D35" s="219">
        <v>-1.7179940362500008</v>
      </c>
      <c r="E35" s="219">
        <v>-1.6876928469375008</v>
      </c>
      <c r="F35" s="219">
        <v>-1.6573916576250007</v>
      </c>
      <c r="G35" s="219">
        <v>-1.6270904683125007</v>
      </c>
      <c r="H35" s="219">
        <v>-1.5967892790000007</v>
      </c>
      <c r="I35" s="219">
        <v>-1.5664880896875006</v>
      </c>
      <c r="J35" s="219">
        <v>-1.5361869003750006</v>
      </c>
      <c r="K35" s="219">
        <v>-1.5058857110625006</v>
      </c>
      <c r="L35" s="219">
        <v>-1.4755845217500005</v>
      </c>
      <c r="M35" s="219">
        <v>-1.4452833324375005</v>
      </c>
      <c r="N35" s="219">
        <v>-1.4149821431250005</v>
      </c>
      <c r="O35" s="219">
        <v>-1.3846809538125004</v>
      </c>
      <c r="P35" s="219">
        <v>-1.3543797645000004</v>
      </c>
      <c r="Q35" s="219">
        <v>-1.3240785751875004</v>
      </c>
      <c r="R35" s="219">
        <v>-1.2937773858750004</v>
      </c>
      <c r="S35" s="219">
        <v>-1.2634761965625003</v>
      </c>
      <c r="T35" s="219">
        <v>-1.2331750072500003</v>
      </c>
      <c r="U35" s="219">
        <v>-1.2028738179375003</v>
      </c>
      <c r="V35" s="220">
        <v>-1.1725726286250002</v>
      </c>
      <c r="W35" s="219">
        <v>-1.1422714393125002</v>
      </c>
      <c r="X35" s="220">
        <v>-1.1119702500000002</v>
      </c>
      <c r="Y35" s="219">
        <v>-1.0832351250000003</v>
      </c>
      <c r="Z35" s="220">
        <v>-1.0545000000000002</v>
      </c>
      <c r="AA35" s="219">
        <v>-1.0272500000000002</v>
      </c>
      <c r="AB35" s="221">
        <v>-1</v>
      </c>
      <c r="AC35" s="219">
        <v>-0.8</v>
      </c>
      <c r="AD35" s="221">
        <v>-0.6</v>
      </c>
      <c r="AE35" s="219">
        <v>-0.4</v>
      </c>
      <c r="AF35" s="219">
        <v>-0.2</v>
      </c>
      <c r="AG35" s="150">
        <v>0</v>
      </c>
      <c r="AH35" s="150">
        <v>0.2</v>
      </c>
      <c r="AI35" s="150">
        <v>0.4</v>
      </c>
      <c r="AJ35" s="150">
        <v>0.6</v>
      </c>
      <c r="AK35" s="150">
        <v>0.8</v>
      </c>
      <c r="AL35" s="150">
        <v>1</v>
      </c>
      <c r="AM35" s="150">
        <v>1.2</v>
      </c>
      <c r="AN35" s="150">
        <v>1.4</v>
      </c>
      <c r="AO35" s="150">
        <v>1.6</v>
      </c>
      <c r="AP35" s="150">
        <v>1.8</v>
      </c>
      <c r="AQ35" s="150">
        <v>2</v>
      </c>
      <c r="AR35" s="150">
        <v>2.2000000000000002</v>
      </c>
      <c r="AS35" s="150">
        <v>2.4</v>
      </c>
      <c r="AT35" s="150">
        <v>2.6</v>
      </c>
      <c r="AU35" s="150">
        <v>2.8</v>
      </c>
      <c r="AV35" s="150">
        <v>3</v>
      </c>
      <c r="AW35" s="150">
        <v>3.2</v>
      </c>
      <c r="AX35" s="150">
        <v>3.4</v>
      </c>
      <c r="AY35" s="150">
        <v>3.6</v>
      </c>
      <c r="AZ35" s="150">
        <v>3.8</v>
      </c>
      <c r="BA35" s="150">
        <v>4</v>
      </c>
      <c r="BB35" s="150">
        <v>4.2</v>
      </c>
      <c r="BC35" s="150">
        <v>4.4000000000000004</v>
      </c>
      <c r="BD35" s="150">
        <v>4.5999999999999996</v>
      </c>
      <c r="BE35" s="150">
        <v>4.8</v>
      </c>
      <c r="BF35" s="150">
        <v>5</v>
      </c>
      <c r="BG35" s="150">
        <v>5.2</v>
      </c>
      <c r="BH35" s="150">
        <v>5.4</v>
      </c>
      <c r="BI35" s="150">
        <v>5.6</v>
      </c>
      <c r="BJ35" s="150">
        <v>5.8</v>
      </c>
      <c r="BK35" s="150">
        <v>6</v>
      </c>
      <c r="BL35" s="150">
        <v>6.2</v>
      </c>
      <c r="BM35" s="150">
        <v>6.4</v>
      </c>
      <c r="BN35" s="150">
        <v>6.6</v>
      </c>
      <c r="BO35" s="150">
        <v>6.8</v>
      </c>
      <c r="BP35" s="150">
        <v>7</v>
      </c>
      <c r="BQ35" s="150">
        <v>7.2</v>
      </c>
      <c r="BR35" s="150">
        <v>7.4</v>
      </c>
      <c r="BS35" s="150">
        <v>7.6</v>
      </c>
      <c r="BT35" s="150">
        <v>7.8</v>
      </c>
      <c r="BU35" s="150">
        <v>8</v>
      </c>
      <c r="BV35" s="150">
        <v>8.1999999999999993</v>
      </c>
      <c r="BW35" s="150">
        <v>8.4</v>
      </c>
      <c r="BX35" s="150">
        <v>8.6</v>
      </c>
      <c r="BY35" s="150">
        <v>8.7999999999999936</v>
      </c>
      <c r="BZ35" s="150">
        <v>9</v>
      </c>
      <c r="CA35" s="150">
        <v>9.1999999999999922</v>
      </c>
      <c r="CB35" s="150">
        <v>9.4</v>
      </c>
      <c r="CC35" s="150">
        <v>9.5999999999999908</v>
      </c>
      <c r="CD35" s="150">
        <v>9.8000000000000007</v>
      </c>
      <c r="CE35" s="150">
        <v>9.9999999999999893</v>
      </c>
      <c r="CF35" s="150">
        <v>10.199999999999999</v>
      </c>
      <c r="CG35" s="150">
        <v>10.4</v>
      </c>
      <c r="CH35" s="150">
        <v>10.6</v>
      </c>
      <c r="CI35" s="150">
        <v>10.8</v>
      </c>
      <c r="CJ35" s="150">
        <v>11</v>
      </c>
      <c r="CK35" s="150">
        <v>11.2</v>
      </c>
      <c r="CL35" s="150">
        <v>11.4</v>
      </c>
      <c r="CM35" s="150">
        <v>11.6</v>
      </c>
      <c r="CN35" s="150">
        <v>11.8</v>
      </c>
      <c r="CO35" s="150">
        <v>12</v>
      </c>
      <c r="CP35" s="150">
        <v>12.2</v>
      </c>
      <c r="CQ35" s="150">
        <v>12.4</v>
      </c>
      <c r="CR35" s="150">
        <v>12.6</v>
      </c>
      <c r="CS35" s="150">
        <v>12.8</v>
      </c>
      <c r="CT35" s="150">
        <v>13</v>
      </c>
      <c r="CU35" s="150">
        <v>13.2</v>
      </c>
      <c r="CV35" s="150">
        <v>13.4</v>
      </c>
      <c r="CW35" s="150">
        <v>13.6</v>
      </c>
      <c r="CX35" s="150">
        <v>13.8</v>
      </c>
      <c r="CY35" s="150">
        <v>14</v>
      </c>
      <c r="CZ35" s="150">
        <v>14.2</v>
      </c>
      <c r="DA35" s="150">
        <v>14.4</v>
      </c>
      <c r="DB35" s="150">
        <v>14.6</v>
      </c>
      <c r="DC35" s="150">
        <v>14.8</v>
      </c>
      <c r="DD35" s="150">
        <v>15</v>
      </c>
      <c r="DE35" s="150">
        <v>15.2</v>
      </c>
      <c r="DF35" s="150">
        <v>15.4</v>
      </c>
      <c r="DG35" s="150">
        <v>15.6</v>
      </c>
      <c r="DH35" s="150">
        <v>15.8</v>
      </c>
      <c r="DI35" s="150">
        <v>16</v>
      </c>
      <c r="DJ35" s="150">
        <v>16.2</v>
      </c>
      <c r="DK35" s="150">
        <v>16.399999999999999</v>
      </c>
      <c r="DL35" s="150">
        <v>16.600000000000001</v>
      </c>
      <c r="DM35" s="150">
        <v>16.8</v>
      </c>
      <c r="DN35" s="150">
        <v>17</v>
      </c>
      <c r="DO35" s="150">
        <v>17.2</v>
      </c>
      <c r="DP35" s="150">
        <v>17.399999999999999</v>
      </c>
      <c r="DQ35" s="150">
        <v>17.600000000000001</v>
      </c>
      <c r="DR35" s="150">
        <v>17.8</v>
      </c>
      <c r="DS35" s="150">
        <v>18</v>
      </c>
      <c r="DT35" s="150">
        <v>18.2</v>
      </c>
      <c r="DU35" s="150">
        <v>18.399999999999999</v>
      </c>
      <c r="DV35" s="150">
        <v>18.600000000000001</v>
      </c>
      <c r="DW35" s="150">
        <v>18.8</v>
      </c>
      <c r="DX35" s="150">
        <v>19</v>
      </c>
      <c r="DY35" s="150">
        <v>19.2</v>
      </c>
      <c r="DZ35" s="150">
        <v>19.399999999999999</v>
      </c>
      <c r="EA35" s="150">
        <v>19.600000000000001</v>
      </c>
      <c r="EB35" s="150">
        <v>19.8</v>
      </c>
      <c r="EC35" s="150">
        <v>20</v>
      </c>
      <c r="ED35" s="150">
        <v>20.2</v>
      </c>
      <c r="EE35" s="150">
        <v>20.399999999999999</v>
      </c>
      <c r="EF35" s="150">
        <v>20.6</v>
      </c>
      <c r="EG35" s="150">
        <v>20.799999999999951</v>
      </c>
      <c r="EH35" s="150">
        <v>21</v>
      </c>
      <c r="EI35" s="150">
        <v>21.19999999999995</v>
      </c>
      <c r="EJ35" s="150">
        <v>21.4</v>
      </c>
      <c r="EK35" s="150">
        <v>21.599999999999948</v>
      </c>
    </row>
    <row r="36" spans="1:141" ht="13.2" x14ac:dyDescent="0.25">
      <c r="A36" s="149">
        <v>37742</v>
      </c>
      <c r="B36" s="219">
        <v>-1.7785964148750009</v>
      </c>
      <c r="C36" s="219">
        <v>-1.7482952255625008</v>
      </c>
      <c r="D36" s="219">
        <v>-1.7179940362500008</v>
      </c>
      <c r="E36" s="219">
        <v>-1.6876928469375008</v>
      </c>
      <c r="F36" s="219">
        <v>-1.6573916576250007</v>
      </c>
      <c r="G36" s="219">
        <v>-1.6270904683125007</v>
      </c>
      <c r="H36" s="219">
        <v>-1.5967892790000007</v>
      </c>
      <c r="I36" s="219">
        <v>-1.5664880896875006</v>
      </c>
      <c r="J36" s="219">
        <v>-1.5361869003750006</v>
      </c>
      <c r="K36" s="219">
        <v>-1.5058857110625006</v>
      </c>
      <c r="L36" s="219">
        <v>-1.4755845217500005</v>
      </c>
      <c r="M36" s="219">
        <v>-1.4452833324375005</v>
      </c>
      <c r="N36" s="219">
        <v>-1.4149821431250005</v>
      </c>
      <c r="O36" s="219">
        <v>-1.3846809538125004</v>
      </c>
      <c r="P36" s="219">
        <v>-1.3543797645000004</v>
      </c>
      <c r="Q36" s="219">
        <v>-1.3240785751875004</v>
      </c>
      <c r="R36" s="219">
        <v>-1.2937773858750004</v>
      </c>
      <c r="S36" s="219">
        <v>-1.2634761965625003</v>
      </c>
      <c r="T36" s="219">
        <v>-1.2331750072500003</v>
      </c>
      <c r="U36" s="219">
        <v>-1.2028738179375003</v>
      </c>
      <c r="V36" s="220">
        <v>-1.1725726286250002</v>
      </c>
      <c r="W36" s="219">
        <v>-1.1422714393125002</v>
      </c>
      <c r="X36" s="220">
        <v>-1.1119702500000002</v>
      </c>
      <c r="Y36" s="219">
        <v>-1.0832351250000003</v>
      </c>
      <c r="Z36" s="220">
        <v>-1.0545000000000002</v>
      </c>
      <c r="AA36" s="219">
        <v>-1.0272500000000002</v>
      </c>
      <c r="AB36" s="221">
        <v>-1</v>
      </c>
      <c r="AC36" s="219">
        <v>-0.8</v>
      </c>
      <c r="AD36" s="221">
        <v>-0.6</v>
      </c>
      <c r="AE36" s="219">
        <v>-0.4</v>
      </c>
      <c r="AF36" s="219">
        <v>-0.2</v>
      </c>
      <c r="AG36" s="150">
        <v>0</v>
      </c>
      <c r="AH36" s="150">
        <v>0.2</v>
      </c>
      <c r="AI36" s="150">
        <v>0.4</v>
      </c>
      <c r="AJ36" s="150">
        <v>0.6</v>
      </c>
      <c r="AK36" s="150">
        <v>0.8</v>
      </c>
      <c r="AL36" s="150">
        <v>1</v>
      </c>
      <c r="AM36" s="150">
        <v>1.2</v>
      </c>
      <c r="AN36" s="150">
        <v>1.4</v>
      </c>
      <c r="AO36" s="150">
        <v>1.6</v>
      </c>
      <c r="AP36" s="150">
        <v>1.8</v>
      </c>
      <c r="AQ36" s="150">
        <v>2</v>
      </c>
      <c r="AR36" s="150">
        <v>2.2000000000000002</v>
      </c>
      <c r="AS36" s="150">
        <v>2.4</v>
      </c>
      <c r="AT36" s="150">
        <v>2.6</v>
      </c>
      <c r="AU36" s="150">
        <v>2.8</v>
      </c>
      <c r="AV36" s="150">
        <v>3</v>
      </c>
      <c r="AW36" s="150">
        <v>3.2</v>
      </c>
      <c r="AX36" s="150">
        <v>3.4</v>
      </c>
      <c r="AY36" s="150">
        <v>3.6</v>
      </c>
      <c r="AZ36" s="150">
        <v>3.8</v>
      </c>
      <c r="BA36" s="150">
        <v>4</v>
      </c>
      <c r="BB36" s="150">
        <v>4.2</v>
      </c>
      <c r="BC36" s="150">
        <v>4.4000000000000004</v>
      </c>
      <c r="BD36" s="150">
        <v>4.5999999999999996</v>
      </c>
      <c r="BE36" s="150">
        <v>4.8</v>
      </c>
      <c r="BF36" s="150">
        <v>5</v>
      </c>
      <c r="BG36" s="150">
        <v>5.2</v>
      </c>
      <c r="BH36" s="150">
        <v>5.4</v>
      </c>
      <c r="BI36" s="150">
        <v>5.6</v>
      </c>
      <c r="BJ36" s="150">
        <v>5.8</v>
      </c>
      <c r="BK36" s="150">
        <v>6</v>
      </c>
      <c r="BL36" s="150">
        <v>6.2</v>
      </c>
      <c r="BM36" s="150">
        <v>6.4</v>
      </c>
      <c r="BN36" s="150">
        <v>6.6</v>
      </c>
      <c r="BO36" s="150">
        <v>6.8</v>
      </c>
      <c r="BP36" s="150">
        <v>7</v>
      </c>
      <c r="BQ36" s="150">
        <v>7.2</v>
      </c>
      <c r="BR36" s="150">
        <v>7.4</v>
      </c>
      <c r="BS36" s="150">
        <v>7.6</v>
      </c>
      <c r="BT36" s="150">
        <v>7.8</v>
      </c>
      <c r="BU36" s="150">
        <v>8</v>
      </c>
      <c r="BV36" s="150">
        <v>8.1999999999999993</v>
      </c>
      <c r="BW36" s="150">
        <v>8.4</v>
      </c>
      <c r="BX36" s="150">
        <v>8.6</v>
      </c>
      <c r="BY36" s="150">
        <v>8.7999999999999936</v>
      </c>
      <c r="BZ36" s="150">
        <v>9</v>
      </c>
      <c r="CA36" s="150">
        <v>9.1999999999999922</v>
      </c>
      <c r="CB36" s="150">
        <v>9.4</v>
      </c>
      <c r="CC36" s="150">
        <v>9.5999999999999908</v>
      </c>
      <c r="CD36" s="150">
        <v>9.8000000000000007</v>
      </c>
      <c r="CE36" s="150">
        <v>9.9999999999999893</v>
      </c>
      <c r="CF36" s="150">
        <v>10.199999999999999</v>
      </c>
      <c r="CG36" s="150">
        <v>10.4</v>
      </c>
      <c r="CH36" s="150">
        <v>10.6</v>
      </c>
      <c r="CI36" s="150">
        <v>10.8</v>
      </c>
      <c r="CJ36" s="150">
        <v>11</v>
      </c>
      <c r="CK36" s="150">
        <v>11.2</v>
      </c>
      <c r="CL36" s="150">
        <v>11.4</v>
      </c>
      <c r="CM36" s="150">
        <v>11.6</v>
      </c>
      <c r="CN36" s="150">
        <v>11.8</v>
      </c>
      <c r="CO36" s="150">
        <v>12</v>
      </c>
      <c r="CP36" s="150">
        <v>12.2</v>
      </c>
      <c r="CQ36" s="150">
        <v>12.4</v>
      </c>
      <c r="CR36" s="150">
        <v>12.6</v>
      </c>
      <c r="CS36" s="150">
        <v>12.8</v>
      </c>
      <c r="CT36" s="150">
        <v>13</v>
      </c>
      <c r="CU36" s="150">
        <v>13.2</v>
      </c>
      <c r="CV36" s="150">
        <v>13.4</v>
      </c>
      <c r="CW36" s="150">
        <v>13.6</v>
      </c>
      <c r="CX36" s="150">
        <v>13.8</v>
      </c>
      <c r="CY36" s="150">
        <v>14</v>
      </c>
      <c r="CZ36" s="150">
        <v>14.2</v>
      </c>
      <c r="DA36" s="150">
        <v>14.4</v>
      </c>
      <c r="DB36" s="150">
        <v>14.6</v>
      </c>
      <c r="DC36" s="150">
        <v>14.8</v>
      </c>
      <c r="DD36" s="150">
        <v>15</v>
      </c>
      <c r="DE36" s="150">
        <v>15.2</v>
      </c>
      <c r="DF36" s="150">
        <v>15.4</v>
      </c>
      <c r="DG36" s="150">
        <v>15.6</v>
      </c>
      <c r="DH36" s="150">
        <v>15.8</v>
      </c>
      <c r="DI36" s="150">
        <v>16</v>
      </c>
      <c r="DJ36" s="150">
        <v>16.2</v>
      </c>
      <c r="DK36" s="150">
        <v>16.399999999999999</v>
      </c>
      <c r="DL36" s="150">
        <v>16.600000000000001</v>
      </c>
      <c r="DM36" s="150">
        <v>16.8</v>
      </c>
      <c r="DN36" s="150">
        <v>17</v>
      </c>
      <c r="DO36" s="150">
        <v>17.2</v>
      </c>
      <c r="DP36" s="150">
        <v>17.399999999999999</v>
      </c>
      <c r="DQ36" s="150">
        <v>17.600000000000001</v>
      </c>
      <c r="DR36" s="150">
        <v>17.8</v>
      </c>
      <c r="DS36" s="150">
        <v>18</v>
      </c>
      <c r="DT36" s="150">
        <v>18.2</v>
      </c>
      <c r="DU36" s="150">
        <v>18.399999999999999</v>
      </c>
      <c r="DV36" s="150">
        <v>18.600000000000001</v>
      </c>
      <c r="DW36" s="150">
        <v>18.8</v>
      </c>
      <c r="DX36" s="150">
        <v>19</v>
      </c>
      <c r="DY36" s="150">
        <v>19.2</v>
      </c>
      <c r="DZ36" s="150">
        <v>19.399999999999999</v>
      </c>
      <c r="EA36" s="150">
        <v>19.600000000000001</v>
      </c>
      <c r="EB36" s="150">
        <v>19.8</v>
      </c>
      <c r="EC36" s="150">
        <v>20</v>
      </c>
      <c r="ED36" s="150">
        <v>20.2</v>
      </c>
      <c r="EE36" s="150">
        <v>20.399999999999999</v>
      </c>
      <c r="EF36" s="150">
        <v>20.6</v>
      </c>
      <c r="EG36" s="150">
        <v>20.799999999999951</v>
      </c>
      <c r="EH36" s="150">
        <v>21</v>
      </c>
      <c r="EI36" s="150">
        <v>21.19999999999995</v>
      </c>
      <c r="EJ36" s="150">
        <v>21.4</v>
      </c>
      <c r="EK36" s="150">
        <v>21.599999999999948</v>
      </c>
    </row>
    <row r="37" spans="1:141" ht="13.2" x14ac:dyDescent="0.25">
      <c r="A37" s="149">
        <v>37773</v>
      </c>
      <c r="B37" s="219">
        <v>-1.7785964148750009</v>
      </c>
      <c r="C37" s="219">
        <v>-1.7482952255625008</v>
      </c>
      <c r="D37" s="219">
        <v>-1.7179940362500008</v>
      </c>
      <c r="E37" s="219">
        <v>-1.6876928469375008</v>
      </c>
      <c r="F37" s="219">
        <v>-1.6573916576250007</v>
      </c>
      <c r="G37" s="219">
        <v>-1.6270904683125007</v>
      </c>
      <c r="H37" s="219">
        <v>-1.5967892790000007</v>
      </c>
      <c r="I37" s="219">
        <v>-1.5664880896875006</v>
      </c>
      <c r="J37" s="219">
        <v>-1.5361869003750006</v>
      </c>
      <c r="K37" s="219">
        <v>-1.5058857110625006</v>
      </c>
      <c r="L37" s="219">
        <v>-1.4755845217500005</v>
      </c>
      <c r="M37" s="219">
        <v>-1.4452833324375005</v>
      </c>
      <c r="N37" s="219">
        <v>-1.4149821431250005</v>
      </c>
      <c r="O37" s="219">
        <v>-1.3846809538125004</v>
      </c>
      <c r="P37" s="219">
        <v>-1.3543797645000004</v>
      </c>
      <c r="Q37" s="219">
        <v>-1.3240785751875004</v>
      </c>
      <c r="R37" s="219">
        <v>-1.2937773858750004</v>
      </c>
      <c r="S37" s="219">
        <v>-1.2634761965625003</v>
      </c>
      <c r="T37" s="219">
        <v>-1.2331750072500003</v>
      </c>
      <c r="U37" s="219">
        <v>-1.2028738179375003</v>
      </c>
      <c r="V37" s="220">
        <v>-1.1725726286250002</v>
      </c>
      <c r="W37" s="219">
        <v>-1.1422714393125002</v>
      </c>
      <c r="X37" s="220">
        <v>-1.1119702500000002</v>
      </c>
      <c r="Y37" s="219">
        <v>-1.0832351250000003</v>
      </c>
      <c r="Z37" s="220">
        <v>-1.0545000000000002</v>
      </c>
      <c r="AA37" s="219">
        <v>-1.0272500000000002</v>
      </c>
      <c r="AB37" s="221">
        <v>-1</v>
      </c>
      <c r="AC37" s="219">
        <v>-0.8</v>
      </c>
      <c r="AD37" s="221">
        <v>-0.6</v>
      </c>
      <c r="AE37" s="219">
        <v>-0.4</v>
      </c>
      <c r="AF37" s="219">
        <v>-0.2</v>
      </c>
      <c r="AG37" s="150">
        <v>0</v>
      </c>
      <c r="AH37" s="150">
        <v>0.2</v>
      </c>
      <c r="AI37" s="150">
        <v>0.4</v>
      </c>
      <c r="AJ37" s="150">
        <v>0.6</v>
      </c>
      <c r="AK37" s="150">
        <v>0.8</v>
      </c>
      <c r="AL37" s="150">
        <v>1</v>
      </c>
      <c r="AM37" s="150">
        <v>1.2</v>
      </c>
      <c r="AN37" s="150">
        <v>1.4</v>
      </c>
      <c r="AO37" s="150">
        <v>1.6</v>
      </c>
      <c r="AP37" s="150">
        <v>1.8</v>
      </c>
      <c r="AQ37" s="150">
        <v>2</v>
      </c>
      <c r="AR37" s="150">
        <v>2.2000000000000002</v>
      </c>
      <c r="AS37" s="150">
        <v>2.4</v>
      </c>
      <c r="AT37" s="150">
        <v>2.6</v>
      </c>
      <c r="AU37" s="150">
        <v>2.8</v>
      </c>
      <c r="AV37" s="150">
        <v>3</v>
      </c>
      <c r="AW37" s="150">
        <v>3.2</v>
      </c>
      <c r="AX37" s="150">
        <v>3.4</v>
      </c>
      <c r="AY37" s="150">
        <v>3.6</v>
      </c>
      <c r="AZ37" s="150">
        <v>3.8</v>
      </c>
      <c r="BA37" s="150">
        <v>4</v>
      </c>
      <c r="BB37" s="150">
        <v>4.2</v>
      </c>
      <c r="BC37" s="150">
        <v>4.4000000000000004</v>
      </c>
      <c r="BD37" s="150">
        <v>4.5999999999999996</v>
      </c>
      <c r="BE37" s="150">
        <v>4.8</v>
      </c>
      <c r="BF37" s="150">
        <v>5</v>
      </c>
      <c r="BG37" s="150">
        <v>5.2</v>
      </c>
      <c r="BH37" s="150">
        <v>5.4</v>
      </c>
      <c r="BI37" s="150">
        <v>5.6</v>
      </c>
      <c r="BJ37" s="150">
        <v>5.8</v>
      </c>
      <c r="BK37" s="150">
        <v>6</v>
      </c>
      <c r="BL37" s="150">
        <v>6.2</v>
      </c>
      <c r="BM37" s="150">
        <v>6.4</v>
      </c>
      <c r="BN37" s="150">
        <v>6.6</v>
      </c>
      <c r="BO37" s="150">
        <v>6.8</v>
      </c>
      <c r="BP37" s="150">
        <v>7</v>
      </c>
      <c r="BQ37" s="150">
        <v>7.2</v>
      </c>
      <c r="BR37" s="150">
        <v>7.4</v>
      </c>
      <c r="BS37" s="150">
        <v>7.6</v>
      </c>
      <c r="BT37" s="150">
        <v>7.8</v>
      </c>
      <c r="BU37" s="150">
        <v>8</v>
      </c>
      <c r="BV37" s="150">
        <v>8.1999999999999993</v>
      </c>
      <c r="BW37" s="150">
        <v>8.4</v>
      </c>
      <c r="BX37" s="150">
        <v>8.6</v>
      </c>
      <c r="BY37" s="150">
        <v>8.7999999999999936</v>
      </c>
      <c r="BZ37" s="150">
        <v>9</v>
      </c>
      <c r="CA37" s="150">
        <v>9.1999999999999922</v>
      </c>
      <c r="CB37" s="150">
        <v>9.4</v>
      </c>
      <c r="CC37" s="150">
        <v>9.5999999999999908</v>
      </c>
      <c r="CD37" s="150">
        <v>9.8000000000000007</v>
      </c>
      <c r="CE37" s="150">
        <v>9.9999999999999893</v>
      </c>
      <c r="CF37" s="150">
        <v>10.199999999999999</v>
      </c>
      <c r="CG37" s="150">
        <v>10.4</v>
      </c>
      <c r="CH37" s="150">
        <v>10.6</v>
      </c>
      <c r="CI37" s="150">
        <v>10.8</v>
      </c>
      <c r="CJ37" s="150">
        <v>11</v>
      </c>
      <c r="CK37" s="150">
        <v>11.2</v>
      </c>
      <c r="CL37" s="150">
        <v>11.4</v>
      </c>
      <c r="CM37" s="150">
        <v>11.6</v>
      </c>
      <c r="CN37" s="150">
        <v>11.8</v>
      </c>
      <c r="CO37" s="150">
        <v>12</v>
      </c>
      <c r="CP37" s="150">
        <v>12.2</v>
      </c>
      <c r="CQ37" s="150">
        <v>12.4</v>
      </c>
      <c r="CR37" s="150">
        <v>12.6</v>
      </c>
      <c r="CS37" s="150">
        <v>12.8</v>
      </c>
      <c r="CT37" s="150">
        <v>13</v>
      </c>
      <c r="CU37" s="150">
        <v>13.2</v>
      </c>
      <c r="CV37" s="150">
        <v>13.4</v>
      </c>
      <c r="CW37" s="150">
        <v>13.6</v>
      </c>
      <c r="CX37" s="150">
        <v>13.8</v>
      </c>
      <c r="CY37" s="150">
        <v>14</v>
      </c>
      <c r="CZ37" s="150">
        <v>14.2</v>
      </c>
      <c r="DA37" s="150">
        <v>14.4</v>
      </c>
      <c r="DB37" s="150">
        <v>14.6</v>
      </c>
      <c r="DC37" s="150">
        <v>14.8</v>
      </c>
      <c r="DD37" s="150">
        <v>15</v>
      </c>
      <c r="DE37" s="150">
        <v>15.2</v>
      </c>
      <c r="DF37" s="150">
        <v>15.4</v>
      </c>
      <c r="DG37" s="150">
        <v>15.6</v>
      </c>
      <c r="DH37" s="150">
        <v>15.8</v>
      </c>
      <c r="DI37" s="150">
        <v>16</v>
      </c>
      <c r="DJ37" s="150">
        <v>16.2</v>
      </c>
      <c r="DK37" s="150">
        <v>16.399999999999999</v>
      </c>
      <c r="DL37" s="150">
        <v>16.600000000000001</v>
      </c>
      <c r="DM37" s="150">
        <v>16.8</v>
      </c>
      <c r="DN37" s="150">
        <v>17</v>
      </c>
      <c r="DO37" s="150">
        <v>17.2</v>
      </c>
      <c r="DP37" s="150">
        <v>17.399999999999999</v>
      </c>
      <c r="DQ37" s="150">
        <v>17.600000000000001</v>
      </c>
      <c r="DR37" s="150">
        <v>17.8</v>
      </c>
      <c r="DS37" s="150">
        <v>18</v>
      </c>
      <c r="DT37" s="150">
        <v>18.2</v>
      </c>
      <c r="DU37" s="150">
        <v>18.399999999999999</v>
      </c>
      <c r="DV37" s="150">
        <v>18.600000000000001</v>
      </c>
      <c r="DW37" s="150">
        <v>18.8</v>
      </c>
      <c r="DX37" s="150">
        <v>19</v>
      </c>
      <c r="DY37" s="150">
        <v>19.2</v>
      </c>
      <c r="DZ37" s="150">
        <v>19.399999999999999</v>
      </c>
      <c r="EA37" s="150">
        <v>19.600000000000001</v>
      </c>
      <c r="EB37" s="150">
        <v>19.8</v>
      </c>
      <c r="EC37" s="150">
        <v>20</v>
      </c>
      <c r="ED37" s="150">
        <v>20.2</v>
      </c>
      <c r="EE37" s="150">
        <v>20.399999999999999</v>
      </c>
      <c r="EF37" s="150">
        <v>20.6</v>
      </c>
      <c r="EG37" s="150">
        <v>20.799999999999951</v>
      </c>
      <c r="EH37" s="150">
        <v>21</v>
      </c>
      <c r="EI37" s="150">
        <v>21.19999999999995</v>
      </c>
      <c r="EJ37" s="150">
        <v>21.4</v>
      </c>
      <c r="EK37" s="150">
        <v>21.599999999999948</v>
      </c>
    </row>
    <row r="38" spans="1:141" ht="13.2" x14ac:dyDescent="0.25">
      <c r="A38" s="149">
        <v>37803</v>
      </c>
      <c r="B38" s="219">
        <v>-1.7785964148750009</v>
      </c>
      <c r="C38" s="219">
        <v>-1.7482952255625008</v>
      </c>
      <c r="D38" s="219">
        <v>-1.7179940362500008</v>
      </c>
      <c r="E38" s="219">
        <v>-1.6876928469375008</v>
      </c>
      <c r="F38" s="219">
        <v>-1.6573916576250007</v>
      </c>
      <c r="G38" s="219">
        <v>-1.6270904683125007</v>
      </c>
      <c r="H38" s="219">
        <v>-1.5967892790000007</v>
      </c>
      <c r="I38" s="219">
        <v>-1.5664880896875006</v>
      </c>
      <c r="J38" s="219">
        <v>-1.5361869003750006</v>
      </c>
      <c r="K38" s="219">
        <v>-1.5058857110625006</v>
      </c>
      <c r="L38" s="219">
        <v>-1.4755845217500005</v>
      </c>
      <c r="M38" s="219">
        <v>-1.4452833324375005</v>
      </c>
      <c r="N38" s="219">
        <v>-1.4149821431250005</v>
      </c>
      <c r="O38" s="219">
        <v>-1.3846809538125004</v>
      </c>
      <c r="P38" s="219">
        <v>-1.3543797645000004</v>
      </c>
      <c r="Q38" s="219">
        <v>-1.3240785751875004</v>
      </c>
      <c r="R38" s="219">
        <v>-1.2937773858750004</v>
      </c>
      <c r="S38" s="219">
        <v>-1.2634761965625003</v>
      </c>
      <c r="T38" s="219">
        <v>-1.2331750072500003</v>
      </c>
      <c r="U38" s="219">
        <v>-1.2028738179375003</v>
      </c>
      <c r="V38" s="220">
        <v>-1.1725726286250002</v>
      </c>
      <c r="W38" s="219">
        <v>-1.1422714393125002</v>
      </c>
      <c r="X38" s="220">
        <v>-1.1119702500000002</v>
      </c>
      <c r="Y38" s="219">
        <v>-1.0832351250000003</v>
      </c>
      <c r="Z38" s="220">
        <v>-1.0545000000000002</v>
      </c>
      <c r="AA38" s="219">
        <v>-1.0272500000000002</v>
      </c>
      <c r="AB38" s="221">
        <v>-1</v>
      </c>
      <c r="AC38" s="219">
        <v>-0.8</v>
      </c>
      <c r="AD38" s="221">
        <v>-0.6</v>
      </c>
      <c r="AE38" s="219">
        <v>-0.4</v>
      </c>
      <c r="AF38" s="219">
        <v>-0.2</v>
      </c>
      <c r="AG38" s="150">
        <v>0</v>
      </c>
      <c r="AH38" s="150">
        <v>0.2</v>
      </c>
      <c r="AI38" s="150">
        <v>0.4</v>
      </c>
      <c r="AJ38" s="150">
        <v>0.6</v>
      </c>
      <c r="AK38" s="150">
        <v>0.8</v>
      </c>
      <c r="AL38" s="150">
        <v>1</v>
      </c>
      <c r="AM38" s="150">
        <v>1.2</v>
      </c>
      <c r="AN38" s="150">
        <v>1.4</v>
      </c>
      <c r="AO38" s="150">
        <v>1.6</v>
      </c>
      <c r="AP38" s="150">
        <v>1.8</v>
      </c>
      <c r="AQ38" s="150">
        <v>2</v>
      </c>
      <c r="AR38" s="150">
        <v>2.2000000000000002</v>
      </c>
      <c r="AS38" s="150">
        <v>2.4</v>
      </c>
      <c r="AT38" s="150">
        <v>2.6</v>
      </c>
      <c r="AU38" s="150">
        <v>2.8</v>
      </c>
      <c r="AV38" s="150">
        <v>3</v>
      </c>
      <c r="AW38" s="150">
        <v>3.2</v>
      </c>
      <c r="AX38" s="150">
        <v>3.4</v>
      </c>
      <c r="AY38" s="150">
        <v>3.6</v>
      </c>
      <c r="AZ38" s="150">
        <v>3.8</v>
      </c>
      <c r="BA38" s="150">
        <v>4</v>
      </c>
      <c r="BB38" s="150">
        <v>4.2</v>
      </c>
      <c r="BC38" s="150">
        <v>4.4000000000000004</v>
      </c>
      <c r="BD38" s="150">
        <v>4.5999999999999996</v>
      </c>
      <c r="BE38" s="150">
        <v>4.8</v>
      </c>
      <c r="BF38" s="150">
        <v>5</v>
      </c>
      <c r="BG38" s="150">
        <v>5.2</v>
      </c>
      <c r="BH38" s="150">
        <v>5.4</v>
      </c>
      <c r="BI38" s="150">
        <v>5.6</v>
      </c>
      <c r="BJ38" s="150">
        <v>5.8</v>
      </c>
      <c r="BK38" s="150">
        <v>6</v>
      </c>
      <c r="BL38" s="150">
        <v>6.2</v>
      </c>
      <c r="BM38" s="150">
        <v>6.4</v>
      </c>
      <c r="BN38" s="150">
        <v>6.6</v>
      </c>
      <c r="BO38" s="150">
        <v>6.8</v>
      </c>
      <c r="BP38" s="150">
        <v>7</v>
      </c>
      <c r="BQ38" s="150">
        <v>7.2</v>
      </c>
      <c r="BR38" s="150">
        <v>7.4</v>
      </c>
      <c r="BS38" s="150">
        <v>7.6</v>
      </c>
      <c r="BT38" s="150">
        <v>7.8</v>
      </c>
      <c r="BU38" s="150">
        <v>8</v>
      </c>
      <c r="BV38" s="150">
        <v>8.1999999999999993</v>
      </c>
      <c r="BW38" s="150">
        <v>8.4</v>
      </c>
      <c r="BX38" s="150">
        <v>8.6</v>
      </c>
      <c r="BY38" s="150">
        <v>8.7999999999999936</v>
      </c>
      <c r="BZ38" s="150">
        <v>9</v>
      </c>
      <c r="CA38" s="150">
        <v>9.1999999999999922</v>
      </c>
      <c r="CB38" s="150">
        <v>9.4</v>
      </c>
      <c r="CC38" s="150">
        <v>9.5999999999999908</v>
      </c>
      <c r="CD38" s="150">
        <v>9.8000000000000007</v>
      </c>
      <c r="CE38" s="150">
        <v>9.9999999999999893</v>
      </c>
      <c r="CF38" s="150">
        <v>10.199999999999999</v>
      </c>
      <c r="CG38" s="150">
        <v>10.4</v>
      </c>
      <c r="CH38" s="150">
        <v>10.6</v>
      </c>
      <c r="CI38" s="150">
        <v>10.8</v>
      </c>
      <c r="CJ38" s="150">
        <v>11</v>
      </c>
      <c r="CK38" s="150">
        <v>11.2</v>
      </c>
      <c r="CL38" s="150">
        <v>11.4</v>
      </c>
      <c r="CM38" s="150">
        <v>11.6</v>
      </c>
      <c r="CN38" s="150">
        <v>11.8</v>
      </c>
      <c r="CO38" s="150">
        <v>12</v>
      </c>
      <c r="CP38" s="150">
        <v>12.2</v>
      </c>
      <c r="CQ38" s="150">
        <v>12.4</v>
      </c>
      <c r="CR38" s="150">
        <v>12.6</v>
      </c>
      <c r="CS38" s="150">
        <v>12.8</v>
      </c>
      <c r="CT38" s="150">
        <v>13</v>
      </c>
      <c r="CU38" s="150">
        <v>13.2</v>
      </c>
      <c r="CV38" s="150">
        <v>13.4</v>
      </c>
      <c r="CW38" s="150">
        <v>13.6</v>
      </c>
      <c r="CX38" s="150">
        <v>13.8</v>
      </c>
      <c r="CY38" s="150">
        <v>14</v>
      </c>
      <c r="CZ38" s="150">
        <v>14.2</v>
      </c>
      <c r="DA38" s="150">
        <v>14.4</v>
      </c>
      <c r="DB38" s="150">
        <v>14.6</v>
      </c>
      <c r="DC38" s="150">
        <v>14.8</v>
      </c>
      <c r="DD38" s="150">
        <v>15</v>
      </c>
      <c r="DE38" s="150">
        <v>15.2</v>
      </c>
      <c r="DF38" s="150">
        <v>15.4</v>
      </c>
      <c r="DG38" s="150">
        <v>15.6</v>
      </c>
      <c r="DH38" s="150">
        <v>15.8</v>
      </c>
      <c r="DI38" s="150">
        <v>16</v>
      </c>
      <c r="DJ38" s="150">
        <v>16.2</v>
      </c>
      <c r="DK38" s="150">
        <v>16.399999999999999</v>
      </c>
      <c r="DL38" s="150">
        <v>16.600000000000001</v>
      </c>
      <c r="DM38" s="150">
        <v>16.8</v>
      </c>
      <c r="DN38" s="150">
        <v>17</v>
      </c>
      <c r="DO38" s="150">
        <v>17.2</v>
      </c>
      <c r="DP38" s="150">
        <v>17.399999999999999</v>
      </c>
      <c r="DQ38" s="150">
        <v>17.600000000000001</v>
      </c>
      <c r="DR38" s="150">
        <v>17.8</v>
      </c>
      <c r="DS38" s="150">
        <v>18</v>
      </c>
      <c r="DT38" s="150">
        <v>18.2</v>
      </c>
      <c r="DU38" s="150">
        <v>18.399999999999999</v>
      </c>
      <c r="DV38" s="150">
        <v>18.600000000000001</v>
      </c>
      <c r="DW38" s="150">
        <v>18.8</v>
      </c>
      <c r="DX38" s="150">
        <v>19</v>
      </c>
      <c r="DY38" s="150">
        <v>19.2</v>
      </c>
      <c r="DZ38" s="150">
        <v>19.399999999999999</v>
      </c>
      <c r="EA38" s="150">
        <v>19.600000000000001</v>
      </c>
      <c r="EB38" s="150">
        <v>19.8</v>
      </c>
      <c r="EC38" s="150">
        <v>20</v>
      </c>
      <c r="ED38" s="150">
        <v>20.2</v>
      </c>
      <c r="EE38" s="150">
        <v>20.399999999999999</v>
      </c>
      <c r="EF38" s="150">
        <v>20.6</v>
      </c>
      <c r="EG38" s="150">
        <v>20.799999999999951</v>
      </c>
      <c r="EH38" s="150">
        <v>21</v>
      </c>
      <c r="EI38" s="150">
        <v>21.19999999999995</v>
      </c>
      <c r="EJ38" s="150">
        <v>21.4</v>
      </c>
      <c r="EK38" s="150">
        <v>21.599999999999948</v>
      </c>
    </row>
    <row r="39" spans="1:141" ht="13.2" x14ac:dyDescent="0.25">
      <c r="A39" s="149">
        <v>37834</v>
      </c>
      <c r="B39" s="219">
        <v>-1.7785964148750009</v>
      </c>
      <c r="C39" s="219">
        <v>-1.7482952255625008</v>
      </c>
      <c r="D39" s="219">
        <v>-1.7179940362500008</v>
      </c>
      <c r="E39" s="219">
        <v>-1.6876928469375008</v>
      </c>
      <c r="F39" s="219">
        <v>-1.6573916576250007</v>
      </c>
      <c r="G39" s="219">
        <v>-1.6270904683125007</v>
      </c>
      <c r="H39" s="219">
        <v>-1.5967892790000007</v>
      </c>
      <c r="I39" s="219">
        <v>-1.5664880896875006</v>
      </c>
      <c r="J39" s="219">
        <v>-1.5361869003750006</v>
      </c>
      <c r="K39" s="219">
        <v>-1.5058857110625006</v>
      </c>
      <c r="L39" s="219">
        <v>-1.4755845217500005</v>
      </c>
      <c r="M39" s="219">
        <v>-1.4452833324375005</v>
      </c>
      <c r="N39" s="219">
        <v>-1.4149821431250005</v>
      </c>
      <c r="O39" s="219">
        <v>-1.3846809538125004</v>
      </c>
      <c r="P39" s="219">
        <v>-1.3543797645000004</v>
      </c>
      <c r="Q39" s="219">
        <v>-1.3240785751875004</v>
      </c>
      <c r="R39" s="219">
        <v>-1.2937773858750004</v>
      </c>
      <c r="S39" s="219">
        <v>-1.2634761965625003</v>
      </c>
      <c r="T39" s="219">
        <v>-1.2331750072500003</v>
      </c>
      <c r="U39" s="219">
        <v>-1.2028738179375003</v>
      </c>
      <c r="V39" s="220">
        <v>-1.1725726286250002</v>
      </c>
      <c r="W39" s="219">
        <v>-1.1422714393125002</v>
      </c>
      <c r="X39" s="220">
        <v>-1.1119702500000002</v>
      </c>
      <c r="Y39" s="219">
        <v>-1.0832351250000003</v>
      </c>
      <c r="Z39" s="220">
        <v>-1.0545000000000002</v>
      </c>
      <c r="AA39" s="219">
        <v>-1.0272500000000002</v>
      </c>
      <c r="AB39" s="221">
        <v>-1</v>
      </c>
      <c r="AC39" s="219">
        <v>-0.8</v>
      </c>
      <c r="AD39" s="221">
        <v>-0.6</v>
      </c>
      <c r="AE39" s="219">
        <v>-0.4</v>
      </c>
      <c r="AF39" s="219">
        <v>-0.2</v>
      </c>
      <c r="AG39" s="150">
        <v>0</v>
      </c>
      <c r="AH39" s="150">
        <v>0.2</v>
      </c>
      <c r="AI39" s="150">
        <v>0.4</v>
      </c>
      <c r="AJ39" s="150">
        <v>0.6</v>
      </c>
      <c r="AK39" s="150">
        <v>0.8</v>
      </c>
      <c r="AL39" s="150">
        <v>1</v>
      </c>
      <c r="AM39" s="150">
        <v>1.2</v>
      </c>
      <c r="AN39" s="150">
        <v>1.4</v>
      </c>
      <c r="AO39" s="150">
        <v>1.6</v>
      </c>
      <c r="AP39" s="150">
        <v>1.8</v>
      </c>
      <c r="AQ39" s="150">
        <v>2</v>
      </c>
      <c r="AR39" s="150">
        <v>2.2000000000000002</v>
      </c>
      <c r="AS39" s="150">
        <v>2.4</v>
      </c>
      <c r="AT39" s="150">
        <v>2.6</v>
      </c>
      <c r="AU39" s="150">
        <v>2.8</v>
      </c>
      <c r="AV39" s="150">
        <v>3</v>
      </c>
      <c r="AW39" s="150">
        <v>3.2</v>
      </c>
      <c r="AX39" s="150">
        <v>3.4</v>
      </c>
      <c r="AY39" s="150">
        <v>3.6</v>
      </c>
      <c r="AZ39" s="150">
        <v>3.8</v>
      </c>
      <c r="BA39" s="150">
        <v>4</v>
      </c>
      <c r="BB39" s="150">
        <v>4.2</v>
      </c>
      <c r="BC39" s="150">
        <v>4.4000000000000004</v>
      </c>
      <c r="BD39" s="150">
        <v>4.5999999999999996</v>
      </c>
      <c r="BE39" s="150">
        <v>4.8</v>
      </c>
      <c r="BF39" s="150">
        <v>5</v>
      </c>
      <c r="BG39" s="150">
        <v>5.2</v>
      </c>
      <c r="BH39" s="150">
        <v>5.4</v>
      </c>
      <c r="BI39" s="150">
        <v>5.6</v>
      </c>
      <c r="BJ39" s="150">
        <v>5.8</v>
      </c>
      <c r="BK39" s="150">
        <v>6</v>
      </c>
      <c r="BL39" s="150">
        <v>6.2</v>
      </c>
      <c r="BM39" s="150">
        <v>6.4</v>
      </c>
      <c r="BN39" s="150">
        <v>6.6</v>
      </c>
      <c r="BO39" s="150">
        <v>6.8</v>
      </c>
      <c r="BP39" s="150">
        <v>7</v>
      </c>
      <c r="BQ39" s="150">
        <v>7.2</v>
      </c>
      <c r="BR39" s="150">
        <v>7.4</v>
      </c>
      <c r="BS39" s="150">
        <v>7.6</v>
      </c>
      <c r="BT39" s="150">
        <v>7.8</v>
      </c>
      <c r="BU39" s="150">
        <v>8</v>
      </c>
      <c r="BV39" s="150">
        <v>8.1999999999999993</v>
      </c>
      <c r="BW39" s="150">
        <v>8.4</v>
      </c>
      <c r="BX39" s="150">
        <v>8.6</v>
      </c>
      <c r="BY39" s="150">
        <v>8.7999999999999936</v>
      </c>
      <c r="BZ39" s="150">
        <v>9</v>
      </c>
      <c r="CA39" s="150">
        <v>9.1999999999999922</v>
      </c>
      <c r="CB39" s="150">
        <v>9.4</v>
      </c>
      <c r="CC39" s="150">
        <v>9.5999999999999908</v>
      </c>
      <c r="CD39" s="150">
        <v>9.8000000000000007</v>
      </c>
      <c r="CE39" s="150">
        <v>9.9999999999999893</v>
      </c>
      <c r="CF39" s="150">
        <v>10.199999999999999</v>
      </c>
      <c r="CG39" s="150">
        <v>10.4</v>
      </c>
      <c r="CH39" s="150">
        <v>10.6</v>
      </c>
      <c r="CI39" s="150">
        <v>10.8</v>
      </c>
      <c r="CJ39" s="150">
        <v>11</v>
      </c>
      <c r="CK39" s="150">
        <v>11.2</v>
      </c>
      <c r="CL39" s="150">
        <v>11.4</v>
      </c>
      <c r="CM39" s="150">
        <v>11.6</v>
      </c>
      <c r="CN39" s="150">
        <v>11.8</v>
      </c>
      <c r="CO39" s="150">
        <v>12</v>
      </c>
      <c r="CP39" s="150">
        <v>12.2</v>
      </c>
      <c r="CQ39" s="150">
        <v>12.4</v>
      </c>
      <c r="CR39" s="150">
        <v>12.6</v>
      </c>
      <c r="CS39" s="150">
        <v>12.8</v>
      </c>
      <c r="CT39" s="150">
        <v>13</v>
      </c>
      <c r="CU39" s="150">
        <v>13.2</v>
      </c>
      <c r="CV39" s="150">
        <v>13.4</v>
      </c>
      <c r="CW39" s="150">
        <v>13.6</v>
      </c>
      <c r="CX39" s="150">
        <v>13.8</v>
      </c>
      <c r="CY39" s="150">
        <v>14</v>
      </c>
      <c r="CZ39" s="150">
        <v>14.2</v>
      </c>
      <c r="DA39" s="150">
        <v>14.4</v>
      </c>
      <c r="DB39" s="150">
        <v>14.6</v>
      </c>
      <c r="DC39" s="150">
        <v>14.8</v>
      </c>
      <c r="DD39" s="150">
        <v>15</v>
      </c>
      <c r="DE39" s="150">
        <v>15.2</v>
      </c>
      <c r="DF39" s="150">
        <v>15.4</v>
      </c>
      <c r="DG39" s="150">
        <v>15.6</v>
      </c>
      <c r="DH39" s="150">
        <v>15.8</v>
      </c>
      <c r="DI39" s="150">
        <v>16</v>
      </c>
      <c r="DJ39" s="150">
        <v>16.2</v>
      </c>
      <c r="DK39" s="150">
        <v>16.399999999999999</v>
      </c>
      <c r="DL39" s="150">
        <v>16.600000000000001</v>
      </c>
      <c r="DM39" s="150">
        <v>16.8</v>
      </c>
      <c r="DN39" s="150">
        <v>17</v>
      </c>
      <c r="DO39" s="150">
        <v>17.2</v>
      </c>
      <c r="DP39" s="150">
        <v>17.399999999999999</v>
      </c>
      <c r="DQ39" s="150">
        <v>17.600000000000001</v>
      </c>
      <c r="DR39" s="150">
        <v>17.8</v>
      </c>
      <c r="DS39" s="150">
        <v>18</v>
      </c>
      <c r="DT39" s="150">
        <v>18.2</v>
      </c>
      <c r="DU39" s="150">
        <v>18.399999999999999</v>
      </c>
      <c r="DV39" s="150">
        <v>18.600000000000001</v>
      </c>
      <c r="DW39" s="150">
        <v>18.8</v>
      </c>
      <c r="DX39" s="150">
        <v>19</v>
      </c>
      <c r="DY39" s="150">
        <v>19.2</v>
      </c>
      <c r="DZ39" s="150">
        <v>19.399999999999999</v>
      </c>
      <c r="EA39" s="150">
        <v>19.600000000000001</v>
      </c>
      <c r="EB39" s="150">
        <v>19.8</v>
      </c>
      <c r="EC39" s="150">
        <v>20</v>
      </c>
      <c r="ED39" s="150">
        <v>20.2</v>
      </c>
      <c r="EE39" s="150">
        <v>20.399999999999999</v>
      </c>
      <c r="EF39" s="150">
        <v>20.6</v>
      </c>
      <c r="EG39" s="150">
        <v>20.799999999999951</v>
      </c>
      <c r="EH39" s="150">
        <v>21</v>
      </c>
      <c r="EI39" s="150">
        <v>21.19999999999995</v>
      </c>
      <c r="EJ39" s="150">
        <v>21.4</v>
      </c>
      <c r="EK39" s="150">
        <v>21.599999999999948</v>
      </c>
    </row>
    <row r="40" spans="1:141" ht="13.2" x14ac:dyDescent="0.25">
      <c r="A40" s="149">
        <v>37865</v>
      </c>
      <c r="B40" s="219">
        <v>-1.7785964148750009</v>
      </c>
      <c r="C40" s="219">
        <v>-1.7482952255625008</v>
      </c>
      <c r="D40" s="219">
        <v>-1.7179940362500008</v>
      </c>
      <c r="E40" s="219">
        <v>-1.6876928469375008</v>
      </c>
      <c r="F40" s="219">
        <v>-1.6573916576250007</v>
      </c>
      <c r="G40" s="219">
        <v>-1.6270904683125007</v>
      </c>
      <c r="H40" s="219">
        <v>-1.5967892790000007</v>
      </c>
      <c r="I40" s="219">
        <v>-1.5664880896875006</v>
      </c>
      <c r="J40" s="219">
        <v>-1.5361869003750006</v>
      </c>
      <c r="K40" s="219">
        <v>-1.5058857110625006</v>
      </c>
      <c r="L40" s="219">
        <v>-1.4755845217500005</v>
      </c>
      <c r="M40" s="219">
        <v>-1.4452833324375005</v>
      </c>
      <c r="N40" s="219">
        <v>-1.4149821431250005</v>
      </c>
      <c r="O40" s="219">
        <v>-1.3846809538125004</v>
      </c>
      <c r="P40" s="219">
        <v>-1.3543797645000004</v>
      </c>
      <c r="Q40" s="219">
        <v>-1.3240785751875004</v>
      </c>
      <c r="R40" s="219">
        <v>-1.2937773858750004</v>
      </c>
      <c r="S40" s="219">
        <v>-1.2634761965625003</v>
      </c>
      <c r="T40" s="219">
        <v>-1.2331750072500003</v>
      </c>
      <c r="U40" s="219">
        <v>-1.2028738179375003</v>
      </c>
      <c r="V40" s="220">
        <v>-1.1725726286250002</v>
      </c>
      <c r="W40" s="219">
        <v>-1.1422714393125002</v>
      </c>
      <c r="X40" s="220">
        <v>-1.1119702500000002</v>
      </c>
      <c r="Y40" s="219">
        <v>-1.0832351250000003</v>
      </c>
      <c r="Z40" s="220">
        <v>-1.0545000000000002</v>
      </c>
      <c r="AA40" s="219">
        <v>-1.0272500000000002</v>
      </c>
      <c r="AB40" s="221">
        <v>-1</v>
      </c>
      <c r="AC40" s="219">
        <v>-0.8</v>
      </c>
      <c r="AD40" s="221">
        <v>-0.6</v>
      </c>
      <c r="AE40" s="219">
        <v>-0.4</v>
      </c>
      <c r="AF40" s="219">
        <v>-0.2</v>
      </c>
      <c r="AG40" s="150">
        <v>0</v>
      </c>
      <c r="AH40" s="150">
        <v>0.2</v>
      </c>
      <c r="AI40" s="150">
        <v>0.4</v>
      </c>
      <c r="AJ40" s="150">
        <v>0.6</v>
      </c>
      <c r="AK40" s="150">
        <v>0.8</v>
      </c>
      <c r="AL40" s="150">
        <v>1</v>
      </c>
      <c r="AM40" s="150">
        <v>1.2</v>
      </c>
      <c r="AN40" s="150">
        <v>1.4</v>
      </c>
      <c r="AO40" s="150">
        <v>1.6</v>
      </c>
      <c r="AP40" s="150">
        <v>1.8</v>
      </c>
      <c r="AQ40" s="150">
        <v>2</v>
      </c>
      <c r="AR40" s="150">
        <v>2.2000000000000002</v>
      </c>
      <c r="AS40" s="150">
        <v>2.4</v>
      </c>
      <c r="AT40" s="150">
        <v>2.6</v>
      </c>
      <c r="AU40" s="150">
        <v>2.8</v>
      </c>
      <c r="AV40" s="150">
        <v>3</v>
      </c>
      <c r="AW40" s="150">
        <v>3.2</v>
      </c>
      <c r="AX40" s="150">
        <v>3.4</v>
      </c>
      <c r="AY40" s="150">
        <v>3.6</v>
      </c>
      <c r="AZ40" s="150">
        <v>3.8</v>
      </c>
      <c r="BA40" s="150">
        <v>4</v>
      </c>
      <c r="BB40" s="150">
        <v>4.2</v>
      </c>
      <c r="BC40" s="150">
        <v>4.4000000000000004</v>
      </c>
      <c r="BD40" s="150">
        <v>4.5999999999999996</v>
      </c>
      <c r="BE40" s="150">
        <v>4.8</v>
      </c>
      <c r="BF40" s="150">
        <v>5</v>
      </c>
      <c r="BG40" s="150">
        <v>5.2</v>
      </c>
      <c r="BH40" s="150">
        <v>5.4</v>
      </c>
      <c r="BI40" s="150">
        <v>5.6</v>
      </c>
      <c r="BJ40" s="150">
        <v>5.8</v>
      </c>
      <c r="BK40" s="150">
        <v>6</v>
      </c>
      <c r="BL40" s="150">
        <v>6.2</v>
      </c>
      <c r="BM40" s="150">
        <v>6.4</v>
      </c>
      <c r="BN40" s="150">
        <v>6.6</v>
      </c>
      <c r="BO40" s="150">
        <v>6.8</v>
      </c>
      <c r="BP40" s="150">
        <v>7</v>
      </c>
      <c r="BQ40" s="150">
        <v>7.2</v>
      </c>
      <c r="BR40" s="150">
        <v>7.4</v>
      </c>
      <c r="BS40" s="150">
        <v>7.6</v>
      </c>
      <c r="BT40" s="150">
        <v>7.8</v>
      </c>
      <c r="BU40" s="150">
        <v>8</v>
      </c>
      <c r="BV40" s="150">
        <v>8.1999999999999993</v>
      </c>
      <c r="BW40" s="150">
        <v>8.4</v>
      </c>
      <c r="BX40" s="150">
        <v>8.6</v>
      </c>
      <c r="BY40" s="150">
        <v>8.7999999999999936</v>
      </c>
      <c r="BZ40" s="150">
        <v>9</v>
      </c>
      <c r="CA40" s="150">
        <v>9.1999999999999922</v>
      </c>
      <c r="CB40" s="150">
        <v>9.4</v>
      </c>
      <c r="CC40" s="150">
        <v>9.5999999999999908</v>
      </c>
      <c r="CD40" s="150">
        <v>9.8000000000000007</v>
      </c>
      <c r="CE40" s="150">
        <v>9.9999999999999893</v>
      </c>
      <c r="CF40" s="150">
        <v>10.199999999999999</v>
      </c>
      <c r="CG40" s="150">
        <v>10.4</v>
      </c>
      <c r="CH40" s="150">
        <v>10.6</v>
      </c>
      <c r="CI40" s="150">
        <v>10.8</v>
      </c>
      <c r="CJ40" s="150">
        <v>11</v>
      </c>
      <c r="CK40" s="150">
        <v>11.2</v>
      </c>
      <c r="CL40" s="150">
        <v>11.4</v>
      </c>
      <c r="CM40" s="150">
        <v>11.6</v>
      </c>
      <c r="CN40" s="150">
        <v>11.8</v>
      </c>
      <c r="CO40" s="150">
        <v>12</v>
      </c>
      <c r="CP40" s="150">
        <v>12.2</v>
      </c>
      <c r="CQ40" s="150">
        <v>12.4</v>
      </c>
      <c r="CR40" s="150">
        <v>12.6</v>
      </c>
      <c r="CS40" s="150">
        <v>12.8</v>
      </c>
      <c r="CT40" s="150">
        <v>13</v>
      </c>
      <c r="CU40" s="150">
        <v>13.2</v>
      </c>
      <c r="CV40" s="150">
        <v>13.4</v>
      </c>
      <c r="CW40" s="150">
        <v>13.6</v>
      </c>
      <c r="CX40" s="150">
        <v>13.8</v>
      </c>
      <c r="CY40" s="150">
        <v>14</v>
      </c>
      <c r="CZ40" s="150">
        <v>14.2</v>
      </c>
      <c r="DA40" s="150">
        <v>14.4</v>
      </c>
      <c r="DB40" s="150">
        <v>14.6</v>
      </c>
      <c r="DC40" s="150">
        <v>14.8</v>
      </c>
      <c r="DD40" s="150">
        <v>15</v>
      </c>
      <c r="DE40" s="150">
        <v>15.2</v>
      </c>
      <c r="DF40" s="150">
        <v>15.4</v>
      </c>
      <c r="DG40" s="150">
        <v>15.6</v>
      </c>
      <c r="DH40" s="150">
        <v>15.8</v>
      </c>
      <c r="DI40" s="150">
        <v>16</v>
      </c>
      <c r="DJ40" s="150">
        <v>16.2</v>
      </c>
      <c r="DK40" s="150">
        <v>16.399999999999999</v>
      </c>
      <c r="DL40" s="150">
        <v>16.600000000000001</v>
      </c>
      <c r="DM40" s="150">
        <v>16.8</v>
      </c>
      <c r="DN40" s="150">
        <v>17</v>
      </c>
      <c r="DO40" s="150">
        <v>17.2</v>
      </c>
      <c r="DP40" s="150">
        <v>17.399999999999999</v>
      </c>
      <c r="DQ40" s="150">
        <v>17.600000000000001</v>
      </c>
      <c r="DR40" s="150">
        <v>17.8</v>
      </c>
      <c r="DS40" s="150">
        <v>18</v>
      </c>
      <c r="DT40" s="150">
        <v>18.2</v>
      </c>
      <c r="DU40" s="150">
        <v>18.399999999999999</v>
      </c>
      <c r="DV40" s="150">
        <v>18.600000000000001</v>
      </c>
      <c r="DW40" s="150">
        <v>18.8</v>
      </c>
      <c r="DX40" s="150">
        <v>19</v>
      </c>
      <c r="DY40" s="150">
        <v>19.2</v>
      </c>
      <c r="DZ40" s="150">
        <v>19.399999999999999</v>
      </c>
      <c r="EA40" s="150">
        <v>19.600000000000001</v>
      </c>
      <c r="EB40" s="150">
        <v>19.8</v>
      </c>
      <c r="EC40" s="150">
        <v>20</v>
      </c>
      <c r="ED40" s="150">
        <v>20.2</v>
      </c>
      <c r="EE40" s="150">
        <v>20.399999999999999</v>
      </c>
      <c r="EF40" s="150">
        <v>20.6</v>
      </c>
      <c r="EG40" s="150">
        <v>20.799999999999951</v>
      </c>
      <c r="EH40" s="150">
        <v>21</v>
      </c>
      <c r="EI40" s="150">
        <v>21.19999999999995</v>
      </c>
      <c r="EJ40" s="150">
        <v>21.4</v>
      </c>
      <c r="EK40" s="150">
        <v>21.599999999999948</v>
      </c>
    </row>
    <row r="41" spans="1:141" ht="13.2" x14ac:dyDescent="0.25">
      <c r="A41" s="149">
        <v>37895</v>
      </c>
      <c r="B41" s="219">
        <v>-1.7785964148750009</v>
      </c>
      <c r="C41" s="219">
        <v>-1.7482952255625008</v>
      </c>
      <c r="D41" s="219">
        <v>-1.7179940362500008</v>
      </c>
      <c r="E41" s="219">
        <v>-1.6876928469375008</v>
      </c>
      <c r="F41" s="219">
        <v>-1.6573916576250007</v>
      </c>
      <c r="G41" s="219">
        <v>-1.6270904683125007</v>
      </c>
      <c r="H41" s="219">
        <v>-1.5967892790000007</v>
      </c>
      <c r="I41" s="219">
        <v>-1.5664880896875006</v>
      </c>
      <c r="J41" s="219">
        <v>-1.5361869003750006</v>
      </c>
      <c r="K41" s="219">
        <v>-1.5058857110625006</v>
      </c>
      <c r="L41" s="219">
        <v>-1.4755845217500005</v>
      </c>
      <c r="M41" s="219">
        <v>-1.4452833324375005</v>
      </c>
      <c r="N41" s="219">
        <v>-1.4149821431250005</v>
      </c>
      <c r="O41" s="219">
        <v>-1.3846809538125004</v>
      </c>
      <c r="P41" s="219">
        <v>-1.3543797645000004</v>
      </c>
      <c r="Q41" s="219">
        <v>-1.3240785751875004</v>
      </c>
      <c r="R41" s="219">
        <v>-1.2937773858750004</v>
      </c>
      <c r="S41" s="219">
        <v>-1.2634761965625003</v>
      </c>
      <c r="T41" s="219">
        <v>-1.2331750072500003</v>
      </c>
      <c r="U41" s="219">
        <v>-1.2028738179375003</v>
      </c>
      <c r="V41" s="220">
        <v>-1.1725726286250002</v>
      </c>
      <c r="W41" s="219">
        <v>-1.1422714393125002</v>
      </c>
      <c r="X41" s="220">
        <v>-1.1119702500000002</v>
      </c>
      <c r="Y41" s="219">
        <v>-1.0832351250000003</v>
      </c>
      <c r="Z41" s="220">
        <v>-1.0545000000000002</v>
      </c>
      <c r="AA41" s="219">
        <v>-1.0272500000000002</v>
      </c>
      <c r="AB41" s="221">
        <v>-1</v>
      </c>
      <c r="AC41" s="219">
        <v>-0.8</v>
      </c>
      <c r="AD41" s="221">
        <v>-0.6</v>
      </c>
      <c r="AE41" s="219">
        <v>-0.4</v>
      </c>
      <c r="AF41" s="219">
        <v>-0.2</v>
      </c>
      <c r="AG41" s="150">
        <v>0</v>
      </c>
      <c r="AH41" s="150">
        <v>0.2</v>
      </c>
      <c r="AI41" s="150">
        <v>0.4</v>
      </c>
      <c r="AJ41" s="150">
        <v>0.6</v>
      </c>
      <c r="AK41" s="150">
        <v>0.8</v>
      </c>
      <c r="AL41" s="150">
        <v>1</v>
      </c>
      <c r="AM41" s="150">
        <v>1.2</v>
      </c>
      <c r="AN41" s="150">
        <v>1.4</v>
      </c>
      <c r="AO41" s="150">
        <v>1.6</v>
      </c>
      <c r="AP41" s="150">
        <v>1.8</v>
      </c>
      <c r="AQ41" s="150">
        <v>2</v>
      </c>
      <c r="AR41" s="150">
        <v>2.2000000000000002</v>
      </c>
      <c r="AS41" s="150">
        <v>2.4</v>
      </c>
      <c r="AT41" s="150">
        <v>2.6</v>
      </c>
      <c r="AU41" s="150">
        <v>2.8</v>
      </c>
      <c r="AV41" s="150">
        <v>3</v>
      </c>
      <c r="AW41" s="150">
        <v>3.2</v>
      </c>
      <c r="AX41" s="150">
        <v>3.4</v>
      </c>
      <c r="AY41" s="150">
        <v>3.6</v>
      </c>
      <c r="AZ41" s="150">
        <v>3.8</v>
      </c>
      <c r="BA41" s="150">
        <v>4</v>
      </c>
      <c r="BB41" s="150">
        <v>4.2</v>
      </c>
      <c r="BC41" s="150">
        <v>4.4000000000000004</v>
      </c>
      <c r="BD41" s="150">
        <v>4.5999999999999996</v>
      </c>
      <c r="BE41" s="150">
        <v>4.8</v>
      </c>
      <c r="BF41" s="150">
        <v>5</v>
      </c>
      <c r="BG41" s="150">
        <v>5.2</v>
      </c>
      <c r="BH41" s="150">
        <v>5.4</v>
      </c>
      <c r="BI41" s="150">
        <v>5.6</v>
      </c>
      <c r="BJ41" s="150">
        <v>5.8</v>
      </c>
      <c r="BK41" s="150">
        <v>6</v>
      </c>
      <c r="BL41" s="150">
        <v>6.2</v>
      </c>
      <c r="BM41" s="150">
        <v>6.4</v>
      </c>
      <c r="BN41" s="150">
        <v>6.6</v>
      </c>
      <c r="BO41" s="150">
        <v>6.8</v>
      </c>
      <c r="BP41" s="150">
        <v>7</v>
      </c>
      <c r="BQ41" s="150">
        <v>7.2</v>
      </c>
      <c r="BR41" s="150">
        <v>7.4</v>
      </c>
      <c r="BS41" s="150">
        <v>7.6</v>
      </c>
      <c r="BT41" s="150">
        <v>7.8</v>
      </c>
      <c r="BU41" s="150">
        <v>8</v>
      </c>
      <c r="BV41" s="150">
        <v>8.1999999999999993</v>
      </c>
      <c r="BW41" s="150">
        <v>8.4</v>
      </c>
      <c r="BX41" s="150">
        <v>8.6</v>
      </c>
      <c r="BY41" s="150">
        <v>8.7999999999999936</v>
      </c>
      <c r="BZ41" s="150">
        <v>9</v>
      </c>
      <c r="CA41" s="150">
        <v>9.1999999999999922</v>
      </c>
      <c r="CB41" s="150">
        <v>9.4</v>
      </c>
      <c r="CC41" s="150">
        <v>9.5999999999999908</v>
      </c>
      <c r="CD41" s="150">
        <v>9.8000000000000007</v>
      </c>
      <c r="CE41" s="150">
        <v>9.9999999999999893</v>
      </c>
      <c r="CF41" s="150">
        <v>10.199999999999999</v>
      </c>
      <c r="CG41" s="150">
        <v>10.4</v>
      </c>
      <c r="CH41" s="150">
        <v>10.6</v>
      </c>
      <c r="CI41" s="150">
        <v>10.8</v>
      </c>
      <c r="CJ41" s="150">
        <v>11</v>
      </c>
      <c r="CK41" s="150">
        <v>11.2</v>
      </c>
      <c r="CL41" s="150">
        <v>11.4</v>
      </c>
      <c r="CM41" s="150">
        <v>11.6</v>
      </c>
      <c r="CN41" s="150">
        <v>11.8</v>
      </c>
      <c r="CO41" s="150">
        <v>12</v>
      </c>
      <c r="CP41" s="150">
        <v>12.2</v>
      </c>
      <c r="CQ41" s="150">
        <v>12.4</v>
      </c>
      <c r="CR41" s="150">
        <v>12.6</v>
      </c>
      <c r="CS41" s="150">
        <v>12.8</v>
      </c>
      <c r="CT41" s="150">
        <v>13</v>
      </c>
      <c r="CU41" s="150">
        <v>13.2</v>
      </c>
      <c r="CV41" s="150">
        <v>13.4</v>
      </c>
      <c r="CW41" s="150">
        <v>13.6</v>
      </c>
      <c r="CX41" s="150">
        <v>13.8</v>
      </c>
      <c r="CY41" s="150">
        <v>14</v>
      </c>
      <c r="CZ41" s="150">
        <v>14.2</v>
      </c>
      <c r="DA41" s="150">
        <v>14.4</v>
      </c>
      <c r="DB41" s="150">
        <v>14.6</v>
      </c>
      <c r="DC41" s="150">
        <v>14.8</v>
      </c>
      <c r="DD41" s="150">
        <v>15</v>
      </c>
      <c r="DE41" s="150">
        <v>15.2</v>
      </c>
      <c r="DF41" s="150">
        <v>15.4</v>
      </c>
      <c r="DG41" s="150">
        <v>15.6</v>
      </c>
      <c r="DH41" s="150">
        <v>15.8</v>
      </c>
      <c r="DI41" s="150">
        <v>16</v>
      </c>
      <c r="DJ41" s="150">
        <v>16.2</v>
      </c>
      <c r="DK41" s="150">
        <v>16.399999999999999</v>
      </c>
      <c r="DL41" s="150">
        <v>16.600000000000001</v>
      </c>
      <c r="DM41" s="150">
        <v>16.8</v>
      </c>
      <c r="DN41" s="150">
        <v>17</v>
      </c>
      <c r="DO41" s="150">
        <v>17.2</v>
      </c>
      <c r="DP41" s="150">
        <v>17.399999999999999</v>
      </c>
      <c r="DQ41" s="150">
        <v>17.600000000000001</v>
      </c>
      <c r="DR41" s="150">
        <v>17.8</v>
      </c>
      <c r="DS41" s="150">
        <v>18</v>
      </c>
      <c r="DT41" s="150">
        <v>18.2</v>
      </c>
      <c r="DU41" s="150">
        <v>18.399999999999999</v>
      </c>
      <c r="DV41" s="150">
        <v>18.600000000000001</v>
      </c>
      <c r="DW41" s="150">
        <v>18.8</v>
      </c>
      <c r="DX41" s="150">
        <v>19</v>
      </c>
      <c r="DY41" s="150">
        <v>19.2</v>
      </c>
      <c r="DZ41" s="150">
        <v>19.399999999999999</v>
      </c>
      <c r="EA41" s="150">
        <v>19.600000000000001</v>
      </c>
      <c r="EB41" s="150">
        <v>19.8</v>
      </c>
      <c r="EC41" s="150">
        <v>20</v>
      </c>
      <c r="ED41" s="150">
        <v>20.2</v>
      </c>
      <c r="EE41" s="150">
        <v>20.399999999999999</v>
      </c>
      <c r="EF41" s="150">
        <v>20.6</v>
      </c>
      <c r="EG41" s="150">
        <v>20.799999999999951</v>
      </c>
      <c r="EH41" s="150">
        <v>21</v>
      </c>
      <c r="EI41" s="150">
        <v>21.19999999999995</v>
      </c>
      <c r="EJ41" s="150">
        <v>21.4</v>
      </c>
      <c r="EK41" s="150">
        <v>21.599999999999948</v>
      </c>
    </row>
    <row r="42" spans="1:141" ht="13.2" x14ac:dyDescent="0.25">
      <c r="A42" s="149">
        <v>37926</v>
      </c>
      <c r="B42" s="219">
        <v>-1.7785964148750009</v>
      </c>
      <c r="C42" s="219">
        <v>-1.7482952255625008</v>
      </c>
      <c r="D42" s="219">
        <v>-1.7179940362500008</v>
      </c>
      <c r="E42" s="219">
        <v>-1.6876928469375008</v>
      </c>
      <c r="F42" s="219">
        <v>-1.6573916576250007</v>
      </c>
      <c r="G42" s="219">
        <v>-1.6270904683125007</v>
      </c>
      <c r="H42" s="219">
        <v>-1.5967892790000007</v>
      </c>
      <c r="I42" s="219">
        <v>-1.5664880896875006</v>
      </c>
      <c r="J42" s="219">
        <v>-1.5361869003750006</v>
      </c>
      <c r="K42" s="219">
        <v>-1.5058857110625006</v>
      </c>
      <c r="L42" s="219">
        <v>-1.4755845217500005</v>
      </c>
      <c r="M42" s="219">
        <v>-1.4452833324375005</v>
      </c>
      <c r="N42" s="219">
        <v>-1.4149821431250005</v>
      </c>
      <c r="O42" s="219">
        <v>-1.3846809538125004</v>
      </c>
      <c r="P42" s="219">
        <v>-1.3543797645000004</v>
      </c>
      <c r="Q42" s="219">
        <v>-1.3240785751875004</v>
      </c>
      <c r="R42" s="219">
        <v>-1.2937773858750004</v>
      </c>
      <c r="S42" s="219">
        <v>-1.2634761965625003</v>
      </c>
      <c r="T42" s="219">
        <v>-1.2331750072500003</v>
      </c>
      <c r="U42" s="219">
        <v>-1.2028738179375003</v>
      </c>
      <c r="V42" s="220">
        <v>-1.1725726286250002</v>
      </c>
      <c r="W42" s="219">
        <v>-1.1422714393125002</v>
      </c>
      <c r="X42" s="220">
        <v>-1.1119702500000002</v>
      </c>
      <c r="Y42" s="219">
        <v>-1.0832351250000003</v>
      </c>
      <c r="Z42" s="220">
        <v>-1.0545000000000002</v>
      </c>
      <c r="AA42" s="219">
        <v>-1.0272500000000002</v>
      </c>
      <c r="AB42" s="221">
        <v>-1</v>
      </c>
      <c r="AC42" s="219">
        <v>-0.8</v>
      </c>
      <c r="AD42" s="221">
        <v>-0.6</v>
      </c>
      <c r="AE42" s="219">
        <v>-0.4</v>
      </c>
      <c r="AF42" s="219">
        <v>-0.2</v>
      </c>
      <c r="AG42" s="150">
        <v>0</v>
      </c>
      <c r="AH42" s="150">
        <v>0.2</v>
      </c>
      <c r="AI42" s="150">
        <v>0.4</v>
      </c>
      <c r="AJ42" s="150">
        <v>0.6</v>
      </c>
      <c r="AK42" s="150">
        <v>0.8</v>
      </c>
      <c r="AL42" s="150">
        <v>1</v>
      </c>
      <c r="AM42" s="150">
        <v>1.2</v>
      </c>
      <c r="AN42" s="150">
        <v>1.4</v>
      </c>
      <c r="AO42" s="150">
        <v>1.6</v>
      </c>
      <c r="AP42" s="150">
        <v>1.8</v>
      </c>
      <c r="AQ42" s="150">
        <v>2</v>
      </c>
      <c r="AR42" s="150">
        <v>2.2000000000000002</v>
      </c>
      <c r="AS42" s="150">
        <v>2.4</v>
      </c>
      <c r="AT42" s="150">
        <v>2.6</v>
      </c>
      <c r="AU42" s="150">
        <v>2.8</v>
      </c>
      <c r="AV42" s="150">
        <v>3</v>
      </c>
      <c r="AW42" s="150">
        <v>3.2</v>
      </c>
      <c r="AX42" s="150">
        <v>3.4</v>
      </c>
      <c r="AY42" s="150">
        <v>3.6</v>
      </c>
      <c r="AZ42" s="150">
        <v>3.8</v>
      </c>
      <c r="BA42" s="150">
        <v>4</v>
      </c>
      <c r="BB42" s="150">
        <v>4.2</v>
      </c>
      <c r="BC42" s="150">
        <v>4.4000000000000004</v>
      </c>
      <c r="BD42" s="150">
        <v>4.5999999999999996</v>
      </c>
      <c r="BE42" s="150">
        <v>4.8</v>
      </c>
      <c r="BF42" s="150">
        <v>5</v>
      </c>
      <c r="BG42" s="150">
        <v>5.2</v>
      </c>
      <c r="BH42" s="150">
        <v>5.4</v>
      </c>
      <c r="BI42" s="150">
        <v>5.6</v>
      </c>
      <c r="BJ42" s="150">
        <v>5.8</v>
      </c>
      <c r="BK42" s="150">
        <v>6</v>
      </c>
      <c r="BL42" s="150">
        <v>6.2</v>
      </c>
      <c r="BM42" s="150">
        <v>6.4</v>
      </c>
      <c r="BN42" s="150">
        <v>6.6</v>
      </c>
      <c r="BO42" s="150">
        <v>6.8</v>
      </c>
      <c r="BP42" s="150">
        <v>7</v>
      </c>
      <c r="BQ42" s="150">
        <v>7.2</v>
      </c>
      <c r="BR42" s="150">
        <v>7.4</v>
      </c>
      <c r="BS42" s="150">
        <v>7.6</v>
      </c>
      <c r="BT42" s="150">
        <v>7.8</v>
      </c>
      <c r="BU42" s="150">
        <v>8</v>
      </c>
      <c r="BV42" s="150">
        <v>8.1999999999999993</v>
      </c>
      <c r="BW42" s="150">
        <v>8.4</v>
      </c>
      <c r="BX42" s="150">
        <v>8.6</v>
      </c>
      <c r="BY42" s="150">
        <v>8.7999999999999936</v>
      </c>
      <c r="BZ42" s="150">
        <v>9</v>
      </c>
      <c r="CA42" s="150">
        <v>9.1999999999999922</v>
      </c>
      <c r="CB42" s="150">
        <v>9.4</v>
      </c>
      <c r="CC42" s="150">
        <v>9.5999999999999908</v>
      </c>
      <c r="CD42" s="150">
        <v>9.8000000000000007</v>
      </c>
      <c r="CE42" s="150">
        <v>9.9999999999999893</v>
      </c>
      <c r="CF42" s="150">
        <v>10.199999999999999</v>
      </c>
      <c r="CG42" s="150">
        <v>10.4</v>
      </c>
      <c r="CH42" s="150">
        <v>10.6</v>
      </c>
      <c r="CI42" s="150">
        <v>10.8</v>
      </c>
      <c r="CJ42" s="150">
        <v>11</v>
      </c>
      <c r="CK42" s="150">
        <v>11.2</v>
      </c>
      <c r="CL42" s="150">
        <v>11.4</v>
      </c>
      <c r="CM42" s="150">
        <v>11.6</v>
      </c>
      <c r="CN42" s="150">
        <v>11.8</v>
      </c>
      <c r="CO42" s="150">
        <v>12</v>
      </c>
      <c r="CP42" s="150">
        <v>12.2</v>
      </c>
      <c r="CQ42" s="150">
        <v>12.4</v>
      </c>
      <c r="CR42" s="150">
        <v>12.6</v>
      </c>
      <c r="CS42" s="150">
        <v>12.8</v>
      </c>
      <c r="CT42" s="150">
        <v>13</v>
      </c>
      <c r="CU42" s="150">
        <v>13.2</v>
      </c>
      <c r="CV42" s="150">
        <v>13.4</v>
      </c>
      <c r="CW42" s="150">
        <v>13.6</v>
      </c>
      <c r="CX42" s="150">
        <v>13.8</v>
      </c>
      <c r="CY42" s="150">
        <v>14</v>
      </c>
      <c r="CZ42" s="150">
        <v>14.2</v>
      </c>
      <c r="DA42" s="150">
        <v>14.4</v>
      </c>
      <c r="DB42" s="150">
        <v>14.6</v>
      </c>
      <c r="DC42" s="150">
        <v>14.8</v>
      </c>
      <c r="DD42" s="150">
        <v>15</v>
      </c>
      <c r="DE42" s="150">
        <v>15.2</v>
      </c>
      <c r="DF42" s="150">
        <v>15.4</v>
      </c>
      <c r="DG42" s="150">
        <v>15.6</v>
      </c>
      <c r="DH42" s="150">
        <v>15.8</v>
      </c>
      <c r="DI42" s="150">
        <v>16</v>
      </c>
      <c r="DJ42" s="150">
        <v>16.2</v>
      </c>
      <c r="DK42" s="150">
        <v>16.399999999999999</v>
      </c>
      <c r="DL42" s="150">
        <v>16.600000000000001</v>
      </c>
      <c r="DM42" s="150">
        <v>16.8</v>
      </c>
      <c r="DN42" s="150">
        <v>17</v>
      </c>
      <c r="DO42" s="150">
        <v>17.2</v>
      </c>
      <c r="DP42" s="150">
        <v>17.399999999999999</v>
      </c>
      <c r="DQ42" s="150">
        <v>17.600000000000001</v>
      </c>
      <c r="DR42" s="150">
        <v>17.8</v>
      </c>
      <c r="DS42" s="150">
        <v>18</v>
      </c>
      <c r="DT42" s="150">
        <v>18.2</v>
      </c>
      <c r="DU42" s="150">
        <v>18.399999999999999</v>
      </c>
      <c r="DV42" s="150">
        <v>18.600000000000001</v>
      </c>
      <c r="DW42" s="150">
        <v>18.8</v>
      </c>
      <c r="DX42" s="150">
        <v>19</v>
      </c>
      <c r="DY42" s="150">
        <v>19.2</v>
      </c>
      <c r="DZ42" s="150">
        <v>19.399999999999999</v>
      </c>
      <c r="EA42" s="150">
        <v>19.600000000000001</v>
      </c>
      <c r="EB42" s="150">
        <v>19.8</v>
      </c>
      <c r="EC42" s="150">
        <v>20</v>
      </c>
      <c r="ED42" s="150">
        <v>20.2</v>
      </c>
      <c r="EE42" s="150">
        <v>20.399999999999999</v>
      </c>
      <c r="EF42" s="150">
        <v>20.6</v>
      </c>
      <c r="EG42" s="150">
        <v>20.799999999999951</v>
      </c>
      <c r="EH42" s="150">
        <v>21</v>
      </c>
      <c r="EI42" s="150">
        <v>21.19999999999995</v>
      </c>
      <c r="EJ42" s="150">
        <v>21.4</v>
      </c>
      <c r="EK42" s="150">
        <v>21.599999999999948</v>
      </c>
    </row>
    <row r="43" spans="1:141" ht="13.2" x14ac:dyDescent="0.25">
      <c r="A43" s="149">
        <v>37956</v>
      </c>
      <c r="B43" s="219">
        <v>-1.7785964148750009</v>
      </c>
      <c r="C43" s="219">
        <v>-1.7482952255625008</v>
      </c>
      <c r="D43" s="219">
        <v>-1.7179940362500008</v>
      </c>
      <c r="E43" s="219">
        <v>-1.6876928469375008</v>
      </c>
      <c r="F43" s="219">
        <v>-1.6573916576250007</v>
      </c>
      <c r="G43" s="219">
        <v>-1.6270904683125007</v>
      </c>
      <c r="H43" s="219">
        <v>-1.5967892790000007</v>
      </c>
      <c r="I43" s="219">
        <v>-1.5664880896875006</v>
      </c>
      <c r="J43" s="219">
        <v>-1.5361869003750006</v>
      </c>
      <c r="K43" s="219">
        <v>-1.5058857110625006</v>
      </c>
      <c r="L43" s="219">
        <v>-1.4755845217500005</v>
      </c>
      <c r="M43" s="219">
        <v>-1.4452833324375005</v>
      </c>
      <c r="N43" s="219">
        <v>-1.4149821431250005</v>
      </c>
      <c r="O43" s="219">
        <v>-1.3846809538125004</v>
      </c>
      <c r="P43" s="219">
        <v>-1.3543797645000004</v>
      </c>
      <c r="Q43" s="219">
        <v>-1.3240785751875004</v>
      </c>
      <c r="R43" s="219">
        <v>-1.2937773858750004</v>
      </c>
      <c r="S43" s="219">
        <v>-1.2634761965625003</v>
      </c>
      <c r="T43" s="219">
        <v>-1.2331750072500003</v>
      </c>
      <c r="U43" s="219">
        <v>-1.2028738179375003</v>
      </c>
      <c r="V43" s="220">
        <v>-1.1725726286250002</v>
      </c>
      <c r="W43" s="219">
        <v>-1.1422714393125002</v>
      </c>
      <c r="X43" s="220">
        <v>-1.1119702500000002</v>
      </c>
      <c r="Y43" s="219">
        <v>-1.0832351250000003</v>
      </c>
      <c r="Z43" s="220">
        <v>-1.0545000000000002</v>
      </c>
      <c r="AA43" s="219">
        <v>-1.0272500000000002</v>
      </c>
      <c r="AB43" s="221">
        <v>-1</v>
      </c>
      <c r="AC43" s="219">
        <v>-0.8</v>
      </c>
      <c r="AD43" s="221">
        <v>-0.6</v>
      </c>
      <c r="AE43" s="219">
        <v>-0.4</v>
      </c>
      <c r="AF43" s="219">
        <v>-0.2</v>
      </c>
      <c r="AG43" s="150">
        <v>0</v>
      </c>
      <c r="AH43" s="150">
        <v>0.2</v>
      </c>
      <c r="AI43" s="150">
        <v>0.4</v>
      </c>
      <c r="AJ43" s="150">
        <v>0.6</v>
      </c>
      <c r="AK43" s="150">
        <v>0.8</v>
      </c>
      <c r="AL43" s="150">
        <v>1</v>
      </c>
      <c r="AM43" s="150">
        <v>1.2</v>
      </c>
      <c r="AN43" s="150">
        <v>1.4</v>
      </c>
      <c r="AO43" s="150">
        <v>1.6</v>
      </c>
      <c r="AP43" s="150">
        <v>1.8</v>
      </c>
      <c r="AQ43" s="150">
        <v>2</v>
      </c>
      <c r="AR43" s="150">
        <v>2.2000000000000002</v>
      </c>
      <c r="AS43" s="150">
        <v>2.4</v>
      </c>
      <c r="AT43" s="150">
        <v>2.6</v>
      </c>
      <c r="AU43" s="150">
        <v>2.8</v>
      </c>
      <c r="AV43" s="150">
        <v>3</v>
      </c>
      <c r="AW43" s="150">
        <v>3.2</v>
      </c>
      <c r="AX43" s="150">
        <v>3.4</v>
      </c>
      <c r="AY43" s="150">
        <v>3.6</v>
      </c>
      <c r="AZ43" s="150">
        <v>3.8</v>
      </c>
      <c r="BA43" s="150">
        <v>4</v>
      </c>
      <c r="BB43" s="150">
        <v>4.2</v>
      </c>
      <c r="BC43" s="150">
        <v>4.4000000000000004</v>
      </c>
      <c r="BD43" s="150">
        <v>4.5999999999999996</v>
      </c>
      <c r="BE43" s="150">
        <v>4.8</v>
      </c>
      <c r="BF43" s="150">
        <v>5</v>
      </c>
      <c r="BG43" s="150">
        <v>5.2</v>
      </c>
      <c r="BH43" s="150">
        <v>5.4</v>
      </c>
      <c r="BI43" s="150">
        <v>5.6</v>
      </c>
      <c r="BJ43" s="150">
        <v>5.8</v>
      </c>
      <c r="BK43" s="150">
        <v>6</v>
      </c>
      <c r="BL43" s="150">
        <v>6.2</v>
      </c>
      <c r="BM43" s="150">
        <v>6.4</v>
      </c>
      <c r="BN43" s="150">
        <v>6.6</v>
      </c>
      <c r="BO43" s="150">
        <v>6.8</v>
      </c>
      <c r="BP43" s="150">
        <v>7</v>
      </c>
      <c r="BQ43" s="150">
        <v>7.2</v>
      </c>
      <c r="BR43" s="150">
        <v>7.4</v>
      </c>
      <c r="BS43" s="150">
        <v>7.6</v>
      </c>
      <c r="BT43" s="150">
        <v>7.8</v>
      </c>
      <c r="BU43" s="150">
        <v>8</v>
      </c>
      <c r="BV43" s="150">
        <v>8.1999999999999993</v>
      </c>
      <c r="BW43" s="150">
        <v>8.4</v>
      </c>
      <c r="BX43" s="150">
        <v>8.6</v>
      </c>
      <c r="BY43" s="150">
        <v>8.7999999999999936</v>
      </c>
      <c r="BZ43" s="150">
        <v>9</v>
      </c>
      <c r="CA43" s="150">
        <v>9.1999999999999922</v>
      </c>
      <c r="CB43" s="150">
        <v>9.4</v>
      </c>
      <c r="CC43" s="150">
        <v>9.5999999999999908</v>
      </c>
      <c r="CD43" s="150">
        <v>9.8000000000000007</v>
      </c>
      <c r="CE43" s="150">
        <v>9.9999999999999893</v>
      </c>
      <c r="CF43" s="150">
        <v>10.199999999999999</v>
      </c>
      <c r="CG43" s="150">
        <v>10.4</v>
      </c>
      <c r="CH43" s="150">
        <v>10.6</v>
      </c>
      <c r="CI43" s="150">
        <v>10.8</v>
      </c>
      <c r="CJ43" s="150">
        <v>11</v>
      </c>
      <c r="CK43" s="150">
        <v>11.2</v>
      </c>
      <c r="CL43" s="150">
        <v>11.4</v>
      </c>
      <c r="CM43" s="150">
        <v>11.6</v>
      </c>
      <c r="CN43" s="150">
        <v>11.8</v>
      </c>
      <c r="CO43" s="150">
        <v>12</v>
      </c>
      <c r="CP43" s="150">
        <v>12.2</v>
      </c>
      <c r="CQ43" s="150">
        <v>12.4</v>
      </c>
      <c r="CR43" s="150">
        <v>12.6</v>
      </c>
      <c r="CS43" s="150">
        <v>12.8</v>
      </c>
      <c r="CT43" s="150">
        <v>13</v>
      </c>
      <c r="CU43" s="150">
        <v>13.2</v>
      </c>
      <c r="CV43" s="150">
        <v>13.4</v>
      </c>
      <c r="CW43" s="150">
        <v>13.6</v>
      </c>
      <c r="CX43" s="150">
        <v>13.8</v>
      </c>
      <c r="CY43" s="150">
        <v>14</v>
      </c>
      <c r="CZ43" s="150">
        <v>14.2</v>
      </c>
      <c r="DA43" s="150">
        <v>14.4</v>
      </c>
      <c r="DB43" s="150">
        <v>14.6</v>
      </c>
      <c r="DC43" s="150">
        <v>14.8</v>
      </c>
      <c r="DD43" s="150">
        <v>15</v>
      </c>
      <c r="DE43" s="150">
        <v>15.2</v>
      </c>
      <c r="DF43" s="150">
        <v>15.4</v>
      </c>
      <c r="DG43" s="150">
        <v>15.6</v>
      </c>
      <c r="DH43" s="150">
        <v>15.8</v>
      </c>
      <c r="DI43" s="150">
        <v>16</v>
      </c>
      <c r="DJ43" s="150">
        <v>16.2</v>
      </c>
      <c r="DK43" s="150">
        <v>16.399999999999999</v>
      </c>
      <c r="DL43" s="150">
        <v>16.600000000000001</v>
      </c>
      <c r="DM43" s="150">
        <v>16.8</v>
      </c>
      <c r="DN43" s="150">
        <v>17</v>
      </c>
      <c r="DO43" s="150">
        <v>17.2</v>
      </c>
      <c r="DP43" s="150">
        <v>17.399999999999999</v>
      </c>
      <c r="DQ43" s="150">
        <v>17.600000000000001</v>
      </c>
      <c r="DR43" s="150">
        <v>17.8</v>
      </c>
      <c r="DS43" s="150">
        <v>18</v>
      </c>
      <c r="DT43" s="150">
        <v>18.2</v>
      </c>
      <c r="DU43" s="150">
        <v>18.399999999999999</v>
      </c>
      <c r="DV43" s="150">
        <v>18.600000000000001</v>
      </c>
      <c r="DW43" s="150">
        <v>18.8</v>
      </c>
      <c r="DX43" s="150">
        <v>19</v>
      </c>
      <c r="DY43" s="150">
        <v>19.2</v>
      </c>
      <c r="DZ43" s="150">
        <v>19.399999999999999</v>
      </c>
      <c r="EA43" s="150">
        <v>19.600000000000001</v>
      </c>
      <c r="EB43" s="150">
        <v>19.8</v>
      </c>
      <c r="EC43" s="150">
        <v>20</v>
      </c>
      <c r="ED43" s="150">
        <v>20.2</v>
      </c>
      <c r="EE43" s="150">
        <v>20.399999999999999</v>
      </c>
      <c r="EF43" s="150">
        <v>20.6</v>
      </c>
      <c r="EG43" s="150">
        <v>20.799999999999951</v>
      </c>
      <c r="EH43" s="150">
        <v>21</v>
      </c>
      <c r="EI43" s="150">
        <v>21.19999999999995</v>
      </c>
      <c r="EJ43" s="150">
        <v>21.4</v>
      </c>
      <c r="EK43" s="150">
        <v>21.599999999999948</v>
      </c>
    </row>
    <row r="44" spans="1:141" ht="13.2" x14ac:dyDescent="0.25">
      <c r="A44" s="149">
        <v>37987</v>
      </c>
      <c r="B44" s="219">
        <v>-1.7785964148750009</v>
      </c>
      <c r="C44" s="219">
        <v>-1.7482952255625008</v>
      </c>
      <c r="D44" s="219">
        <v>-1.7179940362500008</v>
      </c>
      <c r="E44" s="219">
        <v>-1.6876928469375008</v>
      </c>
      <c r="F44" s="219">
        <v>-1.6573916576250007</v>
      </c>
      <c r="G44" s="219">
        <v>-1.6270904683125007</v>
      </c>
      <c r="H44" s="219">
        <v>-1.5967892790000007</v>
      </c>
      <c r="I44" s="219">
        <v>-1.5664880896875006</v>
      </c>
      <c r="J44" s="219">
        <v>-1.5361869003750006</v>
      </c>
      <c r="K44" s="219">
        <v>-1.5058857110625006</v>
      </c>
      <c r="L44" s="219">
        <v>-1.4755845217500005</v>
      </c>
      <c r="M44" s="219">
        <v>-1.4452833324375005</v>
      </c>
      <c r="N44" s="219">
        <v>-1.4149821431250005</v>
      </c>
      <c r="O44" s="219">
        <v>-1.3846809538125004</v>
      </c>
      <c r="P44" s="219">
        <v>-1.3543797645000004</v>
      </c>
      <c r="Q44" s="219">
        <v>-1.3240785751875004</v>
      </c>
      <c r="R44" s="219">
        <v>-1.2937773858750004</v>
      </c>
      <c r="S44" s="219">
        <v>-1.2634761965625003</v>
      </c>
      <c r="T44" s="219">
        <v>-1.2331750072500003</v>
      </c>
      <c r="U44" s="219">
        <v>-1.2028738179375003</v>
      </c>
      <c r="V44" s="220">
        <v>-1.1725726286250002</v>
      </c>
      <c r="W44" s="219">
        <v>-1.1422714393125002</v>
      </c>
      <c r="X44" s="220">
        <v>-1.1119702500000002</v>
      </c>
      <c r="Y44" s="219">
        <v>-1.0832351250000003</v>
      </c>
      <c r="Z44" s="220">
        <v>-1.0545000000000002</v>
      </c>
      <c r="AA44" s="219">
        <v>-1.0272500000000002</v>
      </c>
      <c r="AB44" s="221">
        <v>-1</v>
      </c>
      <c r="AC44" s="219">
        <v>-0.8</v>
      </c>
      <c r="AD44" s="221">
        <v>-0.6</v>
      </c>
      <c r="AE44" s="219">
        <v>-0.4</v>
      </c>
      <c r="AF44" s="219">
        <v>-0.2</v>
      </c>
      <c r="AG44" s="150">
        <v>0</v>
      </c>
      <c r="AH44" s="150">
        <v>0.2</v>
      </c>
      <c r="AI44" s="150">
        <v>0.4</v>
      </c>
      <c r="AJ44" s="150">
        <v>0.6</v>
      </c>
      <c r="AK44" s="150">
        <v>0.8</v>
      </c>
      <c r="AL44" s="150">
        <v>1</v>
      </c>
      <c r="AM44" s="150">
        <v>1.2</v>
      </c>
      <c r="AN44" s="150">
        <v>1.4</v>
      </c>
      <c r="AO44" s="150">
        <v>1.6</v>
      </c>
      <c r="AP44" s="150">
        <v>1.8</v>
      </c>
      <c r="AQ44" s="150">
        <v>2</v>
      </c>
      <c r="AR44" s="150">
        <v>2.2000000000000002</v>
      </c>
      <c r="AS44" s="150">
        <v>2.4</v>
      </c>
      <c r="AT44" s="150">
        <v>2.6</v>
      </c>
      <c r="AU44" s="150">
        <v>2.8</v>
      </c>
      <c r="AV44" s="150">
        <v>3</v>
      </c>
      <c r="AW44" s="150">
        <v>3.2</v>
      </c>
      <c r="AX44" s="150">
        <v>3.4</v>
      </c>
      <c r="AY44" s="150">
        <v>3.6</v>
      </c>
      <c r="AZ44" s="150">
        <v>3.8</v>
      </c>
      <c r="BA44" s="150">
        <v>4</v>
      </c>
      <c r="BB44" s="150">
        <v>4.2</v>
      </c>
      <c r="BC44" s="150">
        <v>4.4000000000000004</v>
      </c>
      <c r="BD44" s="150">
        <v>4.5999999999999996</v>
      </c>
      <c r="BE44" s="150">
        <v>4.8</v>
      </c>
      <c r="BF44" s="150">
        <v>5</v>
      </c>
      <c r="BG44" s="150">
        <v>5.2</v>
      </c>
      <c r="BH44" s="150">
        <v>5.4</v>
      </c>
      <c r="BI44" s="150">
        <v>5.6</v>
      </c>
      <c r="BJ44" s="150">
        <v>5.8</v>
      </c>
      <c r="BK44" s="150">
        <v>6</v>
      </c>
      <c r="BL44" s="150">
        <v>6.2</v>
      </c>
      <c r="BM44" s="150">
        <v>6.4</v>
      </c>
      <c r="BN44" s="150">
        <v>6.6</v>
      </c>
      <c r="BO44" s="150">
        <v>6.8</v>
      </c>
      <c r="BP44" s="150">
        <v>7</v>
      </c>
      <c r="BQ44" s="150">
        <v>7.2</v>
      </c>
      <c r="BR44" s="150">
        <v>7.4</v>
      </c>
      <c r="BS44" s="150">
        <v>7.6</v>
      </c>
      <c r="BT44" s="150">
        <v>7.8</v>
      </c>
      <c r="BU44" s="150">
        <v>8</v>
      </c>
      <c r="BV44" s="150">
        <v>8.1999999999999993</v>
      </c>
      <c r="BW44" s="150">
        <v>8.4</v>
      </c>
      <c r="BX44" s="150">
        <v>8.6</v>
      </c>
      <c r="BY44" s="150">
        <v>8.7999999999999936</v>
      </c>
      <c r="BZ44" s="150">
        <v>9</v>
      </c>
      <c r="CA44" s="150">
        <v>9.1999999999999922</v>
      </c>
      <c r="CB44" s="150">
        <v>9.4</v>
      </c>
      <c r="CC44" s="150">
        <v>9.5999999999999908</v>
      </c>
      <c r="CD44" s="150">
        <v>9.8000000000000007</v>
      </c>
      <c r="CE44" s="150">
        <v>9.9999999999999893</v>
      </c>
      <c r="CF44" s="150">
        <v>10.199999999999999</v>
      </c>
      <c r="CG44" s="150">
        <v>10.4</v>
      </c>
      <c r="CH44" s="150">
        <v>10.6</v>
      </c>
      <c r="CI44" s="150">
        <v>10.8</v>
      </c>
      <c r="CJ44" s="150">
        <v>11</v>
      </c>
      <c r="CK44" s="150">
        <v>11.2</v>
      </c>
      <c r="CL44" s="150">
        <v>11.4</v>
      </c>
      <c r="CM44" s="150">
        <v>11.6</v>
      </c>
      <c r="CN44" s="150">
        <v>11.8</v>
      </c>
      <c r="CO44" s="150">
        <v>12</v>
      </c>
      <c r="CP44" s="150">
        <v>12.2</v>
      </c>
      <c r="CQ44" s="150">
        <v>12.4</v>
      </c>
      <c r="CR44" s="150">
        <v>12.6</v>
      </c>
      <c r="CS44" s="150">
        <v>12.8</v>
      </c>
      <c r="CT44" s="150">
        <v>13</v>
      </c>
      <c r="CU44" s="150">
        <v>13.2</v>
      </c>
      <c r="CV44" s="150">
        <v>13.4</v>
      </c>
      <c r="CW44" s="150">
        <v>13.6</v>
      </c>
      <c r="CX44" s="150">
        <v>13.8</v>
      </c>
      <c r="CY44" s="150">
        <v>14</v>
      </c>
      <c r="CZ44" s="150">
        <v>14.2</v>
      </c>
      <c r="DA44" s="150">
        <v>14.4</v>
      </c>
      <c r="DB44" s="150">
        <v>14.6</v>
      </c>
      <c r="DC44" s="150">
        <v>14.8</v>
      </c>
      <c r="DD44" s="150">
        <v>15</v>
      </c>
      <c r="DE44" s="150">
        <v>15.2</v>
      </c>
      <c r="DF44" s="150">
        <v>15.4</v>
      </c>
      <c r="DG44" s="150">
        <v>15.6</v>
      </c>
      <c r="DH44" s="150">
        <v>15.8</v>
      </c>
      <c r="DI44" s="150">
        <v>16</v>
      </c>
      <c r="DJ44" s="150">
        <v>16.2</v>
      </c>
      <c r="DK44" s="150">
        <v>16.399999999999999</v>
      </c>
      <c r="DL44" s="150">
        <v>16.600000000000001</v>
      </c>
      <c r="DM44" s="150">
        <v>16.8</v>
      </c>
      <c r="DN44" s="150">
        <v>17</v>
      </c>
      <c r="DO44" s="150">
        <v>17.2</v>
      </c>
      <c r="DP44" s="150">
        <v>17.399999999999999</v>
      </c>
      <c r="DQ44" s="150">
        <v>17.600000000000001</v>
      </c>
      <c r="DR44" s="150">
        <v>17.8</v>
      </c>
      <c r="DS44" s="150">
        <v>18</v>
      </c>
      <c r="DT44" s="150">
        <v>18.2</v>
      </c>
      <c r="DU44" s="150">
        <v>18.399999999999999</v>
      </c>
      <c r="DV44" s="150">
        <v>18.600000000000001</v>
      </c>
      <c r="DW44" s="150">
        <v>18.8</v>
      </c>
      <c r="DX44" s="150">
        <v>19</v>
      </c>
      <c r="DY44" s="150">
        <v>19.2</v>
      </c>
      <c r="DZ44" s="150">
        <v>19.399999999999999</v>
      </c>
      <c r="EA44" s="150">
        <v>19.600000000000001</v>
      </c>
      <c r="EB44" s="150">
        <v>19.8</v>
      </c>
      <c r="EC44" s="150">
        <v>20</v>
      </c>
      <c r="ED44" s="150">
        <v>20.2</v>
      </c>
      <c r="EE44" s="150">
        <v>20.399999999999999</v>
      </c>
      <c r="EF44" s="150">
        <v>20.6</v>
      </c>
      <c r="EG44" s="150">
        <v>20.799999999999951</v>
      </c>
      <c r="EH44" s="150">
        <v>21</v>
      </c>
      <c r="EI44" s="150">
        <v>21.19999999999995</v>
      </c>
      <c r="EJ44" s="150">
        <v>21.4</v>
      </c>
      <c r="EK44" s="150">
        <v>21.599999999999948</v>
      </c>
    </row>
    <row r="45" spans="1:141" ht="13.2" x14ac:dyDescent="0.25">
      <c r="A45" s="149">
        <v>38018</v>
      </c>
      <c r="B45" s="219">
        <v>-1.7785964148750009</v>
      </c>
      <c r="C45" s="219">
        <v>-1.7482952255625008</v>
      </c>
      <c r="D45" s="219">
        <v>-1.7179940362500008</v>
      </c>
      <c r="E45" s="219">
        <v>-1.6876928469375008</v>
      </c>
      <c r="F45" s="219">
        <v>-1.6573916576250007</v>
      </c>
      <c r="G45" s="219">
        <v>-1.6270904683125007</v>
      </c>
      <c r="H45" s="219">
        <v>-1.5967892790000007</v>
      </c>
      <c r="I45" s="219">
        <v>-1.5664880896875006</v>
      </c>
      <c r="J45" s="219">
        <v>-1.5361869003750006</v>
      </c>
      <c r="K45" s="219">
        <v>-1.5058857110625006</v>
      </c>
      <c r="L45" s="219">
        <v>-1.4755845217500005</v>
      </c>
      <c r="M45" s="219">
        <v>-1.4452833324375005</v>
      </c>
      <c r="N45" s="219">
        <v>-1.4149821431250005</v>
      </c>
      <c r="O45" s="219">
        <v>-1.3846809538125004</v>
      </c>
      <c r="P45" s="219">
        <v>-1.3543797645000004</v>
      </c>
      <c r="Q45" s="219">
        <v>-1.3240785751875004</v>
      </c>
      <c r="R45" s="219">
        <v>-1.2937773858750004</v>
      </c>
      <c r="S45" s="219">
        <v>-1.2634761965625003</v>
      </c>
      <c r="T45" s="219">
        <v>-1.2331750072500003</v>
      </c>
      <c r="U45" s="219">
        <v>-1.2028738179375003</v>
      </c>
      <c r="V45" s="220">
        <v>-1.1725726286250002</v>
      </c>
      <c r="W45" s="219">
        <v>-1.1422714393125002</v>
      </c>
      <c r="X45" s="220">
        <v>-1.1119702500000002</v>
      </c>
      <c r="Y45" s="219">
        <v>-1.0832351250000003</v>
      </c>
      <c r="Z45" s="220">
        <v>-1.0545000000000002</v>
      </c>
      <c r="AA45" s="219">
        <v>-1.0272500000000002</v>
      </c>
      <c r="AB45" s="221">
        <v>-1</v>
      </c>
      <c r="AC45" s="219">
        <v>-0.8</v>
      </c>
      <c r="AD45" s="221">
        <v>-0.6</v>
      </c>
      <c r="AE45" s="219">
        <v>-0.4</v>
      </c>
      <c r="AF45" s="219">
        <v>-0.2</v>
      </c>
      <c r="AG45" s="150">
        <v>0</v>
      </c>
      <c r="AH45" s="150">
        <v>0.2</v>
      </c>
      <c r="AI45" s="150">
        <v>0.4</v>
      </c>
      <c r="AJ45" s="150">
        <v>0.6</v>
      </c>
      <c r="AK45" s="150">
        <v>0.8</v>
      </c>
      <c r="AL45" s="150">
        <v>1</v>
      </c>
      <c r="AM45" s="150">
        <v>1.2</v>
      </c>
      <c r="AN45" s="150">
        <v>1.4</v>
      </c>
      <c r="AO45" s="150">
        <v>1.6</v>
      </c>
      <c r="AP45" s="150">
        <v>1.8</v>
      </c>
      <c r="AQ45" s="150">
        <v>2</v>
      </c>
      <c r="AR45" s="150">
        <v>2.2000000000000002</v>
      </c>
      <c r="AS45" s="150">
        <v>2.4</v>
      </c>
      <c r="AT45" s="150">
        <v>2.6</v>
      </c>
      <c r="AU45" s="150">
        <v>2.8</v>
      </c>
      <c r="AV45" s="150">
        <v>3</v>
      </c>
      <c r="AW45" s="150">
        <v>3.2</v>
      </c>
      <c r="AX45" s="150">
        <v>3.4</v>
      </c>
      <c r="AY45" s="150">
        <v>3.6</v>
      </c>
      <c r="AZ45" s="150">
        <v>3.8</v>
      </c>
      <c r="BA45" s="150">
        <v>4</v>
      </c>
      <c r="BB45" s="150">
        <v>4.2</v>
      </c>
      <c r="BC45" s="150">
        <v>4.4000000000000004</v>
      </c>
      <c r="BD45" s="150">
        <v>4.5999999999999996</v>
      </c>
      <c r="BE45" s="150">
        <v>4.8</v>
      </c>
      <c r="BF45" s="150">
        <v>5</v>
      </c>
      <c r="BG45" s="150">
        <v>5.2</v>
      </c>
      <c r="BH45" s="150">
        <v>5.4</v>
      </c>
      <c r="BI45" s="150">
        <v>5.6</v>
      </c>
      <c r="BJ45" s="150">
        <v>5.8</v>
      </c>
      <c r="BK45" s="150">
        <v>6</v>
      </c>
      <c r="BL45" s="150">
        <v>6.2</v>
      </c>
      <c r="BM45" s="150">
        <v>6.4</v>
      </c>
      <c r="BN45" s="150">
        <v>6.6</v>
      </c>
      <c r="BO45" s="150">
        <v>6.8</v>
      </c>
      <c r="BP45" s="150">
        <v>7</v>
      </c>
      <c r="BQ45" s="150">
        <v>7.2</v>
      </c>
      <c r="BR45" s="150">
        <v>7.4</v>
      </c>
      <c r="BS45" s="150">
        <v>7.6</v>
      </c>
      <c r="BT45" s="150">
        <v>7.8</v>
      </c>
      <c r="BU45" s="150">
        <v>8</v>
      </c>
      <c r="BV45" s="150">
        <v>8.1999999999999993</v>
      </c>
      <c r="BW45" s="150">
        <v>8.4</v>
      </c>
      <c r="BX45" s="150">
        <v>8.6</v>
      </c>
      <c r="BY45" s="150">
        <v>8.7999999999999936</v>
      </c>
      <c r="BZ45" s="150">
        <v>9</v>
      </c>
      <c r="CA45" s="150">
        <v>9.1999999999999922</v>
      </c>
      <c r="CB45" s="150">
        <v>9.4</v>
      </c>
      <c r="CC45" s="150">
        <v>9.5999999999999908</v>
      </c>
      <c r="CD45" s="150">
        <v>9.8000000000000007</v>
      </c>
      <c r="CE45" s="150">
        <v>9.9999999999999893</v>
      </c>
      <c r="CF45" s="150">
        <v>10.199999999999999</v>
      </c>
      <c r="CG45" s="150">
        <v>10.4</v>
      </c>
      <c r="CH45" s="150">
        <v>10.6</v>
      </c>
      <c r="CI45" s="150">
        <v>10.8</v>
      </c>
      <c r="CJ45" s="150">
        <v>11</v>
      </c>
      <c r="CK45" s="150">
        <v>11.2</v>
      </c>
      <c r="CL45" s="150">
        <v>11.4</v>
      </c>
      <c r="CM45" s="150">
        <v>11.6</v>
      </c>
      <c r="CN45" s="150">
        <v>11.8</v>
      </c>
      <c r="CO45" s="150">
        <v>12</v>
      </c>
      <c r="CP45" s="150">
        <v>12.2</v>
      </c>
      <c r="CQ45" s="150">
        <v>12.4</v>
      </c>
      <c r="CR45" s="150">
        <v>12.6</v>
      </c>
      <c r="CS45" s="150">
        <v>12.8</v>
      </c>
      <c r="CT45" s="150">
        <v>13</v>
      </c>
      <c r="CU45" s="150">
        <v>13.2</v>
      </c>
      <c r="CV45" s="150">
        <v>13.4</v>
      </c>
      <c r="CW45" s="150">
        <v>13.6</v>
      </c>
      <c r="CX45" s="150">
        <v>13.8</v>
      </c>
      <c r="CY45" s="150">
        <v>14</v>
      </c>
      <c r="CZ45" s="150">
        <v>14.2</v>
      </c>
      <c r="DA45" s="150">
        <v>14.4</v>
      </c>
      <c r="DB45" s="150">
        <v>14.6</v>
      </c>
      <c r="DC45" s="150">
        <v>14.8</v>
      </c>
      <c r="DD45" s="150">
        <v>15</v>
      </c>
      <c r="DE45" s="150">
        <v>15.2</v>
      </c>
      <c r="DF45" s="150">
        <v>15.4</v>
      </c>
      <c r="DG45" s="150">
        <v>15.6</v>
      </c>
      <c r="DH45" s="150">
        <v>15.8</v>
      </c>
      <c r="DI45" s="150">
        <v>16</v>
      </c>
      <c r="DJ45" s="150">
        <v>16.2</v>
      </c>
      <c r="DK45" s="150">
        <v>16.399999999999999</v>
      </c>
      <c r="DL45" s="150">
        <v>16.600000000000001</v>
      </c>
      <c r="DM45" s="150">
        <v>16.8</v>
      </c>
      <c r="DN45" s="150">
        <v>17</v>
      </c>
      <c r="DO45" s="150">
        <v>17.2</v>
      </c>
      <c r="DP45" s="150">
        <v>17.399999999999999</v>
      </c>
      <c r="DQ45" s="150">
        <v>17.600000000000001</v>
      </c>
      <c r="DR45" s="150">
        <v>17.8</v>
      </c>
      <c r="DS45" s="150">
        <v>18</v>
      </c>
      <c r="DT45" s="150">
        <v>18.2</v>
      </c>
      <c r="DU45" s="150">
        <v>18.399999999999999</v>
      </c>
      <c r="DV45" s="150">
        <v>18.600000000000001</v>
      </c>
      <c r="DW45" s="150">
        <v>18.8</v>
      </c>
      <c r="DX45" s="150">
        <v>19</v>
      </c>
      <c r="DY45" s="150">
        <v>19.2</v>
      </c>
      <c r="DZ45" s="150">
        <v>19.399999999999999</v>
      </c>
      <c r="EA45" s="150">
        <v>19.600000000000001</v>
      </c>
      <c r="EB45" s="150">
        <v>19.8</v>
      </c>
      <c r="EC45" s="150">
        <v>20</v>
      </c>
      <c r="ED45" s="150">
        <v>20.2</v>
      </c>
      <c r="EE45" s="150">
        <v>20.399999999999999</v>
      </c>
      <c r="EF45" s="150">
        <v>20.6</v>
      </c>
      <c r="EG45" s="150">
        <v>20.799999999999951</v>
      </c>
      <c r="EH45" s="150">
        <v>21</v>
      </c>
      <c r="EI45" s="150">
        <v>21.19999999999995</v>
      </c>
      <c r="EJ45" s="150">
        <v>21.4</v>
      </c>
      <c r="EK45" s="150">
        <v>21.599999999999948</v>
      </c>
    </row>
    <row r="46" spans="1:141" ht="13.2" x14ac:dyDescent="0.25">
      <c r="A46" s="149">
        <v>38047</v>
      </c>
      <c r="B46" s="219">
        <v>-1.7785964148750009</v>
      </c>
      <c r="C46" s="219">
        <v>-1.7482952255625008</v>
      </c>
      <c r="D46" s="219">
        <v>-1.7179940362500008</v>
      </c>
      <c r="E46" s="219">
        <v>-1.6876928469375008</v>
      </c>
      <c r="F46" s="219">
        <v>-1.6573916576250007</v>
      </c>
      <c r="G46" s="219">
        <v>-1.6270904683125007</v>
      </c>
      <c r="H46" s="219">
        <v>-1.5967892790000007</v>
      </c>
      <c r="I46" s="219">
        <v>-1.5664880896875006</v>
      </c>
      <c r="J46" s="219">
        <v>-1.5361869003750006</v>
      </c>
      <c r="K46" s="219">
        <v>-1.5058857110625006</v>
      </c>
      <c r="L46" s="219">
        <v>-1.4755845217500005</v>
      </c>
      <c r="M46" s="219">
        <v>-1.4452833324375005</v>
      </c>
      <c r="N46" s="219">
        <v>-1.4149821431250005</v>
      </c>
      <c r="O46" s="219">
        <v>-1.3846809538125004</v>
      </c>
      <c r="P46" s="219">
        <v>-1.3543797645000004</v>
      </c>
      <c r="Q46" s="219">
        <v>-1.3240785751875004</v>
      </c>
      <c r="R46" s="219">
        <v>-1.2937773858750004</v>
      </c>
      <c r="S46" s="219">
        <v>-1.2634761965625003</v>
      </c>
      <c r="T46" s="219">
        <v>-1.2331750072500003</v>
      </c>
      <c r="U46" s="219">
        <v>-1.2028738179375003</v>
      </c>
      <c r="V46" s="220">
        <v>-1.1725726286250002</v>
      </c>
      <c r="W46" s="219">
        <v>-1.1422714393125002</v>
      </c>
      <c r="X46" s="220">
        <v>-1.1119702500000002</v>
      </c>
      <c r="Y46" s="219">
        <v>-1.0832351250000003</v>
      </c>
      <c r="Z46" s="220">
        <v>-1.0545000000000002</v>
      </c>
      <c r="AA46" s="219">
        <v>-1.0272500000000002</v>
      </c>
      <c r="AB46" s="221">
        <v>-1</v>
      </c>
      <c r="AC46" s="219">
        <v>-0.8</v>
      </c>
      <c r="AD46" s="221">
        <v>-0.6</v>
      </c>
      <c r="AE46" s="219">
        <v>-0.4</v>
      </c>
      <c r="AF46" s="219">
        <v>-0.2</v>
      </c>
      <c r="AG46" s="150">
        <v>0</v>
      </c>
      <c r="AH46" s="150">
        <v>0.2</v>
      </c>
      <c r="AI46" s="150">
        <v>0.4</v>
      </c>
      <c r="AJ46" s="150">
        <v>0.6</v>
      </c>
      <c r="AK46" s="150">
        <v>0.8</v>
      </c>
      <c r="AL46" s="150">
        <v>1</v>
      </c>
      <c r="AM46" s="150">
        <v>1.2</v>
      </c>
      <c r="AN46" s="150">
        <v>1.4</v>
      </c>
      <c r="AO46" s="150">
        <v>1.6</v>
      </c>
      <c r="AP46" s="150">
        <v>1.8</v>
      </c>
      <c r="AQ46" s="150">
        <v>2</v>
      </c>
      <c r="AR46" s="150">
        <v>2.2000000000000002</v>
      </c>
      <c r="AS46" s="150">
        <v>2.4</v>
      </c>
      <c r="AT46" s="150">
        <v>2.6</v>
      </c>
      <c r="AU46" s="150">
        <v>2.8</v>
      </c>
      <c r="AV46" s="150">
        <v>3</v>
      </c>
      <c r="AW46" s="150">
        <v>3.2</v>
      </c>
      <c r="AX46" s="150">
        <v>3.4</v>
      </c>
      <c r="AY46" s="150">
        <v>3.6</v>
      </c>
      <c r="AZ46" s="150">
        <v>3.8</v>
      </c>
      <c r="BA46" s="150">
        <v>4</v>
      </c>
      <c r="BB46" s="150">
        <v>4.2</v>
      </c>
      <c r="BC46" s="150">
        <v>4.4000000000000004</v>
      </c>
      <c r="BD46" s="150">
        <v>4.5999999999999996</v>
      </c>
      <c r="BE46" s="150">
        <v>4.8</v>
      </c>
      <c r="BF46" s="150">
        <v>5</v>
      </c>
      <c r="BG46" s="150">
        <v>5.2</v>
      </c>
      <c r="BH46" s="150">
        <v>5.4</v>
      </c>
      <c r="BI46" s="150">
        <v>5.6</v>
      </c>
      <c r="BJ46" s="150">
        <v>5.8</v>
      </c>
      <c r="BK46" s="150">
        <v>6</v>
      </c>
      <c r="BL46" s="150">
        <v>6.2</v>
      </c>
      <c r="BM46" s="150">
        <v>6.4</v>
      </c>
      <c r="BN46" s="150">
        <v>6.6</v>
      </c>
      <c r="BO46" s="150">
        <v>6.8</v>
      </c>
      <c r="BP46" s="150">
        <v>7</v>
      </c>
      <c r="BQ46" s="150">
        <v>7.2</v>
      </c>
      <c r="BR46" s="150">
        <v>7.4</v>
      </c>
      <c r="BS46" s="150">
        <v>7.6</v>
      </c>
      <c r="BT46" s="150">
        <v>7.8</v>
      </c>
      <c r="BU46" s="150">
        <v>8</v>
      </c>
      <c r="BV46" s="150">
        <v>8.1999999999999993</v>
      </c>
      <c r="BW46" s="150">
        <v>8.4</v>
      </c>
      <c r="BX46" s="150">
        <v>8.6</v>
      </c>
      <c r="BY46" s="150">
        <v>8.7999999999999936</v>
      </c>
      <c r="BZ46" s="150">
        <v>9</v>
      </c>
      <c r="CA46" s="150">
        <v>9.1999999999999922</v>
      </c>
      <c r="CB46" s="150">
        <v>9.4</v>
      </c>
      <c r="CC46" s="150">
        <v>9.5999999999999908</v>
      </c>
      <c r="CD46" s="150">
        <v>9.8000000000000007</v>
      </c>
      <c r="CE46" s="150">
        <v>9.9999999999999893</v>
      </c>
      <c r="CF46" s="150">
        <v>10.199999999999999</v>
      </c>
      <c r="CG46" s="150">
        <v>10.4</v>
      </c>
      <c r="CH46" s="150">
        <v>10.6</v>
      </c>
      <c r="CI46" s="150">
        <v>10.8</v>
      </c>
      <c r="CJ46" s="150">
        <v>11</v>
      </c>
      <c r="CK46" s="150">
        <v>11.2</v>
      </c>
      <c r="CL46" s="150">
        <v>11.4</v>
      </c>
      <c r="CM46" s="150">
        <v>11.6</v>
      </c>
      <c r="CN46" s="150">
        <v>11.8</v>
      </c>
      <c r="CO46" s="150">
        <v>12</v>
      </c>
      <c r="CP46" s="150">
        <v>12.2</v>
      </c>
      <c r="CQ46" s="150">
        <v>12.4</v>
      </c>
      <c r="CR46" s="150">
        <v>12.6</v>
      </c>
      <c r="CS46" s="150">
        <v>12.8</v>
      </c>
      <c r="CT46" s="150">
        <v>13</v>
      </c>
      <c r="CU46" s="150">
        <v>13.2</v>
      </c>
      <c r="CV46" s="150">
        <v>13.4</v>
      </c>
      <c r="CW46" s="150">
        <v>13.6</v>
      </c>
      <c r="CX46" s="150">
        <v>13.8</v>
      </c>
      <c r="CY46" s="150">
        <v>14</v>
      </c>
      <c r="CZ46" s="150">
        <v>14.2</v>
      </c>
      <c r="DA46" s="150">
        <v>14.4</v>
      </c>
      <c r="DB46" s="150">
        <v>14.6</v>
      </c>
      <c r="DC46" s="150">
        <v>14.8</v>
      </c>
      <c r="DD46" s="150">
        <v>15</v>
      </c>
      <c r="DE46" s="150">
        <v>15.2</v>
      </c>
      <c r="DF46" s="150">
        <v>15.4</v>
      </c>
      <c r="DG46" s="150">
        <v>15.6</v>
      </c>
      <c r="DH46" s="150">
        <v>15.8</v>
      </c>
      <c r="DI46" s="150">
        <v>16</v>
      </c>
      <c r="DJ46" s="150">
        <v>16.2</v>
      </c>
      <c r="DK46" s="150">
        <v>16.399999999999999</v>
      </c>
      <c r="DL46" s="150">
        <v>16.600000000000001</v>
      </c>
      <c r="DM46" s="150">
        <v>16.8</v>
      </c>
      <c r="DN46" s="150">
        <v>17</v>
      </c>
      <c r="DO46" s="150">
        <v>17.2</v>
      </c>
      <c r="DP46" s="150">
        <v>17.399999999999999</v>
      </c>
      <c r="DQ46" s="150">
        <v>17.600000000000001</v>
      </c>
      <c r="DR46" s="150">
        <v>17.8</v>
      </c>
      <c r="DS46" s="150">
        <v>18</v>
      </c>
      <c r="DT46" s="150">
        <v>18.2</v>
      </c>
      <c r="DU46" s="150">
        <v>18.399999999999999</v>
      </c>
      <c r="DV46" s="150">
        <v>18.600000000000001</v>
      </c>
      <c r="DW46" s="150">
        <v>18.8</v>
      </c>
      <c r="DX46" s="150">
        <v>19</v>
      </c>
      <c r="DY46" s="150">
        <v>19.2</v>
      </c>
      <c r="DZ46" s="150">
        <v>19.399999999999999</v>
      </c>
      <c r="EA46" s="150">
        <v>19.600000000000001</v>
      </c>
      <c r="EB46" s="150">
        <v>19.8</v>
      </c>
      <c r="EC46" s="150">
        <v>20</v>
      </c>
      <c r="ED46" s="150">
        <v>20.2</v>
      </c>
      <c r="EE46" s="150">
        <v>20.399999999999999</v>
      </c>
      <c r="EF46" s="150">
        <v>20.6</v>
      </c>
      <c r="EG46" s="150">
        <v>20.799999999999951</v>
      </c>
      <c r="EH46" s="150">
        <v>21</v>
      </c>
      <c r="EI46" s="150">
        <v>21.19999999999995</v>
      </c>
      <c r="EJ46" s="150">
        <v>21.4</v>
      </c>
      <c r="EK46" s="150">
        <v>21.599999999999948</v>
      </c>
    </row>
    <row r="47" spans="1:141" ht="13.2" x14ac:dyDescent="0.25">
      <c r="A47" s="149">
        <v>38078</v>
      </c>
      <c r="B47" s="219">
        <v>-1.7785964148750009</v>
      </c>
      <c r="C47" s="219">
        <v>-1.7482952255625008</v>
      </c>
      <c r="D47" s="219">
        <v>-1.7179940362500008</v>
      </c>
      <c r="E47" s="219">
        <v>-1.6876928469375008</v>
      </c>
      <c r="F47" s="219">
        <v>-1.6573916576250007</v>
      </c>
      <c r="G47" s="219">
        <v>-1.6270904683125007</v>
      </c>
      <c r="H47" s="219">
        <v>-1.5967892790000007</v>
      </c>
      <c r="I47" s="219">
        <v>-1.5664880896875006</v>
      </c>
      <c r="J47" s="219">
        <v>-1.5361869003750006</v>
      </c>
      <c r="K47" s="219">
        <v>-1.5058857110625006</v>
      </c>
      <c r="L47" s="219">
        <v>-1.4755845217500005</v>
      </c>
      <c r="M47" s="219">
        <v>-1.4452833324375005</v>
      </c>
      <c r="N47" s="219">
        <v>-1.4149821431250005</v>
      </c>
      <c r="O47" s="219">
        <v>-1.3846809538125004</v>
      </c>
      <c r="P47" s="219">
        <v>-1.3543797645000004</v>
      </c>
      <c r="Q47" s="219">
        <v>-1.3240785751875004</v>
      </c>
      <c r="R47" s="219">
        <v>-1.2937773858750004</v>
      </c>
      <c r="S47" s="219">
        <v>-1.2634761965625003</v>
      </c>
      <c r="T47" s="219">
        <v>-1.2331750072500003</v>
      </c>
      <c r="U47" s="219">
        <v>-1.2028738179375003</v>
      </c>
      <c r="V47" s="220">
        <v>-1.1725726286250002</v>
      </c>
      <c r="W47" s="219">
        <v>-1.1422714393125002</v>
      </c>
      <c r="X47" s="220">
        <v>-1.1119702500000002</v>
      </c>
      <c r="Y47" s="219">
        <v>-1.0832351250000003</v>
      </c>
      <c r="Z47" s="220">
        <v>-1.0545000000000002</v>
      </c>
      <c r="AA47" s="219">
        <v>-1.0272500000000002</v>
      </c>
      <c r="AB47" s="221">
        <v>-1</v>
      </c>
      <c r="AC47" s="219">
        <v>-0.8</v>
      </c>
      <c r="AD47" s="221">
        <v>-0.6</v>
      </c>
      <c r="AE47" s="219">
        <v>-0.4</v>
      </c>
      <c r="AF47" s="219">
        <v>-0.2</v>
      </c>
      <c r="AG47" s="150">
        <v>0</v>
      </c>
      <c r="AH47" s="150">
        <v>0.2</v>
      </c>
      <c r="AI47" s="150">
        <v>0.4</v>
      </c>
      <c r="AJ47" s="150">
        <v>0.6</v>
      </c>
      <c r="AK47" s="150">
        <v>0.8</v>
      </c>
      <c r="AL47" s="150">
        <v>1</v>
      </c>
      <c r="AM47" s="150">
        <v>1.2</v>
      </c>
      <c r="AN47" s="150">
        <v>1.4</v>
      </c>
      <c r="AO47" s="150">
        <v>1.6</v>
      </c>
      <c r="AP47" s="150">
        <v>1.8</v>
      </c>
      <c r="AQ47" s="150">
        <v>2</v>
      </c>
      <c r="AR47" s="150">
        <v>2.2000000000000002</v>
      </c>
      <c r="AS47" s="150">
        <v>2.4</v>
      </c>
      <c r="AT47" s="150">
        <v>2.6</v>
      </c>
      <c r="AU47" s="150">
        <v>2.8</v>
      </c>
      <c r="AV47" s="150">
        <v>3</v>
      </c>
      <c r="AW47" s="150">
        <v>3.2</v>
      </c>
      <c r="AX47" s="150">
        <v>3.4</v>
      </c>
      <c r="AY47" s="150">
        <v>3.6</v>
      </c>
      <c r="AZ47" s="150">
        <v>3.8</v>
      </c>
      <c r="BA47" s="150">
        <v>4</v>
      </c>
      <c r="BB47" s="150">
        <v>4.2</v>
      </c>
      <c r="BC47" s="150">
        <v>4.4000000000000004</v>
      </c>
      <c r="BD47" s="150">
        <v>4.5999999999999996</v>
      </c>
      <c r="BE47" s="150">
        <v>4.8</v>
      </c>
      <c r="BF47" s="150">
        <v>5</v>
      </c>
      <c r="BG47" s="150">
        <v>5.2</v>
      </c>
      <c r="BH47" s="150">
        <v>5.4</v>
      </c>
      <c r="BI47" s="150">
        <v>5.6</v>
      </c>
      <c r="BJ47" s="150">
        <v>5.8</v>
      </c>
      <c r="BK47" s="150">
        <v>6</v>
      </c>
      <c r="BL47" s="150">
        <v>6.2</v>
      </c>
      <c r="BM47" s="150">
        <v>6.4</v>
      </c>
      <c r="BN47" s="150">
        <v>6.6</v>
      </c>
      <c r="BO47" s="150">
        <v>6.8</v>
      </c>
      <c r="BP47" s="150">
        <v>7</v>
      </c>
      <c r="BQ47" s="150">
        <v>7.2</v>
      </c>
      <c r="BR47" s="150">
        <v>7.4</v>
      </c>
      <c r="BS47" s="150">
        <v>7.6</v>
      </c>
      <c r="BT47" s="150">
        <v>7.8</v>
      </c>
      <c r="BU47" s="150">
        <v>8</v>
      </c>
      <c r="BV47" s="150">
        <v>8.1999999999999993</v>
      </c>
      <c r="BW47" s="150">
        <v>8.4</v>
      </c>
      <c r="BX47" s="150">
        <v>8.6</v>
      </c>
      <c r="BY47" s="150">
        <v>8.7999999999999936</v>
      </c>
      <c r="BZ47" s="150">
        <v>9</v>
      </c>
      <c r="CA47" s="150">
        <v>9.1999999999999922</v>
      </c>
      <c r="CB47" s="150">
        <v>9.4</v>
      </c>
      <c r="CC47" s="150">
        <v>9.5999999999999908</v>
      </c>
      <c r="CD47" s="150">
        <v>9.8000000000000007</v>
      </c>
      <c r="CE47" s="150">
        <v>9.9999999999999893</v>
      </c>
      <c r="CF47" s="150">
        <v>10.199999999999999</v>
      </c>
      <c r="CG47" s="150">
        <v>10.4</v>
      </c>
      <c r="CH47" s="150">
        <v>10.6</v>
      </c>
      <c r="CI47" s="150">
        <v>10.8</v>
      </c>
      <c r="CJ47" s="150">
        <v>11</v>
      </c>
      <c r="CK47" s="150">
        <v>11.2</v>
      </c>
      <c r="CL47" s="150">
        <v>11.4</v>
      </c>
      <c r="CM47" s="150">
        <v>11.6</v>
      </c>
      <c r="CN47" s="150">
        <v>11.8</v>
      </c>
      <c r="CO47" s="150">
        <v>12</v>
      </c>
      <c r="CP47" s="150">
        <v>12.2</v>
      </c>
      <c r="CQ47" s="150">
        <v>12.4</v>
      </c>
      <c r="CR47" s="150">
        <v>12.6</v>
      </c>
      <c r="CS47" s="150">
        <v>12.8</v>
      </c>
      <c r="CT47" s="150">
        <v>13</v>
      </c>
      <c r="CU47" s="150">
        <v>13.2</v>
      </c>
      <c r="CV47" s="150">
        <v>13.4</v>
      </c>
      <c r="CW47" s="150">
        <v>13.6</v>
      </c>
      <c r="CX47" s="150">
        <v>13.8</v>
      </c>
      <c r="CY47" s="150">
        <v>14</v>
      </c>
      <c r="CZ47" s="150">
        <v>14.2</v>
      </c>
      <c r="DA47" s="150">
        <v>14.4</v>
      </c>
      <c r="DB47" s="150">
        <v>14.6</v>
      </c>
      <c r="DC47" s="150">
        <v>14.8</v>
      </c>
      <c r="DD47" s="150">
        <v>15</v>
      </c>
      <c r="DE47" s="150">
        <v>15.2</v>
      </c>
      <c r="DF47" s="150">
        <v>15.4</v>
      </c>
      <c r="DG47" s="150">
        <v>15.6</v>
      </c>
      <c r="DH47" s="150">
        <v>15.8</v>
      </c>
      <c r="DI47" s="150">
        <v>16</v>
      </c>
      <c r="DJ47" s="150">
        <v>16.2</v>
      </c>
      <c r="DK47" s="150">
        <v>16.399999999999999</v>
      </c>
      <c r="DL47" s="150">
        <v>16.600000000000001</v>
      </c>
      <c r="DM47" s="150">
        <v>16.8</v>
      </c>
      <c r="DN47" s="150">
        <v>17</v>
      </c>
      <c r="DO47" s="150">
        <v>17.2</v>
      </c>
      <c r="DP47" s="150">
        <v>17.399999999999999</v>
      </c>
      <c r="DQ47" s="150">
        <v>17.600000000000001</v>
      </c>
      <c r="DR47" s="150">
        <v>17.8</v>
      </c>
      <c r="DS47" s="150">
        <v>18</v>
      </c>
      <c r="DT47" s="150">
        <v>18.2</v>
      </c>
      <c r="DU47" s="150">
        <v>18.399999999999999</v>
      </c>
      <c r="DV47" s="150">
        <v>18.600000000000001</v>
      </c>
      <c r="DW47" s="150">
        <v>18.8</v>
      </c>
      <c r="DX47" s="150">
        <v>19</v>
      </c>
      <c r="DY47" s="150">
        <v>19.2</v>
      </c>
      <c r="DZ47" s="150">
        <v>19.399999999999999</v>
      </c>
      <c r="EA47" s="150">
        <v>19.600000000000001</v>
      </c>
      <c r="EB47" s="150">
        <v>19.8</v>
      </c>
      <c r="EC47" s="150">
        <v>20</v>
      </c>
      <c r="ED47" s="150">
        <v>20.2</v>
      </c>
      <c r="EE47" s="150">
        <v>20.399999999999999</v>
      </c>
      <c r="EF47" s="150">
        <v>20.6</v>
      </c>
      <c r="EG47" s="150">
        <v>20.799999999999951</v>
      </c>
      <c r="EH47" s="150">
        <v>21</v>
      </c>
      <c r="EI47" s="150">
        <v>21.19999999999995</v>
      </c>
      <c r="EJ47" s="150">
        <v>21.4</v>
      </c>
      <c r="EK47" s="150">
        <v>21.599999999999948</v>
      </c>
    </row>
    <row r="48" spans="1:141" ht="13.2" x14ac:dyDescent="0.25">
      <c r="A48" s="149">
        <v>38108</v>
      </c>
      <c r="B48" s="219">
        <v>-1.7785964148750009</v>
      </c>
      <c r="C48" s="219">
        <v>-1.7482952255625008</v>
      </c>
      <c r="D48" s="219">
        <v>-1.7179940362500008</v>
      </c>
      <c r="E48" s="219">
        <v>-1.6876928469375008</v>
      </c>
      <c r="F48" s="219">
        <v>-1.6573916576250007</v>
      </c>
      <c r="G48" s="219">
        <v>-1.6270904683125007</v>
      </c>
      <c r="H48" s="219">
        <v>-1.5967892790000007</v>
      </c>
      <c r="I48" s="219">
        <v>-1.5664880896875006</v>
      </c>
      <c r="J48" s="219">
        <v>-1.5361869003750006</v>
      </c>
      <c r="K48" s="219">
        <v>-1.5058857110625006</v>
      </c>
      <c r="L48" s="219">
        <v>-1.4755845217500005</v>
      </c>
      <c r="M48" s="219">
        <v>-1.4452833324375005</v>
      </c>
      <c r="N48" s="219">
        <v>-1.4149821431250005</v>
      </c>
      <c r="O48" s="219">
        <v>-1.3846809538125004</v>
      </c>
      <c r="P48" s="219">
        <v>-1.3543797645000004</v>
      </c>
      <c r="Q48" s="219">
        <v>-1.3240785751875004</v>
      </c>
      <c r="R48" s="219">
        <v>-1.2937773858750004</v>
      </c>
      <c r="S48" s="219">
        <v>-1.2634761965625003</v>
      </c>
      <c r="T48" s="219">
        <v>-1.2331750072500003</v>
      </c>
      <c r="U48" s="219">
        <v>-1.2028738179375003</v>
      </c>
      <c r="V48" s="220">
        <v>-1.1725726286250002</v>
      </c>
      <c r="W48" s="219">
        <v>-1.1422714393125002</v>
      </c>
      <c r="X48" s="220">
        <v>-1.1119702500000002</v>
      </c>
      <c r="Y48" s="219">
        <v>-1.0832351250000003</v>
      </c>
      <c r="Z48" s="220">
        <v>-1.0545000000000002</v>
      </c>
      <c r="AA48" s="219">
        <v>-1.0272500000000002</v>
      </c>
      <c r="AB48" s="221">
        <v>-1</v>
      </c>
      <c r="AC48" s="219">
        <v>-0.8</v>
      </c>
      <c r="AD48" s="221">
        <v>-0.6</v>
      </c>
      <c r="AE48" s="219">
        <v>-0.4</v>
      </c>
      <c r="AF48" s="219">
        <v>-0.2</v>
      </c>
      <c r="AG48" s="150">
        <v>0</v>
      </c>
      <c r="AH48" s="150">
        <v>0.2</v>
      </c>
      <c r="AI48" s="150">
        <v>0.4</v>
      </c>
      <c r="AJ48" s="150">
        <v>0.6</v>
      </c>
      <c r="AK48" s="150">
        <v>0.8</v>
      </c>
      <c r="AL48" s="150">
        <v>1</v>
      </c>
      <c r="AM48" s="150">
        <v>1.2</v>
      </c>
      <c r="AN48" s="150">
        <v>1.4</v>
      </c>
      <c r="AO48" s="150">
        <v>1.6</v>
      </c>
      <c r="AP48" s="150">
        <v>1.8</v>
      </c>
      <c r="AQ48" s="150">
        <v>2</v>
      </c>
      <c r="AR48" s="150">
        <v>2.2000000000000002</v>
      </c>
      <c r="AS48" s="150">
        <v>2.4</v>
      </c>
      <c r="AT48" s="150">
        <v>2.6</v>
      </c>
      <c r="AU48" s="150">
        <v>2.8</v>
      </c>
      <c r="AV48" s="150">
        <v>3</v>
      </c>
      <c r="AW48" s="150">
        <v>3.2</v>
      </c>
      <c r="AX48" s="150">
        <v>3.4</v>
      </c>
      <c r="AY48" s="150">
        <v>3.6</v>
      </c>
      <c r="AZ48" s="150">
        <v>3.8</v>
      </c>
      <c r="BA48" s="150">
        <v>4</v>
      </c>
      <c r="BB48" s="150">
        <v>4.2</v>
      </c>
      <c r="BC48" s="150">
        <v>4.4000000000000004</v>
      </c>
      <c r="BD48" s="150">
        <v>4.5999999999999996</v>
      </c>
      <c r="BE48" s="150">
        <v>4.8</v>
      </c>
      <c r="BF48" s="150">
        <v>5</v>
      </c>
      <c r="BG48" s="150">
        <v>5.2</v>
      </c>
      <c r="BH48" s="150">
        <v>5.4</v>
      </c>
      <c r="BI48" s="150">
        <v>5.6</v>
      </c>
      <c r="BJ48" s="150">
        <v>5.8</v>
      </c>
      <c r="BK48" s="150">
        <v>6</v>
      </c>
      <c r="BL48" s="150">
        <v>6.2</v>
      </c>
      <c r="BM48" s="150">
        <v>6.4</v>
      </c>
      <c r="BN48" s="150">
        <v>6.6</v>
      </c>
      <c r="BO48" s="150">
        <v>6.8</v>
      </c>
      <c r="BP48" s="150">
        <v>7</v>
      </c>
      <c r="BQ48" s="150">
        <v>7.2</v>
      </c>
      <c r="BR48" s="150">
        <v>7.4</v>
      </c>
      <c r="BS48" s="150">
        <v>7.6</v>
      </c>
      <c r="BT48" s="150">
        <v>7.8</v>
      </c>
      <c r="BU48" s="150">
        <v>8</v>
      </c>
      <c r="BV48" s="150">
        <v>8.1999999999999993</v>
      </c>
      <c r="BW48" s="150">
        <v>8.4</v>
      </c>
      <c r="BX48" s="150">
        <v>8.6</v>
      </c>
      <c r="BY48" s="150">
        <v>8.7999999999999936</v>
      </c>
      <c r="BZ48" s="150">
        <v>9</v>
      </c>
      <c r="CA48" s="150">
        <v>9.1999999999999922</v>
      </c>
      <c r="CB48" s="150">
        <v>9.4</v>
      </c>
      <c r="CC48" s="150">
        <v>9.5999999999999908</v>
      </c>
      <c r="CD48" s="150">
        <v>9.8000000000000007</v>
      </c>
      <c r="CE48" s="150">
        <v>9.9999999999999893</v>
      </c>
      <c r="CF48" s="150">
        <v>10.199999999999999</v>
      </c>
      <c r="CG48" s="150">
        <v>10.4</v>
      </c>
      <c r="CH48" s="150">
        <v>10.6</v>
      </c>
      <c r="CI48" s="150">
        <v>10.8</v>
      </c>
      <c r="CJ48" s="150">
        <v>11</v>
      </c>
      <c r="CK48" s="150">
        <v>11.2</v>
      </c>
      <c r="CL48" s="150">
        <v>11.4</v>
      </c>
      <c r="CM48" s="150">
        <v>11.6</v>
      </c>
      <c r="CN48" s="150">
        <v>11.8</v>
      </c>
      <c r="CO48" s="150">
        <v>12</v>
      </c>
      <c r="CP48" s="150">
        <v>12.2</v>
      </c>
      <c r="CQ48" s="150">
        <v>12.4</v>
      </c>
      <c r="CR48" s="150">
        <v>12.6</v>
      </c>
      <c r="CS48" s="150">
        <v>12.8</v>
      </c>
      <c r="CT48" s="150">
        <v>13</v>
      </c>
      <c r="CU48" s="150">
        <v>13.2</v>
      </c>
      <c r="CV48" s="150">
        <v>13.4</v>
      </c>
      <c r="CW48" s="150">
        <v>13.6</v>
      </c>
      <c r="CX48" s="150">
        <v>13.8</v>
      </c>
      <c r="CY48" s="150">
        <v>14</v>
      </c>
      <c r="CZ48" s="150">
        <v>14.2</v>
      </c>
      <c r="DA48" s="150">
        <v>14.4</v>
      </c>
      <c r="DB48" s="150">
        <v>14.6</v>
      </c>
      <c r="DC48" s="150">
        <v>14.8</v>
      </c>
      <c r="DD48" s="150">
        <v>15</v>
      </c>
      <c r="DE48" s="150">
        <v>15.2</v>
      </c>
      <c r="DF48" s="150">
        <v>15.4</v>
      </c>
      <c r="DG48" s="150">
        <v>15.6</v>
      </c>
      <c r="DH48" s="150">
        <v>15.8</v>
      </c>
      <c r="DI48" s="150">
        <v>16</v>
      </c>
      <c r="DJ48" s="150">
        <v>16.2</v>
      </c>
      <c r="DK48" s="150">
        <v>16.399999999999999</v>
      </c>
      <c r="DL48" s="150">
        <v>16.600000000000001</v>
      </c>
      <c r="DM48" s="150">
        <v>16.8</v>
      </c>
      <c r="DN48" s="150">
        <v>17</v>
      </c>
      <c r="DO48" s="150">
        <v>17.2</v>
      </c>
      <c r="DP48" s="150">
        <v>17.399999999999999</v>
      </c>
      <c r="DQ48" s="150">
        <v>17.600000000000001</v>
      </c>
      <c r="DR48" s="150">
        <v>17.8</v>
      </c>
      <c r="DS48" s="150">
        <v>18</v>
      </c>
      <c r="DT48" s="150">
        <v>18.2</v>
      </c>
      <c r="DU48" s="150">
        <v>18.399999999999999</v>
      </c>
      <c r="DV48" s="150">
        <v>18.600000000000001</v>
      </c>
      <c r="DW48" s="150">
        <v>18.8</v>
      </c>
      <c r="DX48" s="150">
        <v>19</v>
      </c>
      <c r="DY48" s="150">
        <v>19.2</v>
      </c>
      <c r="DZ48" s="150">
        <v>19.399999999999999</v>
      </c>
      <c r="EA48" s="150">
        <v>19.600000000000001</v>
      </c>
      <c r="EB48" s="150">
        <v>19.8</v>
      </c>
      <c r="EC48" s="150">
        <v>20</v>
      </c>
      <c r="ED48" s="150">
        <v>20.2</v>
      </c>
      <c r="EE48" s="150">
        <v>20.399999999999999</v>
      </c>
      <c r="EF48" s="150">
        <v>20.6</v>
      </c>
      <c r="EG48" s="150">
        <v>20.799999999999951</v>
      </c>
      <c r="EH48" s="150">
        <v>21</v>
      </c>
      <c r="EI48" s="150">
        <v>21.19999999999995</v>
      </c>
      <c r="EJ48" s="150">
        <v>21.4</v>
      </c>
      <c r="EK48" s="150">
        <v>21.599999999999948</v>
      </c>
    </row>
    <row r="49" spans="1:141" ht="13.2" x14ac:dyDescent="0.25">
      <c r="A49" s="149">
        <v>38139</v>
      </c>
      <c r="B49" s="219">
        <v>-1.7785964148750009</v>
      </c>
      <c r="C49" s="219">
        <v>-1.7482952255625008</v>
      </c>
      <c r="D49" s="219">
        <v>-1.7179940362500008</v>
      </c>
      <c r="E49" s="219">
        <v>-1.6876928469375008</v>
      </c>
      <c r="F49" s="219">
        <v>-1.6573916576250007</v>
      </c>
      <c r="G49" s="219">
        <v>-1.6270904683125007</v>
      </c>
      <c r="H49" s="219">
        <v>-1.5967892790000007</v>
      </c>
      <c r="I49" s="219">
        <v>-1.5664880896875006</v>
      </c>
      <c r="J49" s="219">
        <v>-1.5361869003750006</v>
      </c>
      <c r="K49" s="219">
        <v>-1.5058857110625006</v>
      </c>
      <c r="L49" s="219">
        <v>-1.4755845217500005</v>
      </c>
      <c r="M49" s="219">
        <v>-1.4452833324375005</v>
      </c>
      <c r="N49" s="219">
        <v>-1.4149821431250005</v>
      </c>
      <c r="O49" s="219">
        <v>-1.3846809538125004</v>
      </c>
      <c r="P49" s="219">
        <v>-1.3543797645000004</v>
      </c>
      <c r="Q49" s="219">
        <v>-1.3240785751875004</v>
      </c>
      <c r="R49" s="219">
        <v>-1.2937773858750004</v>
      </c>
      <c r="S49" s="219">
        <v>-1.2634761965625003</v>
      </c>
      <c r="T49" s="219">
        <v>-1.2331750072500003</v>
      </c>
      <c r="U49" s="219">
        <v>-1.2028738179375003</v>
      </c>
      <c r="V49" s="220">
        <v>-1.1725726286250002</v>
      </c>
      <c r="W49" s="219">
        <v>-1.1422714393125002</v>
      </c>
      <c r="X49" s="220">
        <v>-1.1119702500000002</v>
      </c>
      <c r="Y49" s="219">
        <v>-1.0832351250000003</v>
      </c>
      <c r="Z49" s="220">
        <v>-1.0545000000000002</v>
      </c>
      <c r="AA49" s="219">
        <v>-1.0272500000000002</v>
      </c>
      <c r="AB49" s="221">
        <v>-1</v>
      </c>
      <c r="AC49" s="219">
        <v>-0.8</v>
      </c>
      <c r="AD49" s="221">
        <v>-0.6</v>
      </c>
      <c r="AE49" s="219">
        <v>-0.4</v>
      </c>
      <c r="AF49" s="219">
        <v>-0.2</v>
      </c>
      <c r="AG49" s="150">
        <v>0</v>
      </c>
      <c r="AH49" s="150">
        <v>0.2</v>
      </c>
      <c r="AI49" s="150">
        <v>0.4</v>
      </c>
      <c r="AJ49" s="150">
        <v>0.6</v>
      </c>
      <c r="AK49" s="150">
        <v>0.8</v>
      </c>
      <c r="AL49" s="150">
        <v>1</v>
      </c>
      <c r="AM49" s="150">
        <v>1.2</v>
      </c>
      <c r="AN49" s="150">
        <v>1.4</v>
      </c>
      <c r="AO49" s="150">
        <v>1.6</v>
      </c>
      <c r="AP49" s="150">
        <v>1.8</v>
      </c>
      <c r="AQ49" s="150">
        <v>2</v>
      </c>
      <c r="AR49" s="150">
        <v>2.2000000000000002</v>
      </c>
      <c r="AS49" s="150">
        <v>2.4</v>
      </c>
      <c r="AT49" s="150">
        <v>2.6</v>
      </c>
      <c r="AU49" s="150">
        <v>2.8</v>
      </c>
      <c r="AV49" s="150">
        <v>3</v>
      </c>
      <c r="AW49" s="150">
        <v>3.2</v>
      </c>
      <c r="AX49" s="150">
        <v>3.4</v>
      </c>
      <c r="AY49" s="150">
        <v>3.6</v>
      </c>
      <c r="AZ49" s="150">
        <v>3.8</v>
      </c>
      <c r="BA49" s="150">
        <v>4</v>
      </c>
      <c r="BB49" s="150">
        <v>4.2</v>
      </c>
      <c r="BC49" s="150">
        <v>4.4000000000000004</v>
      </c>
      <c r="BD49" s="150">
        <v>4.5999999999999996</v>
      </c>
      <c r="BE49" s="150">
        <v>4.8</v>
      </c>
      <c r="BF49" s="150">
        <v>5</v>
      </c>
      <c r="BG49" s="150">
        <v>5.2</v>
      </c>
      <c r="BH49" s="150">
        <v>5.4</v>
      </c>
      <c r="BI49" s="150">
        <v>5.6</v>
      </c>
      <c r="BJ49" s="150">
        <v>5.8</v>
      </c>
      <c r="BK49" s="150">
        <v>6</v>
      </c>
      <c r="BL49" s="150">
        <v>6.2</v>
      </c>
      <c r="BM49" s="150">
        <v>6.4</v>
      </c>
      <c r="BN49" s="150">
        <v>6.6</v>
      </c>
      <c r="BO49" s="150">
        <v>6.8</v>
      </c>
      <c r="BP49" s="150">
        <v>7</v>
      </c>
      <c r="BQ49" s="150">
        <v>7.2</v>
      </c>
      <c r="BR49" s="150">
        <v>7.4</v>
      </c>
      <c r="BS49" s="150">
        <v>7.6</v>
      </c>
      <c r="BT49" s="150">
        <v>7.8</v>
      </c>
      <c r="BU49" s="150">
        <v>8</v>
      </c>
      <c r="BV49" s="150">
        <v>8.1999999999999993</v>
      </c>
      <c r="BW49" s="150">
        <v>8.4</v>
      </c>
      <c r="BX49" s="150">
        <v>8.6</v>
      </c>
      <c r="BY49" s="150">
        <v>8.7999999999999936</v>
      </c>
      <c r="BZ49" s="150">
        <v>9</v>
      </c>
      <c r="CA49" s="150">
        <v>9.1999999999999922</v>
      </c>
      <c r="CB49" s="150">
        <v>9.4</v>
      </c>
      <c r="CC49" s="150">
        <v>9.5999999999999908</v>
      </c>
      <c r="CD49" s="150">
        <v>9.8000000000000007</v>
      </c>
      <c r="CE49" s="150">
        <v>9.9999999999999893</v>
      </c>
      <c r="CF49" s="150">
        <v>10.199999999999999</v>
      </c>
      <c r="CG49" s="150">
        <v>10.4</v>
      </c>
      <c r="CH49" s="150">
        <v>10.6</v>
      </c>
      <c r="CI49" s="150">
        <v>10.8</v>
      </c>
      <c r="CJ49" s="150">
        <v>11</v>
      </c>
      <c r="CK49" s="150">
        <v>11.2</v>
      </c>
      <c r="CL49" s="150">
        <v>11.4</v>
      </c>
      <c r="CM49" s="150">
        <v>11.6</v>
      </c>
      <c r="CN49" s="150">
        <v>11.8</v>
      </c>
      <c r="CO49" s="150">
        <v>12</v>
      </c>
      <c r="CP49" s="150">
        <v>12.2</v>
      </c>
      <c r="CQ49" s="150">
        <v>12.4</v>
      </c>
      <c r="CR49" s="150">
        <v>12.6</v>
      </c>
      <c r="CS49" s="150">
        <v>12.8</v>
      </c>
      <c r="CT49" s="150">
        <v>13</v>
      </c>
      <c r="CU49" s="150">
        <v>13.2</v>
      </c>
      <c r="CV49" s="150">
        <v>13.4</v>
      </c>
      <c r="CW49" s="150">
        <v>13.6</v>
      </c>
      <c r="CX49" s="150">
        <v>13.8</v>
      </c>
      <c r="CY49" s="150">
        <v>14</v>
      </c>
      <c r="CZ49" s="150">
        <v>14.2</v>
      </c>
      <c r="DA49" s="150">
        <v>14.4</v>
      </c>
      <c r="DB49" s="150">
        <v>14.6</v>
      </c>
      <c r="DC49" s="150">
        <v>14.8</v>
      </c>
      <c r="DD49" s="150">
        <v>15</v>
      </c>
      <c r="DE49" s="150">
        <v>15.2</v>
      </c>
      <c r="DF49" s="150">
        <v>15.4</v>
      </c>
      <c r="DG49" s="150">
        <v>15.6</v>
      </c>
      <c r="DH49" s="150">
        <v>15.8</v>
      </c>
      <c r="DI49" s="150">
        <v>16</v>
      </c>
      <c r="DJ49" s="150">
        <v>16.2</v>
      </c>
      <c r="DK49" s="150">
        <v>16.399999999999999</v>
      </c>
      <c r="DL49" s="150">
        <v>16.600000000000001</v>
      </c>
      <c r="DM49" s="150">
        <v>16.8</v>
      </c>
      <c r="DN49" s="150">
        <v>17</v>
      </c>
      <c r="DO49" s="150">
        <v>17.2</v>
      </c>
      <c r="DP49" s="150">
        <v>17.399999999999999</v>
      </c>
      <c r="DQ49" s="150">
        <v>17.600000000000001</v>
      </c>
      <c r="DR49" s="150">
        <v>17.8</v>
      </c>
      <c r="DS49" s="150">
        <v>18</v>
      </c>
      <c r="DT49" s="150">
        <v>18.2</v>
      </c>
      <c r="DU49" s="150">
        <v>18.399999999999999</v>
      </c>
      <c r="DV49" s="150">
        <v>18.600000000000001</v>
      </c>
      <c r="DW49" s="150">
        <v>18.8</v>
      </c>
      <c r="DX49" s="150">
        <v>19</v>
      </c>
      <c r="DY49" s="150">
        <v>19.2</v>
      </c>
      <c r="DZ49" s="150">
        <v>19.399999999999999</v>
      </c>
      <c r="EA49" s="150">
        <v>19.600000000000001</v>
      </c>
      <c r="EB49" s="150">
        <v>19.8</v>
      </c>
      <c r="EC49" s="150">
        <v>20</v>
      </c>
      <c r="ED49" s="150">
        <v>20.2</v>
      </c>
      <c r="EE49" s="150">
        <v>20.399999999999999</v>
      </c>
      <c r="EF49" s="150">
        <v>20.6</v>
      </c>
      <c r="EG49" s="150">
        <v>20.799999999999951</v>
      </c>
      <c r="EH49" s="150">
        <v>21</v>
      </c>
      <c r="EI49" s="150">
        <v>21.19999999999995</v>
      </c>
      <c r="EJ49" s="150">
        <v>21.4</v>
      </c>
      <c r="EK49" s="150">
        <v>21.599999999999948</v>
      </c>
    </row>
    <row r="50" spans="1:141" ht="13.2" x14ac:dyDescent="0.25">
      <c r="A50" s="149">
        <v>38169</v>
      </c>
      <c r="B50" s="219">
        <v>-1.7785964148750009</v>
      </c>
      <c r="C50" s="219">
        <v>-1.7482952255625008</v>
      </c>
      <c r="D50" s="219">
        <v>-1.7179940362500008</v>
      </c>
      <c r="E50" s="219">
        <v>-1.6876928469375008</v>
      </c>
      <c r="F50" s="219">
        <v>-1.6573916576250007</v>
      </c>
      <c r="G50" s="219">
        <v>-1.6270904683125007</v>
      </c>
      <c r="H50" s="219">
        <v>-1.5967892790000007</v>
      </c>
      <c r="I50" s="219">
        <v>-1.5664880896875006</v>
      </c>
      <c r="J50" s="219">
        <v>-1.5361869003750006</v>
      </c>
      <c r="K50" s="219">
        <v>-1.5058857110625006</v>
      </c>
      <c r="L50" s="219">
        <v>-1.4755845217500005</v>
      </c>
      <c r="M50" s="219">
        <v>-1.4452833324375005</v>
      </c>
      <c r="N50" s="219">
        <v>-1.4149821431250005</v>
      </c>
      <c r="O50" s="219">
        <v>-1.3846809538125004</v>
      </c>
      <c r="P50" s="219">
        <v>-1.3543797645000004</v>
      </c>
      <c r="Q50" s="219">
        <v>-1.3240785751875004</v>
      </c>
      <c r="R50" s="219">
        <v>-1.2937773858750004</v>
      </c>
      <c r="S50" s="219">
        <v>-1.2634761965625003</v>
      </c>
      <c r="T50" s="219">
        <v>-1.2331750072500003</v>
      </c>
      <c r="U50" s="219">
        <v>-1.2028738179375003</v>
      </c>
      <c r="V50" s="220">
        <v>-1.1725726286250002</v>
      </c>
      <c r="W50" s="219">
        <v>-1.1422714393125002</v>
      </c>
      <c r="X50" s="220">
        <v>-1.1119702500000002</v>
      </c>
      <c r="Y50" s="219">
        <v>-1.0832351250000003</v>
      </c>
      <c r="Z50" s="220">
        <v>-1.0545000000000002</v>
      </c>
      <c r="AA50" s="219">
        <v>-1.0272500000000002</v>
      </c>
      <c r="AB50" s="221">
        <v>-1</v>
      </c>
      <c r="AC50" s="219">
        <v>-0.8</v>
      </c>
      <c r="AD50" s="221">
        <v>-0.6</v>
      </c>
      <c r="AE50" s="219">
        <v>-0.4</v>
      </c>
      <c r="AF50" s="219">
        <v>-0.2</v>
      </c>
      <c r="AG50" s="150">
        <v>0</v>
      </c>
      <c r="AH50" s="150">
        <v>0.2</v>
      </c>
      <c r="AI50" s="150">
        <v>0.4</v>
      </c>
      <c r="AJ50" s="150">
        <v>0.6</v>
      </c>
      <c r="AK50" s="150">
        <v>0.8</v>
      </c>
      <c r="AL50" s="150">
        <v>1</v>
      </c>
      <c r="AM50" s="150">
        <v>1.2</v>
      </c>
      <c r="AN50" s="150">
        <v>1.4</v>
      </c>
      <c r="AO50" s="150">
        <v>1.6</v>
      </c>
      <c r="AP50" s="150">
        <v>1.8</v>
      </c>
      <c r="AQ50" s="150">
        <v>2</v>
      </c>
      <c r="AR50" s="150">
        <v>2.2000000000000002</v>
      </c>
      <c r="AS50" s="150">
        <v>2.4</v>
      </c>
      <c r="AT50" s="150">
        <v>2.6</v>
      </c>
      <c r="AU50" s="150">
        <v>2.8</v>
      </c>
      <c r="AV50" s="150">
        <v>3</v>
      </c>
      <c r="AW50" s="150">
        <v>3.2</v>
      </c>
      <c r="AX50" s="150">
        <v>3.4</v>
      </c>
      <c r="AY50" s="150">
        <v>3.6</v>
      </c>
      <c r="AZ50" s="150">
        <v>3.8</v>
      </c>
      <c r="BA50" s="150">
        <v>4</v>
      </c>
      <c r="BB50" s="150">
        <v>4.2</v>
      </c>
      <c r="BC50" s="150">
        <v>4.4000000000000004</v>
      </c>
      <c r="BD50" s="150">
        <v>4.5999999999999996</v>
      </c>
      <c r="BE50" s="150">
        <v>4.8</v>
      </c>
      <c r="BF50" s="150">
        <v>5</v>
      </c>
      <c r="BG50" s="150">
        <v>5.2</v>
      </c>
      <c r="BH50" s="150">
        <v>5.4</v>
      </c>
      <c r="BI50" s="150">
        <v>5.6</v>
      </c>
      <c r="BJ50" s="150">
        <v>5.8</v>
      </c>
      <c r="BK50" s="150">
        <v>6</v>
      </c>
      <c r="BL50" s="150">
        <v>6.2</v>
      </c>
      <c r="BM50" s="150">
        <v>6.4</v>
      </c>
      <c r="BN50" s="150">
        <v>6.6</v>
      </c>
      <c r="BO50" s="150">
        <v>6.8</v>
      </c>
      <c r="BP50" s="150">
        <v>7</v>
      </c>
      <c r="BQ50" s="150">
        <v>7.2</v>
      </c>
      <c r="BR50" s="150">
        <v>7.4</v>
      </c>
      <c r="BS50" s="150">
        <v>7.6</v>
      </c>
      <c r="BT50" s="150">
        <v>7.8</v>
      </c>
      <c r="BU50" s="150">
        <v>8</v>
      </c>
      <c r="BV50" s="150">
        <v>8.1999999999999993</v>
      </c>
      <c r="BW50" s="150">
        <v>8.4</v>
      </c>
      <c r="BX50" s="150">
        <v>8.6</v>
      </c>
      <c r="BY50" s="150">
        <v>8.7999999999999936</v>
      </c>
      <c r="BZ50" s="150">
        <v>9</v>
      </c>
      <c r="CA50" s="150">
        <v>9.1999999999999922</v>
      </c>
      <c r="CB50" s="150">
        <v>9.4</v>
      </c>
      <c r="CC50" s="150">
        <v>9.5999999999999908</v>
      </c>
      <c r="CD50" s="150">
        <v>9.8000000000000007</v>
      </c>
      <c r="CE50" s="150">
        <v>9.9999999999999893</v>
      </c>
      <c r="CF50" s="150">
        <v>10.199999999999999</v>
      </c>
      <c r="CG50" s="150">
        <v>10.4</v>
      </c>
      <c r="CH50" s="150">
        <v>10.6</v>
      </c>
      <c r="CI50" s="150">
        <v>10.8</v>
      </c>
      <c r="CJ50" s="150">
        <v>11</v>
      </c>
      <c r="CK50" s="150">
        <v>11.2</v>
      </c>
      <c r="CL50" s="150">
        <v>11.4</v>
      </c>
      <c r="CM50" s="150">
        <v>11.6</v>
      </c>
      <c r="CN50" s="150">
        <v>11.8</v>
      </c>
      <c r="CO50" s="150">
        <v>12</v>
      </c>
      <c r="CP50" s="150">
        <v>12.2</v>
      </c>
      <c r="CQ50" s="150">
        <v>12.4</v>
      </c>
      <c r="CR50" s="150">
        <v>12.6</v>
      </c>
      <c r="CS50" s="150">
        <v>12.8</v>
      </c>
      <c r="CT50" s="150">
        <v>13</v>
      </c>
      <c r="CU50" s="150">
        <v>13.2</v>
      </c>
      <c r="CV50" s="150">
        <v>13.4</v>
      </c>
      <c r="CW50" s="150">
        <v>13.6</v>
      </c>
      <c r="CX50" s="150">
        <v>13.8</v>
      </c>
      <c r="CY50" s="150">
        <v>14</v>
      </c>
      <c r="CZ50" s="150">
        <v>14.2</v>
      </c>
      <c r="DA50" s="150">
        <v>14.4</v>
      </c>
      <c r="DB50" s="150">
        <v>14.6</v>
      </c>
      <c r="DC50" s="150">
        <v>14.8</v>
      </c>
      <c r="DD50" s="150">
        <v>15</v>
      </c>
      <c r="DE50" s="150">
        <v>15.2</v>
      </c>
      <c r="DF50" s="150">
        <v>15.4</v>
      </c>
      <c r="DG50" s="150">
        <v>15.6</v>
      </c>
      <c r="DH50" s="150">
        <v>15.8</v>
      </c>
      <c r="DI50" s="150">
        <v>16</v>
      </c>
      <c r="DJ50" s="150">
        <v>16.2</v>
      </c>
      <c r="DK50" s="150">
        <v>16.399999999999999</v>
      </c>
      <c r="DL50" s="150">
        <v>16.600000000000001</v>
      </c>
      <c r="DM50" s="150">
        <v>16.8</v>
      </c>
      <c r="DN50" s="150">
        <v>17</v>
      </c>
      <c r="DO50" s="150">
        <v>17.2</v>
      </c>
      <c r="DP50" s="150">
        <v>17.399999999999999</v>
      </c>
      <c r="DQ50" s="150">
        <v>17.600000000000001</v>
      </c>
      <c r="DR50" s="150">
        <v>17.8</v>
      </c>
      <c r="DS50" s="150">
        <v>18</v>
      </c>
      <c r="DT50" s="150">
        <v>18.2</v>
      </c>
      <c r="DU50" s="150">
        <v>18.399999999999999</v>
      </c>
      <c r="DV50" s="150">
        <v>18.600000000000001</v>
      </c>
      <c r="DW50" s="150">
        <v>18.8</v>
      </c>
      <c r="DX50" s="150">
        <v>19</v>
      </c>
      <c r="DY50" s="150">
        <v>19.2</v>
      </c>
      <c r="DZ50" s="150">
        <v>19.399999999999999</v>
      </c>
      <c r="EA50" s="150">
        <v>19.600000000000001</v>
      </c>
      <c r="EB50" s="150">
        <v>19.8</v>
      </c>
      <c r="EC50" s="150">
        <v>20</v>
      </c>
      <c r="ED50" s="150">
        <v>20.2</v>
      </c>
      <c r="EE50" s="150">
        <v>20.399999999999999</v>
      </c>
      <c r="EF50" s="150">
        <v>20.6</v>
      </c>
      <c r="EG50" s="150">
        <v>20.799999999999951</v>
      </c>
      <c r="EH50" s="150">
        <v>21</v>
      </c>
      <c r="EI50" s="150">
        <v>21.19999999999995</v>
      </c>
      <c r="EJ50" s="150">
        <v>21.4</v>
      </c>
      <c r="EK50" s="150">
        <v>21.599999999999948</v>
      </c>
    </row>
    <row r="51" spans="1:141" ht="13.2" x14ac:dyDescent="0.25">
      <c r="A51" s="149">
        <v>38200</v>
      </c>
      <c r="B51" s="219">
        <v>-1.7785964148750009</v>
      </c>
      <c r="C51" s="219">
        <v>-1.7482952255625008</v>
      </c>
      <c r="D51" s="219">
        <v>-1.7179940362500008</v>
      </c>
      <c r="E51" s="219">
        <v>-1.6876928469375008</v>
      </c>
      <c r="F51" s="219">
        <v>-1.6573916576250007</v>
      </c>
      <c r="G51" s="219">
        <v>-1.6270904683125007</v>
      </c>
      <c r="H51" s="219">
        <v>-1.5967892790000007</v>
      </c>
      <c r="I51" s="219">
        <v>-1.5664880896875006</v>
      </c>
      <c r="J51" s="219">
        <v>-1.5361869003750006</v>
      </c>
      <c r="K51" s="219">
        <v>-1.5058857110625006</v>
      </c>
      <c r="L51" s="219">
        <v>-1.4755845217500005</v>
      </c>
      <c r="M51" s="219">
        <v>-1.4452833324375005</v>
      </c>
      <c r="N51" s="219">
        <v>-1.4149821431250005</v>
      </c>
      <c r="O51" s="219">
        <v>-1.3846809538125004</v>
      </c>
      <c r="P51" s="219">
        <v>-1.3543797645000004</v>
      </c>
      <c r="Q51" s="219">
        <v>-1.3240785751875004</v>
      </c>
      <c r="R51" s="219">
        <v>-1.2937773858750004</v>
      </c>
      <c r="S51" s="219">
        <v>-1.2634761965625003</v>
      </c>
      <c r="T51" s="219">
        <v>-1.2331750072500003</v>
      </c>
      <c r="U51" s="219">
        <v>-1.2028738179375003</v>
      </c>
      <c r="V51" s="220">
        <v>-1.1725726286250002</v>
      </c>
      <c r="W51" s="219">
        <v>-1.1422714393125002</v>
      </c>
      <c r="X51" s="220">
        <v>-1.1119702500000002</v>
      </c>
      <c r="Y51" s="219">
        <v>-1.0832351250000003</v>
      </c>
      <c r="Z51" s="220">
        <v>-1.0545000000000002</v>
      </c>
      <c r="AA51" s="219">
        <v>-1.0272500000000002</v>
      </c>
      <c r="AB51" s="221">
        <v>-1</v>
      </c>
      <c r="AC51" s="219">
        <v>-0.8</v>
      </c>
      <c r="AD51" s="221">
        <v>-0.6</v>
      </c>
      <c r="AE51" s="219">
        <v>-0.4</v>
      </c>
      <c r="AF51" s="219">
        <v>-0.2</v>
      </c>
      <c r="AG51" s="150">
        <v>0</v>
      </c>
      <c r="AH51" s="150">
        <v>0.2</v>
      </c>
      <c r="AI51" s="150">
        <v>0.4</v>
      </c>
      <c r="AJ51" s="150">
        <v>0.6</v>
      </c>
      <c r="AK51" s="150">
        <v>0.8</v>
      </c>
      <c r="AL51" s="150">
        <v>1</v>
      </c>
      <c r="AM51" s="150">
        <v>1.2</v>
      </c>
      <c r="AN51" s="150">
        <v>1.4</v>
      </c>
      <c r="AO51" s="150">
        <v>1.6</v>
      </c>
      <c r="AP51" s="150">
        <v>1.8</v>
      </c>
      <c r="AQ51" s="150">
        <v>2</v>
      </c>
      <c r="AR51" s="150">
        <v>2.2000000000000002</v>
      </c>
      <c r="AS51" s="150">
        <v>2.4</v>
      </c>
      <c r="AT51" s="150">
        <v>2.6</v>
      </c>
      <c r="AU51" s="150">
        <v>2.8</v>
      </c>
      <c r="AV51" s="150">
        <v>3</v>
      </c>
      <c r="AW51" s="150">
        <v>3.2</v>
      </c>
      <c r="AX51" s="150">
        <v>3.4</v>
      </c>
      <c r="AY51" s="150">
        <v>3.6</v>
      </c>
      <c r="AZ51" s="150">
        <v>3.8</v>
      </c>
      <c r="BA51" s="150">
        <v>4</v>
      </c>
      <c r="BB51" s="150">
        <v>4.2</v>
      </c>
      <c r="BC51" s="150">
        <v>4.4000000000000004</v>
      </c>
      <c r="BD51" s="150">
        <v>4.5999999999999996</v>
      </c>
      <c r="BE51" s="150">
        <v>4.8</v>
      </c>
      <c r="BF51" s="150">
        <v>5</v>
      </c>
      <c r="BG51" s="150">
        <v>5.2</v>
      </c>
      <c r="BH51" s="150">
        <v>5.4</v>
      </c>
      <c r="BI51" s="150">
        <v>5.6</v>
      </c>
      <c r="BJ51" s="150">
        <v>5.8</v>
      </c>
      <c r="BK51" s="150">
        <v>6</v>
      </c>
      <c r="BL51" s="150">
        <v>6.2</v>
      </c>
      <c r="BM51" s="150">
        <v>6.4</v>
      </c>
      <c r="BN51" s="150">
        <v>6.6</v>
      </c>
      <c r="BO51" s="150">
        <v>6.8</v>
      </c>
      <c r="BP51" s="150">
        <v>7</v>
      </c>
      <c r="BQ51" s="150">
        <v>7.2</v>
      </c>
      <c r="BR51" s="150">
        <v>7.4</v>
      </c>
      <c r="BS51" s="150">
        <v>7.6</v>
      </c>
      <c r="BT51" s="150">
        <v>7.8</v>
      </c>
      <c r="BU51" s="150">
        <v>8</v>
      </c>
      <c r="BV51" s="150">
        <v>8.1999999999999993</v>
      </c>
      <c r="BW51" s="150">
        <v>8.4</v>
      </c>
      <c r="BX51" s="150">
        <v>8.6</v>
      </c>
      <c r="BY51" s="150">
        <v>8.7999999999999936</v>
      </c>
      <c r="BZ51" s="150">
        <v>9</v>
      </c>
      <c r="CA51" s="150">
        <v>9.1999999999999922</v>
      </c>
      <c r="CB51" s="150">
        <v>9.4</v>
      </c>
      <c r="CC51" s="150">
        <v>9.5999999999999908</v>
      </c>
      <c r="CD51" s="150">
        <v>9.8000000000000007</v>
      </c>
      <c r="CE51" s="150">
        <v>9.9999999999999893</v>
      </c>
      <c r="CF51" s="150">
        <v>10.199999999999999</v>
      </c>
      <c r="CG51" s="150">
        <v>10.4</v>
      </c>
      <c r="CH51" s="150">
        <v>10.6</v>
      </c>
      <c r="CI51" s="150">
        <v>10.8</v>
      </c>
      <c r="CJ51" s="150">
        <v>11</v>
      </c>
      <c r="CK51" s="150">
        <v>11.2</v>
      </c>
      <c r="CL51" s="150">
        <v>11.4</v>
      </c>
      <c r="CM51" s="150">
        <v>11.6</v>
      </c>
      <c r="CN51" s="150">
        <v>11.8</v>
      </c>
      <c r="CO51" s="150">
        <v>12</v>
      </c>
      <c r="CP51" s="150">
        <v>12.2</v>
      </c>
      <c r="CQ51" s="150">
        <v>12.4</v>
      </c>
      <c r="CR51" s="150">
        <v>12.6</v>
      </c>
      <c r="CS51" s="150">
        <v>12.8</v>
      </c>
      <c r="CT51" s="150">
        <v>13</v>
      </c>
      <c r="CU51" s="150">
        <v>13.2</v>
      </c>
      <c r="CV51" s="150">
        <v>13.4</v>
      </c>
      <c r="CW51" s="150">
        <v>13.6</v>
      </c>
      <c r="CX51" s="150">
        <v>13.8</v>
      </c>
      <c r="CY51" s="150">
        <v>14</v>
      </c>
      <c r="CZ51" s="150">
        <v>14.2</v>
      </c>
      <c r="DA51" s="150">
        <v>14.4</v>
      </c>
      <c r="DB51" s="150">
        <v>14.6</v>
      </c>
      <c r="DC51" s="150">
        <v>14.8</v>
      </c>
      <c r="DD51" s="150">
        <v>15</v>
      </c>
      <c r="DE51" s="150">
        <v>15.2</v>
      </c>
      <c r="DF51" s="150">
        <v>15.4</v>
      </c>
      <c r="DG51" s="150">
        <v>15.6</v>
      </c>
      <c r="DH51" s="150">
        <v>15.8</v>
      </c>
      <c r="DI51" s="150">
        <v>16</v>
      </c>
      <c r="DJ51" s="150">
        <v>16.2</v>
      </c>
      <c r="DK51" s="150">
        <v>16.399999999999999</v>
      </c>
      <c r="DL51" s="150">
        <v>16.600000000000001</v>
      </c>
      <c r="DM51" s="150">
        <v>16.8</v>
      </c>
      <c r="DN51" s="150">
        <v>17</v>
      </c>
      <c r="DO51" s="150">
        <v>17.2</v>
      </c>
      <c r="DP51" s="150">
        <v>17.399999999999999</v>
      </c>
      <c r="DQ51" s="150">
        <v>17.600000000000001</v>
      </c>
      <c r="DR51" s="150">
        <v>17.8</v>
      </c>
      <c r="DS51" s="150">
        <v>18</v>
      </c>
      <c r="DT51" s="150">
        <v>18.2</v>
      </c>
      <c r="DU51" s="150">
        <v>18.399999999999999</v>
      </c>
      <c r="DV51" s="150">
        <v>18.600000000000001</v>
      </c>
      <c r="DW51" s="150">
        <v>18.8</v>
      </c>
      <c r="DX51" s="150">
        <v>19</v>
      </c>
      <c r="DY51" s="150">
        <v>19.2</v>
      </c>
      <c r="DZ51" s="150">
        <v>19.399999999999999</v>
      </c>
      <c r="EA51" s="150">
        <v>19.600000000000001</v>
      </c>
      <c r="EB51" s="150">
        <v>19.8</v>
      </c>
      <c r="EC51" s="150">
        <v>20</v>
      </c>
      <c r="ED51" s="150">
        <v>20.2</v>
      </c>
      <c r="EE51" s="150">
        <v>20.399999999999999</v>
      </c>
      <c r="EF51" s="150">
        <v>20.6</v>
      </c>
      <c r="EG51" s="150">
        <v>20.799999999999951</v>
      </c>
      <c r="EH51" s="150">
        <v>21</v>
      </c>
      <c r="EI51" s="150">
        <v>21.19999999999995</v>
      </c>
      <c r="EJ51" s="150">
        <v>21.4</v>
      </c>
      <c r="EK51" s="150">
        <v>21.599999999999948</v>
      </c>
    </row>
    <row r="52" spans="1:141" ht="13.2" x14ac:dyDescent="0.25">
      <c r="A52" s="149">
        <v>38231</v>
      </c>
      <c r="B52" s="219">
        <v>-1.7785964148750009</v>
      </c>
      <c r="C52" s="219">
        <v>-1.7482952255625008</v>
      </c>
      <c r="D52" s="219">
        <v>-1.7179940362500008</v>
      </c>
      <c r="E52" s="219">
        <v>-1.6876928469375008</v>
      </c>
      <c r="F52" s="219">
        <v>-1.6573916576250007</v>
      </c>
      <c r="G52" s="219">
        <v>-1.6270904683125007</v>
      </c>
      <c r="H52" s="219">
        <v>-1.5967892790000007</v>
      </c>
      <c r="I52" s="219">
        <v>-1.5664880896875006</v>
      </c>
      <c r="J52" s="219">
        <v>-1.5361869003750006</v>
      </c>
      <c r="K52" s="219">
        <v>-1.5058857110625006</v>
      </c>
      <c r="L52" s="219">
        <v>-1.4755845217500005</v>
      </c>
      <c r="M52" s="219">
        <v>-1.4452833324375005</v>
      </c>
      <c r="N52" s="219">
        <v>-1.4149821431250005</v>
      </c>
      <c r="O52" s="219">
        <v>-1.3846809538125004</v>
      </c>
      <c r="P52" s="219">
        <v>-1.3543797645000004</v>
      </c>
      <c r="Q52" s="219">
        <v>-1.3240785751875004</v>
      </c>
      <c r="R52" s="219">
        <v>-1.2937773858750004</v>
      </c>
      <c r="S52" s="219">
        <v>-1.2634761965625003</v>
      </c>
      <c r="T52" s="219">
        <v>-1.2331750072500003</v>
      </c>
      <c r="U52" s="219">
        <v>-1.2028738179375003</v>
      </c>
      <c r="V52" s="220">
        <v>-1.1725726286250002</v>
      </c>
      <c r="W52" s="219">
        <v>-1.1422714393125002</v>
      </c>
      <c r="X52" s="220">
        <v>-1.1119702500000002</v>
      </c>
      <c r="Y52" s="219">
        <v>-1.0832351250000003</v>
      </c>
      <c r="Z52" s="220">
        <v>-1.0545000000000002</v>
      </c>
      <c r="AA52" s="219">
        <v>-1.0272500000000002</v>
      </c>
      <c r="AB52" s="221">
        <v>-1</v>
      </c>
      <c r="AC52" s="219">
        <v>-0.8</v>
      </c>
      <c r="AD52" s="221">
        <v>-0.6</v>
      </c>
      <c r="AE52" s="219">
        <v>-0.4</v>
      </c>
      <c r="AF52" s="219">
        <v>-0.2</v>
      </c>
      <c r="AG52" s="150">
        <v>0</v>
      </c>
      <c r="AH52" s="150">
        <v>0.2</v>
      </c>
      <c r="AI52" s="150">
        <v>0.4</v>
      </c>
      <c r="AJ52" s="150">
        <v>0.6</v>
      </c>
      <c r="AK52" s="150">
        <v>0.8</v>
      </c>
      <c r="AL52" s="150">
        <v>1</v>
      </c>
      <c r="AM52" s="150">
        <v>1.2</v>
      </c>
      <c r="AN52" s="150">
        <v>1.4</v>
      </c>
      <c r="AO52" s="150">
        <v>1.6</v>
      </c>
      <c r="AP52" s="150">
        <v>1.8</v>
      </c>
      <c r="AQ52" s="150">
        <v>2</v>
      </c>
      <c r="AR52" s="150">
        <v>2.2000000000000002</v>
      </c>
      <c r="AS52" s="150">
        <v>2.4</v>
      </c>
      <c r="AT52" s="150">
        <v>2.6</v>
      </c>
      <c r="AU52" s="150">
        <v>2.8</v>
      </c>
      <c r="AV52" s="150">
        <v>3</v>
      </c>
      <c r="AW52" s="150">
        <v>3.2</v>
      </c>
      <c r="AX52" s="150">
        <v>3.4</v>
      </c>
      <c r="AY52" s="150">
        <v>3.6</v>
      </c>
      <c r="AZ52" s="150">
        <v>3.8</v>
      </c>
      <c r="BA52" s="150">
        <v>4</v>
      </c>
      <c r="BB52" s="150">
        <v>4.2</v>
      </c>
      <c r="BC52" s="150">
        <v>4.4000000000000004</v>
      </c>
      <c r="BD52" s="150">
        <v>4.5999999999999996</v>
      </c>
      <c r="BE52" s="150">
        <v>4.8</v>
      </c>
      <c r="BF52" s="150">
        <v>5</v>
      </c>
      <c r="BG52" s="150">
        <v>5.2</v>
      </c>
      <c r="BH52" s="150">
        <v>5.4</v>
      </c>
      <c r="BI52" s="150">
        <v>5.6</v>
      </c>
      <c r="BJ52" s="150">
        <v>5.8</v>
      </c>
      <c r="BK52" s="150">
        <v>6</v>
      </c>
      <c r="BL52" s="150">
        <v>6.2</v>
      </c>
      <c r="BM52" s="150">
        <v>6.4</v>
      </c>
      <c r="BN52" s="150">
        <v>6.6</v>
      </c>
      <c r="BO52" s="150">
        <v>6.8</v>
      </c>
      <c r="BP52" s="150">
        <v>7</v>
      </c>
      <c r="BQ52" s="150">
        <v>7.2</v>
      </c>
      <c r="BR52" s="150">
        <v>7.4</v>
      </c>
      <c r="BS52" s="150">
        <v>7.6</v>
      </c>
      <c r="BT52" s="150">
        <v>7.8</v>
      </c>
      <c r="BU52" s="150">
        <v>8</v>
      </c>
      <c r="BV52" s="150">
        <v>8.1999999999999993</v>
      </c>
      <c r="BW52" s="150">
        <v>8.4</v>
      </c>
      <c r="BX52" s="150">
        <v>8.6</v>
      </c>
      <c r="BY52" s="150">
        <v>8.7999999999999936</v>
      </c>
      <c r="BZ52" s="150">
        <v>9</v>
      </c>
      <c r="CA52" s="150">
        <v>9.1999999999999922</v>
      </c>
      <c r="CB52" s="150">
        <v>9.4</v>
      </c>
      <c r="CC52" s="150">
        <v>9.5999999999999908</v>
      </c>
      <c r="CD52" s="150">
        <v>9.8000000000000007</v>
      </c>
      <c r="CE52" s="150">
        <v>9.9999999999999893</v>
      </c>
      <c r="CF52" s="150">
        <v>10.199999999999999</v>
      </c>
      <c r="CG52" s="150">
        <v>10.4</v>
      </c>
      <c r="CH52" s="150">
        <v>10.6</v>
      </c>
      <c r="CI52" s="150">
        <v>10.8</v>
      </c>
      <c r="CJ52" s="150">
        <v>11</v>
      </c>
      <c r="CK52" s="150">
        <v>11.2</v>
      </c>
      <c r="CL52" s="150">
        <v>11.4</v>
      </c>
      <c r="CM52" s="150">
        <v>11.6</v>
      </c>
      <c r="CN52" s="150">
        <v>11.8</v>
      </c>
      <c r="CO52" s="150">
        <v>12</v>
      </c>
      <c r="CP52" s="150">
        <v>12.2</v>
      </c>
      <c r="CQ52" s="150">
        <v>12.4</v>
      </c>
      <c r="CR52" s="150">
        <v>12.6</v>
      </c>
      <c r="CS52" s="150">
        <v>12.8</v>
      </c>
      <c r="CT52" s="150">
        <v>13</v>
      </c>
      <c r="CU52" s="150">
        <v>13.2</v>
      </c>
      <c r="CV52" s="150">
        <v>13.4</v>
      </c>
      <c r="CW52" s="150">
        <v>13.6</v>
      </c>
      <c r="CX52" s="150">
        <v>13.8</v>
      </c>
      <c r="CY52" s="150">
        <v>14</v>
      </c>
      <c r="CZ52" s="150">
        <v>14.2</v>
      </c>
      <c r="DA52" s="150">
        <v>14.4</v>
      </c>
      <c r="DB52" s="150">
        <v>14.6</v>
      </c>
      <c r="DC52" s="150">
        <v>14.8</v>
      </c>
      <c r="DD52" s="150">
        <v>15</v>
      </c>
      <c r="DE52" s="150">
        <v>15.2</v>
      </c>
      <c r="DF52" s="150">
        <v>15.4</v>
      </c>
      <c r="DG52" s="150">
        <v>15.6</v>
      </c>
      <c r="DH52" s="150">
        <v>15.8</v>
      </c>
      <c r="DI52" s="150">
        <v>16</v>
      </c>
      <c r="DJ52" s="150">
        <v>16.2</v>
      </c>
      <c r="DK52" s="150">
        <v>16.399999999999999</v>
      </c>
      <c r="DL52" s="150">
        <v>16.600000000000001</v>
      </c>
      <c r="DM52" s="150">
        <v>16.8</v>
      </c>
      <c r="DN52" s="150">
        <v>17</v>
      </c>
      <c r="DO52" s="150">
        <v>17.2</v>
      </c>
      <c r="DP52" s="150">
        <v>17.399999999999999</v>
      </c>
      <c r="DQ52" s="150">
        <v>17.600000000000001</v>
      </c>
      <c r="DR52" s="150">
        <v>17.8</v>
      </c>
      <c r="DS52" s="150">
        <v>18</v>
      </c>
      <c r="DT52" s="150">
        <v>18.2</v>
      </c>
      <c r="DU52" s="150">
        <v>18.399999999999999</v>
      </c>
      <c r="DV52" s="150">
        <v>18.600000000000001</v>
      </c>
      <c r="DW52" s="150">
        <v>18.8</v>
      </c>
      <c r="DX52" s="150">
        <v>19</v>
      </c>
      <c r="DY52" s="150">
        <v>19.2</v>
      </c>
      <c r="DZ52" s="150">
        <v>19.399999999999999</v>
      </c>
      <c r="EA52" s="150">
        <v>19.600000000000001</v>
      </c>
      <c r="EB52" s="150">
        <v>19.8</v>
      </c>
      <c r="EC52" s="150">
        <v>20</v>
      </c>
      <c r="ED52" s="150">
        <v>20.2</v>
      </c>
      <c r="EE52" s="150">
        <v>20.399999999999999</v>
      </c>
      <c r="EF52" s="150">
        <v>20.6</v>
      </c>
      <c r="EG52" s="150">
        <v>20.799999999999951</v>
      </c>
      <c r="EH52" s="150">
        <v>21</v>
      </c>
      <c r="EI52" s="150">
        <v>21.19999999999995</v>
      </c>
      <c r="EJ52" s="150">
        <v>21.4</v>
      </c>
      <c r="EK52" s="150">
        <v>21.599999999999948</v>
      </c>
    </row>
    <row r="53" spans="1:141" ht="13.2" x14ac:dyDescent="0.25">
      <c r="A53" s="149">
        <v>38261</v>
      </c>
      <c r="B53" s="219">
        <v>-1.7785964148750009</v>
      </c>
      <c r="C53" s="219">
        <v>-1.7482952255625008</v>
      </c>
      <c r="D53" s="219">
        <v>-1.7179940362500008</v>
      </c>
      <c r="E53" s="219">
        <v>-1.6876928469375008</v>
      </c>
      <c r="F53" s="219">
        <v>-1.6573916576250007</v>
      </c>
      <c r="G53" s="219">
        <v>-1.6270904683125007</v>
      </c>
      <c r="H53" s="219">
        <v>-1.5967892790000007</v>
      </c>
      <c r="I53" s="219">
        <v>-1.5664880896875006</v>
      </c>
      <c r="J53" s="219">
        <v>-1.5361869003750006</v>
      </c>
      <c r="K53" s="219">
        <v>-1.5058857110625006</v>
      </c>
      <c r="L53" s="219">
        <v>-1.4755845217500005</v>
      </c>
      <c r="M53" s="219">
        <v>-1.4452833324375005</v>
      </c>
      <c r="N53" s="219">
        <v>-1.4149821431250005</v>
      </c>
      <c r="O53" s="219">
        <v>-1.3846809538125004</v>
      </c>
      <c r="P53" s="219">
        <v>-1.3543797645000004</v>
      </c>
      <c r="Q53" s="219">
        <v>-1.3240785751875004</v>
      </c>
      <c r="R53" s="219">
        <v>-1.2937773858750004</v>
      </c>
      <c r="S53" s="219">
        <v>-1.2634761965625003</v>
      </c>
      <c r="T53" s="219">
        <v>-1.2331750072500003</v>
      </c>
      <c r="U53" s="219">
        <v>-1.2028738179375003</v>
      </c>
      <c r="V53" s="220">
        <v>-1.1725726286250002</v>
      </c>
      <c r="W53" s="219">
        <v>-1.1422714393125002</v>
      </c>
      <c r="X53" s="220">
        <v>-1.1119702500000002</v>
      </c>
      <c r="Y53" s="219">
        <v>-1.0832351250000003</v>
      </c>
      <c r="Z53" s="220">
        <v>-1.0545000000000002</v>
      </c>
      <c r="AA53" s="219">
        <v>-1.0272500000000002</v>
      </c>
      <c r="AB53" s="221">
        <v>-1</v>
      </c>
      <c r="AC53" s="219">
        <v>-0.8</v>
      </c>
      <c r="AD53" s="221">
        <v>-0.6</v>
      </c>
      <c r="AE53" s="219">
        <v>-0.4</v>
      </c>
      <c r="AF53" s="219">
        <v>-0.2</v>
      </c>
      <c r="AG53" s="150">
        <v>0</v>
      </c>
      <c r="AH53" s="150">
        <v>0.2</v>
      </c>
      <c r="AI53" s="150">
        <v>0.4</v>
      </c>
      <c r="AJ53" s="150">
        <v>0.6</v>
      </c>
      <c r="AK53" s="150">
        <v>0.8</v>
      </c>
      <c r="AL53" s="150">
        <v>1</v>
      </c>
      <c r="AM53" s="150">
        <v>1.2</v>
      </c>
      <c r="AN53" s="150">
        <v>1.4</v>
      </c>
      <c r="AO53" s="150">
        <v>1.6</v>
      </c>
      <c r="AP53" s="150">
        <v>1.8</v>
      </c>
      <c r="AQ53" s="150">
        <v>2</v>
      </c>
      <c r="AR53" s="150">
        <v>2.2000000000000002</v>
      </c>
      <c r="AS53" s="150">
        <v>2.4</v>
      </c>
      <c r="AT53" s="150">
        <v>2.6</v>
      </c>
      <c r="AU53" s="150">
        <v>2.8</v>
      </c>
      <c r="AV53" s="150">
        <v>3</v>
      </c>
      <c r="AW53" s="150">
        <v>3.2</v>
      </c>
      <c r="AX53" s="150">
        <v>3.4</v>
      </c>
      <c r="AY53" s="150">
        <v>3.6</v>
      </c>
      <c r="AZ53" s="150">
        <v>3.8</v>
      </c>
      <c r="BA53" s="150">
        <v>4</v>
      </c>
      <c r="BB53" s="150">
        <v>4.2</v>
      </c>
      <c r="BC53" s="150">
        <v>4.4000000000000004</v>
      </c>
      <c r="BD53" s="150">
        <v>4.5999999999999996</v>
      </c>
      <c r="BE53" s="150">
        <v>4.8</v>
      </c>
      <c r="BF53" s="150">
        <v>5</v>
      </c>
      <c r="BG53" s="150">
        <v>5.2</v>
      </c>
      <c r="BH53" s="150">
        <v>5.4</v>
      </c>
      <c r="BI53" s="150">
        <v>5.6</v>
      </c>
      <c r="BJ53" s="150">
        <v>5.8</v>
      </c>
      <c r="BK53" s="150">
        <v>6</v>
      </c>
      <c r="BL53" s="150">
        <v>6.2</v>
      </c>
      <c r="BM53" s="150">
        <v>6.4</v>
      </c>
      <c r="BN53" s="150">
        <v>6.6</v>
      </c>
      <c r="BO53" s="150">
        <v>6.8</v>
      </c>
      <c r="BP53" s="150">
        <v>7</v>
      </c>
      <c r="BQ53" s="150">
        <v>7.2</v>
      </c>
      <c r="BR53" s="150">
        <v>7.4</v>
      </c>
      <c r="BS53" s="150">
        <v>7.6</v>
      </c>
      <c r="BT53" s="150">
        <v>7.8</v>
      </c>
      <c r="BU53" s="150">
        <v>8</v>
      </c>
      <c r="BV53" s="150">
        <v>8.1999999999999993</v>
      </c>
      <c r="BW53" s="150">
        <v>8.4</v>
      </c>
      <c r="BX53" s="150">
        <v>8.6</v>
      </c>
      <c r="BY53" s="150">
        <v>8.7999999999999936</v>
      </c>
      <c r="BZ53" s="150">
        <v>9</v>
      </c>
      <c r="CA53" s="150">
        <v>9.1999999999999922</v>
      </c>
      <c r="CB53" s="150">
        <v>9.4</v>
      </c>
      <c r="CC53" s="150">
        <v>9.5999999999999908</v>
      </c>
      <c r="CD53" s="150">
        <v>9.8000000000000007</v>
      </c>
      <c r="CE53" s="150">
        <v>9.9999999999999893</v>
      </c>
      <c r="CF53" s="150">
        <v>10.199999999999999</v>
      </c>
      <c r="CG53" s="150">
        <v>10.4</v>
      </c>
      <c r="CH53" s="150">
        <v>10.6</v>
      </c>
      <c r="CI53" s="150">
        <v>10.8</v>
      </c>
      <c r="CJ53" s="150">
        <v>11</v>
      </c>
      <c r="CK53" s="150">
        <v>11.2</v>
      </c>
      <c r="CL53" s="150">
        <v>11.4</v>
      </c>
      <c r="CM53" s="150">
        <v>11.6</v>
      </c>
      <c r="CN53" s="150">
        <v>11.8</v>
      </c>
      <c r="CO53" s="150">
        <v>12</v>
      </c>
      <c r="CP53" s="150">
        <v>12.2</v>
      </c>
      <c r="CQ53" s="150">
        <v>12.4</v>
      </c>
      <c r="CR53" s="150">
        <v>12.6</v>
      </c>
      <c r="CS53" s="150">
        <v>12.8</v>
      </c>
      <c r="CT53" s="150">
        <v>13</v>
      </c>
      <c r="CU53" s="150">
        <v>13.2</v>
      </c>
      <c r="CV53" s="150">
        <v>13.4</v>
      </c>
      <c r="CW53" s="150">
        <v>13.6</v>
      </c>
      <c r="CX53" s="150">
        <v>13.8</v>
      </c>
      <c r="CY53" s="150">
        <v>14</v>
      </c>
      <c r="CZ53" s="150">
        <v>14.2</v>
      </c>
      <c r="DA53" s="150">
        <v>14.4</v>
      </c>
      <c r="DB53" s="150">
        <v>14.6</v>
      </c>
      <c r="DC53" s="150">
        <v>14.8</v>
      </c>
      <c r="DD53" s="150">
        <v>15</v>
      </c>
      <c r="DE53" s="150">
        <v>15.2</v>
      </c>
      <c r="DF53" s="150">
        <v>15.4</v>
      </c>
      <c r="DG53" s="150">
        <v>15.6</v>
      </c>
      <c r="DH53" s="150">
        <v>15.8</v>
      </c>
      <c r="DI53" s="150">
        <v>16</v>
      </c>
      <c r="DJ53" s="150">
        <v>16.2</v>
      </c>
      <c r="DK53" s="150">
        <v>16.399999999999999</v>
      </c>
      <c r="DL53" s="150">
        <v>16.600000000000001</v>
      </c>
      <c r="DM53" s="150">
        <v>16.8</v>
      </c>
      <c r="DN53" s="150">
        <v>17</v>
      </c>
      <c r="DO53" s="150">
        <v>17.2</v>
      </c>
      <c r="DP53" s="150">
        <v>17.399999999999999</v>
      </c>
      <c r="DQ53" s="150">
        <v>17.600000000000001</v>
      </c>
      <c r="DR53" s="150">
        <v>17.8</v>
      </c>
      <c r="DS53" s="150">
        <v>18</v>
      </c>
      <c r="DT53" s="150">
        <v>18.2</v>
      </c>
      <c r="DU53" s="150">
        <v>18.399999999999999</v>
      </c>
      <c r="DV53" s="150">
        <v>18.600000000000001</v>
      </c>
      <c r="DW53" s="150">
        <v>18.8</v>
      </c>
      <c r="DX53" s="150">
        <v>19</v>
      </c>
      <c r="DY53" s="150">
        <v>19.2</v>
      </c>
      <c r="DZ53" s="150">
        <v>19.399999999999999</v>
      </c>
      <c r="EA53" s="150">
        <v>19.600000000000001</v>
      </c>
      <c r="EB53" s="150">
        <v>19.8</v>
      </c>
      <c r="EC53" s="150">
        <v>20</v>
      </c>
      <c r="ED53" s="150">
        <v>20.2</v>
      </c>
      <c r="EE53" s="150">
        <v>20.399999999999999</v>
      </c>
      <c r="EF53" s="150">
        <v>20.6</v>
      </c>
      <c r="EG53" s="150">
        <v>20.799999999999951</v>
      </c>
      <c r="EH53" s="150">
        <v>21</v>
      </c>
      <c r="EI53" s="150">
        <v>21.19999999999995</v>
      </c>
      <c r="EJ53" s="150">
        <v>21.4</v>
      </c>
      <c r="EK53" s="150">
        <v>21.599999999999948</v>
      </c>
    </row>
    <row r="54" spans="1:141" ht="13.2" x14ac:dyDescent="0.25">
      <c r="A54" s="149">
        <v>38292</v>
      </c>
      <c r="B54" s="219">
        <v>-1.7785964148750009</v>
      </c>
      <c r="C54" s="219">
        <v>-1.7482952255625008</v>
      </c>
      <c r="D54" s="219">
        <v>-1.7179940362500008</v>
      </c>
      <c r="E54" s="219">
        <v>-1.6876928469375008</v>
      </c>
      <c r="F54" s="219">
        <v>-1.6573916576250007</v>
      </c>
      <c r="G54" s="219">
        <v>-1.6270904683125007</v>
      </c>
      <c r="H54" s="219">
        <v>-1.5967892790000007</v>
      </c>
      <c r="I54" s="219">
        <v>-1.5664880896875006</v>
      </c>
      <c r="J54" s="219">
        <v>-1.5361869003750006</v>
      </c>
      <c r="K54" s="219">
        <v>-1.5058857110625006</v>
      </c>
      <c r="L54" s="219">
        <v>-1.4755845217500005</v>
      </c>
      <c r="M54" s="219">
        <v>-1.4452833324375005</v>
      </c>
      <c r="N54" s="219">
        <v>-1.4149821431250005</v>
      </c>
      <c r="O54" s="219">
        <v>-1.3846809538125004</v>
      </c>
      <c r="P54" s="219">
        <v>-1.3543797645000004</v>
      </c>
      <c r="Q54" s="219">
        <v>-1.3240785751875004</v>
      </c>
      <c r="R54" s="219">
        <v>-1.2937773858750004</v>
      </c>
      <c r="S54" s="219">
        <v>-1.2634761965625003</v>
      </c>
      <c r="T54" s="219">
        <v>-1.2331750072500003</v>
      </c>
      <c r="U54" s="219">
        <v>-1.2028738179375003</v>
      </c>
      <c r="V54" s="220">
        <v>-1.1725726286250002</v>
      </c>
      <c r="W54" s="219">
        <v>-1.1422714393125002</v>
      </c>
      <c r="X54" s="220">
        <v>-1.1119702500000002</v>
      </c>
      <c r="Y54" s="219">
        <v>-1.0832351250000003</v>
      </c>
      <c r="Z54" s="220">
        <v>-1.0545000000000002</v>
      </c>
      <c r="AA54" s="219">
        <v>-1.0272500000000002</v>
      </c>
      <c r="AB54" s="221">
        <v>-1</v>
      </c>
      <c r="AC54" s="219">
        <v>-0.8</v>
      </c>
      <c r="AD54" s="221">
        <v>-0.6</v>
      </c>
      <c r="AE54" s="219">
        <v>-0.4</v>
      </c>
      <c r="AF54" s="219">
        <v>-0.2</v>
      </c>
      <c r="AG54" s="150">
        <v>0</v>
      </c>
      <c r="AH54" s="150">
        <v>0.2</v>
      </c>
      <c r="AI54" s="150">
        <v>0.4</v>
      </c>
      <c r="AJ54" s="150">
        <v>0.6</v>
      </c>
      <c r="AK54" s="150">
        <v>0.8</v>
      </c>
      <c r="AL54" s="150">
        <v>1</v>
      </c>
      <c r="AM54" s="150">
        <v>1.2</v>
      </c>
      <c r="AN54" s="150">
        <v>1.4</v>
      </c>
      <c r="AO54" s="150">
        <v>1.6</v>
      </c>
      <c r="AP54" s="150">
        <v>1.8</v>
      </c>
      <c r="AQ54" s="150">
        <v>2</v>
      </c>
      <c r="AR54" s="150">
        <v>2.2000000000000002</v>
      </c>
      <c r="AS54" s="150">
        <v>2.4</v>
      </c>
      <c r="AT54" s="150">
        <v>2.6</v>
      </c>
      <c r="AU54" s="150">
        <v>2.8</v>
      </c>
      <c r="AV54" s="150">
        <v>3</v>
      </c>
      <c r="AW54" s="150">
        <v>3.2</v>
      </c>
      <c r="AX54" s="150">
        <v>3.4</v>
      </c>
      <c r="AY54" s="150">
        <v>3.6</v>
      </c>
      <c r="AZ54" s="150">
        <v>3.8</v>
      </c>
      <c r="BA54" s="150">
        <v>4</v>
      </c>
      <c r="BB54" s="150">
        <v>4.2</v>
      </c>
      <c r="BC54" s="150">
        <v>4.4000000000000004</v>
      </c>
      <c r="BD54" s="150">
        <v>4.5999999999999996</v>
      </c>
      <c r="BE54" s="150">
        <v>4.8</v>
      </c>
      <c r="BF54" s="150">
        <v>5</v>
      </c>
      <c r="BG54" s="150">
        <v>5.2</v>
      </c>
      <c r="BH54" s="150">
        <v>5.4</v>
      </c>
      <c r="BI54" s="150">
        <v>5.6</v>
      </c>
      <c r="BJ54" s="150">
        <v>5.8</v>
      </c>
      <c r="BK54" s="150">
        <v>6</v>
      </c>
      <c r="BL54" s="150">
        <v>6.2</v>
      </c>
      <c r="BM54" s="150">
        <v>6.4</v>
      </c>
      <c r="BN54" s="150">
        <v>6.6</v>
      </c>
      <c r="BO54" s="150">
        <v>6.8</v>
      </c>
      <c r="BP54" s="150">
        <v>7</v>
      </c>
      <c r="BQ54" s="150">
        <v>7.2</v>
      </c>
      <c r="BR54" s="150">
        <v>7.4</v>
      </c>
      <c r="BS54" s="150">
        <v>7.6</v>
      </c>
      <c r="BT54" s="150">
        <v>7.8</v>
      </c>
      <c r="BU54" s="150">
        <v>8</v>
      </c>
      <c r="BV54" s="150">
        <v>8.1999999999999993</v>
      </c>
      <c r="BW54" s="150">
        <v>8.4</v>
      </c>
      <c r="BX54" s="150">
        <v>8.6</v>
      </c>
      <c r="BY54" s="150">
        <v>8.7999999999999936</v>
      </c>
      <c r="BZ54" s="150">
        <v>9</v>
      </c>
      <c r="CA54" s="150">
        <v>9.1999999999999922</v>
      </c>
      <c r="CB54" s="150">
        <v>9.4</v>
      </c>
      <c r="CC54" s="150">
        <v>9.5999999999999908</v>
      </c>
      <c r="CD54" s="150">
        <v>9.8000000000000007</v>
      </c>
      <c r="CE54" s="150">
        <v>9.9999999999999893</v>
      </c>
      <c r="CF54" s="150">
        <v>10.199999999999999</v>
      </c>
      <c r="CG54" s="150">
        <v>10.4</v>
      </c>
      <c r="CH54" s="150">
        <v>10.6</v>
      </c>
      <c r="CI54" s="150">
        <v>10.8</v>
      </c>
      <c r="CJ54" s="150">
        <v>11</v>
      </c>
      <c r="CK54" s="150">
        <v>11.2</v>
      </c>
      <c r="CL54" s="150">
        <v>11.4</v>
      </c>
      <c r="CM54" s="150">
        <v>11.6</v>
      </c>
      <c r="CN54" s="150">
        <v>11.8</v>
      </c>
      <c r="CO54" s="150">
        <v>12</v>
      </c>
      <c r="CP54" s="150">
        <v>12.2</v>
      </c>
      <c r="CQ54" s="150">
        <v>12.4</v>
      </c>
      <c r="CR54" s="150">
        <v>12.6</v>
      </c>
      <c r="CS54" s="150">
        <v>12.8</v>
      </c>
      <c r="CT54" s="150">
        <v>13</v>
      </c>
      <c r="CU54" s="150">
        <v>13.2</v>
      </c>
      <c r="CV54" s="150">
        <v>13.4</v>
      </c>
      <c r="CW54" s="150">
        <v>13.6</v>
      </c>
      <c r="CX54" s="150">
        <v>13.8</v>
      </c>
      <c r="CY54" s="150">
        <v>14</v>
      </c>
      <c r="CZ54" s="150">
        <v>14.2</v>
      </c>
      <c r="DA54" s="150">
        <v>14.4</v>
      </c>
      <c r="DB54" s="150">
        <v>14.6</v>
      </c>
      <c r="DC54" s="150">
        <v>14.8</v>
      </c>
      <c r="DD54" s="150">
        <v>15</v>
      </c>
      <c r="DE54" s="150">
        <v>15.2</v>
      </c>
      <c r="DF54" s="150">
        <v>15.4</v>
      </c>
      <c r="DG54" s="150">
        <v>15.6</v>
      </c>
      <c r="DH54" s="150">
        <v>15.8</v>
      </c>
      <c r="DI54" s="150">
        <v>16</v>
      </c>
      <c r="DJ54" s="150">
        <v>16.2</v>
      </c>
      <c r="DK54" s="150">
        <v>16.399999999999999</v>
      </c>
      <c r="DL54" s="150">
        <v>16.600000000000001</v>
      </c>
      <c r="DM54" s="150">
        <v>16.8</v>
      </c>
      <c r="DN54" s="150">
        <v>17</v>
      </c>
      <c r="DO54" s="150">
        <v>17.2</v>
      </c>
      <c r="DP54" s="150">
        <v>17.399999999999999</v>
      </c>
      <c r="DQ54" s="150">
        <v>17.600000000000001</v>
      </c>
      <c r="DR54" s="150">
        <v>17.8</v>
      </c>
      <c r="DS54" s="150">
        <v>18</v>
      </c>
      <c r="DT54" s="150">
        <v>18.2</v>
      </c>
      <c r="DU54" s="150">
        <v>18.399999999999999</v>
      </c>
      <c r="DV54" s="150">
        <v>18.600000000000001</v>
      </c>
      <c r="DW54" s="150">
        <v>18.8</v>
      </c>
      <c r="DX54" s="150">
        <v>19</v>
      </c>
      <c r="DY54" s="150">
        <v>19.2</v>
      </c>
      <c r="DZ54" s="150">
        <v>19.399999999999999</v>
      </c>
      <c r="EA54" s="150">
        <v>19.600000000000001</v>
      </c>
      <c r="EB54" s="150">
        <v>19.8</v>
      </c>
      <c r="EC54" s="150">
        <v>20</v>
      </c>
      <c r="ED54" s="150">
        <v>20.2</v>
      </c>
      <c r="EE54" s="150">
        <v>20.399999999999999</v>
      </c>
      <c r="EF54" s="150">
        <v>20.6</v>
      </c>
      <c r="EG54" s="150">
        <v>20.799999999999951</v>
      </c>
      <c r="EH54" s="150">
        <v>21</v>
      </c>
      <c r="EI54" s="150">
        <v>21.19999999999995</v>
      </c>
      <c r="EJ54" s="150">
        <v>21.4</v>
      </c>
      <c r="EK54" s="150">
        <v>21.599999999999948</v>
      </c>
    </row>
    <row r="55" spans="1:141" ht="13.2" x14ac:dyDescent="0.25">
      <c r="A55" s="149">
        <v>38322</v>
      </c>
      <c r="B55" s="219">
        <v>-1.7785964148750009</v>
      </c>
      <c r="C55" s="219">
        <v>-1.7482952255625008</v>
      </c>
      <c r="D55" s="219">
        <v>-1.7179940362500008</v>
      </c>
      <c r="E55" s="219">
        <v>-1.6876928469375008</v>
      </c>
      <c r="F55" s="219">
        <v>-1.6573916576250007</v>
      </c>
      <c r="G55" s="219">
        <v>-1.6270904683125007</v>
      </c>
      <c r="H55" s="219">
        <v>-1.5967892790000007</v>
      </c>
      <c r="I55" s="219">
        <v>-1.5664880896875006</v>
      </c>
      <c r="J55" s="219">
        <v>-1.5361869003750006</v>
      </c>
      <c r="K55" s="219">
        <v>-1.5058857110625006</v>
      </c>
      <c r="L55" s="219">
        <v>-1.4755845217500005</v>
      </c>
      <c r="M55" s="219">
        <v>-1.4452833324375005</v>
      </c>
      <c r="N55" s="219">
        <v>-1.4149821431250005</v>
      </c>
      <c r="O55" s="219">
        <v>-1.3846809538125004</v>
      </c>
      <c r="P55" s="219">
        <v>-1.3543797645000004</v>
      </c>
      <c r="Q55" s="219">
        <v>-1.3240785751875004</v>
      </c>
      <c r="R55" s="219">
        <v>-1.2937773858750004</v>
      </c>
      <c r="S55" s="219">
        <v>-1.2634761965625003</v>
      </c>
      <c r="T55" s="219">
        <v>-1.2331750072500003</v>
      </c>
      <c r="U55" s="219">
        <v>-1.2028738179375003</v>
      </c>
      <c r="V55" s="220">
        <v>-1.1725726286250002</v>
      </c>
      <c r="W55" s="219">
        <v>-1.1422714393125002</v>
      </c>
      <c r="X55" s="220">
        <v>-1.1119702500000002</v>
      </c>
      <c r="Y55" s="219">
        <v>-1.0832351250000003</v>
      </c>
      <c r="Z55" s="220">
        <v>-1.0545000000000002</v>
      </c>
      <c r="AA55" s="219">
        <v>-1.0272500000000002</v>
      </c>
      <c r="AB55" s="221">
        <v>-1</v>
      </c>
      <c r="AC55" s="219">
        <v>-0.8</v>
      </c>
      <c r="AD55" s="221">
        <v>-0.6</v>
      </c>
      <c r="AE55" s="219">
        <v>-0.4</v>
      </c>
      <c r="AF55" s="219">
        <v>-0.2</v>
      </c>
      <c r="AG55" s="150">
        <v>0</v>
      </c>
      <c r="AH55" s="150">
        <v>0.2</v>
      </c>
      <c r="AI55" s="150">
        <v>0.4</v>
      </c>
      <c r="AJ55" s="150">
        <v>0.6</v>
      </c>
      <c r="AK55" s="150">
        <v>0.8</v>
      </c>
      <c r="AL55" s="150">
        <v>1</v>
      </c>
      <c r="AM55" s="150">
        <v>1.2</v>
      </c>
      <c r="AN55" s="150">
        <v>1.4</v>
      </c>
      <c r="AO55" s="150">
        <v>1.6</v>
      </c>
      <c r="AP55" s="150">
        <v>1.8</v>
      </c>
      <c r="AQ55" s="150">
        <v>2</v>
      </c>
      <c r="AR55" s="150">
        <v>2.2000000000000002</v>
      </c>
      <c r="AS55" s="150">
        <v>2.4</v>
      </c>
      <c r="AT55" s="150">
        <v>2.6</v>
      </c>
      <c r="AU55" s="150">
        <v>2.8</v>
      </c>
      <c r="AV55" s="150">
        <v>3</v>
      </c>
      <c r="AW55" s="150">
        <v>3.2</v>
      </c>
      <c r="AX55" s="150">
        <v>3.4</v>
      </c>
      <c r="AY55" s="150">
        <v>3.6</v>
      </c>
      <c r="AZ55" s="150">
        <v>3.8</v>
      </c>
      <c r="BA55" s="150">
        <v>4</v>
      </c>
      <c r="BB55" s="150">
        <v>4.2</v>
      </c>
      <c r="BC55" s="150">
        <v>4.4000000000000004</v>
      </c>
      <c r="BD55" s="150">
        <v>4.5999999999999996</v>
      </c>
      <c r="BE55" s="150">
        <v>4.8</v>
      </c>
      <c r="BF55" s="150">
        <v>5</v>
      </c>
      <c r="BG55" s="150">
        <v>5.2</v>
      </c>
      <c r="BH55" s="150">
        <v>5.4</v>
      </c>
      <c r="BI55" s="150">
        <v>5.6</v>
      </c>
      <c r="BJ55" s="150">
        <v>5.8</v>
      </c>
      <c r="BK55" s="150">
        <v>6</v>
      </c>
      <c r="BL55" s="150">
        <v>6.2</v>
      </c>
      <c r="BM55" s="150">
        <v>6.4</v>
      </c>
      <c r="BN55" s="150">
        <v>6.6</v>
      </c>
      <c r="BO55" s="150">
        <v>6.8</v>
      </c>
      <c r="BP55" s="150">
        <v>7</v>
      </c>
      <c r="BQ55" s="150">
        <v>7.2</v>
      </c>
      <c r="BR55" s="150">
        <v>7.4</v>
      </c>
      <c r="BS55" s="150">
        <v>7.6</v>
      </c>
      <c r="BT55" s="150">
        <v>7.8</v>
      </c>
      <c r="BU55" s="150">
        <v>8</v>
      </c>
      <c r="BV55" s="150">
        <v>8.1999999999999993</v>
      </c>
      <c r="BW55" s="150">
        <v>8.4</v>
      </c>
      <c r="BX55" s="150">
        <v>8.6</v>
      </c>
      <c r="BY55" s="150">
        <v>8.7999999999999936</v>
      </c>
      <c r="BZ55" s="150">
        <v>9</v>
      </c>
      <c r="CA55" s="150">
        <v>9.1999999999999922</v>
      </c>
      <c r="CB55" s="150">
        <v>9.4</v>
      </c>
      <c r="CC55" s="150">
        <v>9.5999999999999908</v>
      </c>
      <c r="CD55" s="150">
        <v>9.8000000000000007</v>
      </c>
      <c r="CE55" s="150">
        <v>9.9999999999999893</v>
      </c>
      <c r="CF55" s="150">
        <v>10.199999999999999</v>
      </c>
      <c r="CG55" s="150">
        <v>10.4</v>
      </c>
      <c r="CH55" s="150">
        <v>10.6</v>
      </c>
      <c r="CI55" s="150">
        <v>10.8</v>
      </c>
      <c r="CJ55" s="150">
        <v>11</v>
      </c>
      <c r="CK55" s="150">
        <v>11.2</v>
      </c>
      <c r="CL55" s="150">
        <v>11.4</v>
      </c>
      <c r="CM55" s="150">
        <v>11.6</v>
      </c>
      <c r="CN55" s="150">
        <v>11.8</v>
      </c>
      <c r="CO55" s="150">
        <v>12</v>
      </c>
      <c r="CP55" s="150">
        <v>12.2</v>
      </c>
      <c r="CQ55" s="150">
        <v>12.4</v>
      </c>
      <c r="CR55" s="150">
        <v>12.6</v>
      </c>
      <c r="CS55" s="150">
        <v>12.8</v>
      </c>
      <c r="CT55" s="150">
        <v>13</v>
      </c>
      <c r="CU55" s="150">
        <v>13.2</v>
      </c>
      <c r="CV55" s="150">
        <v>13.4</v>
      </c>
      <c r="CW55" s="150">
        <v>13.6</v>
      </c>
      <c r="CX55" s="150">
        <v>13.8</v>
      </c>
      <c r="CY55" s="150">
        <v>14</v>
      </c>
      <c r="CZ55" s="150">
        <v>14.2</v>
      </c>
      <c r="DA55" s="150">
        <v>14.4</v>
      </c>
      <c r="DB55" s="150">
        <v>14.6</v>
      </c>
      <c r="DC55" s="150">
        <v>14.8</v>
      </c>
      <c r="DD55" s="150">
        <v>15</v>
      </c>
      <c r="DE55" s="150">
        <v>15.2</v>
      </c>
      <c r="DF55" s="150">
        <v>15.4</v>
      </c>
      <c r="DG55" s="150">
        <v>15.6</v>
      </c>
      <c r="DH55" s="150">
        <v>15.8</v>
      </c>
      <c r="DI55" s="150">
        <v>16</v>
      </c>
      <c r="DJ55" s="150">
        <v>16.2</v>
      </c>
      <c r="DK55" s="150">
        <v>16.399999999999999</v>
      </c>
      <c r="DL55" s="150">
        <v>16.600000000000001</v>
      </c>
      <c r="DM55" s="150">
        <v>16.8</v>
      </c>
      <c r="DN55" s="150">
        <v>17</v>
      </c>
      <c r="DO55" s="150">
        <v>17.2</v>
      </c>
      <c r="DP55" s="150">
        <v>17.399999999999999</v>
      </c>
      <c r="DQ55" s="150">
        <v>17.600000000000001</v>
      </c>
      <c r="DR55" s="150">
        <v>17.8</v>
      </c>
      <c r="DS55" s="150">
        <v>18</v>
      </c>
      <c r="DT55" s="150">
        <v>18.2</v>
      </c>
      <c r="DU55" s="150">
        <v>18.399999999999999</v>
      </c>
      <c r="DV55" s="150">
        <v>18.600000000000001</v>
      </c>
      <c r="DW55" s="150">
        <v>18.8</v>
      </c>
      <c r="DX55" s="150">
        <v>19</v>
      </c>
      <c r="DY55" s="150">
        <v>19.2</v>
      </c>
      <c r="DZ55" s="150">
        <v>19.399999999999999</v>
      </c>
      <c r="EA55" s="150">
        <v>19.600000000000001</v>
      </c>
      <c r="EB55" s="150">
        <v>19.8</v>
      </c>
      <c r="EC55" s="150">
        <v>20</v>
      </c>
      <c r="ED55" s="150">
        <v>20.2</v>
      </c>
      <c r="EE55" s="150">
        <v>20.399999999999999</v>
      </c>
      <c r="EF55" s="150">
        <v>20.6</v>
      </c>
      <c r="EG55" s="150">
        <v>20.799999999999951</v>
      </c>
      <c r="EH55" s="150">
        <v>21</v>
      </c>
      <c r="EI55" s="150">
        <v>21.19999999999995</v>
      </c>
      <c r="EJ55" s="150">
        <v>21.4</v>
      </c>
      <c r="EK55" s="150">
        <v>21.599999999999948</v>
      </c>
    </row>
    <row r="56" spans="1:141" ht="13.2" x14ac:dyDescent="0.25">
      <c r="A56" s="149">
        <v>38353</v>
      </c>
      <c r="B56" s="219">
        <v>-1.7785964148750009</v>
      </c>
      <c r="C56" s="219">
        <v>-1.7482952255625008</v>
      </c>
      <c r="D56" s="219">
        <v>-1.7179940362500008</v>
      </c>
      <c r="E56" s="219">
        <v>-1.6876928469375008</v>
      </c>
      <c r="F56" s="219">
        <v>-1.6573916576250007</v>
      </c>
      <c r="G56" s="219">
        <v>-1.6270904683125007</v>
      </c>
      <c r="H56" s="219">
        <v>-1.5967892790000007</v>
      </c>
      <c r="I56" s="219">
        <v>-1.5664880896875006</v>
      </c>
      <c r="J56" s="219">
        <v>-1.5361869003750006</v>
      </c>
      <c r="K56" s="219">
        <v>-1.5058857110625006</v>
      </c>
      <c r="L56" s="219">
        <v>-1.4755845217500005</v>
      </c>
      <c r="M56" s="219">
        <v>-1.4452833324375005</v>
      </c>
      <c r="N56" s="219">
        <v>-1.4149821431250005</v>
      </c>
      <c r="O56" s="219">
        <v>-1.3846809538125004</v>
      </c>
      <c r="P56" s="219">
        <v>-1.3543797645000004</v>
      </c>
      <c r="Q56" s="219">
        <v>-1.3240785751875004</v>
      </c>
      <c r="R56" s="219">
        <v>-1.2937773858750004</v>
      </c>
      <c r="S56" s="219">
        <v>-1.2634761965625003</v>
      </c>
      <c r="T56" s="219">
        <v>-1.2331750072500003</v>
      </c>
      <c r="U56" s="219">
        <v>-1.2028738179375003</v>
      </c>
      <c r="V56" s="220">
        <v>-1.1725726286250002</v>
      </c>
      <c r="W56" s="219">
        <v>-1.1422714393125002</v>
      </c>
      <c r="X56" s="220">
        <v>-1.1119702500000002</v>
      </c>
      <c r="Y56" s="219">
        <v>-1.0832351250000003</v>
      </c>
      <c r="Z56" s="220">
        <v>-1.0545000000000002</v>
      </c>
      <c r="AA56" s="219">
        <v>-1.0272500000000002</v>
      </c>
      <c r="AB56" s="221">
        <v>-1</v>
      </c>
      <c r="AC56" s="219">
        <v>-0.8</v>
      </c>
      <c r="AD56" s="221">
        <v>-0.6</v>
      </c>
      <c r="AE56" s="219">
        <v>-0.4</v>
      </c>
      <c r="AF56" s="219">
        <v>-0.2</v>
      </c>
      <c r="AG56" s="150">
        <v>0</v>
      </c>
      <c r="AH56" s="150">
        <v>0.2</v>
      </c>
      <c r="AI56" s="150">
        <v>0.4</v>
      </c>
      <c r="AJ56" s="150">
        <v>0.6</v>
      </c>
      <c r="AK56" s="150">
        <v>0.8</v>
      </c>
      <c r="AL56" s="150">
        <v>1</v>
      </c>
      <c r="AM56" s="150">
        <v>1.2</v>
      </c>
      <c r="AN56" s="150">
        <v>1.4</v>
      </c>
      <c r="AO56" s="150">
        <v>1.6</v>
      </c>
      <c r="AP56" s="150">
        <v>1.8</v>
      </c>
      <c r="AQ56" s="150">
        <v>2</v>
      </c>
      <c r="AR56" s="150">
        <v>2.2000000000000002</v>
      </c>
      <c r="AS56" s="150">
        <v>2.4</v>
      </c>
      <c r="AT56" s="150">
        <v>2.6</v>
      </c>
      <c r="AU56" s="150">
        <v>2.8</v>
      </c>
      <c r="AV56" s="150">
        <v>3</v>
      </c>
      <c r="AW56" s="150">
        <v>3.2</v>
      </c>
      <c r="AX56" s="150">
        <v>3.4</v>
      </c>
      <c r="AY56" s="150">
        <v>3.6</v>
      </c>
      <c r="AZ56" s="150">
        <v>3.8</v>
      </c>
      <c r="BA56" s="150">
        <v>4</v>
      </c>
      <c r="BB56" s="150">
        <v>4.2</v>
      </c>
      <c r="BC56" s="150">
        <v>4.4000000000000004</v>
      </c>
      <c r="BD56" s="150">
        <v>4.5999999999999996</v>
      </c>
      <c r="BE56" s="150">
        <v>4.8</v>
      </c>
      <c r="BF56" s="150">
        <v>5</v>
      </c>
      <c r="BG56" s="150">
        <v>5.2</v>
      </c>
      <c r="BH56" s="150">
        <v>5.4</v>
      </c>
      <c r="BI56" s="150">
        <v>5.6</v>
      </c>
      <c r="BJ56" s="150">
        <v>5.8</v>
      </c>
      <c r="BK56" s="150">
        <v>6</v>
      </c>
      <c r="BL56" s="150">
        <v>6.2</v>
      </c>
      <c r="BM56" s="150">
        <v>6.4</v>
      </c>
      <c r="BN56" s="150">
        <v>6.6</v>
      </c>
      <c r="BO56" s="150">
        <v>6.8</v>
      </c>
      <c r="BP56" s="150">
        <v>7</v>
      </c>
      <c r="BQ56" s="150">
        <v>7.2</v>
      </c>
      <c r="BR56" s="150">
        <v>7.4</v>
      </c>
      <c r="BS56" s="150">
        <v>7.6</v>
      </c>
      <c r="BT56" s="150">
        <v>7.8</v>
      </c>
      <c r="BU56" s="150">
        <v>8</v>
      </c>
      <c r="BV56" s="150">
        <v>8.1999999999999993</v>
      </c>
      <c r="BW56" s="150">
        <v>8.4</v>
      </c>
      <c r="BX56" s="150">
        <v>8.6</v>
      </c>
      <c r="BY56" s="150">
        <v>8.7999999999999936</v>
      </c>
      <c r="BZ56" s="150">
        <v>9</v>
      </c>
      <c r="CA56" s="150">
        <v>9.1999999999999922</v>
      </c>
      <c r="CB56" s="150">
        <v>9.4</v>
      </c>
      <c r="CC56" s="150">
        <v>9.5999999999999908</v>
      </c>
      <c r="CD56" s="150">
        <v>9.8000000000000007</v>
      </c>
      <c r="CE56" s="150">
        <v>9.9999999999999893</v>
      </c>
      <c r="CF56" s="150">
        <v>10.199999999999999</v>
      </c>
      <c r="CG56" s="150">
        <v>10.4</v>
      </c>
      <c r="CH56" s="150">
        <v>10.6</v>
      </c>
      <c r="CI56" s="150">
        <v>10.8</v>
      </c>
      <c r="CJ56" s="150">
        <v>11</v>
      </c>
      <c r="CK56" s="150">
        <v>11.2</v>
      </c>
      <c r="CL56" s="150">
        <v>11.4</v>
      </c>
      <c r="CM56" s="150">
        <v>11.6</v>
      </c>
      <c r="CN56" s="150">
        <v>11.8</v>
      </c>
      <c r="CO56" s="150">
        <v>12</v>
      </c>
      <c r="CP56" s="150">
        <v>12.2</v>
      </c>
      <c r="CQ56" s="150">
        <v>12.4</v>
      </c>
      <c r="CR56" s="150">
        <v>12.6</v>
      </c>
      <c r="CS56" s="150">
        <v>12.8</v>
      </c>
      <c r="CT56" s="150">
        <v>13</v>
      </c>
      <c r="CU56" s="150">
        <v>13.2</v>
      </c>
      <c r="CV56" s="150">
        <v>13.4</v>
      </c>
      <c r="CW56" s="150">
        <v>13.6</v>
      </c>
      <c r="CX56" s="150">
        <v>13.8</v>
      </c>
      <c r="CY56" s="150">
        <v>14</v>
      </c>
      <c r="CZ56" s="150">
        <v>14.2</v>
      </c>
      <c r="DA56" s="150">
        <v>14.4</v>
      </c>
      <c r="DB56" s="150">
        <v>14.6</v>
      </c>
      <c r="DC56" s="150">
        <v>14.8</v>
      </c>
      <c r="DD56" s="150">
        <v>15</v>
      </c>
      <c r="DE56" s="150">
        <v>15.2</v>
      </c>
      <c r="DF56" s="150">
        <v>15.4</v>
      </c>
      <c r="DG56" s="150">
        <v>15.6</v>
      </c>
      <c r="DH56" s="150">
        <v>15.8</v>
      </c>
      <c r="DI56" s="150">
        <v>16</v>
      </c>
      <c r="DJ56" s="150">
        <v>16.2</v>
      </c>
      <c r="DK56" s="150">
        <v>16.399999999999999</v>
      </c>
      <c r="DL56" s="150">
        <v>16.600000000000001</v>
      </c>
      <c r="DM56" s="150">
        <v>16.8</v>
      </c>
      <c r="DN56" s="150">
        <v>17</v>
      </c>
      <c r="DO56" s="150">
        <v>17.2</v>
      </c>
      <c r="DP56" s="150">
        <v>17.399999999999999</v>
      </c>
      <c r="DQ56" s="150">
        <v>17.600000000000001</v>
      </c>
      <c r="DR56" s="150">
        <v>17.8</v>
      </c>
      <c r="DS56" s="150">
        <v>18</v>
      </c>
      <c r="DT56" s="150">
        <v>18.2</v>
      </c>
      <c r="DU56" s="150">
        <v>18.399999999999999</v>
      </c>
      <c r="DV56" s="150">
        <v>18.600000000000001</v>
      </c>
      <c r="DW56" s="150">
        <v>18.8</v>
      </c>
      <c r="DX56" s="150">
        <v>19</v>
      </c>
      <c r="DY56" s="150">
        <v>19.2</v>
      </c>
      <c r="DZ56" s="150">
        <v>19.399999999999999</v>
      </c>
      <c r="EA56" s="150">
        <v>19.600000000000001</v>
      </c>
      <c r="EB56" s="150">
        <v>19.8</v>
      </c>
      <c r="EC56" s="150">
        <v>20</v>
      </c>
      <c r="ED56" s="150">
        <v>20.2</v>
      </c>
      <c r="EE56" s="150">
        <v>20.399999999999999</v>
      </c>
      <c r="EF56" s="150">
        <v>20.6</v>
      </c>
      <c r="EG56" s="150">
        <v>20.799999999999951</v>
      </c>
      <c r="EH56" s="150">
        <v>21</v>
      </c>
      <c r="EI56" s="150">
        <v>21.19999999999995</v>
      </c>
      <c r="EJ56" s="150">
        <v>21.4</v>
      </c>
      <c r="EK56" s="150">
        <v>21.599999999999948</v>
      </c>
    </row>
    <row r="57" spans="1:141" ht="13.2" x14ac:dyDescent="0.25">
      <c r="A57" s="149">
        <v>38384</v>
      </c>
      <c r="B57" s="219">
        <v>-1.7785964148750009</v>
      </c>
      <c r="C57" s="219">
        <v>-1.7482952255625008</v>
      </c>
      <c r="D57" s="219">
        <v>-1.7179940362500008</v>
      </c>
      <c r="E57" s="219">
        <v>-1.6876928469375008</v>
      </c>
      <c r="F57" s="219">
        <v>-1.6573916576250007</v>
      </c>
      <c r="G57" s="219">
        <v>-1.6270904683125007</v>
      </c>
      <c r="H57" s="219">
        <v>-1.5967892790000007</v>
      </c>
      <c r="I57" s="219">
        <v>-1.5664880896875006</v>
      </c>
      <c r="J57" s="219">
        <v>-1.5361869003750006</v>
      </c>
      <c r="K57" s="219">
        <v>-1.5058857110625006</v>
      </c>
      <c r="L57" s="219">
        <v>-1.4755845217500005</v>
      </c>
      <c r="M57" s="219">
        <v>-1.4452833324375005</v>
      </c>
      <c r="N57" s="219">
        <v>-1.4149821431250005</v>
      </c>
      <c r="O57" s="219">
        <v>-1.3846809538125004</v>
      </c>
      <c r="P57" s="219">
        <v>-1.3543797645000004</v>
      </c>
      <c r="Q57" s="219">
        <v>-1.3240785751875004</v>
      </c>
      <c r="R57" s="219">
        <v>-1.2937773858750004</v>
      </c>
      <c r="S57" s="219">
        <v>-1.2634761965625003</v>
      </c>
      <c r="T57" s="219">
        <v>-1.2331750072500003</v>
      </c>
      <c r="U57" s="219">
        <v>-1.2028738179375003</v>
      </c>
      <c r="V57" s="220">
        <v>-1.1725726286250002</v>
      </c>
      <c r="W57" s="219">
        <v>-1.1422714393125002</v>
      </c>
      <c r="X57" s="220">
        <v>-1.1119702500000002</v>
      </c>
      <c r="Y57" s="219">
        <v>-1.0832351250000003</v>
      </c>
      <c r="Z57" s="220">
        <v>-1.0545000000000002</v>
      </c>
      <c r="AA57" s="219">
        <v>-1.0272500000000002</v>
      </c>
      <c r="AB57" s="221">
        <v>-1</v>
      </c>
      <c r="AC57" s="219">
        <v>-0.8</v>
      </c>
      <c r="AD57" s="221">
        <v>-0.6</v>
      </c>
      <c r="AE57" s="219">
        <v>-0.4</v>
      </c>
      <c r="AF57" s="219">
        <v>-0.2</v>
      </c>
      <c r="AG57" s="150">
        <v>0</v>
      </c>
      <c r="AH57" s="150">
        <v>0.2</v>
      </c>
      <c r="AI57" s="150">
        <v>0.4</v>
      </c>
      <c r="AJ57" s="150">
        <v>0.6</v>
      </c>
      <c r="AK57" s="150">
        <v>0.8</v>
      </c>
      <c r="AL57" s="150">
        <v>1</v>
      </c>
      <c r="AM57" s="150">
        <v>1.2</v>
      </c>
      <c r="AN57" s="150">
        <v>1.4</v>
      </c>
      <c r="AO57" s="150">
        <v>1.6</v>
      </c>
      <c r="AP57" s="150">
        <v>1.8</v>
      </c>
      <c r="AQ57" s="150">
        <v>2</v>
      </c>
      <c r="AR57" s="150">
        <v>2.2000000000000002</v>
      </c>
      <c r="AS57" s="150">
        <v>2.4</v>
      </c>
      <c r="AT57" s="150">
        <v>2.6</v>
      </c>
      <c r="AU57" s="150">
        <v>2.8</v>
      </c>
      <c r="AV57" s="150">
        <v>3</v>
      </c>
      <c r="AW57" s="150">
        <v>3.2</v>
      </c>
      <c r="AX57" s="150">
        <v>3.4</v>
      </c>
      <c r="AY57" s="150">
        <v>3.6</v>
      </c>
      <c r="AZ57" s="150">
        <v>3.8</v>
      </c>
      <c r="BA57" s="150">
        <v>4</v>
      </c>
      <c r="BB57" s="150">
        <v>4.2</v>
      </c>
      <c r="BC57" s="150">
        <v>4.4000000000000004</v>
      </c>
      <c r="BD57" s="150">
        <v>4.5999999999999996</v>
      </c>
      <c r="BE57" s="150">
        <v>4.8</v>
      </c>
      <c r="BF57" s="150">
        <v>5</v>
      </c>
      <c r="BG57" s="150">
        <v>5.2</v>
      </c>
      <c r="BH57" s="150">
        <v>5.4</v>
      </c>
      <c r="BI57" s="150">
        <v>5.6</v>
      </c>
      <c r="BJ57" s="150">
        <v>5.8</v>
      </c>
      <c r="BK57" s="150">
        <v>6</v>
      </c>
      <c r="BL57" s="150">
        <v>6.2</v>
      </c>
      <c r="BM57" s="150">
        <v>6.4</v>
      </c>
      <c r="BN57" s="150">
        <v>6.6</v>
      </c>
      <c r="BO57" s="150">
        <v>6.8</v>
      </c>
      <c r="BP57" s="150">
        <v>7</v>
      </c>
      <c r="BQ57" s="150">
        <v>7.2</v>
      </c>
      <c r="BR57" s="150">
        <v>7.4</v>
      </c>
      <c r="BS57" s="150">
        <v>7.6</v>
      </c>
      <c r="BT57" s="150">
        <v>7.8</v>
      </c>
      <c r="BU57" s="150">
        <v>8</v>
      </c>
      <c r="BV57" s="150">
        <v>8.1999999999999993</v>
      </c>
      <c r="BW57" s="150">
        <v>8.4</v>
      </c>
      <c r="BX57" s="150">
        <v>8.6</v>
      </c>
      <c r="BY57" s="150">
        <v>8.7999999999999936</v>
      </c>
      <c r="BZ57" s="150">
        <v>9</v>
      </c>
      <c r="CA57" s="150">
        <v>9.1999999999999922</v>
      </c>
      <c r="CB57" s="150">
        <v>9.4</v>
      </c>
      <c r="CC57" s="150">
        <v>9.5999999999999908</v>
      </c>
      <c r="CD57" s="150">
        <v>9.8000000000000007</v>
      </c>
      <c r="CE57" s="150">
        <v>9.9999999999999893</v>
      </c>
      <c r="CF57" s="150">
        <v>10.199999999999999</v>
      </c>
      <c r="CG57" s="150">
        <v>10.4</v>
      </c>
      <c r="CH57" s="150">
        <v>10.6</v>
      </c>
      <c r="CI57" s="150">
        <v>10.8</v>
      </c>
      <c r="CJ57" s="150">
        <v>11</v>
      </c>
      <c r="CK57" s="150">
        <v>11.2</v>
      </c>
      <c r="CL57" s="150">
        <v>11.4</v>
      </c>
      <c r="CM57" s="150">
        <v>11.6</v>
      </c>
      <c r="CN57" s="150">
        <v>11.8</v>
      </c>
      <c r="CO57" s="150">
        <v>12</v>
      </c>
      <c r="CP57" s="150">
        <v>12.2</v>
      </c>
      <c r="CQ57" s="150">
        <v>12.4</v>
      </c>
      <c r="CR57" s="150">
        <v>12.6</v>
      </c>
      <c r="CS57" s="150">
        <v>12.8</v>
      </c>
      <c r="CT57" s="150">
        <v>13</v>
      </c>
      <c r="CU57" s="150">
        <v>13.2</v>
      </c>
      <c r="CV57" s="150">
        <v>13.4</v>
      </c>
      <c r="CW57" s="150">
        <v>13.6</v>
      </c>
      <c r="CX57" s="150">
        <v>13.8</v>
      </c>
      <c r="CY57" s="150">
        <v>14</v>
      </c>
      <c r="CZ57" s="150">
        <v>14.2</v>
      </c>
      <c r="DA57" s="150">
        <v>14.4</v>
      </c>
      <c r="DB57" s="150">
        <v>14.6</v>
      </c>
      <c r="DC57" s="150">
        <v>14.8</v>
      </c>
      <c r="DD57" s="150">
        <v>15</v>
      </c>
      <c r="DE57" s="150">
        <v>15.2</v>
      </c>
      <c r="DF57" s="150">
        <v>15.4</v>
      </c>
      <c r="DG57" s="150">
        <v>15.6</v>
      </c>
      <c r="DH57" s="150">
        <v>15.8</v>
      </c>
      <c r="DI57" s="150">
        <v>16</v>
      </c>
      <c r="DJ57" s="150">
        <v>16.2</v>
      </c>
      <c r="DK57" s="150">
        <v>16.399999999999999</v>
      </c>
      <c r="DL57" s="150">
        <v>16.600000000000001</v>
      </c>
      <c r="DM57" s="150">
        <v>16.8</v>
      </c>
      <c r="DN57" s="150">
        <v>17</v>
      </c>
      <c r="DO57" s="150">
        <v>17.2</v>
      </c>
      <c r="DP57" s="150">
        <v>17.399999999999999</v>
      </c>
      <c r="DQ57" s="150">
        <v>17.600000000000001</v>
      </c>
      <c r="DR57" s="150">
        <v>17.8</v>
      </c>
      <c r="DS57" s="150">
        <v>18</v>
      </c>
      <c r="DT57" s="150">
        <v>18.2</v>
      </c>
      <c r="DU57" s="150">
        <v>18.399999999999999</v>
      </c>
      <c r="DV57" s="150">
        <v>18.600000000000001</v>
      </c>
      <c r="DW57" s="150">
        <v>18.8</v>
      </c>
      <c r="DX57" s="150">
        <v>19</v>
      </c>
      <c r="DY57" s="150">
        <v>19.2</v>
      </c>
      <c r="DZ57" s="150">
        <v>19.399999999999999</v>
      </c>
      <c r="EA57" s="150">
        <v>19.600000000000001</v>
      </c>
      <c r="EB57" s="150">
        <v>19.8</v>
      </c>
      <c r="EC57" s="150">
        <v>20</v>
      </c>
      <c r="ED57" s="150">
        <v>20.2</v>
      </c>
      <c r="EE57" s="150">
        <v>20.399999999999999</v>
      </c>
      <c r="EF57" s="150">
        <v>20.6</v>
      </c>
      <c r="EG57" s="150">
        <v>20.799999999999951</v>
      </c>
      <c r="EH57" s="150">
        <v>21</v>
      </c>
      <c r="EI57" s="150">
        <v>21.19999999999995</v>
      </c>
      <c r="EJ57" s="150">
        <v>21.4</v>
      </c>
      <c r="EK57" s="150">
        <v>21.599999999999948</v>
      </c>
    </row>
    <row r="58" spans="1:141" ht="13.2" x14ac:dyDescent="0.25">
      <c r="A58" s="149">
        <v>38412</v>
      </c>
      <c r="B58" s="219">
        <v>-1.7785964148750009</v>
      </c>
      <c r="C58" s="219">
        <v>-1.7482952255625008</v>
      </c>
      <c r="D58" s="219">
        <v>-1.7179940362500008</v>
      </c>
      <c r="E58" s="219">
        <v>-1.6876928469375008</v>
      </c>
      <c r="F58" s="219">
        <v>-1.6573916576250007</v>
      </c>
      <c r="G58" s="219">
        <v>-1.6270904683125007</v>
      </c>
      <c r="H58" s="219">
        <v>-1.5967892790000007</v>
      </c>
      <c r="I58" s="219">
        <v>-1.5664880896875006</v>
      </c>
      <c r="J58" s="219">
        <v>-1.5361869003750006</v>
      </c>
      <c r="K58" s="219">
        <v>-1.5058857110625006</v>
      </c>
      <c r="L58" s="219">
        <v>-1.4755845217500005</v>
      </c>
      <c r="M58" s="219">
        <v>-1.4452833324375005</v>
      </c>
      <c r="N58" s="219">
        <v>-1.4149821431250005</v>
      </c>
      <c r="O58" s="219">
        <v>-1.3846809538125004</v>
      </c>
      <c r="P58" s="219">
        <v>-1.3543797645000004</v>
      </c>
      <c r="Q58" s="219">
        <v>-1.3240785751875004</v>
      </c>
      <c r="R58" s="219">
        <v>-1.2937773858750004</v>
      </c>
      <c r="S58" s="219">
        <v>-1.2634761965625003</v>
      </c>
      <c r="T58" s="219">
        <v>-1.2331750072500003</v>
      </c>
      <c r="U58" s="219">
        <v>-1.2028738179375003</v>
      </c>
      <c r="V58" s="220">
        <v>-1.1725726286250002</v>
      </c>
      <c r="W58" s="219">
        <v>-1.1422714393125002</v>
      </c>
      <c r="X58" s="220">
        <v>-1.1119702500000002</v>
      </c>
      <c r="Y58" s="219">
        <v>-1.0832351250000003</v>
      </c>
      <c r="Z58" s="220">
        <v>-1.0545000000000002</v>
      </c>
      <c r="AA58" s="219">
        <v>-1.0272500000000002</v>
      </c>
      <c r="AB58" s="221">
        <v>-1</v>
      </c>
      <c r="AC58" s="219">
        <v>-0.8</v>
      </c>
      <c r="AD58" s="221">
        <v>-0.6</v>
      </c>
      <c r="AE58" s="219">
        <v>-0.4</v>
      </c>
      <c r="AF58" s="219">
        <v>-0.2</v>
      </c>
      <c r="AG58" s="150">
        <v>0</v>
      </c>
      <c r="AH58" s="150">
        <v>0.2</v>
      </c>
      <c r="AI58" s="150">
        <v>0.4</v>
      </c>
      <c r="AJ58" s="150">
        <v>0.6</v>
      </c>
      <c r="AK58" s="150">
        <v>0.8</v>
      </c>
      <c r="AL58" s="150">
        <v>1</v>
      </c>
      <c r="AM58" s="150">
        <v>1.2</v>
      </c>
      <c r="AN58" s="150">
        <v>1.4</v>
      </c>
      <c r="AO58" s="150">
        <v>1.6</v>
      </c>
      <c r="AP58" s="150">
        <v>1.8</v>
      </c>
      <c r="AQ58" s="150">
        <v>2</v>
      </c>
      <c r="AR58" s="150">
        <v>2.2000000000000002</v>
      </c>
      <c r="AS58" s="150">
        <v>2.4</v>
      </c>
      <c r="AT58" s="150">
        <v>2.6</v>
      </c>
      <c r="AU58" s="150">
        <v>2.8</v>
      </c>
      <c r="AV58" s="150">
        <v>3</v>
      </c>
      <c r="AW58" s="150">
        <v>3.2</v>
      </c>
      <c r="AX58" s="150">
        <v>3.4</v>
      </c>
      <c r="AY58" s="150">
        <v>3.6</v>
      </c>
      <c r="AZ58" s="150">
        <v>3.8</v>
      </c>
      <c r="BA58" s="150">
        <v>4</v>
      </c>
      <c r="BB58" s="150">
        <v>4.2</v>
      </c>
      <c r="BC58" s="150">
        <v>4.4000000000000004</v>
      </c>
      <c r="BD58" s="150">
        <v>4.5999999999999996</v>
      </c>
      <c r="BE58" s="150">
        <v>4.8</v>
      </c>
      <c r="BF58" s="150">
        <v>5</v>
      </c>
      <c r="BG58" s="150">
        <v>5.2</v>
      </c>
      <c r="BH58" s="150">
        <v>5.4</v>
      </c>
      <c r="BI58" s="150">
        <v>5.6</v>
      </c>
      <c r="BJ58" s="150">
        <v>5.8</v>
      </c>
      <c r="BK58" s="150">
        <v>6</v>
      </c>
      <c r="BL58" s="150">
        <v>6.2</v>
      </c>
      <c r="BM58" s="150">
        <v>6.4</v>
      </c>
      <c r="BN58" s="150">
        <v>6.6</v>
      </c>
      <c r="BO58" s="150">
        <v>6.8</v>
      </c>
      <c r="BP58" s="150">
        <v>7</v>
      </c>
      <c r="BQ58" s="150">
        <v>7.2</v>
      </c>
      <c r="BR58" s="150">
        <v>7.4</v>
      </c>
      <c r="BS58" s="150">
        <v>7.6</v>
      </c>
      <c r="BT58" s="150">
        <v>7.8</v>
      </c>
      <c r="BU58" s="150">
        <v>8</v>
      </c>
      <c r="BV58" s="150">
        <v>8.1999999999999993</v>
      </c>
      <c r="BW58" s="150">
        <v>8.4</v>
      </c>
      <c r="BX58" s="150">
        <v>8.6</v>
      </c>
      <c r="BY58" s="150">
        <v>8.7999999999999936</v>
      </c>
      <c r="BZ58" s="150">
        <v>9</v>
      </c>
      <c r="CA58" s="150">
        <v>9.1999999999999922</v>
      </c>
      <c r="CB58" s="150">
        <v>9.4</v>
      </c>
      <c r="CC58" s="150">
        <v>9.5999999999999908</v>
      </c>
      <c r="CD58" s="150">
        <v>9.8000000000000007</v>
      </c>
      <c r="CE58" s="150">
        <v>9.9999999999999893</v>
      </c>
      <c r="CF58" s="150">
        <v>10.199999999999999</v>
      </c>
      <c r="CG58" s="150">
        <v>10.4</v>
      </c>
      <c r="CH58" s="150">
        <v>10.6</v>
      </c>
      <c r="CI58" s="150">
        <v>10.8</v>
      </c>
      <c r="CJ58" s="150">
        <v>11</v>
      </c>
      <c r="CK58" s="150">
        <v>11.2</v>
      </c>
      <c r="CL58" s="150">
        <v>11.4</v>
      </c>
      <c r="CM58" s="150">
        <v>11.6</v>
      </c>
      <c r="CN58" s="150">
        <v>11.8</v>
      </c>
      <c r="CO58" s="150">
        <v>12</v>
      </c>
      <c r="CP58" s="150">
        <v>12.2</v>
      </c>
      <c r="CQ58" s="150">
        <v>12.4</v>
      </c>
      <c r="CR58" s="150">
        <v>12.6</v>
      </c>
      <c r="CS58" s="150">
        <v>12.8</v>
      </c>
      <c r="CT58" s="150">
        <v>13</v>
      </c>
      <c r="CU58" s="150">
        <v>13.2</v>
      </c>
      <c r="CV58" s="150">
        <v>13.4</v>
      </c>
      <c r="CW58" s="150">
        <v>13.6</v>
      </c>
      <c r="CX58" s="150">
        <v>13.8</v>
      </c>
      <c r="CY58" s="150">
        <v>14</v>
      </c>
      <c r="CZ58" s="150">
        <v>14.2</v>
      </c>
      <c r="DA58" s="150">
        <v>14.4</v>
      </c>
      <c r="DB58" s="150">
        <v>14.6</v>
      </c>
      <c r="DC58" s="150">
        <v>14.8</v>
      </c>
      <c r="DD58" s="150">
        <v>15</v>
      </c>
      <c r="DE58" s="150">
        <v>15.2</v>
      </c>
      <c r="DF58" s="150">
        <v>15.4</v>
      </c>
      <c r="DG58" s="150">
        <v>15.6</v>
      </c>
      <c r="DH58" s="150">
        <v>15.8</v>
      </c>
      <c r="DI58" s="150">
        <v>16</v>
      </c>
      <c r="DJ58" s="150">
        <v>16.2</v>
      </c>
      <c r="DK58" s="150">
        <v>16.399999999999999</v>
      </c>
      <c r="DL58" s="150">
        <v>16.600000000000001</v>
      </c>
      <c r="DM58" s="150">
        <v>16.8</v>
      </c>
      <c r="DN58" s="150">
        <v>17</v>
      </c>
      <c r="DO58" s="150">
        <v>17.2</v>
      </c>
      <c r="DP58" s="150">
        <v>17.399999999999999</v>
      </c>
      <c r="DQ58" s="150">
        <v>17.600000000000001</v>
      </c>
      <c r="DR58" s="150">
        <v>17.8</v>
      </c>
      <c r="DS58" s="150">
        <v>18</v>
      </c>
      <c r="DT58" s="150">
        <v>18.2</v>
      </c>
      <c r="DU58" s="150">
        <v>18.399999999999999</v>
      </c>
      <c r="DV58" s="150">
        <v>18.600000000000001</v>
      </c>
      <c r="DW58" s="150">
        <v>18.8</v>
      </c>
      <c r="DX58" s="150">
        <v>19</v>
      </c>
      <c r="DY58" s="150">
        <v>19.2</v>
      </c>
      <c r="DZ58" s="150">
        <v>19.399999999999999</v>
      </c>
      <c r="EA58" s="150">
        <v>19.600000000000001</v>
      </c>
      <c r="EB58" s="150">
        <v>19.8</v>
      </c>
      <c r="EC58" s="150">
        <v>20</v>
      </c>
      <c r="ED58" s="150">
        <v>20.2</v>
      </c>
      <c r="EE58" s="150">
        <v>20.399999999999999</v>
      </c>
      <c r="EF58" s="150">
        <v>20.6</v>
      </c>
      <c r="EG58" s="150">
        <v>20.799999999999951</v>
      </c>
      <c r="EH58" s="150">
        <v>21</v>
      </c>
      <c r="EI58" s="150">
        <v>21.19999999999995</v>
      </c>
      <c r="EJ58" s="150">
        <v>21.4</v>
      </c>
      <c r="EK58" s="150">
        <v>21.599999999999948</v>
      </c>
    </row>
    <row r="59" spans="1:141" ht="13.2" x14ac:dyDescent="0.25">
      <c r="A59" s="149">
        <v>38443</v>
      </c>
      <c r="B59" s="219">
        <v>-1.7785964148750009</v>
      </c>
      <c r="C59" s="219">
        <v>-1.7482952255625008</v>
      </c>
      <c r="D59" s="219">
        <v>-1.7179940362500008</v>
      </c>
      <c r="E59" s="219">
        <v>-1.6876928469375008</v>
      </c>
      <c r="F59" s="219">
        <v>-1.6573916576250007</v>
      </c>
      <c r="G59" s="219">
        <v>-1.6270904683125007</v>
      </c>
      <c r="H59" s="219">
        <v>-1.5967892790000007</v>
      </c>
      <c r="I59" s="219">
        <v>-1.5664880896875006</v>
      </c>
      <c r="J59" s="219">
        <v>-1.5361869003750006</v>
      </c>
      <c r="K59" s="219">
        <v>-1.5058857110625006</v>
      </c>
      <c r="L59" s="219">
        <v>-1.4755845217500005</v>
      </c>
      <c r="M59" s="219">
        <v>-1.4452833324375005</v>
      </c>
      <c r="N59" s="219">
        <v>-1.4149821431250005</v>
      </c>
      <c r="O59" s="219">
        <v>-1.3846809538125004</v>
      </c>
      <c r="P59" s="219">
        <v>-1.3543797645000004</v>
      </c>
      <c r="Q59" s="219">
        <v>-1.3240785751875004</v>
      </c>
      <c r="R59" s="219">
        <v>-1.2937773858750004</v>
      </c>
      <c r="S59" s="219">
        <v>-1.2634761965625003</v>
      </c>
      <c r="T59" s="219">
        <v>-1.2331750072500003</v>
      </c>
      <c r="U59" s="219">
        <v>-1.2028738179375003</v>
      </c>
      <c r="V59" s="220">
        <v>-1.1725726286250002</v>
      </c>
      <c r="W59" s="219">
        <v>-1.1422714393125002</v>
      </c>
      <c r="X59" s="220">
        <v>-1.1119702500000002</v>
      </c>
      <c r="Y59" s="219">
        <v>-1.0832351250000003</v>
      </c>
      <c r="Z59" s="220">
        <v>-1.0545000000000002</v>
      </c>
      <c r="AA59" s="219">
        <v>-1.0272500000000002</v>
      </c>
      <c r="AB59" s="221">
        <v>-1</v>
      </c>
      <c r="AC59" s="219">
        <v>-0.8</v>
      </c>
      <c r="AD59" s="221">
        <v>-0.6</v>
      </c>
      <c r="AE59" s="219">
        <v>-0.4</v>
      </c>
      <c r="AF59" s="219">
        <v>-0.2</v>
      </c>
      <c r="AG59" s="150">
        <v>0</v>
      </c>
      <c r="AH59" s="150">
        <v>0.2</v>
      </c>
      <c r="AI59" s="150">
        <v>0.4</v>
      </c>
      <c r="AJ59" s="150">
        <v>0.6</v>
      </c>
      <c r="AK59" s="150">
        <v>0.8</v>
      </c>
      <c r="AL59" s="150">
        <v>1</v>
      </c>
      <c r="AM59" s="150">
        <v>1.2</v>
      </c>
      <c r="AN59" s="150">
        <v>1.4</v>
      </c>
      <c r="AO59" s="150">
        <v>1.6</v>
      </c>
      <c r="AP59" s="150">
        <v>1.8</v>
      </c>
      <c r="AQ59" s="150">
        <v>2</v>
      </c>
      <c r="AR59" s="150">
        <v>2.2000000000000002</v>
      </c>
      <c r="AS59" s="150">
        <v>2.4</v>
      </c>
      <c r="AT59" s="150">
        <v>2.6</v>
      </c>
      <c r="AU59" s="150">
        <v>2.8</v>
      </c>
      <c r="AV59" s="150">
        <v>3</v>
      </c>
      <c r="AW59" s="150">
        <v>3.2</v>
      </c>
      <c r="AX59" s="150">
        <v>3.4</v>
      </c>
      <c r="AY59" s="150">
        <v>3.6</v>
      </c>
      <c r="AZ59" s="150">
        <v>3.8</v>
      </c>
      <c r="BA59" s="150">
        <v>4</v>
      </c>
      <c r="BB59" s="150">
        <v>4.2</v>
      </c>
      <c r="BC59" s="150">
        <v>4.4000000000000004</v>
      </c>
      <c r="BD59" s="150">
        <v>4.5999999999999996</v>
      </c>
      <c r="BE59" s="150">
        <v>4.8</v>
      </c>
      <c r="BF59" s="150">
        <v>5</v>
      </c>
      <c r="BG59" s="150">
        <v>5.2</v>
      </c>
      <c r="BH59" s="150">
        <v>5.4</v>
      </c>
      <c r="BI59" s="150">
        <v>5.6</v>
      </c>
      <c r="BJ59" s="150">
        <v>5.8</v>
      </c>
      <c r="BK59" s="150">
        <v>6</v>
      </c>
      <c r="BL59" s="150">
        <v>6.2</v>
      </c>
      <c r="BM59" s="150">
        <v>6.4</v>
      </c>
      <c r="BN59" s="150">
        <v>6.6</v>
      </c>
      <c r="BO59" s="150">
        <v>6.8</v>
      </c>
      <c r="BP59" s="150">
        <v>7</v>
      </c>
      <c r="BQ59" s="150">
        <v>7.2</v>
      </c>
      <c r="BR59" s="150">
        <v>7.4</v>
      </c>
      <c r="BS59" s="150">
        <v>7.6</v>
      </c>
      <c r="BT59" s="150">
        <v>7.8</v>
      </c>
      <c r="BU59" s="150">
        <v>8</v>
      </c>
      <c r="BV59" s="150">
        <v>8.1999999999999993</v>
      </c>
      <c r="BW59" s="150">
        <v>8.4</v>
      </c>
      <c r="BX59" s="150">
        <v>8.6</v>
      </c>
      <c r="BY59" s="150">
        <v>8.7999999999999936</v>
      </c>
      <c r="BZ59" s="150">
        <v>9</v>
      </c>
      <c r="CA59" s="150">
        <v>9.1999999999999922</v>
      </c>
      <c r="CB59" s="150">
        <v>9.4</v>
      </c>
      <c r="CC59" s="150">
        <v>9.5999999999999908</v>
      </c>
      <c r="CD59" s="150">
        <v>9.8000000000000007</v>
      </c>
      <c r="CE59" s="150">
        <v>9.9999999999999893</v>
      </c>
      <c r="CF59" s="150">
        <v>10.199999999999999</v>
      </c>
      <c r="CG59" s="150">
        <v>10.4</v>
      </c>
      <c r="CH59" s="150">
        <v>10.6</v>
      </c>
      <c r="CI59" s="150">
        <v>10.8</v>
      </c>
      <c r="CJ59" s="150">
        <v>11</v>
      </c>
      <c r="CK59" s="150">
        <v>11.2</v>
      </c>
      <c r="CL59" s="150">
        <v>11.4</v>
      </c>
      <c r="CM59" s="150">
        <v>11.6</v>
      </c>
      <c r="CN59" s="150">
        <v>11.8</v>
      </c>
      <c r="CO59" s="150">
        <v>12</v>
      </c>
      <c r="CP59" s="150">
        <v>12.2</v>
      </c>
      <c r="CQ59" s="150">
        <v>12.4</v>
      </c>
      <c r="CR59" s="150">
        <v>12.6</v>
      </c>
      <c r="CS59" s="150">
        <v>12.8</v>
      </c>
      <c r="CT59" s="150">
        <v>13</v>
      </c>
      <c r="CU59" s="150">
        <v>13.2</v>
      </c>
      <c r="CV59" s="150">
        <v>13.4</v>
      </c>
      <c r="CW59" s="150">
        <v>13.6</v>
      </c>
      <c r="CX59" s="150">
        <v>13.8</v>
      </c>
      <c r="CY59" s="150">
        <v>14</v>
      </c>
      <c r="CZ59" s="150">
        <v>14.2</v>
      </c>
      <c r="DA59" s="150">
        <v>14.4</v>
      </c>
      <c r="DB59" s="150">
        <v>14.6</v>
      </c>
      <c r="DC59" s="150">
        <v>14.8</v>
      </c>
      <c r="DD59" s="150">
        <v>15</v>
      </c>
      <c r="DE59" s="150">
        <v>15.2</v>
      </c>
      <c r="DF59" s="150">
        <v>15.4</v>
      </c>
      <c r="DG59" s="150">
        <v>15.6</v>
      </c>
      <c r="DH59" s="150">
        <v>15.8</v>
      </c>
      <c r="DI59" s="150">
        <v>16</v>
      </c>
      <c r="DJ59" s="150">
        <v>16.2</v>
      </c>
      <c r="DK59" s="150">
        <v>16.399999999999999</v>
      </c>
      <c r="DL59" s="150">
        <v>16.600000000000001</v>
      </c>
      <c r="DM59" s="150">
        <v>16.8</v>
      </c>
      <c r="DN59" s="150">
        <v>17</v>
      </c>
      <c r="DO59" s="150">
        <v>17.2</v>
      </c>
      <c r="DP59" s="150">
        <v>17.399999999999999</v>
      </c>
      <c r="DQ59" s="150">
        <v>17.600000000000001</v>
      </c>
      <c r="DR59" s="150">
        <v>17.8</v>
      </c>
      <c r="DS59" s="150">
        <v>18</v>
      </c>
      <c r="DT59" s="150">
        <v>18.2</v>
      </c>
      <c r="DU59" s="150">
        <v>18.399999999999999</v>
      </c>
      <c r="DV59" s="150">
        <v>18.600000000000001</v>
      </c>
      <c r="DW59" s="150">
        <v>18.8</v>
      </c>
      <c r="DX59" s="150">
        <v>19</v>
      </c>
      <c r="DY59" s="150">
        <v>19.2</v>
      </c>
      <c r="DZ59" s="150">
        <v>19.399999999999999</v>
      </c>
      <c r="EA59" s="150">
        <v>19.600000000000001</v>
      </c>
      <c r="EB59" s="150">
        <v>19.8</v>
      </c>
      <c r="EC59" s="150">
        <v>20</v>
      </c>
      <c r="ED59" s="150">
        <v>20.2</v>
      </c>
      <c r="EE59" s="150">
        <v>20.399999999999999</v>
      </c>
      <c r="EF59" s="150">
        <v>20.6</v>
      </c>
      <c r="EG59" s="150">
        <v>20.799999999999951</v>
      </c>
      <c r="EH59" s="150">
        <v>21</v>
      </c>
      <c r="EI59" s="150">
        <v>21.19999999999995</v>
      </c>
      <c r="EJ59" s="150">
        <v>21.4</v>
      </c>
      <c r="EK59" s="150">
        <v>21.599999999999948</v>
      </c>
    </row>
    <row r="60" spans="1:141" ht="13.2" x14ac:dyDescent="0.25">
      <c r="A60" s="149">
        <v>38473</v>
      </c>
      <c r="B60" s="219">
        <v>-1.7785964148750009</v>
      </c>
      <c r="C60" s="219">
        <v>-1.7482952255625008</v>
      </c>
      <c r="D60" s="219">
        <v>-1.7179940362500008</v>
      </c>
      <c r="E60" s="219">
        <v>-1.6876928469375008</v>
      </c>
      <c r="F60" s="219">
        <v>-1.6573916576250007</v>
      </c>
      <c r="G60" s="219">
        <v>-1.6270904683125007</v>
      </c>
      <c r="H60" s="219">
        <v>-1.5967892790000007</v>
      </c>
      <c r="I60" s="219">
        <v>-1.5664880896875006</v>
      </c>
      <c r="J60" s="219">
        <v>-1.5361869003750006</v>
      </c>
      <c r="K60" s="219">
        <v>-1.5058857110625006</v>
      </c>
      <c r="L60" s="219">
        <v>-1.4755845217500005</v>
      </c>
      <c r="M60" s="219">
        <v>-1.4452833324375005</v>
      </c>
      <c r="N60" s="219">
        <v>-1.4149821431250005</v>
      </c>
      <c r="O60" s="219">
        <v>-1.3846809538125004</v>
      </c>
      <c r="P60" s="219">
        <v>-1.3543797645000004</v>
      </c>
      <c r="Q60" s="219">
        <v>-1.3240785751875004</v>
      </c>
      <c r="R60" s="219">
        <v>-1.2937773858750004</v>
      </c>
      <c r="S60" s="219">
        <v>-1.2634761965625003</v>
      </c>
      <c r="T60" s="219">
        <v>-1.2331750072500003</v>
      </c>
      <c r="U60" s="219">
        <v>-1.2028738179375003</v>
      </c>
      <c r="V60" s="220">
        <v>-1.1725726286250002</v>
      </c>
      <c r="W60" s="219">
        <v>-1.1422714393125002</v>
      </c>
      <c r="X60" s="220">
        <v>-1.1119702500000002</v>
      </c>
      <c r="Y60" s="219">
        <v>-1.0832351250000003</v>
      </c>
      <c r="Z60" s="220">
        <v>-1.0545000000000002</v>
      </c>
      <c r="AA60" s="219">
        <v>-1.0272500000000002</v>
      </c>
      <c r="AB60" s="221">
        <v>-1</v>
      </c>
      <c r="AC60" s="219">
        <v>-0.8</v>
      </c>
      <c r="AD60" s="221">
        <v>-0.6</v>
      </c>
      <c r="AE60" s="219">
        <v>-0.4</v>
      </c>
      <c r="AF60" s="219">
        <v>-0.2</v>
      </c>
      <c r="AG60" s="150">
        <v>0</v>
      </c>
      <c r="AH60" s="150">
        <v>0.2</v>
      </c>
      <c r="AI60" s="150">
        <v>0.4</v>
      </c>
      <c r="AJ60" s="150">
        <v>0.6</v>
      </c>
      <c r="AK60" s="150">
        <v>0.8</v>
      </c>
      <c r="AL60" s="150">
        <v>1</v>
      </c>
      <c r="AM60" s="150">
        <v>1.2</v>
      </c>
      <c r="AN60" s="150">
        <v>1.4</v>
      </c>
      <c r="AO60" s="150">
        <v>1.6</v>
      </c>
      <c r="AP60" s="150">
        <v>1.8</v>
      </c>
      <c r="AQ60" s="150">
        <v>2</v>
      </c>
      <c r="AR60" s="150">
        <v>2.2000000000000002</v>
      </c>
      <c r="AS60" s="150">
        <v>2.4</v>
      </c>
      <c r="AT60" s="150">
        <v>2.6</v>
      </c>
      <c r="AU60" s="150">
        <v>2.8</v>
      </c>
      <c r="AV60" s="150">
        <v>3</v>
      </c>
      <c r="AW60" s="150">
        <v>3.2</v>
      </c>
      <c r="AX60" s="150">
        <v>3.4</v>
      </c>
      <c r="AY60" s="150">
        <v>3.6</v>
      </c>
      <c r="AZ60" s="150">
        <v>3.8</v>
      </c>
      <c r="BA60" s="150">
        <v>4</v>
      </c>
      <c r="BB60" s="150">
        <v>4.2</v>
      </c>
      <c r="BC60" s="150">
        <v>4.4000000000000004</v>
      </c>
      <c r="BD60" s="150">
        <v>4.5999999999999996</v>
      </c>
      <c r="BE60" s="150">
        <v>4.8</v>
      </c>
      <c r="BF60" s="150">
        <v>5</v>
      </c>
      <c r="BG60" s="150">
        <v>5.2</v>
      </c>
      <c r="BH60" s="150">
        <v>5.4</v>
      </c>
      <c r="BI60" s="150">
        <v>5.6</v>
      </c>
      <c r="BJ60" s="150">
        <v>5.8</v>
      </c>
      <c r="BK60" s="150">
        <v>6</v>
      </c>
      <c r="BL60" s="150">
        <v>6.2</v>
      </c>
      <c r="BM60" s="150">
        <v>6.4</v>
      </c>
      <c r="BN60" s="150">
        <v>6.6</v>
      </c>
      <c r="BO60" s="150">
        <v>6.8</v>
      </c>
      <c r="BP60" s="150">
        <v>7</v>
      </c>
      <c r="BQ60" s="150">
        <v>7.2</v>
      </c>
      <c r="BR60" s="150">
        <v>7.4</v>
      </c>
      <c r="BS60" s="150">
        <v>7.6</v>
      </c>
      <c r="BT60" s="150">
        <v>7.8</v>
      </c>
      <c r="BU60" s="150">
        <v>8</v>
      </c>
      <c r="BV60" s="150">
        <v>8.1999999999999993</v>
      </c>
      <c r="BW60" s="150">
        <v>8.4</v>
      </c>
      <c r="BX60" s="150">
        <v>8.6</v>
      </c>
      <c r="BY60" s="150">
        <v>8.7999999999999936</v>
      </c>
      <c r="BZ60" s="150">
        <v>9</v>
      </c>
      <c r="CA60" s="150">
        <v>9.1999999999999922</v>
      </c>
      <c r="CB60" s="150">
        <v>9.4</v>
      </c>
      <c r="CC60" s="150">
        <v>9.5999999999999908</v>
      </c>
      <c r="CD60" s="150">
        <v>9.8000000000000007</v>
      </c>
      <c r="CE60" s="150">
        <v>9.9999999999999893</v>
      </c>
      <c r="CF60" s="150">
        <v>10.199999999999999</v>
      </c>
      <c r="CG60" s="150">
        <v>10.4</v>
      </c>
      <c r="CH60" s="150">
        <v>10.6</v>
      </c>
      <c r="CI60" s="150">
        <v>10.8</v>
      </c>
      <c r="CJ60" s="150">
        <v>11</v>
      </c>
      <c r="CK60" s="150">
        <v>11.2</v>
      </c>
      <c r="CL60" s="150">
        <v>11.4</v>
      </c>
      <c r="CM60" s="150">
        <v>11.6</v>
      </c>
      <c r="CN60" s="150">
        <v>11.8</v>
      </c>
      <c r="CO60" s="150">
        <v>12</v>
      </c>
      <c r="CP60" s="150">
        <v>12.2</v>
      </c>
      <c r="CQ60" s="150">
        <v>12.4</v>
      </c>
      <c r="CR60" s="150">
        <v>12.6</v>
      </c>
      <c r="CS60" s="150">
        <v>12.8</v>
      </c>
      <c r="CT60" s="150">
        <v>13</v>
      </c>
      <c r="CU60" s="150">
        <v>13.2</v>
      </c>
      <c r="CV60" s="150">
        <v>13.4</v>
      </c>
      <c r="CW60" s="150">
        <v>13.6</v>
      </c>
      <c r="CX60" s="150">
        <v>13.8</v>
      </c>
      <c r="CY60" s="150">
        <v>14</v>
      </c>
      <c r="CZ60" s="150">
        <v>14.2</v>
      </c>
      <c r="DA60" s="150">
        <v>14.4</v>
      </c>
      <c r="DB60" s="150">
        <v>14.6</v>
      </c>
      <c r="DC60" s="150">
        <v>14.8</v>
      </c>
      <c r="DD60" s="150">
        <v>15</v>
      </c>
      <c r="DE60" s="150">
        <v>15.2</v>
      </c>
      <c r="DF60" s="150">
        <v>15.4</v>
      </c>
      <c r="DG60" s="150">
        <v>15.6</v>
      </c>
      <c r="DH60" s="150">
        <v>15.8</v>
      </c>
      <c r="DI60" s="150">
        <v>16</v>
      </c>
      <c r="DJ60" s="150">
        <v>16.2</v>
      </c>
      <c r="DK60" s="150">
        <v>16.399999999999999</v>
      </c>
      <c r="DL60" s="150">
        <v>16.600000000000001</v>
      </c>
      <c r="DM60" s="150">
        <v>16.8</v>
      </c>
      <c r="DN60" s="150">
        <v>17</v>
      </c>
      <c r="DO60" s="150">
        <v>17.2</v>
      </c>
      <c r="DP60" s="150">
        <v>17.399999999999999</v>
      </c>
      <c r="DQ60" s="150">
        <v>17.600000000000001</v>
      </c>
      <c r="DR60" s="150">
        <v>17.8</v>
      </c>
      <c r="DS60" s="150">
        <v>18</v>
      </c>
      <c r="DT60" s="150">
        <v>18.2</v>
      </c>
      <c r="DU60" s="150">
        <v>18.399999999999999</v>
      </c>
      <c r="DV60" s="150">
        <v>18.600000000000001</v>
      </c>
      <c r="DW60" s="150">
        <v>18.8</v>
      </c>
      <c r="DX60" s="150">
        <v>19</v>
      </c>
      <c r="DY60" s="150">
        <v>19.2</v>
      </c>
      <c r="DZ60" s="150">
        <v>19.399999999999999</v>
      </c>
      <c r="EA60" s="150">
        <v>19.600000000000001</v>
      </c>
      <c r="EB60" s="150">
        <v>19.8</v>
      </c>
      <c r="EC60" s="150">
        <v>20</v>
      </c>
      <c r="ED60" s="150">
        <v>20.2</v>
      </c>
      <c r="EE60" s="150">
        <v>20.399999999999999</v>
      </c>
      <c r="EF60" s="150">
        <v>20.6</v>
      </c>
      <c r="EG60" s="150">
        <v>20.799999999999951</v>
      </c>
      <c r="EH60" s="150">
        <v>21</v>
      </c>
      <c r="EI60" s="150">
        <v>21.19999999999995</v>
      </c>
      <c r="EJ60" s="150">
        <v>21.4</v>
      </c>
      <c r="EK60" s="150">
        <v>21.599999999999948</v>
      </c>
    </row>
    <row r="61" spans="1:141" ht="13.2" x14ac:dyDescent="0.25">
      <c r="A61" s="149">
        <v>38504</v>
      </c>
      <c r="B61" s="219">
        <v>-1.7785964148750009</v>
      </c>
      <c r="C61" s="219">
        <v>-1.7482952255625008</v>
      </c>
      <c r="D61" s="219">
        <v>-1.7179940362500008</v>
      </c>
      <c r="E61" s="219">
        <v>-1.6876928469375008</v>
      </c>
      <c r="F61" s="219">
        <v>-1.6573916576250007</v>
      </c>
      <c r="G61" s="219">
        <v>-1.6270904683125007</v>
      </c>
      <c r="H61" s="219">
        <v>-1.5967892790000007</v>
      </c>
      <c r="I61" s="219">
        <v>-1.5664880896875006</v>
      </c>
      <c r="J61" s="219">
        <v>-1.5361869003750006</v>
      </c>
      <c r="K61" s="219">
        <v>-1.5058857110625006</v>
      </c>
      <c r="L61" s="219">
        <v>-1.4755845217500005</v>
      </c>
      <c r="M61" s="219">
        <v>-1.4452833324375005</v>
      </c>
      <c r="N61" s="219">
        <v>-1.4149821431250005</v>
      </c>
      <c r="O61" s="219">
        <v>-1.3846809538125004</v>
      </c>
      <c r="P61" s="219">
        <v>-1.3543797645000004</v>
      </c>
      <c r="Q61" s="219">
        <v>-1.3240785751875004</v>
      </c>
      <c r="R61" s="219">
        <v>-1.2937773858750004</v>
      </c>
      <c r="S61" s="219">
        <v>-1.2634761965625003</v>
      </c>
      <c r="T61" s="219">
        <v>-1.2331750072500003</v>
      </c>
      <c r="U61" s="219">
        <v>-1.2028738179375003</v>
      </c>
      <c r="V61" s="220">
        <v>-1.1725726286250002</v>
      </c>
      <c r="W61" s="219">
        <v>-1.1422714393125002</v>
      </c>
      <c r="X61" s="220">
        <v>-1.1119702500000002</v>
      </c>
      <c r="Y61" s="219">
        <v>-1.0832351250000003</v>
      </c>
      <c r="Z61" s="220">
        <v>-1.0545000000000002</v>
      </c>
      <c r="AA61" s="219">
        <v>-1.0272500000000002</v>
      </c>
      <c r="AB61" s="221">
        <v>-1</v>
      </c>
      <c r="AC61" s="219">
        <v>-0.8</v>
      </c>
      <c r="AD61" s="221">
        <v>-0.6</v>
      </c>
      <c r="AE61" s="219">
        <v>-0.4</v>
      </c>
      <c r="AF61" s="219">
        <v>-0.2</v>
      </c>
      <c r="AG61" s="150">
        <v>0</v>
      </c>
      <c r="AH61" s="150">
        <v>0.2</v>
      </c>
      <c r="AI61" s="150">
        <v>0.4</v>
      </c>
      <c r="AJ61" s="150">
        <v>0.6</v>
      </c>
      <c r="AK61" s="150">
        <v>0.8</v>
      </c>
      <c r="AL61" s="150">
        <v>1</v>
      </c>
      <c r="AM61" s="150">
        <v>1.2</v>
      </c>
      <c r="AN61" s="150">
        <v>1.4</v>
      </c>
      <c r="AO61" s="150">
        <v>1.6</v>
      </c>
      <c r="AP61" s="150">
        <v>1.8</v>
      </c>
      <c r="AQ61" s="150">
        <v>2</v>
      </c>
      <c r="AR61" s="150">
        <v>2.2000000000000002</v>
      </c>
      <c r="AS61" s="150">
        <v>2.4</v>
      </c>
      <c r="AT61" s="150">
        <v>2.6</v>
      </c>
      <c r="AU61" s="150">
        <v>2.8</v>
      </c>
      <c r="AV61" s="150">
        <v>3</v>
      </c>
      <c r="AW61" s="150">
        <v>3.2</v>
      </c>
      <c r="AX61" s="150">
        <v>3.4</v>
      </c>
      <c r="AY61" s="150">
        <v>3.6</v>
      </c>
      <c r="AZ61" s="150">
        <v>3.8</v>
      </c>
      <c r="BA61" s="150">
        <v>4</v>
      </c>
      <c r="BB61" s="150">
        <v>4.2</v>
      </c>
      <c r="BC61" s="150">
        <v>4.4000000000000004</v>
      </c>
      <c r="BD61" s="150">
        <v>4.5999999999999996</v>
      </c>
      <c r="BE61" s="150">
        <v>4.8</v>
      </c>
      <c r="BF61" s="150">
        <v>5</v>
      </c>
      <c r="BG61" s="150">
        <v>5.2</v>
      </c>
      <c r="BH61" s="150">
        <v>5.4</v>
      </c>
      <c r="BI61" s="150">
        <v>5.6</v>
      </c>
      <c r="BJ61" s="150">
        <v>5.8</v>
      </c>
      <c r="BK61" s="150">
        <v>6</v>
      </c>
      <c r="BL61" s="150">
        <v>6.2</v>
      </c>
      <c r="BM61" s="150">
        <v>6.4</v>
      </c>
      <c r="BN61" s="150">
        <v>6.6</v>
      </c>
      <c r="BO61" s="150">
        <v>6.8</v>
      </c>
      <c r="BP61" s="150">
        <v>7</v>
      </c>
      <c r="BQ61" s="150">
        <v>7.2</v>
      </c>
      <c r="BR61" s="150">
        <v>7.4</v>
      </c>
      <c r="BS61" s="150">
        <v>7.6</v>
      </c>
      <c r="BT61" s="150">
        <v>7.8</v>
      </c>
      <c r="BU61" s="150">
        <v>8</v>
      </c>
      <c r="BV61" s="150">
        <v>8.1999999999999993</v>
      </c>
      <c r="BW61" s="150">
        <v>8.4</v>
      </c>
      <c r="BX61" s="150">
        <v>8.6</v>
      </c>
      <c r="BY61" s="150">
        <v>8.7999999999999936</v>
      </c>
      <c r="BZ61" s="150">
        <v>9</v>
      </c>
      <c r="CA61" s="150">
        <v>9.1999999999999922</v>
      </c>
      <c r="CB61" s="150">
        <v>9.4</v>
      </c>
      <c r="CC61" s="150">
        <v>9.5999999999999908</v>
      </c>
      <c r="CD61" s="150">
        <v>9.8000000000000007</v>
      </c>
      <c r="CE61" s="150">
        <v>9.9999999999999893</v>
      </c>
      <c r="CF61" s="150">
        <v>10.199999999999999</v>
      </c>
      <c r="CG61" s="150">
        <v>10.4</v>
      </c>
      <c r="CH61" s="150">
        <v>10.6</v>
      </c>
      <c r="CI61" s="150">
        <v>10.8</v>
      </c>
      <c r="CJ61" s="150">
        <v>11</v>
      </c>
      <c r="CK61" s="150">
        <v>11.2</v>
      </c>
      <c r="CL61" s="150">
        <v>11.4</v>
      </c>
      <c r="CM61" s="150">
        <v>11.6</v>
      </c>
      <c r="CN61" s="150">
        <v>11.8</v>
      </c>
      <c r="CO61" s="150">
        <v>12</v>
      </c>
      <c r="CP61" s="150">
        <v>12.2</v>
      </c>
      <c r="CQ61" s="150">
        <v>12.4</v>
      </c>
      <c r="CR61" s="150">
        <v>12.6</v>
      </c>
      <c r="CS61" s="150">
        <v>12.8</v>
      </c>
      <c r="CT61" s="150">
        <v>13</v>
      </c>
      <c r="CU61" s="150">
        <v>13.2</v>
      </c>
      <c r="CV61" s="150">
        <v>13.4</v>
      </c>
      <c r="CW61" s="150">
        <v>13.6</v>
      </c>
      <c r="CX61" s="150">
        <v>13.8</v>
      </c>
      <c r="CY61" s="150">
        <v>14</v>
      </c>
      <c r="CZ61" s="150">
        <v>14.2</v>
      </c>
      <c r="DA61" s="150">
        <v>14.4</v>
      </c>
      <c r="DB61" s="150">
        <v>14.6</v>
      </c>
      <c r="DC61" s="150">
        <v>14.8</v>
      </c>
      <c r="DD61" s="150">
        <v>15</v>
      </c>
      <c r="DE61" s="150">
        <v>15.2</v>
      </c>
      <c r="DF61" s="150">
        <v>15.4</v>
      </c>
      <c r="DG61" s="150">
        <v>15.6</v>
      </c>
      <c r="DH61" s="150">
        <v>15.8</v>
      </c>
      <c r="DI61" s="150">
        <v>16</v>
      </c>
      <c r="DJ61" s="150">
        <v>16.2</v>
      </c>
      <c r="DK61" s="150">
        <v>16.399999999999999</v>
      </c>
      <c r="DL61" s="150">
        <v>16.600000000000001</v>
      </c>
      <c r="DM61" s="150">
        <v>16.8</v>
      </c>
      <c r="DN61" s="150">
        <v>17</v>
      </c>
      <c r="DO61" s="150">
        <v>17.2</v>
      </c>
      <c r="DP61" s="150">
        <v>17.399999999999999</v>
      </c>
      <c r="DQ61" s="150">
        <v>17.600000000000001</v>
      </c>
      <c r="DR61" s="150">
        <v>17.8</v>
      </c>
      <c r="DS61" s="150">
        <v>18</v>
      </c>
      <c r="DT61" s="150">
        <v>18.2</v>
      </c>
      <c r="DU61" s="150">
        <v>18.399999999999999</v>
      </c>
      <c r="DV61" s="150">
        <v>18.600000000000001</v>
      </c>
      <c r="DW61" s="150">
        <v>18.8</v>
      </c>
      <c r="DX61" s="150">
        <v>19</v>
      </c>
      <c r="DY61" s="150">
        <v>19.2</v>
      </c>
      <c r="DZ61" s="150">
        <v>19.399999999999999</v>
      </c>
      <c r="EA61" s="150">
        <v>19.600000000000001</v>
      </c>
      <c r="EB61" s="150">
        <v>19.8</v>
      </c>
      <c r="EC61" s="150">
        <v>20</v>
      </c>
      <c r="ED61" s="150">
        <v>20.2</v>
      </c>
      <c r="EE61" s="150">
        <v>20.399999999999999</v>
      </c>
      <c r="EF61" s="150">
        <v>20.6</v>
      </c>
      <c r="EG61" s="150">
        <v>20.799999999999951</v>
      </c>
      <c r="EH61" s="150">
        <v>21</v>
      </c>
      <c r="EI61" s="150">
        <v>21.19999999999995</v>
      </c>
      <c r="EJ61" s="150">
        <v>21.4</v>
      </c>
      <c r="EK61" s="150">
        <v>21.599999999999948</v>
      </c>
    </row>
    <row r="62" spans="1:141" ht="13.2" x14ac:dyDescent="0.25">
      <c r="A62" s="149">
        <v>38534</v>
      </c>
      <c r="B62" s="219">
        <v>-1.7785964148750009</v>
      </c>
      <c r="C62" s="219">
        <v>-1.7482952255625008</v>
      </c>
      <c r="D62" s="219">
        <v>-1.7179940362500008</v>
      </c>
      <c r="E62" s="219">
        <v>-1.6876928469375008</v>
      </c>
      <c r="F62" s="219">
        <v>-1.6573916576250007</v>
      </c>
      <c r="G62" s="219">
        <v>-1.6270904683125007</v>
      </c>
      <c r="H62" s="219">
        <v>-1.5967892790000007</v>
      </c>
      <c r="I62" s="219">
        <v>-1.5664880896875006</v>
      </c>
      <c r="J62" s="219">
        <v>-1.5361869003750006</v>
      </c>
      <c r="K62" s="219">
        <v>-1.5058857110625006</v>
      </c>
      <c r="L62" s="219">
        <v>-1.4755845217500005</v>
      </c>
      <c r="M62" s="219">
        <v>-1.4452833324375005</v>
      </c>
      <c r="N62" s="219">
        <v>-1.4149821431250005</v>
      </c>
      <c r="O62" s="219">
        <v>-1.3846809538125004</v>
      </c>
      <c r="P62" s="219">
        <v>-1.3543797645000004</v>
      </c>
      <c r="Q62" s="219">
        <v>-1.3240785751875004</v>
      </c>
      <c r="R62" s="219">
        <v>-1.2937773858750004</v>
      </c>
      <c r="S62" s="219">
        <v>-1.2634761965625003</v>
      </c>
      <c r="T62" s="219">
        <v>-1.2331750072500003</v>
      </c>
      <c r="U62" s="219">
        <v>-1.2028738179375003</v>
      </c>
      <c r="V62" s="220">
        <v>-1.1725726286250002</v>
      </c>
      <c r="W62" s="219">
        <v>-1.1422714393125002</v>
      </c>
      <c r="X62" s="220">
        <v>-1.1119702500000002</v>
      </c>
      <c r="Y62" s="219">
        <v>-1.0832351250000003</v>
      </c>
      <c r="Z62" s="220">
        <v>-1.0545000000000002</v>
      </c>
      <c r="AA62" s="219">
        <v>-1.0272500000000002</v>
      </c>
      <c r="AB62" s="221">
        <v>-1</v>
      </c>
      <c r="AC62" s="219">
        <v>-0.8</v>
      </c>
      <c r="AD62" s="221">
        <v>-0.6</v>
      </c>
      <c r="AE62" s="219">
        <v>-0.4</v>
      </c>
      <c r="AF62" s="219">
        <v>-0.2</v>
      </c>
      <c r="AG62" s="150">
        <v>0</v>
      </c>
      <c r="AH62" s="150">
        <v>0.2</v>
      </c>
      <c r="AI62" s="150">
        <v>0.4</v>
      </c>
      <c r="AJ62" s="150">
        <v>0.6</v>
      </c>
      <c r="AK62" s="150">
        <v>0.8</v>
      </c>
      <c r="AL62" s="150">
        <v>1</v>
      </c>
      <c r="AM62" s="150">
        <v>1.2</v>
      </c>
      <c r="AN62" s="150">
        <v>1.4</v>
      </c>
      <c r="AO62" s="150">
        <v>1.6</v>
      </c>
      <c r="AP62" s="150">
        <v>1.8</v>
      </c>
      <c r="AQ62" s="150">
        <v>2</v>
      </c>
      <c r="AR62" s="150">
        <v>2.2000000000000002</v>
      </c>
      <c r="AS62" s="150">
        <v>2.4</v>
      </c>
      <c r="AT62" s="150">
        <v>2.6</v>
      </c>
      <c r="AU62" s="150">
        <v>2.8</v>
      </c>
      <c r="AV62" s="150">
        <v>3</v>
      </c>
      <c r="AW62" s="150">
        <v>3.2</v>
      </c>
      <c r="AX62" s="150">
        <v>3.4</v>
      </c>
      <c r="AY62" s="150">
        <v>3.6</v>
      </c>
      <c r="AZ62" s="150">
        <v>3.8</v>
      </c>
      <c r="BA62" s="150">
        <v>4</v>
      </c>
      <c r="BB62" s="150">
        <v>4.2</v>
      </c>
      <c r="BC62" s="150">
        <v>4.4000000000000004</v>
      </c>
      <c r="BD62" s="150">
        <v>4.5999999999999996</v>
      </c>
      <c r="BE62" s="150">
        <v>4.8</v>
      </c>
      <c r="BF62" s="150">
        <v>5</v>
      </c>
      <c r="BG62" s="150">
        <v>5.2</v>
      </c>
      <c r="BH62" s="150">
        <v>5.4</v>
      </c>
      <c r="BI62" s="150">
        <v>5.6</v>
      </c>
      <c r="BJ62" s="150">
        <v>5.8</v>
      </c>
      <c r="BK62" s="150">
        <v>6</v>
      </c>
      <c r="BL62" s="150">
        <v>6.2</v>
      </c>
      <c r="BM62" s="150">
        <v>6.4</v>
      </c>
      <c r="BN62" s="150">
        <v>6.6</v>
      </c>
      <c r="BO62" s="150">
        <v>6.8</v>
      </c>
      <c r="BP62" s="150">
        <v>7</v>
      </c>
      <c r="BQ62" s="150">
        <v>7.2</v>
      </c>
      <c r="BR62" s="150">
        <v>7.4</v>
      </c>
      <c r="BS62" s="150">
        <v>7.6</v>
      </c>
      <c r="BT62" s="150">
        <v>7.8</v>
      </c>
      <c r="BU62" s="150">
        <v>8</v>
      </c>
      <c r="BV62" s="150">
        <v>8.1999999999999993</v>
      </c>
      <c r="BW62" s="150">
        <v>8.4</v>
      </c>
      <c r="BX62" s="150">
        <v>8.6</v>
      </c>
      <c r="BY62" s="150">
        <v>8.7999999999999936</v>
      </c>
      <c r="BZ62" s="150">
        <v>9</v>
      </c>
      <c r="CA62" s="150">
        <v>9.1999999999999922</v>
      </c>
      <c r="CB62" s="150">
        <v>9.4</v>
      </c>
      <c r="CC62" s="150">
        <v>9.5999999999999908</v>
      </c>
      <c r="CD62" s="150">
        <v>9.8000000000000007</v>
      </c>
      <c r="CE62" s="150">
        <v>9.9999999999999893</v>
      </c>
      <c r="CF62" s="150">
        <v>10.199999999999999</v>
      </c>
      <c r="CG62" s="150">
        <v>10.4</v>
      </c>
      <c r="CH62" s="150">
        <v>10.6</v>
      </c>
      <c r="CI62" s="150">
        <v>10.8</v>
      </c>
      <c r="CJ62" s="150">
        <v>11</v>
      </c>
      <c r="CK62" s="150">
        <v>11.2</v>
      </c>
      <c r="CL62" s="150">
        <v>11.4</v>
      </c>
      <c r="CM62" s="150">
        <v>11.6</v>
      </c>
      <c r="CN62" s="150">
        <v>11.8</v>
      </c>
      <c r="CO62" s="150">
        <v>12</v>
      </c>
      <c r="CP62" s="150">
        <v>12.2</v>
      </c>
      <c r="CQ62" s="150">
        <v>12.4</v>
      </c>
      <c r="CR62" s="150">
        <v>12.6</v>
      </c>
      <c r="CS62" s="150">
        <v>12.8</v>
      </c>
      <c r="CT62" s="150">
        <v>13</v>
      </c>
      <c r="CU62" s="150">
        <v>13.2</v>
      </c>
      <c r="CV62" s="150">
        <v>13.4</v>
      </c>
      <c r="CW62" s="150">
        <v>13.6</v>
      </c>
      <c r="CX62" s="150">
        <v>13.8</v>
      </c>
      <c r="CY62" s="150">
        <v>14</v>
      </c>
      <c r="CZ62" s="150">
        <v>14.2</v>
      </c>
      <c r="DA62" s="150">
        <v>14.4</v>
      </c>
      <c r="DB62" s="150">
        <v>14.6</v>
      </c>
      <c r="DC62" s="150">
        <v>14.8</v>
      </c>
      <c r="DD62" s="150">
        <v>15</v>
      </c>
      <c r="DE62" s="150">
        <v>15.2</v>
      </c>
      <c r="DF62" s="150">
        <v>15.4</v>
      </c>
      <c r="DG62" s="150">
        <v>15.6</v>
      </c>
      <c r="DH62" s="150">
        <v>15.8</v>
      </c>
      <c r="DI62" s="150">
        <v>16</v>
      </c>
      <c r="DJ62" s="150">
        <v>16.2</v>
      </c>
      <c r="DK62" s="150">
        <v>16.399999999999999</v>
      </c>
      <c r="DL62" s="150">
        <v>16.600000000000001</v>
      </c>
      <c r="DM62" s="150">
        <v>16.8</v>
      </c>
      <c r="DN62" s="150">
        <v>17</v>
      </c>
      <c r="DO62" s="150">
        <v>17.2</v>
      </c>
      <c r="DP62" s="150">
        <v>17.399999999999999</v>
      </c>
      <c r="DQ62" s="150">
        <v>17.600000000000001</v>
      </c>
      <c r="DR62" s="150">
        <v>17.8</v>
      </c>
      <c r="DS62" s="150">
        <v>18</v>
      </c>
      <c r="DT62" s="150">
        <v>18.2</v>
      </c>
      <c r="DU62" s="150">
        <v>18.399999999999999</v>
      </c>
      <c r="DV62" s="150">
        <v>18.600000000000001</v>
      </c>
      <c r="DW62" s="150">
        <v>18.8</v>
      </c>
      <c r="DX62" s="150">
        <v>19</v>
      </c>
      <c r="DY62" s="150">
        <v>19.2</v>
      </c>
      <c r="DZ62" s="150">
        <v>19.399999999999999</v>
      </c>
      <c r="EA62" s="150">
        <v>19.600000000000001</v>
      </c>
      <c r="EB62" s="150">
        <v>19.8</v>
      </c>
      <c r="EC62" s="150">
        <v>20</v>
      </c>
      <c r="ED62" s="150">
        <v>20.2</v>
      </c>
      <c r="EE62" s="150">
        <v>20.399999999999999</v>
      </c>
      <c r="EF62" s="150">
        <v>20.6</v>
      </c>
      <c r="EG62" s="150">
        <v>20.799999999999951</v>
      </c>
      <c r="EH62" s="150">
        <v>21</v>
      </c>
      <c r="EI62" s="150">
        <v>21.19999999999995</v>
      </c>
      <c r="EJ62" s="150">
        <v>21.4</v>
      </c>
      <c r="EK62" s="150">
        <v>21.599999999999948</v>
      </c>
    </row>
    <row r="63" spans="1:141" ht="13.2" x14ac:dyDescent="0.25">
      <c r="A63" s="149">
        <v>38565</v>
      </c>
      <c r="B63" s="219">
        <v>-1.7785964148750009</v>
      </c>
      <c r="C63" s="219">
        <v>-1.7482952255625008</v>
      </c>
      <c r="D63" s="219">
        <v>-1.7179940362500008</v>
      </c>
      <c r="E63" s="219">
        <v>-1.6876928469375008</v>
      </c>
      <c r="F63" s="219">
        <v>-1.6573916576250007</v>
      </c>
      <c r="G63" s="219">
        <v>-1.6270904683125007</v>
      </c>
      <c r="H63" s="219">
        <v>-1.5967892790000007</v>
      </c>
      <c r="I63" s="219">
        <v>-1.5664880896875006</v>
      </c>
      <c r="J63" s="219">
        <v>-1.5361869003750006</v>
      </c>
      <c r="K63" s="219">
        <v>-1.5058857110625006</v>
      </c>
      <c r="L63" s="219">
        <v>-1.4755845217500005</v>
      </c>
      <c r="M63" s="219">
        <v>-1.4452833324375005</v>
      </c>
      <c r="N63" s="219">
        <v>-1.4149821431250005</v>
      </c>
      <c r="O63" s="219">
        <v>-1.3846809538125004</v>
      </c>
      <c r="P63" s="219">
        <v>-1.3543797645000004</v>
      </c>
      <c r="Q63" s="219">
        <v>-1.3240785751875004</v>
      </c>
      <c r="R63" s="219">
        <v>-1.2937773858750004</v>
      </c>
      <c r="S63" s="219">
        <v>-1.2634761965625003</v>
      </c>
      <c r="T63" s="219">
        <v>-1.2331750072500003</v>
      </c>
      <c r="U63" s="219">
        <v>-1.2028738179375003</v>
      </c>
      <c r="V63" s="220">
        <v>-1.1725726286250002</v>
      </c>
      <c r="W63" s="219">
        <v>-1.1422714393125002</v>
      </c>
      <c r="X63" s="220">
        <v>-1.1119702500000002</v>
      </c>
      <c r="Y63" s="219">
        <v>-1.0832351250000003</v>
      </c>
      <c r="Z63" s="220">
        <v>-1.0545000000000002</v>
      </c>
      <c r="AA63" s="219">
        <v>-1.0272500000000002</v>
      </c>
      <c r="AB63" s="221">
        <v>-1</v>
      </c>
      <c r="AC63" s="219">
        <v>-0.8</v>
      </c>
      <c r="AD63" s="221">
        <v>-0.6</v>
      </c>
      <c r="AE63" s="219">
        <v>-0.4</v>
      </c>
      <c r="AF63" s="219">
        <v>-0.2</v>
      </c>
      <c r="AG63" s="150">
        <v>0</v>
      </c>
      <c r="AH63" s="150">
        <v>0.2</v>
      </c>
      <c r="AI63" s="150">
        <v>0.4</v>
      </c>
      <c r="AJ63" s="150">
        <v>0.6</v>
      </c>
      <c r="AK63" s="150">
        <v>0.8</v>
      </c>
      <c r="AL63" s="150">
        <v>1</v>
      </c>
      <c r="AM63" s="150">
        <v>1.2</v>
      </c>
      <c r="AN63" s="150">
        <v>1.4</v>
      </c>
      <c r="AO63" s="150">
        <v>1.6</v>
      </c>
      <c r="AP63" s="150">
        <v>1.8</v>
      </c>
      <c r="AQ63" s="150">
        <v>2</v>
      </c>
      <c r="AR63" s="150">
        <v>2.2000000000000002</v>
      </c>
      <c r="AS63" s="150">
        <v>2.4</v>
      </c>
      <c r="AT63" s="150">
        <v>2.6</v>
      </c>
      <c r="AU63" s="150">
        <v>2.8</v>
      </c>
      <c r="AV63" s="150">
        <v>3</v>
      </c>
      <c r="AW63" s="150">
        <v>3.2</v>
      </c>
      <c r="AX63" s="150">
        <v>3.4</v>
      </c>
      <c r="AY63" s="150">
        <v>3.6</v>
      </c>
      <c r="AZ63" s="150">
        <v>3.8</v>
      </c>
      <c r="BA63" s="150">
        <v>4</v>
      </c>
      <c r="BB63" s="150">
        <v>4.2</v>
      </c>
      <c r="BC63" s="150">
        <v>4.4000000000000004</v>
      </c>
      <c r="BD63" s="150">
        <v>4.5999999999999996</v>
      </c>
      <c r="BE63" s="150">
        <v>4.8</v>
      </c>
      <c r="BF63" s="150">
        <v>5</v>
      </c>
      <c r="BG63" s="150">
        <v>5.2</v>
      </c>
      <c r="BH63" s="150">
        <v>5.4</v>
      </c>
      <c r="BI63" s="150">
        <v>5.6</v>
      </c>
      <c r="BJ63" s="150">
        <v>5.8</v>
      </c>
      <c r="BK63" s="150">
        <v>6</v>
      </c>
      <c r="BL63" s="150">
        <v>6.2</v>
      </c>
      <c r="BM63" s="150">
        <v>6.4</v>
      </c>
      <c r="BN63" s="150">
        <v>6.6</v>
      </c>
      <c r="BO63" s="150">
        <v>6.8</v>
      </c>
      <c r="BP63" s="150">
        <v>7</v>
      </c>
      <c r="BQ63" s="150">
        <v>7.2</v>
      </c>
      <c r="BR63" s="150">
        <v>7.4</v>
      </c>
      <c r="BS63" s="150">
        <v>7.6</v>
      </c>
      <c r="BT63" s="150">
        <v>7.8</v>
      </c>
      <c r="BU63" s="150">
        <v>8</v>
      </c>
      <c r="BV63" s="150">
        <v>8.1999999999999993</v>
      </c>
      <c r="BW63" s="150">
        <v>8.4</v>
      </c>
      <c r="BX63" s="150">
        <v>8.6</v>
      </c>
      <c r="BY63" s="150">
        <v>8.7999999999999936</v>
      </c>
      <c r="BZ63" s="150">
        <v>9</v>
      </c>
      <c r="CA63" s="150">
        <v>9.1999999999999922</v>
      </c>
      <c r="CB63" s="150">
        <v>9.4</v>
      </c>
      <c r="CC63" s="150">
        <v>9.5999999999999908</v>
      </c>
      <c r="CD63" s="150">
        <v>9.8000000000000007</v>
      </c>
      <c r="CE63" s="150">
        <v>9.9999999999999893</v>
      </c>
      <c r="CF63" s="150">
        <v>10.199999999999999</v>
      </c>
      <c r="CG63" s="150">
        <v>10.4</v>
      </c>
      <c r="CH63" s="150">
        <v>10.6</v>
      </c>
      <c r="CI63" s="150">
        <v>10.8</v>
      </c>
      <c r="CJ63" s="150">
        <v>11</v>
      </c>
      <c r="CK63" s="150">
        <v>11.2</v>
      </c>
      <c r="CL63" s="150">
        <v>11.4</v>
      </c>
      <c r="CM63" s="150">
        <v>11.6</v>
      </c>
      <c r="CN63" s="150">
        <v>11.8</v>
      </c>
      <c r="CO63" s="150">
        <v>12</v>
      </c>
      <c r="CP63" s="150">
        <v>12.2</v>
      </c>
      <c r="CQ63" s="150">
        <v>12.4</v>
      </c>
      <c r="CR63" s="150">
        <v>12.6</v>
      </c>
      <c r="CS63" s="150">
        <v>12.8</v>
      </c>
      <c r="CT63" s="150">
        <v>13</v>
      </c>
      <c r="CU63" s="150">
        <v>13.2</v>
      </c>
      <c r="CV63" s="150">
        <v>13.4</v>
      </c>
      <c r="CW63" s="150">
        <v>13.6</v>
      </c>
      <c r="CX63" s="150">
        <v>13.8</v>
      </c>
      <c r="CY63" s="150">
        <v>14</v>
      </c>
      <c r="CZ63" s="150">
        <v>14.2</v>
      </c>
      <c r="DA63" s="150">
        <v>14.4</v>
      </c>
      <c r="DB63" s="150">
        <v>14.6</v>
      </c>
      <c r="DC63" s="150">
        <v>14.8</v>
      </c>
      <c r="DD63" s="150">
        <v>15</v>
      </c>
      <c r="DE63" s="150">
        <v>15.2</v>
      </c>
      <c r="DF63" s="150">
        <v>15.4</v>
      </c>
      <c r="DG63" s="150">
        <v>15.6</v>
      </c>
      <c r="DH63" s="150">
        <v>15.8</v>
      </c>
      <c r="DI63" s="150">
        <v>16</v>
      </c>
      <c r="DJ63" s="150">
        <v>16.2</v>
      </c>
      <c r="DK63" s="150">
        <v>16.399999999999999</v>
      </c>
      <c r="DL63" s="150">
        <v>16.600000000000001</v>
      </c>
      <c r="DM63" s="150">
        <v>16.8</v>
      </c>
      <c r="DN63" s="150">
        <v>17</v>
      </c>
      <c r="DO63" s="150">
        <v>17.2</v>
      </c>
      <c r="DP63" s="150">
        <v>17.399999999999999</v>
      </c>
      <c r="DQ63" s="150">
        <v>17.600000000000001</v>
      </c>
      <c r="DR63" s="150">
        <v>17.8</v>
      </c>
      <c r="DS63" s="150">
        <v>18</v>
      </c>
      <c r="DT63" s="150">
        <v>18.2</v>
      </c>
      <c r="DU63" s="150">
        <v>18.399999999999999</v>
      </c>
      <c r="DV63" s="150">
        <v>18.600000000000001</v>
      </c>
      <c r="DW63" s="150">
        <v>18.8</v>
      </c>
      <c r="DX63" s="150">
        <v>19</v>
      </c>
      <c r="DY63" s="150">
        <v>19.2</v>
      </c>
      <c r="DZ63" s="150">
        <v>19.399999999999999</v>
      </c>
      <c r="EA63" s="150">
        <v>19.600000000000001</v>
      </c>
      <c r="EB63" s="150">
        <v>19.8</v>
      </c>
      <c r="EC63" s="150">
        <v>20</v>
      </c>
      <c r="ED63" s="150">
        <v>20.2</v>
      </c>
      <c r="EE63" s="150">
        <v>20.399999999999999</v>
      </c>
      <c r="EF63" s="150">
        <v>20.6</v>
      </c>
      <c r="EG63" s="150">
        <v>20.799999999999951</v>
      </c>
      <c r="EH63" s="150">
        <v>21</v>
      </c>
      <c r="EI63" s="150">
        <v>21.19999999999995</v>
      </c>
      <c r="EJ63" s="150">
        <v>21.4</v>
      </c>
      <c r="EK63" s="150">
        <v>21.599999999999948</v>
      </c>
    </row>
    <row r="64" spans="1:141" ht="13.2" x14ac:dyDescent="0.25">
      <c r="A64" s="149">
        <v>38596</v>
      </c>
      <c r="B64" s="219">
        <v>-1.7785964148750009</v>
      </c>
      <c r="C64" s="219">
        <v>-1.7482952255625008</v>
      </c>
      <c r="D64" s="219">
        <v>-1.7179940362500008</v>
      </c>
      <c r="E64" s="219">
        <v>-1.6876928469375008</v>
      </c>
      <c r="F64" s="219">
        <v>-1.6573916576250007</v>
      </c>
      <c r="G64" s="219">
        <v>-1.6270904683125007</v>
      </c>
      <c r="H64" s="219">
        <v>-1.5967892790000007</v>
      </c>
      <c r="I64" s="219">
        <v>-1.5664880896875006</v>
      </c>
      <c r="J64" s="219">
        <v>-1.5361869003750006</v>
      </c>
      <c r="K64" s="219">
        <v>-1.5058857110625006</v>
      </c>
      <c r="L64" s="219">
        <v>-1.4755845217500005</v>
      </c>
      <c r="M64" s="219">
        <v>-1.4452833324375005</v>
      </c>
      <c r="N64" s="219">
        <v>-1.4149821431250005</v>
      </c>
      <c r="O64" s="219">
        <v>-1.3846809538125004</v>
      </c>
      <c r="P64" s="219">
        <v>-1.3543797645000004</v>
      </c>
      <c r="Q64" s="219">
        <v>-1.3240785751875004</v>
      </c>
      <c r="R64" s="219">
        <v>-1.2937773858750004</v>
      </c>
      <c r="S64" s="219">
        <v>-1.2634761965625003</v>
      </c>
      <c r="T64" s="219">
        <v>-1.2331750072500003</v>
      </c>
      <c r="U64" s="219">
        <v>-1.2028738179375003</v>
      </c>
      <c r="V64" s="220">
        <v>-1.1725726286250002</v>
      </c>
      <c r="W64" s="219">
        <v>-1.1422714393125002</v>
      </c>
      <c r="X64" s="220">
        <v>-1.1119702500000002</v>
      </c>
      <c r="Y64" s="219">
        <v>-1.0832351250000003</v>
      </c>
      <c r="Z64" s="220">
        <v>-1.0545000000000002</v>
      </c>
      <c r="AA64" s="219">
        <v>-1.0272500000000002</v>
      </c>
      <c r="AB64" s="221">
        <v>-1</v>
      </c>
      <c r="AC64" s="219">
        <v>-0.8</v>
      </c>
      <c r="AD64" s="221">
        <v>-0.6</v>
      </c>
      <c r="AE64" s="219">
        <v>-0.4</v>
      </c>
      <c r="AF64" s="219">
        <v>-0.2</v>
      </c>
      <c r="AG64" s="150">
        <v>0</v>
      </c>
      <c r="AH64" s="150">
        <v>0.2</v>
      </c>
      <c r="AI64" s="150">
        <v>0.4</v>
      </c>
      <c r="AJ64" s="150">
        <v>0.6</v>
      </c>
      <c r="AK64" s="150">
        <v>0.8</v>
      </c>
      <c r="AL64" s="150">
        <v>1</v>
      </c>
      <c r="AM64" s="150">
        <v>1.2</v>
      </c>
      <c r="AN64" s="150">
        <v>1.4</v>
      </c>
      <c r="AO64" s="150">
        <v>1.6</v>
      </c>
      <c r="AP64" s="150">
        <v>1.8</v>
      </c>
      <c r="AQ64" s="150">
        <v>2</v>
      </c>
      <c r="AR64" s="150">
        <v>2.2000000000000002</v>
      </c>
      <c r="AS64" s="150">
        <v>2.4</v>
      </c>
      <c r="AT64" s="150">
        <v>2.6</v>
      </c>
      <c r="AU64" s="150">
        <v>2.8</v>
      </c>
      <c r="AV64" s="150">
        <v>3</v>
      </c>
      <c r="AW64" s="150">
        <v>3.2</v>
      </c>
      <c r="AX64" s="150">
        <v>3.4</v>
      </c>
      <c r="AY64" s="150">
        <v>3.6</v>
      </c>
      <c r="AZ64" s="150">
        <v>3.8</v>
      </c>
      <c r="BA64" s="150">
        <v>4</v>
      </c>
      <c r="BB64" s="150">
        <v>4.2</v>
      </c>
      <c r="BC64" s="150">
        <v>4.4000000000000004</v>
      </c>
      <c r="BD64" s="150">
        <v>4.5999999999999996</v>
      </c>
      <c r="BE64" s="150">
        <v>4.8</v>
      </c>
      <c r="BF64" s="150">
        <v>5</v>
      </c>
      <c r="BG64" s="150">
        <v>5.2</v>
      </c>
      <c r="BH64" s="150">
        <v>5.4</v>
      </c>
      <c r="BI64" s="150">
        <v>5.6</v>
      </c>
      <c r="BJ64" s="150">
        <v>5.8</v>
      </c>
      <c r="BK64" s="150">
        <v>6</v>
      </c>
      <c r="BL64" s="150">
        <v>6.2</v>
      </c>
      <c r="BM64" s="150">
        <v>6.4</v>
      </c>
      <c r="BN64" s="150">
        <v>6.6</v>
      </c>
      <c r="BO64" s="150">
        <v>6.8</v>
      </c>
      <c r="BP64" s="150">
        <v>7</v>
      </c>
      <c r="BQ64" s="150">
        <v>7.2</v>
      </c>
      <c r="BR64" s="150">
        <v>7.4</v>
      </c>
      <c r="BS64" s="150">
        <v>7.6</v>
      </c>
      <c r="BT64" s="150">
        <v>7.8</v>
      </c>
      <c r="BU64" s="150">
        <v>8</v>
      </c>
      <c r="BV64" s="150">
        <v>8.1999999999999993</v>
      </c>
      <c r="BW64" s="150">
        <v>8.4</v>
      </c>
      <c r="BX64" s="150">
        <v>8.6</v>
      </c>
      <c r="BY64" s="150">
        <v>8.7999999999999936</v>
      </c>
      <c r="BZ64" s="150">
        <v>9</v>
      </c>
      <c r="CA64" s="150">
        <v>9.1999999999999922</v>
      </c>
      <c r="CB64" s="150">
        <v>9.4</v>
      </c>
      <c r="CC64" s="150">
        <v>9.5999999999999908</v>
      </c>
      <c r="CD64" s="150">
        <v>9.8000000000000007</v>
      </c>
      <c r="CE64" s="150">
        <v>9.9999999999999893</v>
      </c>
      <c r="CF64" s="150">
        <v>10.199999999999999</v>
      </c>
      <c r="CG64" s="150">
        <v>10.4</v>
      </c>
      <c r="CH64" s="150">
        <v>10.6</v>
      </c>
      <c r="CI64" s="150">
        <v>10.8</v>
      </c>
      <c r="CJ64" s="150">
        <v>11</v>
      </c>
      <c r="CK64" s="150">
        <v>11.2</v>
      </c>
      <c r="CL64" s="150">
        <v>11.4</v>
      </c>
      <c r="CM64" s="150">
        <v>11.6</v>
      </c>
      <c r="CN64" s="150">
        <v>11.8</v>
      </c>
      <c r="CO64" s="150">
        <v>12</v>
      </c>
      <c r="CP64" s="150">
        <v>12.2</v>
      </c>
      <c r="CQ64" s="150">
        <v>12.4</v>
      </c>
      <c r="CR64" s="150">
        <v>12.6</v>
      </c>
      <c r="CS64" s="150">
        <v>12.8</v>
      </c>
      <c r="CT64" s="150">
        <v>13</v>
      </c>
      <c r="CU64" s="150">
        <v>13.2</v>
      </c>
      <c r="CV64" s="150">
        <v>13.4</v>
      </c>
      <c r="CW64" s="150">
        <v>13.6</v>
      </c>
      <c r="CX64" s="150">
        <v>13.8</v>
      </c>
      <c r="CY64" s="150">
        <v>14</v>
      </c>
      <c r="CZ64" s="150">
        <v>14.2</v>
      </c>
      <c r="DA64" s="150">
        <v>14.4</v>
      </c>
      <c r="DB64" s="150">
        <v>14.6</v>
      </c>
      <c r="DC64" s="150">
        <v>14.8</v>
      </c>
      <c r="DD64" s="150">
        <v>15</v>
      </c>
      <c r="DE64" s="150">
        <v>15.2</v>
      </c>
      <c r="DF64" s="150">
        <v>15.4</v>
      </c>
      <c r="DG64" s="150">
        <v>15.6</v>
      </c>
      <c r="DH64" s="150">
        <v>15.8</v>
      </c>
      <c r="DI64" s="150">
        <v>16</v>
      </c>
      <c r="DJ64" s="150">
        <v>16.2</v>
      </c>
      <c r="DK64" s="150">
        <v>16.399999999999999</v>
      </c>
      <c r="DL64" s="150">
        <v>16.600000000000001</v>
      </c>
      <c r="DM64" s="150">
        <v>16.8</v>
      </c>
      <c r="DN64" s="150">
        <v>17</v>
      </c>
      <c r="DO64" s="150">
        <v>17.2</v>
      </c>
      <c r="DP64" s="150">
        <v>17.399999999999999</v>
      </c>
      <c r="DQ64" s="150">
        <v>17.600000000000001</v>
      </c>
      <c r="DR64" s="150">
        <v>17.8</v>
      </c>
      <c r="DS64" s="150">
        <v>18</v>
      </c>
      <c r="DT64" s="150">
        <v>18.2</v>
      </c>
      <c r="DU64" s="150">
        <v>18.399999999999999</v>
      </c>
      <c r="DV64" s="150">
        <v>18.600000000000001</v>
      </c>
      <c r="DW64" s="150">
        <v>18.8</v>
      </c>
      <c r="DX64" s="150">
        <v>19</v>
      </c>
      <c r="DY64" s="150">
        <v>19.2</v>
      </c>
      <c r="DZ64" s="150">
        <v>19.399999999999999</v>
      </c>
      <c r="EA64" s="150">
        <v>19.600000000000001</v>
      </c>
      <c r="EB64" s="150">
        <v>19.8</v>
      </c>
      <c r="EC64" s="150">
        <v>20</v>
      </c>
      <c r="ED64" s="150">
        <v>20.2</v>
      </c>
      <c r="EE64" s="150">
        <v>20.399999999999999</v>
      </c>
      <c r="EF64" s="150">
        <v>20.6</v>
      </c>
      <c r="EG64" s="150">
        <v>20.799999999999951</v>
      </c>
      <c r="EH64" s="150">
        <v>21</v>
      </c>
      <c r="EI64" s="150">
        <v>21.19999999999995</v>
      </c>
      <c r="EJ64" s="150">
        <v>21.4</v>
      </c>
      <c r="EK64" s="150">
        <v>21.599999999999948</v>
      </c>
    </row>
    <row r="65" spans="1:141" ht="13.2" x14ac:dyDescent="0.25">
      <c r="A65" s="149">
        <v>38626</v>
      </c>
      <c r="B65" s="219">
        <v>-1.7785964148750009</v>
      </c>
      <c r="C65" s="219">
        <v>-1.7482952255625008</v>
      </c>
      <c r="D65" s="219">
        <v>-1.7179940362500008</v>
      </c>
      <c r="E65" s="219">
        <v>-1.6876928469375008</v>
      </c>
      <c r="F65" s="219">
        <v>-1.6573916576250007</v>
      </c>
      <c r="G65" s="219">
        <v>-1.6270904683125007</v>
      </c>
      <c r="H65" s="219">
        <v>-1.5967892790000007</v>
      </c>
      <c r="I65" s="219">
        <v>-1.5664880896875006</v>
      </c>
      <c r="J65" s="219">
        <v>-1.5361869003750006</v>
      </c>
      <c r="K65" s="219">
        <v>-1.5058857110625006</v>
      </c>
      <c r="L65" s="219">
        <v>-1.4755845217500005</v>
      </c>
      <c r="M65" s="219">
        <v>-1.4452833324375005</v>
      </c>
      <c r="N65" s="219">
        <v>-1.4149821431250005</v>
      </c>
      <c r="O65" s="219">
        <v>-1.3846809538125004</v>
      </c>
      <c r="P65" s="219">
        <v>-1.3543797645000004</v>
      </c>
      <c r="Q65" s="219">
        <v>-1.3240785751875004</v>
      </c>
      <c r="R65" s="219">
        <v>-1.2937773858750004</v>
      </c>
      <c r="S65" s="219">
        <v>-1.2634761965625003</v>
      </c>
      <c r="T65" s="219">
        <v>-1.2331750072500003</v>
      </c>
      <c r="U65" s="219">
        <v>-1.2028738179375003</v>
      </c>
      <c r="V65" s="220">
        <v>-1.1725726286250002</v>
      </c>
      <c r="W65" s="219">
        <v>-1.1422714393125002</v>
      </c>
      <c r="X65" s="220">
        <v>-1.1119702500000002</v>
      </c>
      <c r="Y65" s="219">
        <v>-1.0832351250000003</v>
      </c>
      <c r="Z65" s="220">
        <v>-1.0545000000000002</v>
      </c>
      <c r="AA65" s="219">
        <v>-1.0272500000000002</v>
      </c>
      <c r="AB65" s="221">
        <v>-1</v>
      </c>
      <c r="AC65" s="219">
        <v>-0.8</v>
      </c>
      <c r="AD65" s="221">
        <v>-0.6</v>
      </c>
      <c r="AE65" s="219">
        <v>-0.4</v>
      </c>
      <c r="AF65" s="219">
        <v>-0.2</v>
      </c>
      <c r="AG65" s="150">
        <v>0</v>
      </c>
      <c r="AH65" s="150">
        <v>0.2</v>
      </c>
      <c r="AI65" s="150">
        <v>0.4</v>
      </c>
      <c r="AJ65" s="150">
        <v>0.6</v>
      </c>
      <c r="AK65" s="150">
        <v>0.8</v>
      </c>
      <c r="AL65" s="150">
        <v>1</v>
      </c>
      <c r="AM65" s="150">
        <v>1.2</v>
      </c>
      <c r="AN65" s="150">
        <v>1.4</v>
      </c>
      <c r="AO65" s="150">
        <v>1.6</v>
      </c>
      <c r="AP65" s="150">
        <v>1.8</v>
      </c>
      <c r="AQ65" s="150">
        <v>2</v>
      </c>
      <c r="AR65" s="150">
        <v>2.2000000000000002</v>
      </c>
      <c r="AS65" s="150">
        <v>2.4</v>
      </c>
      <c r="AT65" s="150">
        <v>2.6</v>
      </c>
      <c r="AU65" s="150">
        <v>2.8</v>
      </c>
      <c r="AV65" s="150">
        <v>3</v>
      </c>
      <c r="AW65" s="150">
        <v>3.2</v>
      </c>
      <c r="AX65" s="150">
        <v>3.4</v>
      </c>
      <c r="AY65" s="150">
        <v>3.6</v>
      </c>
      <c r="AZ65" s="150">
        <v>3.8</v>
      </c>
      <c r="BA65" s="150">
        <v>4</v>
      </c>
      <c r="BB65" s="150">
        <v>4.2</v>
      </c>
      <c r="BC65" s="150">
        <v>4.4000000000000004</v>
      </c>
      <c r="BD65" s="150">
        <v>4.5999999999999996</v>
      </c>
      <c r="BE65" s="150">
        <v>4.8</v>
      </c>
      <c r="BF65" s="150">
        <v>5</v>
      </c>
      <c r="BG65" s="150">
        <v>5.2</v>
      </c>
      <c r="BH65" s="150">
        <v>5.4</v>
      </c>
      <c r="BI65" s="150">
        <v>5.6</v>
      </c>
      <c r="BJ65" s="150">
        <v>5.8</v>
      </c>
      <c r="BK65" s="150">
        <v>6</v>
      </c>
      <c r="BL65" s="150">
        <v>6.2</v>
      </c>
      <c r="BM65" s="150">
        <v>6.4</v>
      </c>
      <c r="BN65" s="150">
        <v>6.6</v>
      </c>
      <c r="BO65" s="150">
        <v>6.8</v>
      </c>
      <c r="BP65" s="150">
        <v>7</v>
      </c>
      <c r="BQ65" s="150">
        <v>7.2</v>
      </c>
      <c r="BR65" s="150">
        <v>7.4</v>
      </c>
      <c r="BS65" s="150">
        <v>7.6</v>
      </c>
      <c r="BT65" s="150">
        <v>7.8</v>
      </c>
      <c r="BU65" s="150">
        <v>8</v>
      </c>
      <c r="BV65" s="150">
        <v>8.1999999999999993</v>
      </c>
      <c r="BW65" s="150">
        <v>8.4</v>
      </c>
      <c r="BX65" s="150">
        <v>8.6</v>
      </c>
      <c r="BY65" s="150">
        <v>8.7999999999999936</v>
      </c>
      <c r="BZ65" s="150">
        <v>9</v>
      </c>
      <c r="CA65" s="150">
        <v>9.1999999999999922</v>
      </c>
      <c r="CB65" s="150">
        <v>9.4</v>
      </c>
      <c r="CC65" s="150">
        <v>9.5999999999999908</v>
      </c>
      <c r="CD65" s="150">
        <v>9.8000000000000007</v>
      </c>
      <c r="CE65" s="150">
        <v>9.9999999999999893</v>
      </c>
      <c r="CF65" s="150">
        <v>10.199999999999999</v>
      </c>
      <c r="CG65" s="150">
        <v>10.4</v>
      </c>
      <c r="CH65" s="150">
        <v>10.6</v>
      </c>
      <c r="CI65" s="150">
        <v>10.8</v>
      </c>
      <c r="CJ65" s="150">
        <v>11</v>
      </c>
      <c r="CK65" s="150">
        <v>11.2</v>
      </c>
      <c r="CL65" s="150">
        <v>11.4</v>
      </c>
      <c r="CM65" s="150">
        <v>11.6</v>
      </c>
      <c r="CN65" s="150">
        <v>11.8</v>
      </c>
      <c r="CO65" s="150">
        <v>12</v>
      </c>
      <c r="CP65" s="150">
        <v>12.2</v>
      </c>
      <c r="CQ65" s="150">
        <v>12.4</v>
      </c>
      <c r="CR65" s="150">
        <v>12.6</v>
      </c>
      <c r="CS65" s="150">
        <v>12.8</v>
      </c>
      <c r="CT65" s="150">
        <v>13</v>
      </c>
      <c r="CU65" s="150">
        <v>13.2</v>
      </c>
      <c r="CV65" s="150">
        <v>13.4</v>
      </c>
      <c r="CW65" s="150">
        <v>13.6</v>
      </c>
      <c r="CX65" s="150">
        <v>13.8</v>
      </c>
      <c r="CY65" s="150">
        <v>14</v>
      </c>
      <c r="CZ65" s="150">
        <v>14.2</v>
      </c>
      <c r="DA65" s="150">
        <v>14.4</v>
      </c>
      <c r="DB65" s="150">
        <v>14.6</v>
      </c>
      <c r="DC65" s="150">
        <v>14.8</v>
      </c>
      <c r="DD65" s="150">
        <v>15</v>
      </c>
      <c r="DE65" s="150">
        <v>15.2</v>
      </c>
      <c r="DF65" s="150">
        <v>15.4</v>
      </c>
      <c r="DG65" s="150">
        <v>15.6</v>
      </c>
      <c r="DH65" s="150">
        <v>15.8</v>
      </c>
      <c r="DI65" s="150">
        <v>16</v>
      </c>
      <c r="DJ65" s="150">
        <v>16.2</v>
      </c>
      <c r="DK65" s="150">
        <v>16.399999999999999</v>
      </c>
      <c r="DL65" s="150">
        <v>16.600000000000001</v>
      </c>
      <c r="DM65" s="150">
        <v>16.8</v>
      </c>
      <c r="DN65" s="150">
        <v>17</v>
      </c>
      <c r="DO65" s="150">
        <v>17.2</v>
      </c>
      <c r="DP65" s="150">
        <v>17.399999999999999</v>
      </c>
      <c r="DQ65" s="150">
        <v>17.600000000000001</v>
      </c>
      <c r="DR65" s="150">
        <v>17.8</v>
      </c>
      <c r="DS65" s="150">
        <v>18</v>
      </c>
      <c r="DT65" s="150">
        <v>18.2</v>
      </c>
      <c r="DU65" s="150">
        <v>18.399999999999999</v>
      </c>
      <c r="DV65" s="150">
        <v>18.600000000000001</v>
      </c>
      <c r="DW65" s="150">
        <v>18.8</v>
      </c>
      <c r="DX65" s="150">
        <v>19</v>
      </c>
      <c r="DY65" s="150">
        <v>19.2</v>
      </c>
      <c r="DZ65" s="150">
        <v>19.399999999999999</v>
      </c>
      <c r="EA65" s="150">
        <v>19.600000000000001</v>
      </c>
      <c r="EB65" s="150">
        <v>19.8</v>
      </c>
      <c r="EC65" s="150">
        <v>20</v>
      </c>
      <c r="ED65" s="150">
        <v>20.2</v>
      </c>
      <c r="EE65" s="150">
        <v>20.399999999999999</v>
      </c>
      <c r="EF65" s="150">
        <v>20.6</v>
      </c>
      <c r="EG65" s="150">
        <v>20.799999999999951</v>
      </c>
      <c r="EH65" s="150">
        <v>21</v>
      </c>
      <c r="EI65" s="150">
        <v>21.19999999999995</v>
      </c>
      <c r="EJ65" s="150">
        <v>21.4</v>
      </c>
      <c r="EK65" s="150">
        <v>21.599999999999948</v>
      </c>
    </row>
    <row r="66" spans="1:141" ht="13.2" x14ac:dyDescent="0.25">
      <c r="A66" s="149">
        <v>38657</v>
      </c>
      <c r="B66" s="219">
        <v>-1.7785964148750009</v>
      </c>
      <c r="C66" s="219">
        <v>-1.7482952255625008</v>
      </c>
      <c r="D66" s="219">
        <v>-1.7179940362500008</v>
      </c>
      <c r="E66" s="219">
        <v>-1.6876928469375008</v>
      </c>
      <c r="F66" s="219">
        <v>-1.6573916576250007</v>
      </c>
      <c r="G66" s="219">
        <v>-1.6270904683125007</v>
      </c>
      <c r="H66" s="219">
        <v>-1.5967892790000007</v>
      </c>
      <c r="I66" s="219">
        <v>-1.5664880896875006</v>
      </c>
      <c r="J66" s="219">
        <v>-1.5361869003750006</v>
      </c>
      <c r="K66" s="219">
        <v>-1.5058857110625006</v>
      </c>
      <c r="L66" s="219">
        <v>-1.4755845217500005</v>
      </c>
      <c r="M66" s="219">
        <v>-1.4452833324375005</v>
      </c>
      <c r="N66" s="219">
        <v>-1.4149821431250005</v>
      </c>
      <c r="O66" s="219">
        <v>-1.3846809538125004</v>
      </c>
      <c r="P66" s="219">
        <v>-1.3543797645000004</v>
      </c>
      <c r="Q66" s="219">
        <v>-1.3240785751875004</v>
      </c>
      <c r="R66" s="219">
        <v>-1.2937773858750004</v>
      </c>
      <c r="S66" s="219">
        <v>-1.2634761965625003</v>
      </c>
      <c r="T66" s="219">
        <v>-1.2331750072500003</v>
      </c>
      <c r="U66" s="219">
        <v>-1.2028738179375003</v>
      </c>
      <c r="V66" s="220">
        <v>-1.1725726286250002</v>
      </c>
      <c r="W66" s="219">
        <v>-1.1422714393125002</v>
      </c>
      <c r="X66" s="220">
        <v>-1.1119702500000002</v>
      </c>
      <c r="Y66" s="219">
        <v>-1.0832351250000003</v>
      </c>
      <c r="Z66" s="220">
        <v>-1.0545000000000002</v>
      </c>
      <c r="AA66" s="219">
        <v>-1.0272500000000002</v>
      </c>
      <c r="AB66" s="221">
        <v>-1</v>
      </c>
      <c r="AC66" s="219">
        <v>-0.8</v>
      </c>
      <c r="AD66" s="221">
        <v>-0.6</v>
      </c>
      <c r="AE66" s="219">
        <v>-0.4</v>
      </c>
      <c r="AF66" s="219">
        <v>-0.2</v>
      </c>
      <c r="AG66" s="150">
        <v>0</v>
      </c>
      <c r="AH66" s="150">
        <v>0.2</v>
      </c>
      <c r="AI66" s="150">
        <v>0.4</v>
      </c>
      <c r="AJ66" s="150">
        <v>0.6</v>
      </c>
      <c r="AK66" s="150">
        <v>0.8</v>
      </c>
      <c r="AL66" s="150">
        <v>1</v>
      </c>
      <c r="AM66" s="150">
        <v>1.2</v>
      </c>
      <c r="AN66" s="150">
        <v>1.4</v>
      </c>
      <c r="AO66" s="150">
        <v>1.6</v>
      </c>
      <c r="AP66" s="150">
        <v>1.8</v>
      </c>
      <c r="AQ66" s="150">
        <v>2</v>
      </c>
      <c r="AR66" s="150">
        <v>2.2000000000000002</v>
      </c>
      <c r="AS66" s="150">
        <v>2.4</v>
      </c>
      <c r="AT66" s="150">
        <v>2.6</v>
      </c>
      <c r="AU66" s="150">
        <v>2.8</v>
      </c>
      <c r="AV66" s="150">
        <v>3</v>
      </c>
      <c r="AW66" s="150">
        <v>3.2</v>
      </c>
      <c r="AX66" s="150">
        <v>3.4</v>
      </c>
      <c r="AY66" s="150">
        <v>3.6</v>
      </c>
      <c r="AZ66" s="150">
        <v>3.8</v>
      </c>
      <c r="BA66" s="150">
        <v>4</v>
      </c>
      <c r="BB66" s="150">
        <v>4.2</v>
      </c>
      <c r="BC66" s="150">
        <v>4.4000000000000004</v>
      </c>
      <c r="BD66" s="150">
        <v>4.5999999999999996</v>
      </c>
      <c r="BE66" s="150">
        <v>4.8</v>
      </c>
      <c r="BF66" s="150">
        <v>5</v>
      </c>
      <c r="BG66" s="150">
        <v>5.2</v>
      </c>
      <c r="BH66" s="150">
        <v>5.4</v>
      </c>
      <c r="BI66" s="150">
        <v>5.6</v>
      </c>
      <c r="BJ66" s="150">
        <v>5.8</v>
      </c>
      <c r="BK66" s="150">
        <v>6</v>
      </c>
      <c r="BL66" s="150">
        <v>6.2</v>
      </c>
      <c r="BM66" s="150">
        <v>6.4</v>
      </c>
      <c r="BN66" s="150">
        <v>6.6</v>
      </c>
      <c r="BO66" s="150">
        <v>6.8</v>
      </c>
      <c r="BP66" s="150">
        <v>7</v>
      </c>
      <c r="BQ66" s="150">
        <v>7.2</v>
      </c>
      <c r="BR66" s="150">
        <v>7.4</v>
      </c>
      <c r="BS66" s="150">
        <v>7.6</v>
      </c>
      <c r="BT66" s="150">
        <v>7.8</v>
      </c>
      <c r="BU66" s="150">
        <v>8</v>
      </c>
      <c r="BV66" s="150">
        <v>8.1999999999999993</v>
      </c>
      <c r="BW66" s="150">
        <v>8.4</v>
      </c>
      <c r="BX66" s="150">
        <v>8.6</v>
      </c>
      <c r="BY66" s="150">
        <v>8.7999999999999936</v>
      </c>
      <c r="BZ66" s="150">
        <v>9</v>
      </c>
      <c r="CA66" s="150">
        <v>9.1999999999999922</v>
      </c>
      <c r="CB66" s="150">
        <v>9.4</v>
      </c>
      <c r="CC66" s="150">
        <v>9.5999999999999908</v>
      </c>
      <c r="CD66" s="150">
        <v>9.8000000000000007</v>
      </c>
      <c r="CE66" s="150">
        <v>9.9999999999999893</v>
      </c>
      <c r="CF66" s="150">
        <v>10.199999999999999</v>
      </c>
      <c r="CG66" s="150">
        <v>10.4</v>
      </c>
      <c r="CH66" s="150">
        <v>10.6</v>
      </c>
      <c r="CI66" s="150">
        <v>10.8</v>
      </c>
      <c r="CJ66" s="150">
        <v>11</v>
      </c>
      <c r="CK66" s="150">
        <v>11.2</v>
      </c>
      <c r="CL66" s="150">
        <v>11.4</v>
      </c>
      <c r="CM66" s="150">
        <v>11.6</v>
      </c>
      <c r="CN66" s="150">
        <v>11.8</v>
      </c>
      <c r="CO66" s="150">
        <v>12</v>
      </c>
      <c r="CP66" s="150">
        <v>12.2</v>
      </c>
      <c r="CQ66" s="150">
        <v>12.4</v>
      </c>
      <c r="CR66" s="150">
        <v>12.6</v>
      </c>
      <c r="CS66" s="150">
        <v>12.8</v>
      </c>
      <c r="CT66" s="150">
        <v>13</v>
      </c>
      <c r="CU66" s="150">
        <v>13.2</v>
      </c>
      <c r="CV66" s="150">
        <v>13.4</v>
      </c>
      <c r="CW66" s="150">
        <v>13.6</v>
      </c>
      <c r="CX66" s="150">
        <v>13.8</v>
      </c>
      <c r="CY66" s="150">
        <v>14</v>
      </c>
      <c r="CZ66" s="150">
        <v>14.2</v>
      </c>
      <c r="DA66" s="150">
        <v>14.4</v>
      </c>
      <c r="DB66" s="150">
        <v>14.6</v>
      </c>
      <c r="DC66" s="150">
        <v>14.8</v>
      </c>
      <c r="DD66" s="150">
        <v>15</v>
      </c>
      <c r="DE66" s="150">
        <v>15.2</v>
      </c>
      <c r="DF66" s="150">
        <v>15.4</v>
      </c>
      <c r="DG66" s="150">
        <v>15.6</v>
      </c>
      <c r="DH66" s="150">
        <v>15.8</v>
      </c>
      <c r="DI66" s="150">
        <v>16</v>
      </c>
      <c r="DJ66" s="150">
        <v>16.2</v>
      </c>
      <c r="DK66" s="150">
        <v>16.399999999999999</v>
      </c>
      <c r="DL66" s="150">
        <v>16.600000000000001</v>
      </c>
      <c r="DM66" s="150">
        <v>16.8</v>
      </c>
      <c r="DN66" s="150">
        <v>17</v>
      </c>
      <c r="DO66" s="150">
        <v>17.2</v>
      </c>
      <c r="DP66" s="150">
        <v>17.399999999999999</v>
      </c>
      <c r="DQ66" s="150">
        <v>17.600000000000001</v>
      </c>
      <c r="DR66" s="150">
        <v>17.8</v>
      </c>
      <c r="DS66" s="150">
        <v>18</v>
      </c>
      <c r="DT66" s="150">
        <v>18.2</v>
      </c>
      <c r="DU66" s="150">
        <v>18.399999999999999</v>
      </c>
      <c r="DV66" s="150">
        <v>18.600000000000001</v>
      </c>
      <c r="DW66" s="150">
        <v>18.8</v>
      </c>
      <c r="DX66" s="150">
        <v>19</v>
      </c>
      <c r="DY66" s="150">
        <v>19.2</v>
      </c>
      <c r="DZ66" s="150">
        <v>19.399999999999999</v>
      </c>
      <c r="EA66" s="150">
        <v>19.600000000000001</v>
      </c>
      <c r="EB66" s="150">
        <v>19.8</v>
      </c>
      <c r="EC66" s="150">
        <v>20</v>
      </c>
      <c r="ED66" s="150">
        <v>20.2</v>
      </c>
      <c r="EE66" s="150">
        <v>20.399999999999999</v>
      </c>
      <c r="EF66" s="150">
        <v>20.6</v>
      </c>
      <c r="EG66" s="150">
        <v>20.799999999999951</v>
      </c>
      <c r="EH66" s="150">
        <v>21</v>
      </c>
      <c r="EI66" s="150">
        <v>21.19999999999995</v>
      </c>
      <c r="EJ66" s="150">
        <v>21.4</v>
      </c>
      <c r="EK66" s="150">
        <v>21.599999999999948</v>
      </c>
    </row>
    <row r="67" spans="1:141" ht="13.2" x14ac:dyDescent="0.25">
      <c r="A67" s="149">
        <v>38687</v>
      </c>
      <c r="B67" s="219">
        <v>-1.7785964148750009</v>
      </c>
      <c r="C67" s="219">
        <v>-1.7482952255625008</v>
      </c>
      <c r="D67" s="219">
        <v>-1.7179940362500008</v>
      </c>
      <c r="E67" s="219">
        <v>-1.6876928469375008</v>
      </c>
      <c r="F67" s="219">
        <v>-1.6573916576250007</v>
      </c>
      <c r="G67" s="219">
        <v>-1.6270904683125007</v>
      </c>
      <c r="H67" s="219">
        <v>-1.5967892790000007</v>
      </c>
      <c r="I67" s="219">
        <v>-1.5664880896875006</v>
      </c>
      <c r="J67" s="219">
        <v>-1.5361869003750006</v>
      </c>
      <c r="K67" s="219">
        <v>-1.5058857110625006</v>
      </c>
      <c r="L67" s="219">
        <v>-1.4755845217500005</v>
      </c>
      <c r="M67" s="219">
        <v>-1.4452833324375005</v>
      </c>
      <c r="N67" s="219">
        <v>-1.4149821431250005</v>
      </c>
      <c r="O67" s="219">
        <v>-1.3846809538125004</v>
      </c>
      <c r="P67" s="219">
        <v>-1.3543797645000004</v>
      </c>
      <c r="Q67" s="219">
        <v>-1.3240785751875004</v>
      </c>
      <c r="R67" s="219">
        <v>-1.2937773858750004</v>
      </c>
      <c r="S67" s="219">
        <v>-1.2634761965625003</v>
      </c>
      <c r="T67" s="219">
        <v>-1.2331750072500003</v>
      </c>
      <c r="U67" s="219">
        <v>-1.2028738179375003</v>
      </c>
      <c r="V67" s="220">
        <v>-1.1725726286250002</v>
      </c>
      <c r="W67" s="219">
        <v>-1.1422714393125002</v>
      </c>
      <c r="X67" s="220">
        <v>-1.1119702500000002</v>
      </c>
      <c r="Y67" s="219">
        <v>-1.0832351250000003</v>
      </c>
      <c r="Z67" s="220">
        <v>-1.0545000000000002</v>
      </c>
      <c r="AA67" s="219">
        <v>-1.0272500000000002</v>
      </c>
      <c r="AB67" s="221">
        <v>-1</v>
      </c>
      <c r="AC67" s="219">
        <v>-0.8</v>
      </c>
      <c r="AD67" s="221">
        <v>-0.6</v>
      </c>
      <c r="AE67" s="219">
        <v>-0.4</v>
      </c>
      <c r="AF67" s="219">
        <v>-0.2</v>
      </c>
      <c r="AG67" s="150">
        <v>0</v>
      </c>
      <c r="AH67" s="150">
        <v>0.2</v>
      </c>
      <c r="AI67" s="150">
        <v>0.4</v>
      </c>
      <c r="AJ67" s="150">
        <v>0.6</v>
      </c>
      <c r="AK67" s="150">
        <v>0.8</v>
      </c>
      <c r="AL67" s="150">
        <v>1</v>
      </c>
      <c r="AM67" s="150">
        <v>1.2</v>
      </c>
      <c r="AN67" s="150">
        <v>1.4</v>
      </c>
      <c r="AO67" s="150">
        <v>1.6</v>
      </c>
      <c r="AP67" s="150">
        <v>1.8</v>
      </c>
      <c r="AQ67" s="150">
        <v>2</v>
      </c>
      <c r="AR67" s="150">
        <v>2.2000000000000002</v>
      </c>
      <c r="AS67" s="150">
        <v>2.4</v>
      </c>
      <c r="AT67" s="150">
        <v>2.6</v>
      </c>
      <c r="AU67" s="150">
        <v>2.8</v>
      </c>
      <c r="AV67" s="150">
        <v>3</v>
      </c>
      <c r="AW67" s="150">
        <v>3.2</v>
      </c>
      <c r="AX67" s="150">
        <v>3.4</v>
      </c>
      <c r="AY67" s="150">
        <v>3.6</v>
      </c>
      <c r="AZ67" s="150">
        <v>3.8</v>
      </c>
      <c r="BA67" s="150">
        <v>4</v>
      </c>
      <c r="BB67" s="150">
        <v>4.2</v>
      </c>
      <c r="BC67" s="150">
        <v>4.4000000000000004</v>
      </c>
      <c r="BD67" s="150">
        <v>4.5999999999999996</v>
      </c>
      <c r="BE67" s="150">
        <v>4.8</v>
      </c>
      <c r="BF67" s="150">
        <v>5</v>
      </c>
      <c r="BG67" s="150">
        <v>5.2</v>
      </c>
      <c r="BH67" s="150">
        <v>5.4</v>
      </c>
      <c r="BI67" s="150">
        <v>5.6</v>
      </c>
      <c r="BJ67" s="150">
        <v>5.8</v>
      </c>
      <c r="BK67" s="150">
        <v>6</v>
      </c>
      <c r="BL67" s="150">
        <v>6.2</v>
      </c>
      <c r="BM67" s="150">
        <v>6.4</v>
      </c>
      <c r="BN67" s="150">
        <v>6.6</v>
      </c>
      <c r="BO67" s="150">
        <v>6.8</v>
      </c>
      <c r="BP67" s="150">
        <v>7</v>
      </c>
      <c r="BQ67" s="150">
        <v>7.2</v>
      </c>
      <c r="BR67" s="150">
        <v>7.4</v>
      </c>
      <c r="BS67" s="150">
        <v>7.6</v>
      </c>
      <c r="BT67" s="150">
        <v>7.8</v>
      </c>
      <c r="BU67" s="150">
        <v>8</v>
      </c>
      <c r="BV67" s="150">
        <v>8.1999999999999993</v>
      </c>
      <c r="BW67" s="150">
        <v>8.4</v>
      </c>
      <c r="BX67" s="150">
        <v>8.6</v>
      </c>
      <c r="BY67" s="150">
        <v>8.7999999999999936</v>
      </c>
      <c r="BZ67" s="150">
        <v>9</v>
      </c>
      <c r="CA67" s="150">
        <v>9.1999999999999922</v>
      </c>
      <c r="CB67" s="150">
        <v>9.4</v>
      </c>
      <c r="CC67" s="150">
        <v>9.5999999999999908</v>
      </c>
      <c r="CD67" s="150">
        <v>9.8000000000000007</v>
      </c>
      <c r="CE67" s="150">
        <v>9.9999999999999893</v>
      </c>
      <c r="CF67" s="150">
        <v>10.199999999999999</v>
      </c>
      <c r="CG67" s="150">
        <v>10.4</v>
      </c>
      <c r="CH67" s="150">
        <v>10.6</v>
      </c>
      <c r="CI67" s="150">
        <v>10.8</v>
      </c>
      <c r="CJ67" s="150">
        <v>11</v>
      </c>
      <c r="CK67" s="150">
        <v>11.2</v>
      </c>
      <c r="CL67" s="150">
        <v>11.4</v>
      </c>
      <c r="CM67" s="150">
        <v>11.6</v>
      </c>
      <c r="CN67" s="150">
        <v>11.8</v>
      </c>
      <c r="CO67" s="150">
        <v>12</v>
      </c>
      <c r="CP67" s="150">
        <v>12.2</v>
      </c>
      <c r="CQ67" s="150">
        <v>12.4</v>
      </c>
      <c r="CR67" s="150">
        <v>12.6</v>
      </c>
      <c r="CS67" s="150">
        <v>12.8</v>
      </c>
      <c r="CT67" s="150">
        <v>13</v>
      </c>
      <c r="CU67" s="150">
        <v>13.2</v>
      </c>
      <c r="CV67" s="150">
        <v>13.4</v>
      </c>
      <c r="CW67" s="150">
        <v>13.6</v>
      </c>
      <c r="CX67" s="150">
        <v>13.8</v>
      </c>
      <c r="CY67" s="150">
        <v>14</v>
      </c>
      <c r="CZ67" s="150">
        <v>14.2</v>
      </c>
      <c r="DA67" s="150">
        <v>14.4</v>
      </c>
      <c r="DB67" s="150">
        <v>14.6</v>
      </c>
      <c r="DC67" s="150">
        <v>14.8</v>
      </c>
      <c r="DD67" s="150">
        <v>15</v>
      </c>
      <c r="DE67" s="150">
        <v>15.2</v>
      </c>
      <c r="DF67" s="150">
        <v>15.4</v>
      </c>
      <c r="DG67" s="150">
        <v>15.6</v>
      </c>
      <c r="DH67" s="150">
        <v>15.8</v>
      </c>
      <c r="DI67" s="150">
        <v>16</v>
      </c>
      <c r="DJ67" s="150">
        <v>16.2</v>
      </c>
      <c r="DK67" s="150">
        <v>16.399999999999999</v>
      </c>
      <c r="DL67" s="150">
        <v>16.600000000000001</v>
      </c>
      <c r="DM67" s="150">
        <v>16.8</v>
      </c>
      <c r="DN67" s="150">
        <v>17</v>
      </c>
      <c r="DO67" s="150">
        <v>17.2</v>
      </c>
      <c r="DP67" s="150">
        <v>17.399999999999999</v>
      </c>
      <c r="DQ67" s="150">
        <v>17.600000000000001</v>
      </c>
      <c r="DR67" s="150">
        <v>17.8</v>
      </c>
      <c r="DS67" s="150">
        <v>18</v>
      </c>
      <c r="DT67" s="150">
        <v>18.2</v>
      </c>
      <c r="DU67" s="150">
        <v>18.399999999999999</v>
      </c>
      <c r="DV67" s="150">
        <v>18.600000000000001</v>
      </c>
      <c r="DW67" s="150">
        <v>18.8</v>
      </c>
      <c r="DX67" s="150">
        <v>19</v>
      </c>
      <c r="DY67" s="150">
        <v>19.2</v>
      </c>
      <c r="DZ67" s="150">
        <v>19.399999999999999</v>
      </c>
      <c r="EA67" s="150">
        <v>19.600000000000001</v>
      </c>
      <c r="EB67" s="150">
        <v>19.8</v>
      </c>
      <c r="EC67" s="150">
        <v>20</v>
      </c>
      <c r="ED67" s="150">
        <v>20.2</v>
      </c>
      <c r="EE67" s="150">
        <v>20.399999999999999</v>
      </c>
      <c r="EF67" s="150">
        <v>20.6</v>
      </c>
      <c r="EG67" s="150">
        <v>20.799999999999951</v>
      </c>
      <c r="EH67" s="150">
        <v>21</v>
      </c>
      <c r="EI67" s="150">
        <v>21.19999999999995</v>
      </c>
      <c r="EJ67" s="150">
        <v>21.4</v>
      </c>
      <c r="EK67" s="150">
        <v>21.599999999999948</v>
      </c>
    </row>
    <row r="68" spans="1:141" ht="13.2" x14ac:dyDescent="0.25">
      <c r="A68" s="149">
        <v>38718</v>
      </c>
      <c r="B68" s="219">
        <v>-1.7785964148750009</v>
      </c>
      <c r="C68" s="219">
        <v>-1.7482952255625008</v>
      </c>
      <c r="D68" s="219">
        <v>-1.7179940362500008</v>
      </c>
      <c r="E68" s="219">
        <v>-1.6876928469375008</v>
      </c>
      <c r="F68" s="219">
        <v>-1.6573916576250007</v>
      </c>
      <c r="G68" s="219">
        <v>-1.6270904683125007</v>
      </c>
      <c r="H68" s="219">
        <v>-1.5967892790000007</v>
      </c>
      <c r="I68" s="219">
        <v>-1.5664880896875006</v>
      </c>
      <c r="J68" s="219">
        <v>-1.5361869003750006</v>
      </c>
      <c r="K68" s="219">
        <v>-1.5058857110625006</v>
      </c>
      <c r="L68" s="219">
        <v>-1.4755845217500005</v>
      </c>
      <c r="M68" s="219">
        <v>-1.4452833324375005</v>
      </c>
      <c r="N68" s="219">
        <v>-1.4149821431250005</v>
      </c>
      <c r="O68" s="219">
        <v>-1.3846809538125004</v>
      </c>
      <c r="P68" s="219">
        <v>-1.3543797645000004</v>
      </c>
      <c r="Q68" s="219">
        <v>-1.3240785751875004</v>
      </c>
      <c r="R68" s="219">
        <v>-1.2937773858750004</v>
      </c>
      <c r="S68" s="219">
        <v>-1.2634761965625003</v>
      </c>
      <c r="T68" s="219">
        <v>-1.2331750072500003</v>
      </c>
      <c r="U68" s="219">
        <v>-1.2028738179375003</v>
      </c>
      <c r="V68" s="220">
        <v>-1.1725726286250002</v>
      </c>
      <c r="W68" s="219">
        <v>-1.1422714393125002</v>
      </c>
      <c r="X68" s="220">
        <v>-1.1119702500000002</v>
      </c>
      <c r="Y68" s="219">
        <v>-1.0832351250000003</v>
      </c>
      <c r="Z68" s="220">
        <v>-1.0545000000000002</v>
      </c>
      <c r="AA68" s="219">
        <v>-1.0272500000000002</v>
      </c>
      <c r="AB68" s="221">
        <v>-1</v>
      </c>
      <c r="AC68" s="219">
        <v>-0.8</v>
      </c>
      <c r="AD68" s="221">
        <v>-0.6</v>
      </c>
      <c r="AE68" s="219">
        <v>-0.4</v>
      </c>
      <c r="AF68" s="219">
        <v>-0.2</v>
      </c>
      <c r="AG68" s="150">
        <v>0</v>
      </c>
      <c r="AH68" s="150">
        <v>0.2</v>
      </c>
      <c r="AI68" s="150">
        <v>0.4</v>
      </c>
      <c r="AJ68" s="150">
        <v>0.6</v>
      </c>
      <c r="AK68" s="150">
        <v>0.8</v>
      </c>
      <c r="AL68" s="150">
        <v>1</v>
      </c>
      <c r="AM68" s="150">
        <v>1.2</v>
      </c>
      <c r="AN68" s="150">
        <v>1.4</v>
      </c>
      <c r="AO68" s="150">
        <v>1.6</v>
      </c>
      <c r="AP68" s="150">
        <v>1.8</v>
      </c>
      <c r="AQ68" s="150">
        <v>2</v>
      </c>
      <c r="AR68" s="150">
        <v>2.2000000000000002</v>
      </c>
      <c r="AS68" s="150">
        <v>2.4</v>
      </c>
      <c r="AT68" s="150">
        <v>2.6</v>
      </c>
      <c r="AU68" s="150">
        <v>2.8</v>
      </c>
      <c r="AV68" s="150">
        <v>3</v>
      </c>
      <c r="AW68" s="150">
        <v>3.2</v>
      </c>
      <c r="AX68" s="150">
        <v>3.4</v>
      </c>
      <c r="AY68" s="150">
        <v>3.6</v>
      </c>
      <c r="AZ68" s="150">
        <v>3.8</v>
      </c>
      <c r="BA68" s="150">
        <v>4</v>
      </c>
      <c r="BB68" s="150">
        <v>4.2</v>
      </c>
      <c r="BC68" s="150">
        <v>4.4000000000000004</v>
      </c>
      <c r="BD68" s="150">
        <v>4.5999999999999996</v>
      </c>
      <c r="BE68" s="150">
        <v>4.8</v>
      </c>
      <c r="BF68" s="150">
        <v>5</v>
      </c>
      <c r="BG68" s="150">
        <v>5.2</v>
      </c>
      <c r="BH68" s="150">
        <v>5.4</v>
      </c>
      <c r="BI68" s="150">
        <v>5.6</v>
      </c>
      <c r="BJ68" s="150">
        <v>5.8</v>
      </c>
      <c r="BK68" s="150">
        <v>6</v>
      </c>
      <c r="BL68" s="150">
        <v>6.2</v>
      </c>
      <c r="BM68" s="150">
        <v>6.4</v>
      </c>
      <c r="BN68" s="150">
        <v>6.6</v>
      </c>
      <c r="BO68" s="150">
        <v>6.8</v>
      </c>
      <c r="BP68" s="150">
        <v>7</v>
      </c>
      <c r="BQ68" s="150">
        <v>7.2</v>
      </c>
      <c r="BR68" s="150">
        <v>7.4</v>
      </c>
      <c r="BS68" s="150">
        <v>7.6</v>
      </c>
      <c r="BT68" s="150">
        <v>7.8</v>
      </c>
      <c r="BU68" s="150">
        <v>8</v>
      </c>
      <c r="BV68" s="150">
        <v>8.1999999999999993</v>
      </c>
      <c r="BW68" s="150">
        <v>8.4</v>
      </c>
      <c r="BX68" s="150">
        <v>8.6</v>
      </c>
      <c r="BY68" s="150">
        <v>8.7999999999999936</v>
      </c>
      <c r="BZ68" s="150">
        <v>9</v>
      </c>
      <c r="CA68" s="150">
        <v>9.1999999999999922</v>
      </c>
      <c r="CB68" s="150">
        <v>9.4</v>
      </c>
      <c r="CC68" s="150">
        <v>9.5999999999999908</v>
      </c>
      <c r="CD68" s="150">
        <v>9.8000000000000007</v>
      </c>
      <c r="CE68" s="150">
        <v>9.9999999999999893</v>
      </c>
      <c r="CF68" s="150">
        <v>10.199999999999999</v>
      </c>
      <c r="CG68" s="150">
        <v>10.4</v>
      </c>
      <c r="CH68" s="150">
        <v>10.6</v>
      </c>
      <c r="CI68" s="150">
        <v>10.8</v>
      </c>
      <c r="CJ68" s="150">
        <v>11</v>
      </c>
      <c r="CK68" s="150">
        <v>11.2</v>
      </c>
      <c r="CL68" s="150">
        <v>11.4</v>
      </c>
      <c r="CM68" s="150">
        <v>11.6</v>
      </c>
      <c r="CN68" s="150">
        <v>11.8</v>
      </c>
      <c r="CO68" s="150">
        <v>12</v>
      </c>
      <c r="CP68" s="150">
        <v>12.2</v>
      </c>
      <c r="CQ68" s="150">
        <v>12.4</v>
      </c>
      <c r="CR68" s="150">
        <v>12.6</v>
      </c>
      <c r="CS68" s="150">
        <v>12.8</v>
      </c>
      <c r="CT68" s="150">
        <v>13</v>
      </c>
      <c r="CU68" s="150">
        <v>13.2</v>
      </c>
      <c r="CV68" s="150">
        <v>13.4</v>
      </c>
      <c r="CW68" s="150">
        <v>13.6</v>
      </c>
      <c r="CX68" s="150">
        <v>13.8</v>
      </c>
      <c r="CY68" s="150">
        <v>14</v>
      </c>
      <c r="CZ68" s="150">
        <v>14.2</v>
      </c>
      <c r="DA68" s="150">
        <v>14.4</v>
      </c>
      <c r="DB68" s="150">
        <v>14.6</v>
      </c>
      <c r="DC68" s="150">
        <v>14.8</v>
      </c>
      <c r="DD68" s="150">
        <v>15</v>
      </c>
      <c r="DE68" s="150">
        <v>15.2</v>
      </c>
      <c r="DF68" s="150">
        <v>15.4</v>
      </c>
      <c r="DG68" s="150">
        <v>15.6</v>
      </c>
      <c r="DH68" s="150">
        <v>15.8</v>
      </c>
      <c r="DI68" s="150">
        <v>16</v>
      </c>
      <c r="DJ68" s="150">
        <v>16.2</v>
      </c>
      <c r="DK68" s="150">
        <v>16.399999999999999</v>
      </c>
      <c r="DL68" s="150">
        <v>16.600000000000001</v>
      </c>
      <c r="DM68" s="150">
        <v>16.8</v>
      </c>
      <c r="DN68" s="150">
        <v>17</v>
      </c>
      <c r="DO68" s="150">
        <v>17.2</v>
      </c>
      <c r="DP68" s="150">
        <v>17.399999999999999</v>
      </c>
      <c r="DQ68" s="150">
        <v>17.600000000000001</v>
      </c>
      <c r="DR68" s="150">
        <v>17.8</v>
      </c>
      <c r="DS68" s="150">
        <v>18</v>
      </c>
      <c r="DT68" s="150">
        <v>18.2</v>
      </c>
      <c r="DU68" s="150">
        <v>18.399999999999999</v>
      </c>
      <c r="DV68" s="150">
        <v>18.600000000000001</v>
      </c>
      <c r="DW68" s="150">
        <v>18.8</v>
      </c>
      <c r="DX68" s="150">
        <v>19</v>
      </c>
      <c r="DY68" s="150">
        <v>19.2</v>
      </c>
      <c r="DZ68" s="150">
        <v>19.399999999999999</v>
      </c>
      <c r="EA68" s="150">
        <v>19.600000000000001</v>
      </c>
      <c r="EB68" s="150">
        <v>19.8</v>
      </c>
      <c r="EC68" s="150">
        <v>20</v>
      </c>
      <c r="ED68" s="150">
        <v>20.2</v>
      </c>
      <c r="EE68" s="150">
        <v>20.399999999999999</v>
      </c>
      <c r="EF68" s="150">
        <v>20.6</v>
      </c>
      <c r="EG68" s="150">
        <v>20.799999999999951</v>
      </c>
      <c r="EH68" s="150">
        <v>21</v>
      </c>
      <c r="EI68" s="150">
        <v>21.19999999999995</v>
      </c>
      <c r="EJ68" s="150">
        <v>21.4</v>
      </c>
      <c r="EK68" s="150">
        <v>21.599999999999948</v>
      </c>
    </row>
    <row r="69" spans="1:141" ht="13.2" x14ac:dyDescent="0.25">
      <c r="A69" s="149">
        <v>38749</v>
      </c>
      <c r="B69" s="219">
        <v>-1.7785964148750009</v>
      </c>
      <c r="C69" s="219">
        <v>-1.7482952255625008</v>
      </c>
      <c r="D69" s="219">
        <v>-1.7179940362500008</v>
      </c>
      <c r="E69" s="219">
        <v>-1.6876928469375008</v>
      </c>
      <c r="F69" s="219">
        <v>-1.6573916576250007</v>
      </c>
      <c r="G69" s="219">
        <v>-1.6270904683125007</v>
      </c>
      <c r="H69" s="219">
        <v>-1.5967892790000007</v>
      </c>
      <c r="I69" s="219">
        <v>-1.5664880896875006</v>
      </c>
      <c r="J69" s="219">
        <v>-1.5361869003750006</v>
      </c>
      <c r="K69" s="219">
        <v>-1.5058857110625006</v>
      </c>
      <c r="L69" s="219">
        <v>-1.4755845217500005</v>
      </c>
      <c r="M69" s="219">
        <v>-1.4452833324375005</v>
      </c>
      <c r="N69" s="219">
        <v>-1.4149821431250005</v>
      </c>
      <c r="O69" s="219">
        <v>-1.3846809538125004</v>
      </c>
      <c r="P69" s="219">
        <v>-1.3543797645000004</v>
      </c>
      <c r="Q69" s="219">
        <v>-1.3240785751875004</v>
      </c>
      <c r="R69" s="219">
        <v>-1.2937773858750004</v>
      </c>
      <c r="S69" s="219">
        <v>-1.2634761965625003</v>
      </c>
      <c r="T69" s="219">
        <v>-1.2331750072500003</v>
      </c>
      <c r="U69" s="219">
        <v>-1.2028738179375003</v>
      </c>
      <c r="V69" s="220">
        <v>-1.1725726286250002</v>
      </c>
      <c r="W69" s="219">
        <v>-1.1422714393125002</v>
      </c>
      <c r="X69" s="220">
        <v>-1.1119702500000002</v>
      </c>
      <c r="Y69" s="219">
        <v>-1.0832351250000003</v>
      </c>
      <c r="Z69" s="220">
        <v>-1.0545000000000002</v>
      </c>
      <c r="AA69" s="219">
        <v>-1.0272500000000002</v>
      </c>
      <c r="AB69" s="221">
        <v>-1</v>
      </c>
      <c r="AC69" s="219">
        <v>-0.8</v>
      </c>
      <c r="AD69" s="221">
        <v>-0.6</v>
      </c>
      <c r="AE69" s="219">
        <v>-0.4</v>
      </c>
      <c r="AF69" s="219">
        <v>-0.2</v>
      </c>
      <c r="AG69" s="150">
        <v>0</v>
      </c>
      <c r="AH69" s="150">
        <v>0.2</v>
      </c>
      <c r="AI69" s="150">
        <v>0.4</v>
      </c>
      <c r="AJ69" s="150">
        <v>0.6</v>
      </c>
      <c r="AK69" s="150">
        <v>0.8</v>
      </c>
      <c r="AL69" s="150">
        <v>1</v>
      </c>
      <c r="AM69" s="150">
        <v>1.2</v>
      </c>
      <c r="AN69" s="150">
        <v>1.4</v>
      </c>
      <c r="AO69" s="150">
        <v>1.6</v>
      </c>
      <c r="AP69" s="150">
        <v>1.8</v>
      </c>
      <c r="AQ69" s="150">
        <v>2</v>
      </c>
      <c r="AR69" s="150">
        <v>2.2000000000000002</v>
      </c>
      <c r="AS69" s="150">
        <v>2.4</v>
      </c>
      <c r="AT69" s="150">
        <v>2.6</v>
      </c>
      <c r="AU69" s="150">
        <v>2.8</v>
      </c>
      <c r="AV69" s="150">
        <v>3</v>
      </c>
      <c r="AW69" s="150">
        <v>3.2</v>
      </c>
      <c r="AX69" s="150">
        <v>3.4</v>
      </c>
      <c r="AY69" s="150">
        <v>3.6</v>
      </c>
      <c r="AZ69" s="150">
        <v>3.8</v>
      </c>
      <c r="BA69" s="150">
        <v>4</v>
      </c>
      <c r="BB69" s="150">
        <v>4.2</v>
      </c>
      <c r="BC69" s="150">
        <v>4.4000000000000004</v>
      </c>
      <c r="BD69" s="150">
        <v>4.5999999999999996</v>
      </c>
      <c r="BE69" s="150">
        <v>4.8</v>
      </c>
      <c r="BF69" s="150">
        <v>5</v>
      </c>
      <c r="BG69" s="150">
        <v>5.2</v>
      </c>
      <c r="BH69" s="150">
        <v>5.4</v>
      </c>
      <c r="BI69" s="150">
        <v>5.6</v>
      </c>
      <c r="BJ69" s="150">
        <v>5.8</v>
      </c>
      <c r="BK69" s="150">
        <v>6</v>
      </c>
      <c r="BL69" s="150">
        <v>6.2</v>
      </c>
      <c r="BM69" s="150">
        <v>6.4</v>
      </c>
      <c r="BN69" s="150">
        <v>6.6</v>
      </c>
      <c r="BO69" s="150">
        <v>6.8</v>
      </c>
      <c r="BP69" s="150">
        <v>7</v>
      </c>
      <c r="BQ69" s="150">
        <v>7.2</v>
      </c>
      <c r="BR69" s="150">
        <v>7.4</v>
      </c>
      <c r="BS69" s="150">
        <v>7.6</v>
      </c>
      <c r="BT69" s="150">
        <v>7.8</v>
      </c>
      <c r="BU69" s="150">
        <v>8</v>
      </c>
      <c r="BV69" s="150">
        <v>8.1999999999999993</v>
      </c>
      <c r="BW69" s="150">
        <v>8.4</v>
      </c>
      <c r="BX69" s="150">
        <v>8.6</v>
      </c>
      <c r="BY69" s="150">
        <v>8.7999999999999936</v>
      </c>
      <c r="BZ69" s="150">
        <v>9</v>
      </c>
      <c r="CA69" s="150">
        <v>9.1999999999999922</v>
      </c>
      <c r="CB69" s="150">
        <v>9.4</v>
      </c>
      <c r="CC69" s="150">
        <v>9.5999999999999908</v>
      </c>
      <c r="CD69" s="150">
        <v>9.8000000000000007</v>
      </c>
      <c r="CE69" s="150">
        <v>9.9999999999999893</v>
      </c>
      <c r="CF69" s="150">
        <v>10.199999999999999</v>
      </c>
      <c r="CG69" s="150">
        <v>10.4</v>
      </c>
      <c r="CH69" s="150">
        <v>10.6</v>
      </c>
      <c r="CI69" s="150">
        <v>10.8</v>
      </c>
      <c r="CJ69" s="150">
        <v>11</v>
      </c>
      <c r="CK69" s="150">
        <v>11.2</v>
      </c>
      <c r="CL69" s="150">
        <v>11.4</v>
      </c>
      <c r="CM69" s="150">
        <v>11.6</v>
      </c>
      <c r="CN69" s="150">
        <v>11.8</v>
      </c>
      <c r="CO69" s="150">
        <v>12</v>
      </c>
      <c r="CP69" s="150">
        <v>12.2</v>
      </c>
      <c r="CQ69" s="150">
        <v>12.4</v>
      </c>
      <c r="CR69" s="150">
        <v>12.6</v>
      </c>
      <c r="CS69" s="150">
        <v>12.8</v>
      </c>
      <c r="CT69" s="150">
        <v>13</v>
      </c>
      <c r="CU69" s="150">
        <v>13.2</v>
      </c>
      <c r="CV69" s="150">
        <v>13.4</v>
      </c>
      <c r="CW69" s="150">
        <v>13.6</v>
      </c>
      <c r="CX69" s="150">
        <v>13.8</v>
      </c>
      <c r="CY69" s="150">
        <v>14</v>
      </c>
      <c r="CZ69" s="150">
        <v>14.2</v>
      </c>
      <c r="DA69" s="150">
        <v>14.4</v>
      </c>
      <c r="DB69" s="150">
        <v>14.6</v>
      </c>
      <c r="DC69" s="150">
        <v>14.8</v>
      </c>
      <c r="DD69" s="150">
        <v>15</v>
      </c>
      <c r="DE69" s="150">
        <v>15.2</v>
      </c>
      <c r="DF69" s="150">
        <v>15.4</v>
      </c>
      <c r="DG69" s="150">
        <v>15.6</v>
      </c>
      <c r="DH69" s="150">
        <v>15.8</v>
      </c>
      <c r="DI69" s="150">
        <v>16</v>
      </c>
      <c r="DJ69" s="150">
        <v>16.2</v>
      </c>
      <c r="DK69" s="150">
        <v>16.399999999999999</v>
      </c>
      <c r="DL69" s="150">
        <v>16.600000000000001</v>
      </c>
      <c r="DM69" s="150">
        <v>16.8</v>
      </c>
      <c r="DN69" s="150">
        <v>17</v>
      </c>
      <c r="DO69" s="150">
        <v>17.2</v>
      </c>
      <c r="DP69" s="150">
        <v>17.399999999999999</v>
      </c>
      <c r="DQ69" s="150">
        <v>17.600000000000001</v>
      </c>
      <c r="DR69" s="150">
        <v>17.8</v>
      </c>
      <c r="DS69" s="150">
        <v>18</v>
      </c>
      <c r="DT69" s="150">
        <v>18.2</v>
      </c>
      <c r="DU69" s="150">
        <v>18.399999999999999</v>
      </c>
      <c r="DV69" s="150">
        <v>18.600000000000001</v>
      </c>
      <c r="DW69" s="150">
        <v>18.8</v>
      </c>
      <c r="DX69" s="150">
        <v>19</v>
      </c>
      <c r="DY69" s="150">
        <v>19.2</v>
      </c>
      <c r="DZ69" s="150">
        <v>19.399999999999999</v>
      </c>
      <c r="EA69" s="150">
        <v>19.600000000000001</v>
      </c>
      <c r="EB69" s="150">
        <v>19.8</v>
      </c>
      <c r="EC69" s="150">
        <v>20</v>
      </c>
      <c r="ED69" s="150">
        <v>20.2</v>
      </c>
      <c r="EE69" s="150">
        <v>20.399999999999999</v>
      </c>
      <c r="EF69" s="150">
        <v>20.6</v>
      </c>
      <c r="EG69" s="150">
        <v>20.799999999999951</v>
      </c>
      <c r="EH69" s="150">
        <v>21</v>
      </c>
      <c r="EI69" s="150">
        <v>21.19999999999995</v>
      </c>
      <c r="EJ69" s="150">
        <v>21.4</v>
      </c>
      <c r="EK69" s="150">
        <v>21.599999999999948</v>
      </c>
    </row>
    <row r="70" spans="1:141" ht="13.2" x14ac:dyDescent="0.25">
      <c r="A70" s="149">
        <v>38777</v>
      </c>
      <c r="B70" s="219">
        <v>-1.7785964148750009</v>
      </c>
      <c r="C70" s="219">
        <v>-1.7482952255625008</v>
      </c>
      <c r="D70" s="219">
        <v>-1.7179940362500008</v>
      </c>
      <c r="E70" s="219">
        <v>-1.6876928469375008</v>
      </c>
      <c r="F70" s="219">
        <v>-1.6573916576250007</v>
      </c>
      <c r="G70" s="219">
        <v>-1.6270904683125007</v>
      </c>
      <c r="H70" s="219">
        <v>-1.5967892790000007</v>
      </c>
      <c r="I70" s="219">
        <v>-1.5664880896875006</v>
      </c>
      <c r="J70" s="219">
        <v>-1.5361869003750006</v>
      </c>
      <c r="K70" s="219">
        <v>-1.5058857110625006</v>
      </c>
      <c r="L70" s="219">
        <v>-1.4755845217500005</v>
      </c>
      <c r="M70" s="219">
        <v>-1.4452833324375005</v>
      </c>
      <c r="N70" s="219">
        <v>-1.4149821431250005</v>
      </c>
      <c r="O70" s="219">
        <v>-1.3846809538125004</v>
      </c>
      <c r="P70" s="219">
        <v>-1.3543797645000004</v>
      </c>
      <c r="Q70" s="219">
        <v>-1.3240785751875004</v>
      </c>
      <c r="R70" s="219">
        <v>-1.2937773858750004</v>
      </c>
      <c r="S70" s="219">
        <v>-1.2634761965625003</v>
      </c>
      <c r="T70" s="219">
        <v>-1.2331750072500003</v>
      </c>
      <c r="U70" s="219">
        <v>-1.2028738179375003</v>
      </c>
      <c r="V70" s="220">
        <v>-1.1725726286250002</v>
      </c>
      <c r="W70" s="219">
        <v>-1.1422714393125002</v>
      </c>
      <c r="X70" s="220">
        <v>-1.1119702500000002</v>
      </c>
      <c r="Y70" s="219">
        <v>-1.0832351250000003</v>
      </c>
      <c r="Z70" s="220">
        <v>-1.0545000000000002</v>
      </c>
      <c r="AA70" s="219">
        <v>-1.0272500000000002</v>
      </c>
      <c r="AB70" s="221">
        <v>-1</v>
      </c>
      <c r="AC70" s="219">
        <v>-0.8</v>
      </c>
      <c r="AD70" s="221">
        <v>-0.6</v>
      </c>
      <c r="AE70" s="219">
        <v>-0.4</v>
      </c>
      <c r="AF70" s="219">
        <v>-0.2</v>
      </c>
      <c r="AG70" s="150">
        <v>0</v>
      </c>
      <c r="AH70" s="150">
        <v>0.2</v>
      </c>
      <c r="AI70" s="150">
        <v>0.4</v>
      </c>
      <c r="AJ70" s="150">
        <v>0.6</v>
      </c>
      <c r="AK70" s="150">
        <v>0.8</v>
      </c>
      <c r="AL70" s="150">
        <v>1</v>
      </c>
      <c r="AM70" s="150">
        <v>1.2</v>
      </c>
      <c r="AN70" s="150">
        <v>1.4</v>
      </c>
      <c r="AO70" s="150">
        <v>1.6</v>
      </c>
      <c r="AP70" s="150">
        <v>1.8</v>
      </c>
      <c r="AQ70" s="150">
        <v>2</v>
      </c>
      <c r="AR70" s="150">
        <v>2.2000000000000002</v>
      </c>
      <c r="AS70" s="150">
        <v>2.4</v>
      </c>
      <c r="AT70" s="150">
        <v>2.6</v>
      </c>
      <c r="AU70" s="150">
        <v>2.8</v>
      </c>
      <c r="AV70" s="150">
        <v>3</v>
      </c>
      <c r="AW70" s="150">
        <v>3.2</v>
      </c>
      <c r="AX70" s="150">
        <v>3.4</v>
      </c>
      <c r="AY70" s="150">
        <v>3.6</v>
      </c>
      <c r="AZ70" s="150">
        <v>3.8</v>
      </c>
      <c r="BA70" s="150">
        <v>4</v>
      </c>
      <c r="BB70" s="150">
        <v>4.2</v>
      </c>
      <c r="BC70" s="150">
        <v>4.4000000000000004</v>
      </c>
      <c r="BD70" s="150">
        <v>4.5999999999999996</v>
      </c>
      <c r="BE70" s="150">
        <v>4.8</v>
      </c>
      <c r="BF70" s="150">
        <v>5</v>
      </c>
      <c r="BG70" s="150">
        <v>5.2</v>
      </c>
      <c r="BH70" s="150">
        <v>5.4</v>
      </c>
      <c r="BI70" s="150">
        <v>5.6</v>
      </c>
      <c r="BJ70" s="150">
        <v>5.8</v>
      </c>
      <c r="BK70" s="150">
        <v>6</v>
      </c>
      <c r="BL70" s="150">
        <v>6.2</v>
      </c>
      <c r="BM70" s="150">
        <v>6.4</v>
      </c>
      <c r="BN70" s="150">
        <v>6.6</v>
      </c>
      <c r="BO70" s="150">
        <v>6.8</v>
      </c>
      <c r="BP70" s="150">
        <v>7</v>
      </c>
      <c r="BQ70" s="150">
        <v>7.2</v>
      </c>
      <c r="BR70" s="150">
        <v>7.4</v>
      </c>
      <c r="BS70" s="150">
        <v>7.6</v>
      </c>
      <c r="BT70" s="150">
        <v>7.8</v>
      </c>
      <c r="BU70" s="150">
        <v>8</v>
      </c>
      <c r="BV70" s="150">
        <v>8.1999999999999993</v>
      </c>
      <c r="BW70" s="150">
        <v>8.4</v>
      </c>
      <c r="BX70" s="150">
        <v>8.6</v>
      </c>
      <c r="BY70" s="150">
        <v>8.7999999999999936</v>
      </c>
      <c r="BZ70" s="150">
        <v>9</v>
      </c>
      <c r="CA70" s="150">
        <v>9.1999999999999922</v>
      </c>
      <c r="CB70" s="150">
        <v>9.4</v>
      </c>
      <c r="CC70" s="150">
        <v>9.5999999999999908</v>
      </c>
      <c r="CD70" s="150">
        <v>9.8000000000000007</v>
      </c>
      <c r="CE70" s="150">
        <v>9.9999999999999893</v>
      </c>
      <c r="CF70" s="150">
        <v>10.199999999999999</v>
      </c>
      <c r="CG70" s="150">
        <v>10.4</v>
      </c>
      <c r="CH70" s="150">
        <v>10.6</v>
      </c>
      <c r="CI70" s="150">
        <v>10.8</v>
      </c>
      <c r="CJ70" s="150">
        <v>11</v>
      </c>
      <c r="CK70" s="150">
        <v>11.2</v>
      </c>
      <c r="CL70" s="150">
        <v>11.4</v>
      </c>
      <c r="CM70" s="150">
        <v>11.6</v>
      </c>
      <c r="CN70" s="150">
        <v>11.8</v>
      </c>
      <c r="CO70" s="150">
        <v>12</v>
      </c>
      <c r="CP70" s="150">
        <v>12.2</v>
      </c>
      <c r="CQ70" s="150">
        <v>12.4</v>
      </c>
      <c r="CR70" s="150">
        <v>12.6</v>
      </c>
      <c r="CS70" s="150">
        <v>12.8</v>
      </c>
      <c r="CT70" s="150">
        <v>13</v>
      </c>
      <c r="CU70" s="150">
        <v>13.2</v>
      </c>
      <c r="CV70" s="150">
        <v>13.4</v>
      </c>
      <c r="CW70" s="150">
        <v>13.6</v>
      </c>
      <c r="CX70" s="150">
        <v>13.8</v>
      </c>
      <c r="CY70" s="150">
        <v>14</v>
      </c>
      <c r="CZ70" s="150">
        <v>14.2</v>
      </c>
      <c r="DA70" s="150">
        <v>14.4</v>
      </c>
      <c r="DB70" s="150">
        <v>14.6</v>
      </c>
      <c r="DC70" s="150">
        <v>14.8</v>
      </c>
      <c r="DD70" s="150">
        <v>15</v>
      </c>
      <c r="DE70" s="150">
        <v>15.2</v>
      </c>
      <c r="DF70" s="150">
        <v>15.4</v>
      </c>
      <c r="DG70" s="150">
        <v>15.6</v>
      </c>
      <c r="DH70" s="150">
        <v>15.8</v>
      </c>
      <c r="DI70" s="150">
        <v>16</v>
      </c>
      <c r="DJ70" s="150">
        <v>16.2</v>
      </c>
      <c r="DK70" s="150">
        <v>16.399999999999999</v>
      </c>
      <c r="DL70" s="150">
        <v>16.600000000000001</v>
      </c>
      <c r="DM70" s="150">
        <v>16.8</v>
      </c>
      <c r="DN70" s="150">
        <v>17</v>
      </c>
      <c r="DO70" s="150">
        <v>17.2</v>
      </c>
      <c r="DP70" s="150">
        <v>17.399999999999999</v>
      </c>
      <c r="DQ70" s="150">
        <v>17.600000000000001</v>
      </c>
      <c r="DR70" s="150">
        <v>17.8</v>
      </c>
      <c r="DS70" s="150">
        <v>18</v>
      </c>
      <c r="DT70" s="150">
        <v>18.2</v>
      </c>
      <c r="DU70" s="150">
        <v>18.399999999999999</v>
      </c>
      <c r="DV70" s="150">
        <v>18.600000000000001</v>
      </c>
      <c r="DW70" s="150">
        <v>18.8</v>
      </c>
      <c r="DX70" s="150">
        <v>19</v>
      </c>
      <c r="DY70" s="150">
        <v>19.2</v>
      </c>
      <c r="DZ70" s="150">
        <v>19.399999999999999</v>
      </c>
      <c r="EA70" s="150">
        <v>19.600000000000001</v>
      </c>
      <c r="EB70" s="150">
        <v>19.8</v>
      </c>
      <c r="EC70" s="150">
        <v>20</v>
      </c>
      <c r="ED70" s="150">
        <v>20.2</v>
      </c>
      <c r="EE70" s="150">
        <v>20.399999999999999</v>
      </c>
      <c r="EF70" s="150">
        <v>20.6</v>
      </c>
      <c r="EG70" s="150">
        <v>20.799999999999951</v>
      </c>
      <c r="EH70" s="150">
        <v>21</v>
      </c>
      <c r="EI70" s="150">
        <v>21.19999999999995</v>
      </c>
      <c r="EJ70" s="150">
        <v>21.4</v>
      </c>
      <c r="EK70" s="150">
        <v>21.599999999999948</v>
      </c>
    </row>
    <row r="71" spans="1:141" ht="13.2" x14ac:dyDescent="0.25">
      <c r="A71" s="149">
        <v>38808</v>
      </c>
      <c r="B71" s="219">
        <v>-1.7785964148750009</v>
      </c>
      <c r="C71" s="219">
        <v>-1.7482952255625008</v>
      </c>
      <c r="D71" s="219">
        <v>-1.7179940362500008</v>
      </c>
      <c r="E71" s="219">
        <v>-1.6876928469375008</v>
      </c>
      <c r="F71" s="219">
        <v>-1.6573916576250007</v>
      </c>
      <c r="G71" s="219">
        <v>-1.6270904683125007</v>
      </c>
      <c r="H71" s="219">
        <v>-1.5967892790000007</v>
      </c>
      <c r="I71" s="219">
        <v>-1.5664880896875006</v>
      </c>
      <c r="J71" s="219">
        <v>-1.5361869003750006</v>
      </c>
      <c r="K71" s="219">
        <v>-1.5058857110625006</v>
      </c>
      <c r="L71" s="219">
        <v>-1.4755845217500005</v>
      </c>
      <c r="M71" s="219">
        <v>-1.4452833324375005</v>
      </c>
      <c r="N71" s="219">
        <v>-1.4149821431250005</v>
      </c>
      <c r="O71" s="219">
        <v>-1.3846809538125004</v>
      </c>
      <c r="P71" s="219">
        <v>-1.3543797645000004</v>
      </c>
      <c r="Q71" s="219">
        <v>-1.3240785751875004</v>
      </c>
      <c r="R71" s="219">
        <v>-1.2937773858750004</v>
      </c>
      <c r="S71" s="219">
        <v>-1.2634761965625003</v>
      </c>
      <c r="T71" s="219">
        <v>-1.2331750072500003</v>
      </c>
      <c r="U71" s="219">
        <v>-1.2028738179375003</v>
      </c>
      <c r="V71" s="220">
        <v>-1.1725726286250002</v>
      </c>
      <c r="W71" s="219">
        <v>-1.1422714393125002</v>
      </c>
      <c r="X71" s="220">
        <v>-1.1119702500000002</v>
      </c>
      <c r="Y71" s="219">
        <v>-1.0832351250000003</v>
      </c>
      <c r="Z71" s="220">
        <v>-1.0545000000000002</v>
      </c>
      <c r="AA71" s="219">
        <v>-1.0272500000000002</v>
      </c>
      <c r="AB71" s="221">
        <v>-1</v>
      </c>
      <c r="AC71" s="219">
        <v>-0.8</v>
      </c>
      <c r="AD71" s="221">
        <v>-0.6</v>
      </c>
      <c r="AE71" s="219">
        <v>-0.4</v>
      </c>
      <c r="AF71" s="219">
        <v>-0.2</v>
      </c>
      <c r="AG71" s="150">
        <v>0</v>
      </c>
      <c r="AH71" s="150">
        <v>0.2</v>
      </c>
      <c r="AI71" s="150">
        <v>0.4</v>
      </c>
      <c r="AJ71" s="150">
        <v>0.6</v>
      </c>
      <c r="AK71" s="150">
        <v>0.8</v>
      </c>
      <c r="AL71" s="150">
        <v>1</v>
      </c>
      <c r="AM71" s="150">
        <v>1.2</v>
      </c>
      <c r="AN71" s="150">
        <v>1.4</v>
      </c>
      <c r="AO71" s="150">
        <v>1.6</v>
      </c>
      <c r="AP71" s="150">
        <v>1.8</v>
      </c>
      <c r="AQ71" s="150">
        <v>2</v>
      </c>
      <c r="AR71" s="150">
        <v>2.2000000000000002</v>
      </c>
      <c r="AS71" s="150">
        <v>2.4</v>
      </c>
      <c r="AT71" s="150">
        <v>2.6</v>
      </c>
      <c r="AU71" s="150">
        <v>2.8</v>
      </c>
      <c r="AV71" s="150">
        <v>3</v>
      </c>
      <c r="AW71" s="150">
        <v>3.2</v>
      </c>
      <c r="AX71" s="150">
        <v>3.4</v>
      </c>
      <c r="AY71" s="150">
        <v>3.6</v>
      </c>
      <c r="AZ71" s="150">
        <v>3.8</v>
      </c>
      <c r="BA71" s="150">
        <v>4</v>
      </c>
      <c r="BB71" s="150">
        <v>4.2</v>
      </c>
      <c r="BC71" s="150">
        <v>4.4000000000000004</v>
      </c>
      <c r="BD71" s="150">
        <v>4.5999999999999996</v>
      </c>
      <c r="BE71" s="150">
        <v>4.8</v>
      </c>
      <c r="BF71" s="150">
        <v>5</v>
      </c>
      <c r="BG71" s="150">
        <v>5.2</v>
      </c>
      <c r="BH71" s="150">
        <v>5.4</v>
      </c>
      <c r="BI71" s="150">
        <v>5.6</v>
      </c>
      <c r="BJ71" s="150">
        <v>5.8</v>
      </c>
      <c r="BK71" s="150">
        <v>6</v>
      </c>
      <c r="BL71" s="150">
        <v>6.2</v>
      </c>
      <c r="BM71" s="150">
        <v>6.4</v>
      </c>
      <c r="BN71" s="150">
        <v>6.6</v>
      </c>
      <c r="BO71" s="150">
        <v>6.8</v>
      </c>
      <c r="BP71" s="150">
        <v>7</v>
      </c>
      <c r="BQ71" s="150">
        <v>7.2</v>
      </c>
      <c r="BR71" s="150">
        <v>7.4</v>
      </c>
      <c r="BS71" s="150">
        <v>7.6</v>
      </c>
      <c r="BT71" s="150">
        <v>7.8</v>
      </c>
      <c r="BU71" s="150">
        <v>8</v>
      </c>
      <c r="BV71" s="150">
        <v>8.1999999999999993</v>
      </c>
      <c r="BW71" s="150">
        <v>8.4</v>
      </c>
      <c r="BX71" s="150">
        <v>8.6</v>
      </c>
      <c r="BY71" s="150">
        <v>8.7999999999999936</v>
      </c>
      <c r="BZ71" s="150">
        <v>9</v>
      </c>
      <c r="CA71" s="150">
        <v>9.1999999999999922</v>
      </c>
      <c r="CB71" s="150">
        <v>9.4</v>
      </c>
      <c r="CC71" s="150">
        <v>9.5999999999999908</v>
      </c>
      <c r="CD71" s="150">
        <v>9.8000000000000007</v>
      </c>
      <c r="CE71" s="150">
        <v>9.9999999999999893</v>
      </c>
      <c r="CF71" s="150">
        <v>10.199999999999999</v>
      </c>
      <c r="CG71" s="150">
        <v>10.4</v>
      </c>
      <c r="CH71" s="150">
        <v>10.6</v>
      </c>
      <c r="CI71" s="150">
        <v>10.8</v>
      </c>
      <c r="CJ71" s="150">
        <v>11</v>
      </c>
      <c r="CK71" s="150">
        <v>11.2</v>
      </c>
      <c r="CL71" s="150">
        <v>11.4</v>
      </c>
      <c r="CM71" s="150">
        <v>11.6</v>
      </c>
      <c r="CN71" s="150">
        <v>11.8</v>
      </c>
      <c r="CO71" s="150">
        <v>12</v>
      </c>
      <c r="CP71" s="150">
        <v>12.2</v>
      </c>
      <c r="CQ71" s="150">
        <v>12.4</v>
      </c>
      <c r="CR71" s="150">
        <v>12.6</v>
      </c>
      <c r="CS71" s="150">
        <v>12.8</v>
      </c>
      <c r="CT71" s="150">
        <v>13</v>
      </c>
      <c r="CU71" s="150">
        <v>13.2</v>
      </c>
      <c r="CV71" s="150">
        <v>13.4</v>
      </c>
      <c r="CW71" s="150">
        <v>13.6</v>
      </c>
      <c r="CX71" s="150">
        <v>13.8</v>
      </c>
      <c r="CY71" s="150">
        <v>14</v>
      </c>
      <c r="CZ71" s="150">
        <v>14.2</v>
      </c>
      <c r="DA71" s="150">
        <v>14.4</v>
      </c>
      <c r="DB71" s="150">
        <v>14.6</v>
      </c>
      <c r="DC71" s="150">
        <v>14.8</v>
      </c>
      <c r="DD71" s="150">
        <v>15</v>
      </c>
      <c r="DE71" s="150">
        <v>15.2</v>
      </c>
      <c r="DF71" s="150">
        <v>15.4</v>
      </c>
      <c r="DG71" s="150">
        <v>15.6</v>
      </c>
      <c r="DH71" s="150">
        <v>15.8</v>
      </c>
      <c r="DI71" s="150">
        <v>16</v>
      </c>
      <c r="DJ71" s="150">
        <v>16.2</v>
      </c>
      <c r="DK71" s="150">
        <v>16.399999999999999</v>
      </c>
      <c r="DL71" s="150">
        <v>16.600000000000001</v>
      </c>
      <c r="DM71" s="150">
        <v>16.8</v>
      </c>
      <c r="DN71" s="150">
        <v>17</v>
      </c>
      <c r="DO71" s="150">
        <v>17.2</v>
      </c>
      <c r="DP71" s="150">
        <v>17.399999999999999</v>
      </c>
      <c r="DQ71" s="150">
        <v>17.600000000000001</v>
      </c>
      <c r="DR71" s="150">
        <v>17.8</v>
      </c>
      <c r="DS71" s="150">
        <v>18</v>
      </c>
      <c r="DT71" s="150">
        <v>18.2</v>
      </c>
      <c r="DU71" s="150">
        <v>18.399999999999999</v>
      </c>
      <c r="DV71" s="150">
        <v>18.600000000000001</v>
      </c>
      <c r="DW71" s="150">
        <v>18.8</v>
      </c>
      <c r="DX71" s="150">
        <v>19</v>
      </c>
      <c r="DY71" s="150">
        <v>19.2</v>
      </c>
      <c r="DZ71" s="150">
        <v>19.399999999999999</v>
      </c>
      <c r="EA71" s="150">
        <v>19.600000000000001</v>
      </c>
      <c r="EB71" s="150">
        <v>19.8</v>
      </c>
      <c r="EC71" s="150">
        <v>20</v>
      </c>
      <c r="ED71" s="150">
        <v>20.2</v>
      </c>
      <c r="EE71" s="150">
        <v>20.399999999999999</v>
      </c>
      <c r="EF71" s="150">
        <v>20.6</v>
      </c>
      <c r="EG71" s="150">
        <v>20.799999999999951</v>
      </c>
      <c r="EH71" s="150">
        <v>21</v>
      </c>
      <c r="EI71" s="150">
        <v>21.19999999999995</v>
      </c>
      <c r="EJ71" s="150">
        <v>21.4</v>
      </c>
      <c r="EK71" s="150">
        <v>21.599999999999948</v>
      </c>
    </row>
    <row r="72" spans="1:141" ht="13.2" x14ac:dyDescent="0.25">
      <c r="A72" s="149">
        <v>38838</v>
      </c>
      <c r="B72" s="219">
        <v>-1.7785964148750009</v>
      </c>
      <c r="C72" s="219">
        <v>-1.7482952255625008</v>
      </c>
      <c r="D72" s="219">
        <v>-1.7179940362500008</v>
      </c>
      <c r="E72" s="219">
        <v>-1.6876928469375008</v>
      </c>
      <c r="F72" s="219">
        <v>-1.6573916576250007</v>
      </c>
      <c r="G72" s="219">
        <v>-1.6270904683125007</v>
      </c>
      <c r="H72" s="219">
        <v>-1.5967892790000007</v>
      </c>
      <c r="I72" s="219">
        <v>-1.5664880896875006</v>
      </c>
      <c r="J72" s="219">
        <v>-1.5361869003750006</v>
      </c>
      <c r="K72" s="219">
        <v>-1.5058857110625006</v>
      </c>
      <c r="L72" s="219">
        <v>-1.4755845217500005</v>
      </c>
      <c r="M72" s="219">
        <v>-1.4452833324375005</v>
      </c>
      <c r="N72" s="219">
        <v>-1.4149821431250005</v>
      </c>
      <c r="O72" s="219">
        <v>-1.3846809538125004</v>
      </c>
      <c r="P72" s="219">
        <v>-1.3543797645000004</v>
      </c>
      <c r="Q72" s="219">
        <v>-1.3240785751875004</v>
      </c>
      <c r="R72" s="219">
        <v>-1.2937773858750004</v>
      </c>
      <c r="S72" s="219">
        <v>-1.2634761965625003</v>
      </c>
      <c r="T72" s="219">
        <v>-1.2331750072500003</v>
      </c>
      <c r="U72" s="219">
        <v>-1.2028738179375003</v>
      </c>
      <c r="V72" s="220">
        <v>-1.1725726286250002</v>
      </c>
      <c r="W72" s="219">
        <v>-1.1422714393125002</v>
      </c>
      <c r="X72" s="220">
        <v>-1.1119702500000002</v>
      </c>
      <c r="Y72" s="219">
        <v>-1.0832351250000003</v>
      </c>
      <c r="Z72" s="220">
        <v>-1.0545000000000002</v>
      </c>
      <c r="AA72" s="219">
        <v>-1.0272500000000002</v>
      </c>
      <c r="AB72" s="221">
        <v>-1</v>
      </c>
      <c r="AC72" s="219">
        <v>-0.8</v>
      </c>
      <c r="AD72" s="221">
        <v>-0.6</v>
      </c>
      <c r="AE72" s="219">
        <v>-0.4</v>
      </c>
      <c r="AF72" s="219">
        <v>-0.2</v>
      </c>
      <c r="AG72" s="150">
        <v>0</v>
      </c>
      <c r="AH72" s="150">
        <v>0.2</v>
      </c>
      <c r="AI72" s="150">
        <v>0.4</v>
      </c>
      <c r="AJ72" s="150">
        <v>0.6</v>
      </c>
      <c r="AK72" s="150">
        <v>0.8</v>
      </c>
      <c r="AL72" s="150">
        <v>1</v>
      </c>
      <c r="AM72" s="150">
        <v>1.2</v>
      </c>
      <c r="AN72" s="150">
        <v>1.4</v>
      </c>
      <c r="AO72" s="150">
        <v>1.6</v>
      </c>
      <c r="AP72" s="150">
        <v>1.8</v>
      </c>
      <c r="AQ72" s="150">
        <v>2</v>
      </c>
      <c r="AR72" s="150">
        <v>2.2000000000000002</v>
      </c>
      <c r="AS72" s="150">
        <v>2.4</v>
      </c>
      <c r="AT72" s="150">
        <v>2.6</v>
      </c>
      <c r="AU72" s="150">
        <v>2.8</v>
      </c>
      <c r="AV72" s="150">
        <v>3</v>
      </c>
      <c r="AW72" s="150">
        <v>3.2</v>
      </c>
      <c r="AX72" s="150">
        <v>3.4</v>
      </c>
      <c r="AY72" s="150">
        <v>3.6</v>
      </c>
      <c r="AZ72" s="150">
        <v>3.8</v>
      </c>
      <c r="BA72" s="150">
        <v>4</v>
      </c>
      <c r="BB72" s="150">
        <v>4.2</v>
      </c>
      <c r="BC72" s="150">
        <v>4.4000000000000004</v>
      </c>
      <c r="BD72" s="150">
        <v>4.5999999999999996</v>
      </c>
      <c r="BE72" s="150">
        <v>4.8</v>
      </c>
      <c r="BF72" s="150">
        <v>5</v>
      </c>
      <c r="BG72" s="150">
        <v>5.2</v>
      </c>
      <c r="BH72" s="150">
        <v>5.4</v>
      </c>
      <c r="BI72" s="150">
        <v>5.6</v>
      </c>
      <c r="BJ72" s="150">
        <v>5.8</v>
      </c>
      <c r="BK72" s="150">
        <v>6</v>
      </c>
      <c r="BL72" s="150">
        <v>6.2</v>
      </c>
      <c r="BM72" s="150">
        <v>6.4</v>
      </c>
      <c r="BN72" s="150">
        <v>6.6</v>
      </c>
      <c r="BO72" s="150">
        <v>6.8</v>
      </c>
      <c r="BP72" s="150">
        <v>7</v>
      </c>
      <c r="BQ72" s="150">
        <v>7.2</v>
      </c>
      <c r="BR72" s="150">
        <v>7.4</v>
      </c>
      <c r="BS72" s="150">
        <v>7.6</v>
      </c>
      <c r="BT72" s="150">
        <v>7.8</v>
      </c>
      <c r="BU72" s="150">
        <v>8</v>
      </c>
      <c r="BV72" s="150">
        <v>8.1999999999999993</v>
      </c>
      <c r="BW72" s="150">
        <v>8.4</v>
      </c>
      <c r="BX72" s="150">
        <v>8.6</v>
      </c>
      <c r="BY72" s="150">
        <v>8.7999999999999936</v>
      </c>
      <c r="BZ72" s="150">
        <v>9</v>
      </c>
      <c r="CA72" s="150">
        <v>9.1999999999999922</v>
      </c>
      <c r="CB72" s="150">
        <v>9.4</v>
      </c>
      <c r="CC72" s="150">
        <v>9.5999999999999908</v>
      </c>
      <c r="CD72" s="150">
        <v>9.8000000000000007</v>
      </c>
      <c r="CE72" s="150">
        <v>9.9999999999999893</v>
      </c>
      <c r="CF72" s="150">
        <v>10.199999999999999</v>
      </c>
      <c r="CG72" s="150">
        <v>10.4</v>
      </c>
      <c r="CH72" s="150">
        <v>10.6</v>
      </c>
      <c r="CI72" s="150">
        <v>10.8</v>
      </c>
      <c r="CJ72" s="150">
        <v>11</v>
      </c>
      <c r="CK72" s="150">
        <v>11.2</v>
      </c>
      <c r="CL72" s="150">
        <v>11.4</v>
      </c>
      <c r="CM72" s="150">
        <v>11.6</v>
      </c>
      <c r="CN72" s="150">
        <v>11.8</v>
      </c>
      <c r="CO72" s="150">
        <v>12</v>
      </c>
      <c r="CP72" s="150">
        <v>12.2</v>
      </c>
      <c r="CQ72" s="150">
        <v>12.4</v>
      </c>
      <c r="CR72" s="150">
        <v>12.6</v>
      </c>
      <c r="CS72" s="150">
        <v>12.8</v>
      </c>
      <c r="CT72" s="150">
        <v>13</v>
      </c>
      <c r="CU72" s="150">
        <v>13.2</v>
      </c>
      <c r="CV72" s="150">
        <v>13.4</v>
      </c>
      <c r="CW72" s="150">
        <v>13.6</v>
      </c>
      <c r="CX72" s="150">
        <v>13.8</v>
      </c>
      <c r="CY72" s="150">
        <v>14</v>
      </c>
      <c r="CZ72" s="150">
        <v>14.2</v>
      </c>
      <c r="DA72" s="150">
        <v>14.4</v>
      </c>
      <c r="DB72" s="150">
        <v>14.6</v>
      </c>
      <c r="DC72" s="150">
        <v>14.8</v>
      </c>
      <c r="DD72" s="150">
        <v>15</v>
      </c>
      <c r="DE72" s="150">
        <v>15.2</v>
      </c>
      <c r="DF72" s="150">
        <v>15.4</v>
      </c>
      <c r="DG72" s="150">
        <v>15.6</v>
      </c>
      <c r="DH72" s="150">
        <v>15.8</v>
      </c>
      <c r="DI72" s="150">
        <v>16</v>
      </c>
      <c r="DJ72" s="150">
        <v>16.2</v>
      </c>
      <c r="DK72" s="150">
        <v>16.399999999999999</v>
      </c>
      <c r="DL72" s="150">
        <v>16.600000000000001</v>
      </c>
      <c r="DM72" s="150">
        <v>16.8</v>
      </c>
      <c r="DN72" s="150">
        <v>17</v>
      </c>
      <c r="DO72" s="150">
        <v>17.2</v>
      </c>
      <c r="DP72" s="150">
        <v>17.399999999999999</v>
      </c>
      <c r="DQ72" s="150">
        <v>17.600000000000001</v>
      </c>
      <c r="DR72" s="150">
        <v>17.8</v>
      </c>
      <c r="DS72" s="150">
        <v>18</v>
      </c>
      <c r="DT72" s="150">
        <v>18.2</v>
      </c>
      <c r="DU72" s="150">
        <v>18.399999999999999</v>
      </c>
      <c r="DV72" s="150">
        <v>18.600000000000001</v>
      </c>
      <c r="DW72" s="150">
        <v>18.8</v>
      </c>
      <c r="DX72" s="150">
        <v>19</v>
      </c>
      <c r="DY72" s="150">
        <v>19.2</v>
      </c>
      <c r="DZ72" s="150">
        <v>19.399999999999999</v>
      </c>
      <c r="EA72" s="150">
        <v>19.600000000000001</v>
      </c>
      <c r="EB72" s="150">
        <v>19.8</v>
      </c>
      <c r="EC72" s="150">
        <v>20</v>
      </c>
      <c r="ED72" s="150">
        <v>20.2</v>
      </c>
      <c r="EE72" s="150">
        <v>20.399999999999999</v>
      </c>
      <c r="EF72" s="150">
        <v>20.6</v>
      </c>
      <c r="EG72" s="150">
        <v>20.799999999999951</v>
      </c>
      <c r="EH72" s="150">
        <v>21</v>
      </c>
      <c r="EI72" s="150">
        <v>21.19999999999995</v>
      </c>
      <c r="EJ72" s="150">
        <v>21.4</v>
      </c>
      <c r="EK72" s="150">
        <v>21.599999999999948</v>
      </c>
    </row>
    <row r="73" spans="1:141" ht="13.2" x14ac:dyDescent="0.25">
      <c r="A73" s="149">
        <v>38869</v>
      </c>
      <c r="B73" s="219">
        <v>-1.7785964148750009</v>
      </c>
      <c r="C73" s="219">
        <v>-1.7482952255625008</v>
      </c>
      <c r="D73" s="219">
        <v>-1.7179940362500008</v>
      </c>
      <c r="E73" s="219">
        <v>-1.6876928469375008</v>
      </c>
      <c r="F73" s="219">
        <v>-1.6573916576250007</v>
      </c>
      <c r="G73" s="219">
        <v>-1.6270904683125007</v>
      </c>
      <c r="H73" s="219">
        <v>-1.5967892790000007</v>
      </c>
      <c r="I73" s="219">
        <v>-1.5664880896875006</v>
      </c>
      <c r="J73" s="219">
        <v>-1.5361869003750006</v>
      </c>
      <c r="K73" s="219">
        <v>-1.5058857110625006</v>
      </c>
      <c r="L73" s="219">
        <v>-1.4755845217500005</v>
      </c>
      <c r="M73" s="219">
        <v>-1.4452833324375005</v>
      </c>
      <c r="N73" s="219">
        <v>-1.4149821431250005</v>
      </c>
      <c r="O73" s="219">
        <v>-1.3846809538125004</v>
      </c>
      <c r="P73" s="219">
        <v>-1.3543797645000004</v>
      </c>
      <c r="Q73" s="219">
        <v>-1.3240785751875004</v>
      </c>
      <c r="R73" s="219">
        <v>-1.2937773858750004</v>
      </c>
      <c r="S73" s="219">
        <v>-1.2634761965625003</v>
      </c>
      <c r="T73" s="219">
        <v>-1.2331750072500003</v>
      </c>
      <c r="U73" s="219">
        <v>-1.2028738179375003</v>
      </c>
      <c r="V73" s="220">
        <v>-1.1725726286250002</v>
      </c>
      <c r="W73" s="219">
        <v>-1.1422714393125002</v>
      </c>
      <c r="X73" s="220">
        <v>-1.1119702500000002</v>
      </c>
      <c r="Y73" s="219">
        <v>-1.0832351250000003</v>
      </c>
      <c r="Z73" s="220">
        <v>-1.0545000000000002</v>
      </c>
      <c r="AA73" s="219">
        <v>-1.0272500000000002</v>
      </c>
      <c r="AB73" s="221">
        <v>-1</v>
      </c>
      <c r="AC73" s="219">
        <v>-0.8</v>
      </c>
      <c r="AD73" s="221">
        <v>-0.6</v>
      </c>
      <c r="AE73" s="219">
        <v>-0.4</v>
      </c>
      <c r="AF73" s="219">
        <v>-0.2</v>
      </c>
      <c r="AG73" s="150">
        <v>0</v>
      </c>
      <c r="AH73" s="150">
        <v>0.2</v>
      </c>
      <c r="AI73" s="150">
        <v>0.4</v>
      </c>
      <c r="AJ73" s="150">
        <v>0.6</v>
      </c>
      <c r="AK73" s="150">
        <v>0.8</v>
      </c>
      <c r="AL73" s="150">
        <v>1</v>
      </c>
      <c r="AM73" s="150">
        <v>1.2</v>
      </c>
      <c r="AN73" s="150">
        <v>1.4</v>
      </c>
      <c r="AO73" s="150">
        <v>1.6</v>
      </c>
      <c r="AP73" s="150">
        <v>1.8</v>
      </c>
      <c r="AQ73" s="150">
        <v>2</v>
      </c>
      <c r="AR73" s="150">
        <v>2.2000000000000002</v>
      </c>
      <c r="AS73" s="150">
        <v>2.4</v>
      </c>
      <c r="AT73" s="150">
        <v>2.6</v>
      </c>
      <c r="AU73" s="150">
        <v>2.8</v>
      </c>
      <c r="AV73" s="150">
        <v>3</v>
      </c>
      <c r="AW73" s="150">
        <v>3.2</v>
      </c>
      <c r="AX73" s="150">
        <v>3.4</v>
      </c>
      <c r="AY73" s="150">
        <v>3.6</v>
      </c>
      <c r="AZ73" s="150">
        <v>3.8</v>
      </c>
      <c r="BA73" s="150">
        <v>4</v>
      </c>
      <c r="BB73" s="150">
        <v>4.2</v>
      </c>
      <c r="BC73" s="150">
        <v>4.4000000000000004</v>
      </c>
      <c r="BD73" s="150">
        <v>4.5999999999999996</v>
      </c>
      <c r="BE73" s="150">
        <v>4.8</v>
      </c>
      <c r="BF73" s="150">
        <v>5</v>
      </c>
      <c r="BG73" s="150">
        <v>5.2</v>
      </c>
      <c r="BH73" s="150">
        <v>5.4</v>
      </c>
      <c r="BI73" s="150">
        <v>5.6</v>
      </c>
      <c r="BJ73" s="150">
        <v>5.8</v>
      </c>
      <c r="BK73" s="150">
        <v>6</v>
      </c>
      <c r="BL73" s="150">
        <v>6.2</v>
      </c>
      <c r="BM73" s="150">
        <v>6.4</v>
      </c>
      <c r="BN73" s="150">
        <v>6.6</v>
      </c>
      <c r="BO73" s="150">
        <v>6.8</v>
      </c>
      <c r="BP73" s="150">
        <v>7</v>
      </c>
      <c r="BQ73" s="150">
        <v>7.2</v>
      </c>
      <c r="BR73" s="150">
        <v>7.4</v>
      </c>
      <c r="BS73" s="150">
        <v>7.6</v>
      </c>
      <c r="BT73" s="150">
        <v>7.8</v>
      </c>
      <c r="BU73" s="150">
        <v>8</v>
      </c>
      <c r="BV73" s="150">
        <v>8.1999999999999993</v>
      </c>
      <c r="BW73" s="150">
        <v>8.4</v>
      </c>
      <c r="BX73" s="150">
        <v>8.6</v>
      </c>
      <c r="BY73" s="150">
        <v>8.7999999999999936</v>
      </c>
      <c r="BZ73" s="150">
        <v>9</v>
      </c>
      <c r="CA73" s="150">
        <v>9.1999999999999922</v>
      </c>
      <c r="CB73" s="150">
        <v>9.4</v>
      </c>
      <c r="CC73" s="150">
        <v>9.5999999999999908</v>
      </c>
      <c r="CD73" s="150">
        <v>9.8000000000000007</v>
      </c>
      <c r="CE73" s="150">
        <v>9.9999999999999893</v>
      </c>
      <c r="CF73" s="150">
        <v>10.199999999999999</v>
      </c>
      <c r="CG73" s="150">
        <v>10.4</v>
      </c>
      <c r="CH73" s="150">
        <v>10.6</v>
      </c>
      <c r="CI73" s="150">
        <v>10.8</v>
      </c>
      <c r="CJ73" s="150">
        <v>11</v>
      </c>
      <c r="CK73" s="150">
        <v>11.2</v>
      </c>
      <c r="CL73" s="150">
        <v>11.4</v>
      </c>
      <c r="CM73" s="150">
        <v>11.6</v>
      </c>
      <c r="CN73" s="150">
        <v>11.8</v>
      </c>
      <c r="CO73" s="150">
        <v>12</v>
      </c>
      <c r="CP73" s="150">
        <v>12.2</v>
      </c>
      <c r="CQ73" s="150">
        <v>12.4</v>
      </c>
      <c r="CR73" s="150">
        <v>12.6</v>
      </c>
      <c r="CS73" s="150">
        <v>12.8</v>
      </c>
      <c r="CT73" s="150">
        <v>13</v>
      </c>
      <c r="CU73" s="150">
        <v>13.2</v>
      </c>
      <c r="CV73" s="150">
        <v>13.4</v>
      </c>
      <c r="CW73" s="150">
        <v>13.6</v>
      </c>
      <c r="CX73" s="150">
        <v>13.8</v>
      </c>
      <c r="CY73" s="150">
        <v>14</v>
      </c>
      <c r="CZ73" s="150">
        <v>14.2</v>
      </c>
      <c r="DA73" s="150">
        <v>14.4</v>
      </c>
      <c r="DB73" s="150">
        <v>14.6</v>
      </c>
      <c r="DC73" s="150">
        <v>14.8</v>
      </c>
      <c r="DD73" s="150">
        <v>15</v>
      </c>
      <c r="DE73" s="150">
        <v>15.2</v>
      </c>
      <c r="DF73" s="150">
        <v>15.4</v>
      </c>
      <c r="DG73" s="150">
        <v>15.6</v>
      </c>
      <c r="DH73" s="150">
        <v>15.8</v>
      </c>
      <c r="DI73" s="150">
        <v>16</v>
      </c>
      <c r="DJ73" s="150">
        <v>16.2</v>
      </c>
      <c r="DK73" s="150">
        <v>16.399999999999999</v>
      </c>
      <c r="DL73" s="150">
        <v>16.600000000000001</v>
      </c>
      <c r="DM73" s="150">
        <v>16.8</v>
      </c>
      <c r="DN73" s="150">
        <v>17</v>
      </c>
      <c r="DO73" s="150">
        <v>17.2</v>
      </c>
      <c r="DP73" s="150">
        <v>17.399999999999999</v>
      </c>
      <c r="DQ73" s="150">
        <v>17.600000000000001</v>
      </c>
      <c r="DR73" s="150">
        <v>17.8</v>
      </c>
      <c r="DS73" s="150">
        <v>18</v>
      </c>
      <c r="DT73" s="150">
        <v>18.2</v>
      </c>
      <c r="DU73" s="150">
        <v>18.399999999999999</v>
      </c>
      <c r="DV73" s="150">
        <v>18.600000000000001</v>
      </c>
      <c r="DW73" s="150">
        <v>18.8</v>
      </c>
      <c r="DX73" s="150">
        <v>19</v>
      </c>
      <c r="DY73" s="150">
        <v>19.2</v>
      </c>
      <c r="DZ73" s="150">
        <v>19.399999999999999</v>
      </c>
      <c r="EA73" s="150">
        <v>19.600000000000001</v>
      </c>
      <c r="EB73" s="150">
        <v>19.8</v>
      </c>
      <c r="EC73" s="150">
        <v>20</v>
      </c>
      <c r="ED73" s="150">
        <v>20.2</v>
      </c>
      <c r="EE73" s="150">
        <v>20.399999999999999</v>
      </c>
      <c r="EF73" s="150">
        <v>20.6</v>
      </c>
      <c r="EG73" s="150">
        <v>20.799999999999951</v>
      </c>
      <c r="EH73" s="150">
        <v>21</v>
      </c>
      <c r="EI73" s="150">
        <v>21.19999999999995</v>
      </c>
      <c r="EJ73" s="150">
        <v>21.4</v>
      </c>
      <c r="EK73" s="150">
        <v>21.599999999999948</v>
      </c>
    </row>
    <row r="74" spans="1:141" ht="13.2" x14ac:dyDescent="0.25">
      <c r="A74" s="149">
        <v>38899</v>
      </c>
      <c r="B74" s="219">
        <v>-1.7785964148750009</v>
      </c>
      <c r="C74" s="219">
        <v>-1.7482952255625008</v>
      </c>
      <c r="D74" s="219">
        <v>-1.7179940362500008</v>
      </c>
      <c r="E74" s="219">
        <v>-1.6876928469375008</v>
      </c>
      <c r="F74" s="219">
        <v>-1.6573916576250007</v>
      </c>
      <c r="G74" s="219">
        <v>-1.6270904683125007</v>
      </c>
      <c r="H74" s="219">
        <v>-1.5967892790000007</v>
      </c>
      <c r="I74" s="219">
        <v>-1.5664880896875006</v>
      </c>
      <c r="J74" s="219">
        <v>-1.5361869003750006</v>
      </c>
      <c r="K74" s="219">
        <v>-1.5058857110625006</v>
      </c>
      <c r="L74" s="219">
        <v>-1.4755845217500005</v>
      </c>
      <c r="M74" s="219">
        <v>-1.4452833324375005</v>
      </c>
      <c r="N74" s="219">
        <v>-1.4149821431250005</v>
      </c>
      <c r="O74" s="219">
        <v>-1.3846809538125004</v>
      </c>
      <c r="P74" s="219">
        <v>-1.3543797645000004</v>
      </c>
      <c r="Q74" s="219">
        <v>-1.3240785751875004</v>
      </c>
      <c r="R74" s="219">
        <v>-1.2937773858750004</v>
      </c>
      <c r="S74" s="219">
        <v>-1.2634761965625003</v>
      </c>
      <c r="T74" s="219">
        <v>-1.2331750072500003</v>
      </c>
      <c r="U74" s="219">
        <v>-1.2028738179375003</v>
      </c>
      <c r="V74" s="220">
        <v>-1.1725726286250002</v>
      </c>
      <c r="W74" s="219">
        <v>-1.1422714393125002</v>
      </c>
      <c r="X74" s="220">
        <v>-1.1119702500000002</v>
      </c>
      <c r="Y74" s="219">
        <v>-1.0832351250000003</v>
      </c>
      <c r="Z74" s="220">
        <v>-1.0545000000000002</v>
      </c>
      <c r="AA74" s="219">
        <v>-1.0272500000000002</v>
      </c>
      <c r="AB74" s="221">
        <v>-1</v>
      </c>
      <c r="AC74" s="219">
        <v>-0.8</v>
      </c>
      <c r="AD74" s="221">
        <v>-0.6</v>
      </c>
      <c r="AE74" s="219">
        <v>-0.4</v>
      </c>
      <c r="AF74" s="219">
        <v>-0.2</v>
      </c>
      <c r="AG74" s="150">
        <v>0</v>
      </c>
      <c r="AH74" s="150">
        <v>0.2</v>
      </c>
      <c r="AI74" s="150">
        <v>0.4</v>
      </c>
      <c r="AJ74" s="150">
        <v>0.6</v>
      </c>
      <c r="AK74" s="150">
        <v>0.8</v>
      </c>
      <c r="AL74" s="150">
        <v>1</v>
      </c>
      <c r="AM74" s="150">
        <v>1.2</v>
      </c>
      <c r="AN74" s="150">
        <v>1.4</v>
      </c>
      <c r="AO74" s="150">
        <v>1.6</v>
      </c>
      <c r="AP74" s="150">
        <v>1.8</v>
      </c>
      <c r="AQ74" s="150">
        <v>2</v>
      </c>
      <c r="AR74" s="150">
        <v>2.2000000000000002</v>
      </c>
      <c r="AS74" s="150">
        <v>2.4</v>
      </c>
      <c r="AT74" s="150">
        <v>2.6</v>
      </c>
      <c r="AU74" s="150">
        <v>2.8</v>
      </c>
      <c r="AV74" s="150">
        <v>3</v>
      </c>
      <c r="AW74" s="150">
        <v>3.2</v>
      </c>
      <c r="AX74" s="150">
        <v>3.4</v>
      </c>
      <c r="AY74" s="150">
        <v>3.6</v>
      </c>
      <c r="AZ74" s="150">
        <v>3.8</v>
      </c>
      <c r="BA74" s="150">
        <v>4</v>
      </c>
      <c r="BB74" s="150">
        <v>4.2</v>
      </c>
      <c r="BC74" s="150">
        <v>4.4000000000000004</v>
      </c>
      <c r="BD74" s="150">
        <v>4.5999999999999996</v>
      </c>
      <c r="BE74" s="150">
        <v>4.8</v>
      </c>
      <c r="BF74" s="150">
        <v>5</v>
      </c>
      <c r="BG74" s="150">
        <v>5.2</v>
      </c>
      <c r="BH74" s="150">
        <v>5.4</v>
      </c>
      <c r="BI74" s="150">
        <v>5.6</v>
      </c>
      <c r="BJ74" s="150">
        <v>5.8</v>
      </c>
      <c r="BK74" s="150">
        <v>6</v>
      </c>
      <c r="BL74" s="150">
        <v>6.2</v>
      </c>
      <c r="BM74" s="150">
        <v>6.4</v>
      </c>
      <c r="BN74" s="150">
        <v>6.6</v>
      </c>
      <c r="BO74" s="150">
        <v>6.8</v>
      </c>
      <c r="BP74" s="150">
        <v>7</v>
      </c>
      <c r="BQ74" s="150">
        <v>7.2</v>
      </c>
      <c r="BR74" s="150">
        <v>7.4</v>
      </c>
      <c r="BS74" s="150">
        <v>7.6</v>
      </c>
      <c r="BT74" s="150">
        <v>7.8</v>
      </c>
      <c r="BU74" s="150">
        <v>8</v>
      </c>
      <c r="BV74" s="150">
        <v>8.1999999999999993</v>
      </c>
      <c r="BW74" s="150">
        <v>8.4</v>
      </c>
      <c r="BX74" s="150">
        <v>8.6</v>
      </c>
      <c r="BY74" s="150">
        <v>8.7999999999999936</v>
      </c>
      <c r="BZ74" s="150">
        <v>9</v>
      </c>
      <c r="CA74" s="150">
        <v>9.1999999999999922</v>
      </c>
      <c r="CB74" s="150">
        <v>9.4</v>
      </c>
      <c r="CC74" s="150">
        <v>9.5999999999999908</v>
      </c>
      <c r="CD74" s="150">
        <v>9.8000000000000007</v>
      </c>
      <c r="CE74" s="150">
        <v>9.9999999999999893</v>
      </c>
      <c r="CF74" s="150">
        <v>10.199999999999999</v>
      </c>
      <c r="CG74" s="150">
        <v>10.4</v>
      </c>
      <c r="CH74" s="150">
        <v>10.6</v>
      </c>
      <c r="CI74" s="150">
        <v>10.8</v>
      </c>
      <c r="CJ74" s="150">
        <v>11</v>
      </c>
      <c r="CK74" s="150">
        <v>11.2</v>
      </c>
      <c r="CL74" s="150">
        <v>11.4</v>
      </c>
      <c r="CM74" s="150">
        <v>11.6</v>
      </c>
      <c r="CN74" s="150">
        <v>11.8</v>
      </c>
      <c r="CO74" s="150">
        <v>12</v>
      </c>
      <c r="CP74" s="150">
        <v>12.2</v>
      </c>
      <c r="CQ74" s="150">
        <v>12.4</v>
      </c>
      <c r="CR74" s="150">
        <v>12.6</v>
      </c>
      <c r="CS74" s="150">
        <v>12.8</v>
      </c>
      <c r="CT74" s="150">
        <v>13</v>
      </c>
      <c r="CU74" s="150">
        <v>13.2</v>
      </c>
      <c r="CV74" s="150">
        <v>13.4</v>
      </c>
      <c r="CW74" s="150">
        <v>13.6</v>
      </c>
      <c r="CX74" s="150">
        <v>13.8</v>
      </c>
      <c r="CY74" s="150">
        <v>14</v>
      </c>
      <c r="CZ74" s="150">
        <v>14.2</v>
      </c>
      <c r="DA74" s="150">
        <v>14.4</v>
      </c>
      <c r="DB74" s="150">
        <v>14.6</v>
      </c>
      <c r="DC74" s="150">
        <v>14.8</v>
      </c>
      <c r="DD74" s="150">
        <v>15</v>
      </c>
      <c r="DE74" s="150">
        <v>15.2</v>
      </c>
      <c r="DF74" s="150">
        <v>15.4</v>
      </c>
      <c r="DG74" s="150">
        <v>15.6</v>
      </c>
      <c r="DH74" s="150">
        <v>15.8</v>
      </c>
      <c r="DI74" s="150">
        <v>16</v>
      </c>
      <c r="DJ74" s="150">
        <v>16.2</v>
      </c>
      <c r="DK74" s="150">
        <v>16.399999999999999</v>
      </c>
      <c r="DL74" s="150">
        <v>16.600000000000001</v>
      </c>
      <c r="DM74" s="150">
        <v>16.8</v>
      </c>
      <c r="DN74" s="150">
        <v>17</v>
      </c>
      <c r="DO74" s="150">
        <v>17.2</v>
      </c>
      <c r="DP74" s="150">
        <v>17.399999999999999</v>
      </c>
      <c r="DQ74" s="150">
        <v>17.600000000000001</v>
      </c>
      <c r="DR74" s="150">
        <v>17.8</v>
      </c>
      <c r="DS74" s="150">
        <v>18</v>
      </c>
      <c r="DT74" s="150">
        <v>18.2</v>
      </c>
      <c r="DU74" s="150">
        <v>18.399999999999999</v>
      </c>
      <c r="DV74" s="150">
        <v>18.600000000000001</v>
      </c>
      <c r="DW74" s="150">
        <v>18.8</v>
      </c>
      <c r="DX74" s="150">
        <v>19</v>
      </c>
      <c r="DY74" s="150">
        <v>19.2</v>
      </c>
      <c r="DZ74" s="150">
        <v>19.399999999999999</v>
      </c>
      <c r="EA74" s="150">
        <v>19.600000000000001</v>
      </c>
      <c r="EB74" s="150">
        <v>19.8</v>
      </c>
      <c r="EC74" s="150">
        <v>20</v>
      </c>
      <c r="ED74" s="150">
        <v>20.2</v>
      </c>
      <c r="EE74" s="150">
        <v>20.399999999999999</v>
      </c>
      <c r="EF74" s="150">
        <v>20.6</v>
      </c>
      <c r="EG74" s="150">
        <v>20.799999999999951</v>
      </c>
      <c r="EH74" s="150">
        <v>21</v>
      </c>
      <c r="EI74" s="150">
        <v>21.19999999999995</v>
      </c>
      <c r="EJ74" s="150">
        <v>21.4</v>
      </c>
      <c r="EK74" s="150">
        <v>21.599999999999948</v>
      </c>
    </row>
    <row r="75" spans="1:141" ht="13.2" x14ac:dyDescent="0.25">
      <c r="A75" s="149">
        <v>38930</v>
      </c>
      <c r="B75" s="219">
        <v>-1.7785964148750009</v>
      </c>
      <c r="C75" s="219">
        <v>-1.7482952255625008</v>
      </c>
      <c r="D75" s="219">
        <v>-1.7179940362500008</v>
      </c>
      <c r="E75" s="219">
        <v>-1.6876928469375008</v>
      </c>
      <c r="F75" s="219">
        <v>-1.6573916576250007</v>
      </c>
      <c r="G75" s="219">
        <v>-1.6270904683125007</v>
      </c>
      <c r="H75" s="219">
        <v>-1.5967892790000007</v>
      </c>
      <c r="I75" s="219">
        <v>-1.5664880896875006</v>
      </c>
      <c r="J75" s="219">
        <v>-1.5361869003750006</v>
      </c>
      <c r="K75" s="219">
        <v>-1.5058857110625006</v>
      </c>
      <c r="L75" s="219">
        <v>-1.4755845217500005</v>
      </c>
      <c r="M75" s="219">
        <v>-1.4452833324375005</v>
      </c>
      <c r="N75" s="219">
        <v>-1.4149821431250005</v>
      </c>
      <c r="O75" s="219">
        <v>-1.3846809538125004</v>
      </c>
      <c r="P75" s="219">
        <v>-1.3543797645000004</v>
      </c>
      <c r="Q75" s="219">
        <v>-1.3240785751875004</v>
      </c>
      <c r="R75" s="219">
        <v>-1.2937773858750004</v>
      </c>
      <c r="S75" s="219">
        <v>-1.2634761965625003</v>
      </c>
      <c r="T75" s="219">
        <v>-1.2331750072500003</v>
      </c>
      <c r="U75" s="219">
        <v>-1.2028738179375003</v>
      </c>
      <c r="V75" s="220">
        <v>-1.1725726286250002</v>
      </c>
      <c r="W75" s="219">
        <v>-1.1422714393125002</v>
      </c>
      <c r="X75" s="220">
        <v>-1.1119702500000002</v>
      </c>
      <c r="Y75" s="219">
        <v>-1.0832351250000003</v>
      </c>
      <c r="Z75" s="220">
        <v>-1.0545000000000002</v>
      </c>
      <c r="AA75" s="219">
        <v>-1.0272500000000002</v>
      </c>
      <c r="AB75" s="221">
        <v>-1</v>
      </c>
      <c r="AC75" s="219">
        <v>-0.8</v>
      </c>
      <c r="AD75" s="221">
        <v>-0.6</v>
      </c>
      <c r="AE75" s="219">
        <v>-0.4</v>
      </c>
      <c r="AF75" s="219">
        <v>-0.2</v>
      </c>
      <c r="AG75" s="150">
        <v>0</v>
      </c>
      <c r="AH75" s="150">
        <v>0.2</v>
      </c>
      <c r="AI75" s="150">
        <v>0.4</v>
      </c>
      <c r="AJ75" s="150">
        <v>0.6</v>
      </c>
      <c r="AK75" s="150">
        <v>0.8</v>
      </c>
      <c r="AL75" s="150">
        <v>1</v>
      </c>
      <c r="AM75" s="150">
        <v>1.2</v>
      </c>
      <c r="AN75" s="150">
        <v>1.4</v>
      </c>
      <c r="AO75" s="150">
        <v>1.6</v>
      </c>
      <c r="AP75" s="150">
        <v>1.8</v>
      </c>
      <c r="AQ75" s="150">
        <v>2</v>
      </c>
      <c r="AR75" s="150">
        <v>2.2000000000000002</v>
      </c>
      <c r="AS75" s="150">
        <v>2.4</v>
      </c>
      <c r="AT75" s="150">
        <v>2.6</v>
      </c>
      <c r="AU75" s="150">
        <v>2.8</v>
      </c>
      <c r="AV75" s="150">
        <v>3</v>
      </c>
      <c r="AW75" s="150">
        <v>3.2</v>
      </c>
      <c r="AX75" s="150">
        <v>3.4</v>
      </c>
      <c r="AY75" s="150">
        <v>3.6</v>
      </c>
      <c r="AZ75" s="150">
        <v>3.8</v>
      </c>
      <c r="BA75" s="150">
        <v>4</v>
      </c>
      <c r="BB75" s="150">
        <v>4.2</v>
      </c>
      <c r="BC75" s="150">
        <v>4.4000000000000004</v>
      </c>
      <c r="BD75" s="150">
        <v>4.5999999999999996</v>
      </c>
      <c r="BE75" s="150">
        <v>4.8</v>
      </c>
      <c r="BF75" s="150">
        <v>5</v>
      </c>
      <c r="BG75" s="150">
        <v>5.2</v>
      </c>
      <c r="BH75" s="150">
        <v>5.4</v>
      </c>
      <c r="BI75" s="150">
        <v>5.6</v>
      </c>
      <c r="BJ75" s="150">
        <v>5.8</v>
      </c>
      <c r="BK75" s="150">
        <v>6</v>
      </c>
      <c r="BL75" s="150">
        <v>6.2</v>
      </c>
      <c r="BM75" s="150">
        <v>6.4</v>
      </c>
      <c r="BN75" s="150">
        <v>6.6</v>
      </c>
      <c r="BO75" s="150">
        <v>6.8</v>
      </c>
      <c r="BP75" s="150">
        <v>7</v>
      </c>
      <c r="BQ75" s="150">
        <v>7.2</v>
      </c>
      <c r="BR75" s="150">
        <v>7.4</v>
      </c>
      <c r="BS75" s="150">
        <v>7.6</v>
      </c>
      <c r="BT75" s="150">
        <v>7.8</v>
      </c>
      <c r="BU75" s="150">
        <v>8</v>
      </c>
      <c r="BV75" s="150">
        <v>8.1999999999999993</v>
      </c>
      <c r="BW75" s="150">
        <v>8.4</v>
      </c>
      <c r="BX75" s="150">
        <v>8.6</v>
      </c>
      <c r="BY75" s="150">
        <v>8.7999999999999936</v>
      </c>
      <c r="BZ75" s="150">
        <v>9</v>
      </c>
      <c r="CA75" s="150">
        <v>9.1999999999999922</v>
      </c>
      <c r="CB75" s="150">
        <v>9.4</v>
      </c>
      <c r="CC75" s="150">
        <v>9.5999999999999908</v>
      </c>
      <c r="CD75" s="150">
        <v>9.8000000000000007</v>
      </c>
      <c r="CE75" s="150">
        <v>9.9999999999999893</v>
      </c>
      <c r="CF75" s="150">
        <v>10.199999999999999</v>
      </c>
      <c r="CG75" s="150">
        <v>10.4</v>
      </c>
      <c r="CH75" s="150">
        <v>10.6</v>
      </c>
      <c r="CI75" s="150">
        <v>10.8</v>
      </c>
      <c r="CJ75" s="150">
        <v>11</v>
      </c>
      <c r="CK75" s="150">
        <v>11.2</v>
      </c>
      <c r="CL75" s="150">
        <v>11.4</v>
      </c>
      <c r="CM75" s="150">
        <v>11.6</v>
      </c>
      <c r="CN75" s="150">
        <v>11.8</v>
      </c>
      <c r="CO75" s="150">
        <v>12</v>
      </c>
      <c r="CP75" s="150">
        <v>12.2</v>
      </c>
      <c r="CQ75" s="150">
        <v>12.4</v>
      </c>
      <c r="CR75" s="150">
        <v>12.6</v>
      </c>
      <c r="CS75" s="150">
        <v>12.8</v>
      </c>
      <c r="CT75" s="150">
        <v>13</v>
      </c>
      <c r="CU75" s="150">
        <v>13.2</v>
      </c>
      <c r="CV75" s="150">
        <v>13.4</v>
      </c>
      <c r="CW75" s="150">
        <v>13.6</v>
      </c>
      <c r="CX75" s="150">
        <v>13.8</v>
      </c>
      <c r="CY75" s="150">
        <v>14</v>
      </c>
      <c r="CZ75" s="150">
        <v>14.2</v>
      </c>
      <c r="DA75" s="150">
        <v>14.4</v>
      </c>
      <c r="DB75" s="150">
        <v>14.6</v>
      </c>
      <c r="DC75" s="150">
        <v>14.8</v>
      </c>
      <c r="DD75" s="150">
        <v>15</v>
      </c>
      <c r="DE75" s="150">
        <v>15.2</v>
      </c>
      <c r="DF75" s="150">
        <v>15.4</v>
      </c>
      <c r="DG75" s="150">
        <v>15.6</v>
      </c>
      <c r="DH75" s="150">
        <v>15.8</v>
      </c>
      <c r="DI75" s="150">
        <v>16</v>
      </c>
      <c r="DJ75" s="150">
        <v>16.2</v>
      </c>
      <c r="DK75" s="150">
        <v>16.399999999999999</v>
      </c>
      <c r="DL75" s="150">
        <v>16.600000000000001</v>
      </c>
      <c r="DM75" s="150">
        <v>16.8</v>
      </c>
      <c r="DN75" s="150">
        <v>17</v>
      </c>
      <c r="DO75" s="150">
        <v>17.2</v>
      </c>
      <c r="DP75" s="150">
        <v>17.399999999999999</v>
      </c>
      <c r="DQ75" s="150">
        <v>17.600000000000001</v>
      </c>
      <c r="DR75" s="150">
        <v>17.8</v>
      </c>
      <c r="DS75" s="150">
        <v>18</v>
      </c>
      <c r="DT75" s="150">
        <v>18.2</v>
      </c>
      <c r="DU75" s="150">
        <v>18.399999999999999</v>
      </c>
      <c r="DV75" s="150">
        <v>18.600000000000001</v>
      </c>
      <c r="DW75" s="150">
        <v>18.8</v>
      </c>
      <c r="DX75" s="150">
        <v>19</v>
      </c>
      <c r="DY75" s="150">
        <v>19.2</v>
      </c>
      <c r="DZ75" s="150">
        <v>19.399999999999999</v>
      </c>
      <c r="EA75" s="150">
        <v>19.600000000000001</v>
      </c>
      <c r="EB75" s="150">
        <v>19.8</v>
      </c>
      <c r="EC75" s="150">
        <v>20</v>
      </c>
      <c r="ED75" s="150">
        <v>20.2</v>
      </c>
      <c r="EE75" s="150">
        <v>20.399999999999999</v>
      </c>
      <c r="EF75" s="150">
        <v>20.6</v>
      </c>
      <c r="EG75" s="150">
        <v>20.799999999999951</v>
      </c>
      <c r="EH75" s="150">
        <v>21</v>
      </c>
      <c r="EI75" s="150">
        <v>21.19999999999995</v>
      </c>
      <c r="EJ75" s="150">
        <v>21.4</v>
      </c>
      <c r="EK75" s="150">
        <v>21.599999999999948</v>
      </c>
    </row>
    <row r="76" spans="1:141" ht="13.2" x14ac:dyDescent="0.25">
      <c r="A76" s="149">
        <v>38961</v>
      </c>
      <c r="B76" s="219">
        <v>-1.7785964148750009</v>
      </c>
      <c r="C76" s="219">
        <v>-1.7482952255625008</v>
      </c>
      <c r="D76" s="219">
        <v>-1.7179940362500008</v>
      </c>
      <c r="E76" s="219">
        <v>-1.6876928469375008</v>
      </c>
      <c r="F76" s="219">
        <v>-1.6573916576250007</v>
      </c>
      <c r="G76" s="219">
        <v>-1.6270904683125007</v>
      </c>
      <c r="H76" s="219">
        <v>-1.5967892790000007</v>
      </c>
      <c r="I76" s="219">
        <v>-1.5664880896875006</v>
      </c>
      <c r="J76" s="219">
        <v>-1.5361869003750006</v>
      </c>
      <c r="K76" s="219">
        <v>-1.5058857110625006</v>
      </c>
      <c r="L76" s="219">
        <v>-1.4755845217500005</v>
      </c>
      <c r="M76" s="219">
        <v>-1.4452833324375005</v>
      </c>
      <c r="N76" s="219">
        <v>-1.4149821431250005</v>
      </c>
      <c r="O76" s="219">
        <v>-1.3846809538125004</v>
      </c>
      <c r="P76" s="219">
        <v>-1.3543797645000004</v>
      </c>
      <c r="Q76" s="219">
        <v>-1.3240785751875004</v>
      </c>
      <c r="R76" s="219">
        <v>-1.2937773858750004</v>
      </c>
      <c r="S76" s="219">
        <v>-1.2634761965625003</v>
      </c>
      <c r="T76" s="219">
        <v>-1.2331750072500003</v>
      </c>
      <c r="U76" s="219">
        <v>-1.2028738179375003</v>
      </c>
      <c r="V76" s="220">
        <v>-1.1725726286250002</v>
      </c>
      <c r="W76" s="219">
        <v>-1.1422714393125002</v>
      </c>
      <c r="X76" s="220">
        <v>-1.1119702500000002</v>
      </c>
      <c r="Y76" s="219">
        <v>-1.0832351250000003</v>
      </c>
      <c r="Z76" s="220">
        <v>-1.0545000000000002</v>
      </c>
      <c r="AA76" s="219">
        <v>-1.0272500000000002</v>
      </c>
      <c r="AB76" s="221">
        <v>-1</v>
      </c>
      <c r="AC76" s="219">
        <v>-0.8</v>
      </c>
      <c r="AD76" s="221">
        <v>-0.6</v>
      </c>
      <c r="AE76" s="219">
        <v>-0.4</v>
      </c>
      <c r="AF76" s="219">
        <v>-0.2</v>
      </c>
      <c r="AG76" s="150">
        <v>0</v>
      </c>
      <c r="AH76" s="150">
        <v>0.2</v>
      </c>
      <c r="AI76" s="150">
        <v>0.4</v>
      </c>
      <c r="AJ76" s="150">
        <v>0.6</v>
      </c>
      <c r="AK76" s="150">
        <v>0.8</v>
      </c>
      <c r="AL76" s="150">
        <v>1</v>
      </c>
      <c r="AM76" s="150">
        <v>1.2</v>
      </c>
      <c r="AN76" s="150">
        <v>1.4</v>
      </c>
      <c r="AO76" s="150">
        <v>1.6</v>
      </c>
      <c r="AP76" s="150">
        <v>1.8</v>
      </c>
      <c r="AQ76" s="150">
        <v>2</v>
      </c>
      <c r="AR76" s="150">
        <v>2.2000000000000002</v>
      </c>
      <c r="AS76" s="150">
        <v>2.4</v>
      </c>
      <c r="AT76" s="150">
        <v>2.6</v>
      </c>
      <c r="AU76" s="150">
        <v>2.8</v>
      </c>
      <c r="AV76" s="150">
        <v>3</v>
      </c>
      <c r="AW76" s="150">
        <v>3.2</v>
      </c>
      <c r="AX76" s="150">
        <v>3.4</v>
      </c>
      <c r="AY76" s="150">
        <v>3.6</v>
      </c>
      <c r="AZ76" s="150">
        <v>3.8</v>
      </c>
      <c r="BA76" s="150">
        <v>4</v>
      </c>
      <c r="BB76" s="150">
        <v>4.2</v>
      </c>
      <c r="BC76" s="150">
        <v>4.4000000000000004</v>
      </c>
      <c r="BD76" s="150">
        <v>4.5999999999999996</v>
      </c>
      <c r="BE76" s="150">
        <v>4.8</v>
      </c>
      <c r="BF76" s="150">
        <v>5</v>
      </c>
      <c r="BG76" s="150">
        <v>5.2</v>
      </c>
      <c r="BH76" s="150">
        <v>5.4</v>
      </c>
      <c r="BI76" s="150">
        <v>5.6</v>
      </c>
      <c r="BJ76" s="150">
        <v>5.8</v>
      </c>
      <c r="BK76" s="150">
        <v>6</v>
      </c>
      <c r="BL76" s="150">
        <v>6.2</v>
      </c>
      <c r="BM76" s="150">
        <v>6.4</v>
      </c>
      <c r="BN76" s="150">
        <v>6.6</v>
      </c>
      <c r="BO76" s="150">
        <v>6.8</v>
      </c>
      <c r="BP76" s="150">
        <v>7</v>
      </c>
      <c r="BQ76" s="150">
        <v>7.2</v>
      </c>
      <c r="BR76" s="150">
        <v>7.4</v>
      </c>
      <c r="BS76" s="150">
        <v>7.6</v>
      </c>
      <c r="BT76" s="150">
        <v>7.8</v>
      </c>
      <c r="BU76" s="150">
        <v>8</v>
      </c>
      <c r="BV76" s="150">
        <v>8.1999999999999993</v>
      </c>
      <c r="BW76" s="150">
        <v>8.4</v>
      </c>
      <c r="BX76" s="150">
        <v>8.6</v>
      </c>
      <c r="BY76" s="150">
        <v>8.7999999999999936</v>
      </c>
      <c r="BZ76" s="150">
        <v>9</v>
      </c>
      <c r="CA76" s="150">
        <v>9.1999999999999922</v>
      </c>
      <c r="CB76" s="150">
        <v>9.4</v>
      </c>
      <c r="CC76" s="150">
        <v>9.5999999999999908</v>
      </c>
      <c r="CD76" s="150">
        <v>9.8000000000000007</v>
      </c>
      <c r="CE76" s="150">
        <v>9.9999999999999893</v>
      </c>
      <c r="CF76" s="150">
        <v>10.199999999999999</v>
      </c>
      <c r="CG76" s="150">
        <v>10.4</v>
      </c>
      <c r="CH76" s="150">
        <v>10.6</v>
      </c>
      <c r="CI76" s="150">
        <v>10.8</v>
      </c>
      <c r="CJ76" s="150">
        <v>11</v>
      </c>
      <c r="CK76" s="150">
        <v>11.2</v>
      </c>
      <c r="CL76" s="150">
        <v>11.4</v>
      </c>
      <c r="CM76" s="150">
        <v>11.6</v>
      </c>
      <c r="CN76" s="150">
        <v>11.8</v>
      </c>
      <c r="CO76" s="150">
        <v>12</v>
      </c>
      <c r="CP76" s="150">
        <v>12.2</v>
      </c>
      <c r="CQ76" s="150">
        <v>12.4</v>
      </c>
      <c r="CR76" s="150">
        <v>12.6</v>
      </c>
      <c r="CS76" s="150">
        <v>12.8</v>
      </c>
      <c r="CT76" s="150">
        <v>13</v>
      </c>
      <c r="CU76" s="150">
        <v>13.2</v>
      </c>
      <c r="CV76" s="150">
        <v>13.4</v>
      </c>
      <c r="CW76" s="150">
        <v>13.6</v>
      </c>
      <c r="CX76" s="150">
        <v>13.8</v>
      </c>
      <c r="CY76" s="150">
        <v>14</v>
      </c>
      <c r="CZ76" s="150">
        <v>14.2</v>
      </c>
      <c r="DA76" s="150">
        <v>14.4</v>
      </c>
      <c r="DB76" s="150">
        <v>14.6</v>
      </c>
      <c r="DC76" s="150">
        <v>14.8</v>
      </c>
      <c r="DD76" s="150">
        <v>15</v>
      </c>
      <c r="DE76" s="150">
        <v>15.2</v>
      </c>
      <c r="DF76" s="150">
        <v>15.4</v>
      </c>
      <c r="DG76" s="150">
        <v>15.6</v>
      </c>
      <c r="DH76" s="150">
        <v>15.8</v>
      </c>
      <c r="DI76" s="150">
        <v>16</v>
      </c>
      <c r="DJ76" s="150">
        <v>16.2</v>
      </c>
      <c r="DK76" s="150">
        <v>16.399999999999999</v>
      </c>
      <c r="DL76" s="150">
        <v>16.600000000000001</v>
      </c>
      <c r="DM76" s="150">
        <v>16.8</v>
      </c>
      <c r="DN76" s="150">
        <v>17</v>
      </c>
      <c r="DO76" s="150">
        <v>17.2</v>
      </c>
      <c r="DP76" s="150">
        <v>17.399999999999999</v>
      </c>
      <c r="DQ76" s="150">
        <v>17.600000000000001</v>
      </c>
      <c r="DR76" s="150">
        <v>17.8</v>
      </c>
      <c r="DS76" s="150">
        <v>18</v>
      </c>
      <c r="DT76" s="150">
        <v>18.2</v>
      </c>
      <c r="DU76" s="150">
        <v>18.399999999999999</v>
      </c>
      <c r="DV76" s="150">
        <v>18.600000000000001</v>
      </c>
      <c r="DW76" s="150">
        <v>18.8</v>
      </c>
      <c r="DX76" s="150">
        <v>19</v>
      </c>
      <c r="DY76" s="150">
        <v>19.2</v>
      </c>
      <c r="DZ76" s="150">
        <v>19.399999999999999</v>
      </c>
      <c r="EA76" s="150">
        <v>19.600000000000001</v>
      </c>
      <c r="EB76" s="150">
        <v>19.8</v>
      </c>
      <c r="EC76" s="150">
        <v>20</v>
      </c>
      <c r="ED76" s="150">
        <v>20.2</v>
      </c>
      <c r="EE76" s="150">
        <v>20.399999999999999</v>
      </c>
      <c r="EF76" s="150">
        <v>20.6</v>
      </c>
      <c r="EG76" s="150">
        <v>20.799999999999951</v>
      </c>
      <c r="EH76" s="150">
        <v>21</v>
      </c>
      <c r="EI76" s="150">
        <v>21.19999999999995</v>
      </c>
      <c r="EJ76" s="150">
        <v>21.4</v>
      </c>
      <c r="EK76" s="150">
        <v>21.599999999999948</v>
      </c>
    </row>
    <row r="77" spans="1:141" ht="13.2" x14ac:dyDescent="0.25">
      <c r="A77" s="149">
        <v>38991</v>
      </c>
      <c r="B77" s="219">
        <v>-1.7785964148750009</v>
      </c>
      <c r="C77" s="219">
        <v>-1.7482952255625008</v>
      </c>
      <c r="D77" s="219">
        <v>-1.7179940362500008</v>
      </c>
      <c r="E77" s="219">
        <v>-1.6876928469375008</v>
      </c>
      <c r="F77" s="219">
        <v>-1.6573916576250007</v>
      </c>
      <c r="G77" s="219">
        <v>-1.6270904683125007</v>
      </c>
      <c r="H77" s="219">
        <v>-1.5967892790000007</v>
      </c>
      <c r="I77" s="219">
        <v>-1.5664880896875006</v>
      </c>
      <c r="J77" s="219">
        <v>-1.5361869003750006</v>
      </c>
      <c r="K77" s="219">
        <v>-1.5058857110625006</v>
      </c>
      <c r="L77" s="219">
        <v>-1.4755845217500005</v>
      </c>
      <c r="M77" s="219">
        <v>-1.4452833324375005</v>
      </c>
      <c r="N77" s="219">
        <v>-1.4149821431250005</v>
      </c>
      <c r="O77" s="219">
        <v>-1.3846809538125004</v>
      </c>
      <c r="P77" s="219">
        <v>-1.3543797645000004</v>
      </c>
      <c r="Q77" s="219">
        <v>-1.3240785751875004</v>
      </c>
      <c r="R77" s="219">
        <v>-1.2937773858750004</v>
      </c>
      <c r="S77" s="219">
        <v>-1.2634761965625003</v>
      </c>
      <c r="T77" s="219">
        <v>-1.2331750072500003</v>
      </c>
      <c r="U77" s="219">
        <v>-1.2028738179375003</v>
      </c>
      <c r="V77" s="220">
        <v>-1.1725726286250002</v>
      </c>
      <c r="W77" s="219">
        <v>-1.1422714393125002</v>
      </c>
      <c r="X77" s="220">
        <v>-1.1119702500000002</v>
      </c>
      <c r="Y77" s="219">
        <v>-1.0832351250000003</v>
      </c>
      <c r="Z77" s="220">
        <v>-1.0545000000000002</v>
      </c>
      <c r="AA77" s="219">
        <v>-1.0272500000000002</v>
      </c>
      <c r="AB77" s="221">
        <v>-1</v>
      </c>
      <c r="AC77" s="219">
        <v>-0.8</v>
      </c>
      <c r="AD77" s="221">
        <v>-0.6</v>
      </c>
      <c r="AE77" s="219">
        <v>-0.4</v>
      </c>
      <c r="AF77" s="219">
        <v>-0.2</v>
      </c>
      <c r="AG77" s="150">
        <v>0</v>
      </c>
      <c r="AH77" s="150">
        <v>0.2</v>
      </c>
      <c r="AI77" s="150">
        <v>0.4</v>
      </c>
      <c r="AJ77" s="150">
        <v>0.6</v>
      </c>
      <c r="AK77" s="150">
        <v>0.8</v>
      </c>
      <c r="AL77" s="150">
        <v>1</v>
      </c>
      <c r="AM77" s="150">
        <v>1.2</v>
      </c>
      <c r="AN77" s="150">
        <v>1.4</v>
      </c>
      <c r="AO77" s="150">
        <v>1.6</v>
      </c>
      <c r="AP77" s="150">
        <v>1.8</v>
      </c>
      <c r="AQ77" s="150">
        <v>2</v>
      </c>
      <c r="AR77" s="150">
        <v>2.2000000000000002</v>
      </c>
      <c r="AS77" s="150">
        <v>2.4</v>
      </c>
      <c r="AT77" s="150">
        <v>2.6</v>
      </c>
      <c r="AU77" s="150">
        <v>2.8</v>
      </c>
      <c r="AV77" s="150">
        <v>3</v>
      </c>
      <c r="AW77" s="150">
        <v>3.2</v>
      </c>
      <c r="AX77" s="150">
        <v>3.4</v>
      </c>
      <c r="AY77" s="150">
        <v>3.6</v>
      </c>
      <c r="AZ77" s="150">
        <v>3.8</v>
      </c>
      <c r="BA77" s="150">
        <v>4</v>
      </c>
      <c r="BB77" s="150">
        <v>4.2</v>
      </c>
      <c r="BC77" s="150">
        <v>4.4000000000000004</v>
      </c>
      <c r="BD77" s="150">
        <v>4.5999999999999996</v>
      </c>
      <c r="BE77" s="150">
        <v>4.8</v>
      </c>
      <c r="BF77" s="150">
        <v>5</v>
      </c>
      <c r="BG77" s="150">
        <v>5.2</v>
      </c>
      <c r="BH77" s="150">
        <v>5.4</v>
      </c>
      <c r="BI77" s="150">
        <v>5.6</v>
      </c>
      <c r="BJ77" s="150">
        <v>5.8</v>
      </c>
      <c r="BK77" s="150">
        <v>6</v>
      </c>
      <c r="BL77" s="150">
        <v>6.2</v>
      </c>
      <c r="BM77" s="150">
        <v>6.4</v>
      </c>
      <c r="BN77" s="150">
        <v>6.6</v>
      </c>
      <c r="BO77" s="150">
        <v>6.8</v>
      </c>
      <c r="BP77" s="150">
        <v>7</v>
      </c>
      <c r="BQ77" s="150">
        <v>7.2</v>
      </c>
      <c r="BR77" s="150">
        <v>7.4</v>
      </c>
      <c r="BS77" s="150">
        <v>7.6</v>
      </c>
      <c r="BT77" s="150">
        <v>7.8</v>
      </c>
      <c r="BU77" s="150">
        <v>8</v>
      </c>
      <c r="BV77" s="150">
        <v>8.1999999999999993</v>
      </c>
      <c r="BW77" s="150">
        <v>8.4</v>
      </c>
      <c r="BX77" s="150">
        <v>8.6</v>
      </c>
      <c r="BY77" s="150">
        <v>8.7999999999999936</v>
      </c>
      <c r="BZ77" s="150">
        <v>9</v>
      </c>
      <c r="CA77" s="150">
        <v>9.1999999999999922</v>
      </c>
      <c r="CB77" s="150">
        <v>9.4</v>
      </c>
      <c r="CC77" s="150">
        <v>9.5999999999999908</v>
      </c>
      <c r="CD77" s="150">
        <v>9.8000000000000007</v>
      </c>
      <c r="CE77" s="150">
        <v>9.9999999999999893</v>
      </c>
      <c r="CF77" s="150">
        <v>10.199999999999999</v>
      </c>
      <c r="CG77" s="150">
        <v>10.4</v>
      </c>
      <c r="CH77" s="150">
        <v>10.6</v>
      </c>
      <c r="CI77" s="150">
        <v>10.8</v>
      </c>
      <c r="CJ77" s="150">
        <v>11</v>
      </c>
      <c r="CK77" s="150">
        <v>11.2</v>
      </c>
      <c r="CL77" s="150">
        <v>11.4</v>
      </c>
      <c r="CM77" s="150">
        <v>11.6</v>
      </c>
      <c r="CN77" s="150">
        <v>11.8</v>
      </c>
      <c r="CO77" s="150">
        <v>12</v>
      </c>
      <c r="CP77" s="150">
        <v>12.2</v>
      </c>
      <c r="CQ77" s="150">
        <v>12.4</v>
      </c>
      <c r="CR77" s="150">
        <v>12.6</v>
      </c>
      <c r="CS77" s="150">
        <v>12.8</v>
      </c>
      <c r="CT77" s="150">
        <v>13</v>
      </c>
      <c r="CU77" s="150">
        <v>13.2</v>
      </c>
      <c r="CV77" s="150">
        <v>13.4</v>
      </c>
      <c r="CW77" s="150">
        <v>13.6</v>
      </c>
      <c r="CX77" s="150">
        <v>13.8</v>
      </c>
      <c r="CY77" s="150">
        <v>14</v>
      </c>
      <c r="CZ77" s="150">
        <v>14.2</v>
      </c>
      <c r="DA77" s="150">
        <v>14.4</v>
      </c>
      <c r="DB77" s="150">
        <v>14.6</v>
      </c>
      <c r="DC77" s="150">
        <v>14.8</v>
      </c>
      <c r="DD77" s="150">
        <v>15</v>
      </c>
      <c r="DE77" s="150">
        <v>15.2</v>
      </c>
      <c r="DF77" s="150">
        <v>15.4</v>
      </c>
      <c r="DG77" s="150">
        <v>15.6</v>
      </c>
      <c r="DH77" s="150">
        <v>15.8</v>
      </c>
      <c r="DI77" s="150">
        <v>16</v>
      </c>
      <c r="DJ77" s="150">
        <v>16.2</v>
      </c>
      <c r="DK77" s="150">
        <v>16.399999999999999</v>
      </c>
      <c r="DL77" s="150">
        <v>16.600000000000001</v>
      </c>
      <c r="DM77" s="150">
        <v>16.8</v>
      </c>
      <c r="DN77" s="150">
        <v>17</v>
      </c>
      <c r="DO77" s="150">
        <v>17.2</v>
      </c>
      <c r="DP77" s="150">
        <v>17.399999999999999</v>
      </c>
      <c r="DQ77" s="150">
        <v>17.600000000000001</v>
      </c>
      <c r="DR77" s="150">
        <v>17.8</v>
      </c>
      <c r="DS77" s="150">
        <v>18</v>
      </c>
      <c r="DT77" s="150">
        <v>18.2</v>
      </c>
      <c r="DU77" s="150">
        <v>18.399999999999999</v>
      </c>
      <c r="DV77" s="150">
        <v>18.600000000000001</v>
      </c>
      <c r="DW77" s="150">
        <v>18.8</v>
      </c>
      <c r="DX77" s="150">
        <v>19</v>
      </c>
      <c r="DY77" s="150">
        <v>19.2</v>
      </c>
      <c r="DZ77" s="150">
        <v>19.399999999999999</v>
      </c>
      <c r="EA77" s="150">
        <v>19.600000000000001</v>
      </c>
      <c r="EB77" s="150">
        <v>19.8</v>
      </c>
      <c r="EC77" s="150">
        <v>20</v>
      </c>
      <c r="ED77" s="150">
        <v>20.2</v>
      </c>
      <c r="EE77" s="150">
        <v>20.399999999999999</v>
      </c>
      <c r="EF77" s="150">
        <v>20.6</v>
      </c>
      <c r="EG77" s="150">
        <v>20.799999999999951</v>
      </c>
      <c r="EH77" s="150">
        <v>21</v>
      </c>
      <c r="EI77" s="150">
        <v>21.19999999999995</v>
      </c>
      <c r="EJ77" s="150">
        <v>21.4</v>
      </c>
      <c r="EK77" s="150">
        <v>21.599999999999948</v>
      </c>
    </row>
    <row r="78" spans="1:141" ht="13.2" x14ac:dyDescent="0.25">
      <c r="A78" s="149">
        <v>39022</v>
      </c>
      <c r="B78" s="219">
        <v>-1.7785964148750009</v>
      </c>
      <c r="C78" s="219">
        <v>-1.7482952255625008</v>
      </c>
      <c r="D78" s="219">
        <v>-1.7179940362500008</v>
      </c>
      <c r="E78" s="219">
        <v>-1.6876928469375008</v>
      </c>
      <c r="F78" s="219">
        <v>-1.6573916576250007</v>
      </c>
      <c r="G78" s="219">
        <v>-1.6270904683125007</v>
      </c>
      <c r="H78" s="219">
        <v>-1.5967892790000007</v>
      </c>
      <c r="I78" s="219">
        <v>-1.5664880896875006</v>
      </c>
      <c r="J78" s="219">
        <v>-1.5361869003750006</v>
      </c>
      <c r="K78" s="219">
        <v>-1.5058857110625006</v>
      </c>
      <c r="L78" s="219">
        <v>-1.4755845217500005</v>
      </c>
      <c r="M78" s="219">
        <v>-1.4452833324375005</v>
      </c>
      <c r="N78" s="219">
        <v>-1.4149821431250005</v>
      </c>
      <c r="O78" s="219">
        <v>-1.3846809538125004</v>
      </c>
      <c r="P78" s="219">
        <v>-1.3543797645000004</v>
      </c>
      <c r="Q78" s="219">
        <v>-1.3240785751875004</v>
      </c>
      <c r="R78" s="219">
        <v>-1.2937773858750004</v>
      </c>
      <c r="S78" s="219">
        <v>-1.2634761965625003</v>
      </c>
      <c r="T78" s="219">
        <v>-1.2331750072500003</v>
      </c>
      <c r="U78" s="219">
        <v>-1.2028738179375003</v>
      </c>
      <c r="V78" s="220">
        <v>-1.1725726286250002</v>
      </c>
      <c r="W78" s="219">
        <v>-1.1422714393125002</v>
      </c>
      <c r="X78" s="220">
        <v>-1.1119702500000002</v>
      </c>
      <c r="Y78" s="219">
        <v>-1.0832351250000003</v>
      </c>
      <c r="Z78" s="220">
        <v>-1.0545000000000002</v>
      </c>
      <c r="AA78" s="219">
        <v>-1.0272500000000002</v>
      </c>
      <c r="AB78" s="221">
        <v>-1</v>
      </c>
      <c r="AC78" s="219">
        <v>-0.8</v>
      </c>
      <c r="AD78" s="221">
        <v>-0.6</v>
      </c>
      <c r="AE78" s="219">
        <v>-0.4</v>
      </c>
      <c r="AF78" s="219">
        <v>-0.2</v>
      </c>
      <c r="AG78" s="150">
        <v>0</v>
      </c>
      <c r="AH78" s="150">
        <v>0.2</v>
      </c>
      <c r="AI78" s="150">
        <v>0.4</v>
      </c>
      <c r="AJ78" s="150">
        <v>0.6</v>
      </c>
      <c r="AK78" s="150">
        <v>0.8</v>
      </c>
      <c r="AL78" s="150">
        <v>1</v>
      </c>
      <c r="AM78" s="150">
        <v>1.2</v>
      </c>
      <c r="AN78" s="150">
        <v>1.4</v>
      </c>
      <c r="AO78" s="150">
        <v>1.6</v>
      </c>
      <c r="AP78" s="150">
        <v>1.8</v>
      </c>
      <c r="AQ78" s="150">
        <v>2</v>
      </c>
      <c r="AR78" s="150">
        <v>2.2000000000000002</v>
      </c>
      <c r="AS78" s="150">
        <v>2.4</v>
      </c>
      <c r="AT78" s="150">
        <v>2.6</v>
      </c>
      <c r="AU78" s="150">
        <v>2.8</v>
      </c>
      <c r="AV78" s="150">
        <v>3</v>
      </c>
      <c r="AW78" s="150">
        <v>3.2</v>
      </c>
      <c r="AX78" s="150">
        <v>3.4</v>
      </c>
      <c r="AY78" s="150">
        <v>3.6</v>
      </c>
      <c r="AZ78" s="150">
        <v>3.8</v>
      </c>
      <c r="BA78" s="150">
        <v>4</v>
      </c>
      <c r="BB78" s="150">
        <v>4.2</v>
      </c>
      <c r="BC78" s="150">
        <v>4.4000000000000004</v>
      </c>
      <c r="BD78" s="150">
        <v>4.5999999999999996</v>
      </c>
      <c r="BE78" s="150">
        <v>4.8</v>
      </c>
      <c r="BF78" s="150">
        <v>5</v>
      </c>
      <c r="BG78" s="150">
        <v>5.2</v>
      </c>
      <c r="BH78" s="150">
        <v>5.4</v>
      </c>
      <c r="BI78" s="150">
        <v>5.6</v>
      </c>
      <c r="BJ78" s="150">
        <v>5.8</v>
      </c>
      <c r="BK78" s="150">
        <v>6</v>
      </c>
      <c r="BL78" s="150">
        <v>6.2</v>
      </c>
      <c r="BM78" s="150">
        <v>6.4</v>
      </c>
      <c r="BN78" s="150">
        <v>6.6</v>
      </c>
      <c r="BO78" s="150">
        <v>6.8</v>
      </c>
      <c r="BP78" s="150">
        <v>7</v>
      </c>
      <c r="BQ78" s="150">
        <v>7.2</v>
      </c>
      <c r="BR78" s="150">
        <v>7.4</v>
      </c>
      <c r="BS78" s="150">
        <v>7.6</v>
      </c>
      <c r="BT78" s="150">
        <v>7.8</v>
      </c>
      <c r="BU78" s="150">
        <v>8</v>
      </c>
      <c r="BV78" s="150">
        <v>8.1999999999999993</v>
      </c>
      <c r="BW78" s="150">
        <v>8.4</v>
      </c>
      <c r="BX78" s="150">
        <v>8.6</v>
      </c>
      <c r="BY78" s="150">
        <v>8.7999999999999936</v>
      </c>
      <c r="BZ78" s="150">
        <v>9</v>
      </c>
      <c r="CA78" s="150">
        <v>9.1999999999999922</v>
      </c>
      <c r="CB78" s="150">
        <v>9.4</v>
      </c>
      <c r="CC78" s="150">
        <v>9.5999999999999908</v>
      </c>
      <c r="CD78" s="150">
        <v>9.8000000000000007</v>
      </c>
      <c r="CE78" s="150">
        <v>9.9999999999999893</v>
      </c>
      <c r="CF78" s="150">
        <v>10.199999999999999</v>
      </c>
      <c r="CG78" s="150">
        <v>10.4</v>
      </c>
      <c r="CH78" s="150">
        <v>10.6</v>
      </c>
      <c r="CI78" s="150">
        <v>10.8</v>
      </c>
      <c r="CJ78" s="150">
        <v>11</v>
      </c>
      <c r="CK78" s="150">
        <v>11.2</v>
      </c>
      <c r="CL78" s="150">
        <v>11.4</v>
      </c>
      <c r="CM78" s="150">
        <v>11.6</v>
      </c>
      <c r="CN78" s="150">
        <v>11.8</v>
      </c>
      <c r="CO78" s="150">
        <v>12</v>
      </c>
      <c r="CP78" s="150">
        <v>12.2</v>
      </c>
      <c r="CQ78" s="150">
        <v>12.4</v>
      </c>
      <c r="CR78" s="150">
        <v>12.6</v>
      </c>
      <c r="CS78" s="150">
        <v>12.8</v>
      </c>
      <c r="CT78" s="150">
        <v>13</v>
      </c>
      <c r="CU78" s="150">
        <v>13.2</v>
      </c>
      <c r="CV78" s="150">
        <v>13.4</v>
      </c>
      <c r="CW78" s="150">
        <v>13.6</v>
      </c>
      <c r="CX78" s="150">
        <v>13.8</v>
      </c>
      <c r="CY78" s="150">
        <v>14</v>
      </c>
      <c r="CZ78" s="150">
        <v>14.2</v>
      </c>
      <c r="DA78" s="150">
        <v>14.4</v>
      </c>
      <c r="DB78" s="150">
        <v>14.6</v>
      </c>
      <c r="DC78" s="150">
        <v>14.8</v>
      </c>
      <c r="DD78" s="150">
        <v>15</v>
      </c>
      <c r="DE78" s="150">
        <v>15.2</v>
      </c>
      <c r="DF78" s="150">
        <v>15.4</v>
      </c>
      <c r="DG78" s="150">
        <v>15.6</v>
      </c>
      <c r="DH78" s="150">
        <v>15.8</v>
      </c>
      <c r="DI78" s="150">
        <v>16</v>
      </c>
      <c r="DJ78" s="150">
        <v>16.2</v>
      </c>
      <c r="DK78" s="150">
        <v>16.399999999999999</v>
      </c>
      <c r="DL78" s="150">
        <v>16.600000000000001</v>
      </c>
      <c r="DM78" s="150">
        <v>16.8</v>
      </c>
      <c r="DN78" s="150">
        <v>17</v>
      </c>
      <c r="DO78" s="150">
        <v>17.2</v>
      </c>
      <c r="DP78" s="150">
        <v>17.399999999999999</v>
      </c>
      <c r="DQ78" s="150">
        <v>17.600000000000001</v>
      </c>
      <c r="DR78" s="150">
        <v>17.8</v>
      </c>
      <c r="DS78" s="150">
        <v>18</v>
      </c>
      <c r="DT78" s="150">
        <v>18.2</v>
      </c>
      <c r="DU78" s="150">
        <v>18.399999999999999</v>
      </c>
      <c r="DV78" s="150">
        <v>18.600000000000001</v>
      </c>
      <c r="DW78" s="150">
        <v>18.8</v>
      </c>
      <c r="DX78" s="150">
        <v>19</v>
      </c>
      <c r="DY78" s="150">
        <v>19.2</v>
      </c>
      <c r="DZ78" s="150">
        <v>19.399999999999999</v>
      </c>
      <c r="EA78" s="150">
        <v>19.600000000000001</v>
      </c>
      <c r="EB78" s="150">
        <v>19.8</v>
      </c>
      <c r="EC78" s="150">
        <v>20</v>
      </c>
      <c r="ED78" s="150">
        <v>20.2</v>
      </c>
      <c r="EE78" s="150">
        <v>20.399999999999999</v>
      </c>
      <c r="EF78" s="150">
        <v>20.6</v>
      </c>
      <c r="EG78" s="150">
        <v>20.799999999999951</v>
      </c>
      <c r="EH78" s="150">
        <v>21</v>
      </c>
      <c r="EI78" s="150">
        <v>21.19999999999995</v>
      </c>
      <c r="EJ78" s="150">
        <v>21.4</v>
      </c>
      <c r="EK78" s="150">
        <v>21.599999999999948</v>
      </c>
    </row>
    <row r="79" spans="1:141" ht="13.2" x14ac:dyDescent="0.25">
      <c r="A79" s="149">
        <v>39052</v>
      </c>
      <c r="B79" s="219">
        <v>-1.7785964148750009</v>
      </c>
      <c r="C79" s="219">
        <v>-1.7482952255625008</v>
      </c>
      <c r="D79" s="219">
        <v>-1.7179940362500008</v>
      </c>
      <c r="E79" s="219">
        <v>-1.6876928469375008</v>
      </c>
      <c r="F79" s="219">
        <v>-1.6573916576250007</v>
      </c>
      <c r="G79" s="219">
        <v>-1.6270904683125007</v>
      </c>
      <c r="H79" s="219">
        <v>-1.5967892790000007</v>
      </c>
      <c r="I79" s="219">
        <v>-1.5664880896875006</v>
      </c>
      <c r="J79" s="219">
        <v>-1.5361869003750006</v>
      </c>
      <c r="K79" s="219">
        <v>-1.5058857110625006</v>
      </c>
      <c r="L79" s="219">
        <v>-1.4755845217500005</v>
      </c>
      <c r="M79" s="219">
        <v>-1.4452833324375005</v>
      </c>
      <c r="N79" s="219">
        <v>-1.4149821431250005</v>
      </c>
      <c r="O79" s="219">
        <v>-1.3846809538125004</v>
      </c>
      <c r="P79" s="219">
        <v>-1.3543797645000004</v>
      </c>
      <c r="Q79" s="219">
        <v>-1.3240785751875004</v>
      </c>
      <c r="R79" s="219">
        <v>-1.2937773858750004</v>
      </c>
      <c r="S79" s="219">
        <v>-1.2634761965625003</v>
      </c>
      <c r="T79" s="219">
        <v>-1.2331750072500003</v>
      </c>
      <c r="U79" s="219">
        <v>-1.2028738179375003</v>
      </c>
      <c r="V79" s="220">
        <v>-1.1725726286250002</v>
      </c>
      <c r="W79" s="219">
        <v>-1.1422714393125002</v>
      </c>
      <c r="X79" s="220">
        <v>-1.1119702500000002</v>
      </c>
      <c r="Y79" s="219">
        <v>-1.0832351250000003</v>
      </c>
      <c r="Z79" s="220">
        <v>-1.0545000000000002</v>
      </c>
      <c r="AA79" s="219">
        <v>-1.0272500000000002</v>
      </c>
      <c r="AB79" s="221">
        <v>-1</v>
      </c>
      <c r="AC79" s="219">
        <v>-0.8</v>
      </c>
      <c r="AD79" s="221">
        <v>-0.6</v>
      </c>
      <c r="AE79" s="219">
        <v>-0.4</v>
      </c>
      <c r="AF79" s="219">
        <v>-0.2</v>
      </c>
      <c r="AG79" s="150">
        <v>0</v>
      </c>
      <c r="AH79" s="150">
        <v>0.2</v>
      </c>
      <c r="AI79" s="150">
        <v>0.4</v>
      </c>
      <c r="AJ79" s="150">
        <v>0.6</v>
      </c>
      <c r="AK79" s="150">
        <v>0.8</v>
      </c>
      <c r="AL79" s="150">
        <v>1</v>
      </c>
      <c r="AM79" s="150">
        <v>1.2</v>
      </c>
      <c r="AN79" s="150">
        <v>1.4</v>
      </c>
      <c r="AO79" s="150">
        <v>1.6</v>
      </c>
      <c r="AP79" s="150">
        <v>1.8</v>
      </c>
      <c r="AQ79" s="150">
        <v>2</v>
      </c>
      <c r="AR79" s="150">
        <v>2.2000000000000002</v>
      </c>
      <c r="AS79" s="150">
        <v>2.4</v>
      </c>
      <c r="AT79" s="150">
        <v>2.6</v>
      </c>
      <c r="AU79" s="150">
        <v>2.8</v>
      </c>
      <c r="AV79" s="150">
        <v>3</v>
      </c>
      <c r="AW79" s="150">
        <v>3.2</v>
      </c>
      <c r="AX79" s="150">
        <v>3.4</v>
      </c>
      <c r="AY79" s="150">
        <v>3.6</v>
      </c>
      <c r="AZ79" s="150">
        <v>3.8</v>
      </c>
      <c r="BA79" s="150">
        <v>4</v>
      </c>
      <c r="BB79" s="150">
        <v>4.2</v>
      </c>
      <c r="BC79" s="150">
        <v>4.4000000000000004</v>
      </c>
      <c r="BD79" s="150">
        <v>4.5999999999999996</v>
      </c>
      <c r="BE79" s="150">
        <v>4.8</v>
      </c>
      <c r="BF79" s="150">
        <v>5</v>
      </c>
      <c r="BG79" s="150">
        <v>5.2</v>
      </c>
      <c r="BH79" s="150">
        <v>5.4</v>
      </c>
      <c r="BI79" s="150">
        <v>5.6</v>
      </c>
      <c r="BJ79" s="150">
        <v>5.8</v>
      </c>
      <c r="BK79" s="150">
        <v>6</v>
      </c>
      <c r="BL79" s="150">
        <v>6.2</v>
      </c>
      <c r="BM79" s="150">
        <v>6.4</v>
      </c>
      <c r="BN79" s="150">
        <v>6.6</v>
      </c>
      <c r="BO79" s="150">
        <v>6.8</v>
      </c>
      <c r="BP79" s="150">
        <v>7</v>
      </c>
      <c r="BQ79" s="150">
        <v>7.2</v>
      </c>
      <c r="BR79" s="150">
        <v>7.4</v>
      </c>
      <c r="BS79" s="150">
        <v>7.6</v>
      </c>
      <c r="BT79" s="150">
        <v>7.8</v>
      </c>
      <c r="BU79" s="150">
        <v>8</v>
      </c>
      <c r="BV79" s="150">
        <v>8.1999999999999993</v>
      </c>
      <c r="BW79" s="150">
        <v>8.4</v>
      </c>
      <c r="BX79" s="150">
        <v>8.6</v>
      </c>
      <c r="BY79" s="150">
        <v>8.7999999999999936</v>
      </c>
      <c r="BZ79" s="150">
        <v>9</v>
      </c>
      <c r="CA79" s="150">
        <v>9.1999999999999922</v>
      </c>
      <c r="CB79" s="150">
        <v>9.4</v>
      </c>
      <c r="CC79" s="150">
        <v>9.5999999999999908</v>
      </c>
      <c r="CD79" s="150">
        <v>9.8000000000000007</v>
      </c>
      <c r="CE79" s="150">
        <v>9.9999999999999893</v>
      </c>
      <c r="CF79" s="150">
        <v>10.199999999999999</v>
      </c>
      <c r="CG79" s="150">
        <v>10.4</v>
      </c>
      <c r="CH79" s="150">
        <v>10.6</v>
      </c>
      <c r="CI79" s="150">
        <v>10.8</v>
      </c>
      <c r="CJ79" s="150">
        <v>11</v>
      </c>
      <c r="CK79" s="150">
        <v>11.2</v>
      </c>
      <c r="CL79" s="150">
        <v>11.4</v>
      </c>
      <c r="CM79" s="150">
        <v>11.6</v>
      </c>
      <c r="CN79" s="150">
        <v>11.8</v>
      </c>
      <c r="CO79" s="150">
        <v>12</v>
      </c>
      <c r="CP79" s="150">
        <v>12.2</v>
      </c>
      <c r="CQ79" s="150">
        <v>12.4</v>
      </c>
      <c r="CR79" s="150">
        <v>12.6</v>
      </c>
      <c r="CS79" s="150">
        <v>12.8</v>
      </c>
      <c r="CT79" s="150">
        <v>13</v>
      </c>
      <c r="CU79" s="150">
        <v>13.2</v>
      </c>
      <c r="CV79" s="150">
        <v>13.4</v>
      </c>
      <c r="CW79" s="150">
        <v>13.6</v>
      </c>
      <c r="CX79" s="150">
        <v>13.8</v>
      </c>
      <c r="CY79" s="150">
        <v>14</v>
      </c>
      <c r="CZ79" s="150">
        <v>14.2</v>
      </c>
      <c r="DA79" s="150">
        <v>14.4</v>
      </c>
      <c r="DB79" s="150">
        <v>14.6</v>
      </c>
      <c r="DC79" s="150">
        <v>14.8</v>
      </c>
      <c r="DD79" s="150">
        <v>15</v>
      </c>
      <c r="DE79" s="150">
        <v>15.2</v>
      </c>
      <c r="DF79" s="150">
        <v>15.4</v>
      </c>
      <c r="DG79" s="150">
        <v>15.6</v>
      </c>
      <c r="DH79" s="150">
        <v>15.8</v>
      </c>
      <c r="DI79" s="150">
        <v>16</v>
      </c>
      <c r="DJ79" s="150">
        <v>16.2</v>
      </c>
      <c r="DK79" s="150">
        <v>16.399999999999999</v>
      </c>
      <c r="DL79" s="150">
        <v>16.600000000000001</v>
      </c>
      <c r="DM79" s="150">
        <v>16.8</v>
      </c>
      <c r="DN79" s="150">
        <v>17</v>
      </c>
      <c r="DO79" s="150">
        <v>17.2</v>
      </c>
      <c r="DP79" s="150">
        <v>17.399999999999999</v>
      </c>
      <c r="DQ79" s="150">
        <v>17.600000000000001</v>
      </c>
      <c r="DR79" s="150">
        <v>17.8</v>
      </c>
      <c r="DS79" s="150">
        <v>18</v>
      </c>
      <c r="DT79" s="150">
        <v>18.2</v>
      </c>
      <c r="DU79" s="150">
        <v>18.399999999999999</v>
      </c>
      <c r="DV79" s="150">
        <v>18.600000000000001</v>
      </c>
      <c r="DW79" s="150">
        <v>18.8</v>
      </c>
      <c r="DX79" s="150">
        <v>19</v>
      </c>
      <c r="DY79" s="150">
        <v>19.2</v>
      </c>
      <c r="DZ79" s="150">
        <v>19.399999999999999</v>
      </c>
      <c r="EA79" s="150">
        <v>19.600000000000001</v>
      </c>
      <c r="EB79" s="150">
        <v>19.8</v>
      </c>
      <c r="EC79" s="150">
        <v>20</v>
      </c>
      <c r="ED79" s="150">
        <v>20.2</v>
      </c>
      <c r="EE79" s="150">
        <v>20.399999999999999</v>
      </c>
      <c r="EF79" s="150">
        <v>20.6</v>
      </c>
      <c r="EG79" s="150">
        <v>20.799999999999951</v>
      </c>
      <c r="EH79" s="150">
        <v>21</v>
      </c>
      <c r="EI79" s="150">
        <v>21.19999999999995</v>
      </c>
      <c r="EJ79" s="150">
        <v>21.4</v>
      </c>
      <c r="EK79" s="150">
        <v>21.599999999999948</v>
      </c>
    </row>
    <row r="80" spans="1:141" ht="13.2" x14ac:dyDescent="0.25">
      <c r="A80" s="149">
        <v>39083</v>
      </c>
      <c r="B80" s="219">
        <v>-1.7785964148750009</v>
      </c>
      <c r="C80" s="219">
        <v>-1.7482952255625008</v>
      </c>
      <c r="D80" s="219">
        <v>-1.7179940362500008</v>
      </c>
      <c r="E80" s="219">
        <v>-1.6876928469375008</v>
      </c>
      <c r="F80" s="219">
        <v>-1.6573916576250007</v>
      </c>
      <c r="G80" s="219">
        <v>-1.6270904683125007</v>
      </c>
      <c r="H80" s="219">
        <v>-1.5967892790000007</v>
      </c>
      <c r="I80" s="219">
        <v>-1.5664880896875006</v>
      </c>
      <c r="J80" s="219">
        <v>-1.5361869003750006</v>
      </c>
      <c r="K80" s="219">
        <v>-1.5058857110625006</v>
      </c>
      <c r="L80" s="219">
        <v>-1.4755845217500005</v>
      </c>
      <c r="M80" s="219">
        <v>-1.4452833324375005</v>
      </c>
      <c r="N80" s="219">
        <v>-1.4149821431250005</v>
      </c>
      <c r="O80" s="219">
        <v>-1.3846809538125004</v>
      </c>
      <c r="P80" s="219">
        <v>-1.3543797645000004</v>
      </c>
      <c r="Q80" s="219">
        <v>-1.3240785751875004</v>
      </c>
      <c r="R80" s="219">
        <v>-1.2937773858750004</v>
      </c>
      <c r="S80" s="219">
        <v>-1.2634761965625003</v>
      </c>
      <c r="T80" s="219">
        <v>-1.2331750072500003</v>
      </c>
      <c r="U80" s="219">
        <v>-1.2028738179375003</v>
      </c>
      <c r="V80" s="220">
        <v>-1.1725726286250002</v>
      </c>
      <c r="W80" s="219">
        <v>-1.1422714393125002</v>
      </c>
      <c r="X80" s="220">
        <v>-1.1119702500000002</v>
      </c>
      <c r="Y80" s="219">
        <v>-1.0832351250000003</v>
      </c>
      <c r="Z80" s="220">
        <v>-1.0545000000000002</v>
      </c>
      <c r="AA80" s="219">
        <v>-1.0272500000000002</v>
      </c>
      <c r="AB80" s="221">
        <v>-1</v>
      </c>
      <c r="AC80" s="219">
        <v>-0.8</v>
      </c>
      <c r="AD80" s="221">
        <v>-0.6</v>
      </c>
      <c r="AE80" s="219">
        <v>-0.4</v>
      </c>
      <c r="AF80" s="219">
        <v>-0.2</v>
      </c>
      <c r="AG80" s="150">
        <v>0</v>
      </c>
      <c r="AH80" s="150">
        <v>0.2</v>
      </c>
      <c r="AI80" s="150">
        <v>0.4</v>
      </c>
      <c r="AJ80" s="150">
        <v>0.6</v>
      </c>
      <c r="AK80" s="150">
        <v>0.8</v>
      </c>
      <c r="AL80" s="150">
        <v>1</v>
      </c>
      <c r="AM80" s="150">
        <v>1.2</v>
      </c>
      <c r="AN80" s="150">
        <v>1.4</v>
      </c>
      <c r="AO80" s="150">
        <v>1.6</v>
      </c>
      <c r="AP80" s="150">
        <v>1.8</v>
      </c>
      <c r="AQ80" s="150">
        <v>2</v>
      </c>
      <c r="AR80" s="150">
        <v>2.2000000000000002</v>
      </c>
      <c r="AS80" s="150">
        <v>2.4</v>
      </c>
      <c r="AT80" s="150">
        <v>2.6</v>
      </c>
      <c r="AU80" s="150">
        <v>2.8</v>
      </c>
      <c r="AV80" s="150">
        <v>3</v>
      </c>
      <c r="AW80" s="150">
        <v>3.2</v>
      </c>
      <c r="AX80" s="150">
        <v>3.4</v>
      </c>
      <c r="AY80" s="150">
        <v>3.6</v>
      </c>
      <c r="AZ80" s="150">
        <v>3.8</v>
      </c>
      <c r="BA80" s="150">
        <v>4</v>
      </c>
      <c r="BB80" s="150">
        <v>4.2</v>
      </c>
      <c r="BC80" s="150">
        <v>4.4000000000000004</v>
      </c>
      <c r="BD80" s="150">
        <v>4.5999999999999996</v>
      </c>
      <c r="BE80" s="150">
        <v>4.8</v>
      </c>
      <c r="BF80" s="150">
        <v>5</v>
      </c>
      <c r="BG80" s="150">
        <v>5.2</v>
      </c>
      <c r="BH80" s="150">
        <v>5.4</v>
      </c>
      <c r="BI80" s="150">
        <v>5.6</v>
      </c>
      <c r="BJ80" s="150">
        <v>5.8</v>
      </c>
      <c r="BK80" s="150">
        <v>6</v>
      </c>
      <c r="BL80" s="150">
        <v>6.2</v>
      </c>
      <c r="BM80" s="150">
        <v>6.4</v>
      </c>
      <c r="BN80" s="150">
        <v>6.6</v>
      </c>
      <c r="BO80" s="150">
        <v>6.8</v>
      </c>
      <c r="BP80" s="150">
        <v>7</v>
      </c>
      <c r="BQ80" s="150">
        <v>7.2</v>
      </c>
      <c r="BR80" s="150">
        <v>7.4</v>
      </c>
      <c r="BS80" s="150">
        <v>7.6</v>
      </c>
      <c r="BT80" s="150">
        <v>7.8</v>
      </c>
      <c r="BU80" s="150">
        <v>8</v>
      </c>
      <c r="BV80" s="150">
        <v>8.1999999999999993</v>
      </c>
      <c r="BW80" s="150">
        <v>8.4</v>
      </c>
      <c r="BX80" s="150">
        <v>8.6</v>
      </c>
      <c r="BY80" s="150">
        <v>8.7999999999999936</v>
      </c>
      <c r="BZ80" s="150">
        <v>9</v>
      </c>
      <c r="CA80" s="150">
        <v>9.1999999999999922</v>
      </c>
      <c r="CB80" s="150">
        <v>9.4</v>
      </c>
      <c r="CC80" s="150">
        <v>9.5999999999999908</v>
      </c>
      <c r="CD80" s="150">
        <v>9.8000000000000007</v>
      </c>
      <c r="CE80" s="150">
        <v>9.9999999999999893</v>
      </c>
      <c r="CF80" s="150">
        <v>10.199999999999999</v>
      </c>
      <c r="CG80" s="150">
        <v>10.4</v>
      </c>
      <c r="CH80" s="150">
        <v>10.6</v>
      </c>
      <c r="CI80" s="150">
        <v>10.8</v>
      </c>
      <c r="CJ80" s="150">
        <v>11</v>
      </c>
      <c r="CK80" s="150">
        <v>11.2</v>
      </c>
      <c r="CL80" s="150">
        <v>11.4</v>
      </c>
      <c r="CM80" s="150">
        <v>11.6</v>
      </c>
      <c r="CN80" s="150">
        <v>11.8</v>
      </c>
      <c r="CO80" s="150">
        <v>12</v>
      </c>
      <c r="CP80" s="150">
        <v>12.2</v>
      </c>
      <c r="CQ80" s="150">
        <v>12.4</v>
      </c>
      <c r="CR80" s="150">
        <v>12.6</v>
      </c>
      <c r="CS80" s="150">
        <v>12.8</v>
      </c>
      <c r="CT80" s="150">
        <v>13</v>
      </c>
      <c r="CU80" s="150">
        <v>13.2</v>
      </c>
      <c r="CV80" s="150">
        <v>13.4</v>
      </c>
      <c r="CW80" s="150">
        <v>13.6</v>
      </c>
      <c r="CX80" s="150">
        <v>13.8</v>
      </c>
      <c r="CY80" s="150">
        <v>14</v>
      </c>
      <c r="CZ80" s="150">
        <v>14.2</v>
      </c>
      <c r="DA80" s="150">
        <v>14.4</v>
      </c>
      <c r="DB80" s="150">
        <v>14.6</v>
      </c>
      <c r="DC80" s="150">
        <v>14.8</v>
      </c>
      <c r="DD80" s="150">
        <v>15</v>
      </c>
      <c r="DE80" s="150">
        <v>15.2</v>
      </c>
      <c r="DF80" s="150">
        <v>15.4</v>
      </c>
      <c r="DG80" s="150">
        <v>15.6</v>
      </c>
      <c r="DH80" s="150">
        <v>15.8</v>
      </c>
      <c r="DI80" s="150">
        <v>16</v>
      </c>
      <c r="DJ80" s="150">
        <v>16.2</v>
      </c>
      <c r="DK80" s="150">
        <v>16.399999999999999</v>
      </c>
      <c r="DL80" s="150">
        <v>16.600000000000001</v>
      </c>
      <c r="DM80" s="150">
        <v>16.8</v>
      </c>
      <c r="DN80" s="150">
        <v>17</v>
      </c>
      <c r="DO80" s="150">
        <v>17.2</v>
      </c>
      <c r="DP80" s="150">
        <v>17.399999999999999</v>
      </c>
      <c r="DQ80" s="150">
        <v>17.600000000000001</v>
      </c>
      <c r="DR80" s="150">
        <v>17.8</v>
      </c>
      <c r="DS80" s="150">
        <v>18</v>
      </c>
      <c r="DT80" s="150">
        <v>18.2</v>
      </c>
      <c r="DU80" s="150">
        <v>18.399999999999999</v>
      </c>
      <c r="DV80" s="150">
        <v>18.600000000000001</v>
      </c>
      <c r="DW80" s="150">
        <v>18.8</v>
      </c>
      <c r="DX80" s="150">
        <v>19</v>
      </c>
      <c r="DY80" s="150">
        <v>19.2</v>
      </c>
      <c r="DZ80" s="150">
        <v>19.399999999999999</v>
      </c>
      <c r="EA80" s="150">
        <v>19.600000000000001</v>
      </c>
      <c r="EB80" s="150">
        <v>19.8</v>
      </c>
      <c r="EC80" s="150">
        <v>20</v>
      </c>
      <c r="ED80" s="150">
        <v>20.2</v>
      </c>
      <c r="EE80" s="150">
        <v>20.399999999999999</v>
      </c>
      <c r="EF80" s="150">
        <v>20.6</v>
      </c>
      <c r="EG80" s="150">
        <v>20.799999999999951</v>
      </c>
      <c r="EH80" s="150">
        <v>21</v>
      </c>
      <c r="EI80" s="150">
        <v>21.19999999999995</v>
      </c>
      <c r="EJ80" s="150">
        <v>21.4</v>
      </c>
      <c r="EK80" s="150">
        <v>21.599999999999948</v>
      </c>
    </row>
    <row r="81" spans="1:141" ht="13.2" x14ac:dyDescent="0.25">
      <c r="A81" s="149">
        <v>39114</v>
      </c>
      <c r="B81" s="219">
        <v>-1.7785964148750009</v>
      </c>
      <c r="C81" s="219">
        <v>-1.7482952255625008</v>
      </c>
      <c r="D81" s="219">
        <v>-1.7179940362500008</v>
      </c>
      <c r="E81" s="219">
        <v>-1.6876928469375008</v>
      </c>
      <c r="F81" s="219">
        <v>-1.6573916576250007</v>
      </c>
      <c r="G81" s="219">
        <v>-1.6270904683125007</v>
      </c>
      <c r="H81" s="219">
        <v>-1.5967892790000007</v>
      </c>
      <c r="I81" s="219">
        <v>-1.5664880896875006</v>
      </c>
      <c r="J81" s="219">
        <v>-1.5361869003750006</v>
      </c>
      <c r="K81" s="219">
        <v>-1.5058857110625006</v>
      </c>
      <c r="L81" s="219">
        <v>-1.4755845217500005</v>
      </c>
      <c r="M81" s="219">
        <v>-1.4452833324375005</v>
      </c>
      <c r="N81" s="219">
        <v>-1.4149821431250005</v>
      </c>
      <c r="O81" s="219">
        <v>-1.3846809538125004</v>
      </c>
      <c r="P81" s="219">
        <v>-1.3543797645000004</v>
      </c>
      <c r="Q81" s="219">
        <v>-1.3240785751875004</v>
      </c>
      <c r="R81" s="219">
        <v>-1.2937773858750004</v>
      </c>
      <c r="S81" s="219">
        <v>-1.2634761965625003</v>
      </c>
      <c r="T81" s="219">
        <v>-1.2331750072500003</v>
      </c>
      <c r="U81" s="219">
        <v>-1.2028738179375003</v>
      </c>
      <c r="V81" s="220">
        <v>-1.1725726286250002</v>
      </c>
      <c r="W81" s="219">
        <v>-1.1422714393125002</v>
      </c>
      <c r="X81" s="220">
        <v>-1.1119702500000002</v>
      </c>
      <c r="Y81" s="219">
        <v>-1.0832351250000003</v>
      </c>
      <c r="Z81" s="220">
        <v>-1.0545000000000002</v>
      </c>
      <c r="AA81" s="219">
        <v>-1.0272500000000002</v>
      </c>
      <c r="AB81" s="221">
        <v>-1</v>
      </c>
      <c r="AC81" s="219">
        <v>-0.8</v>
      </c>
      <c r="AD81" s="221">
        <v>-0.6</v>
      </c>
      <c r="AE81" s="219">
        <v>-0.4</v>
      </c>
      <c r="AF81" s="219">
        <v>-0.2</v>
      </c>
      <c r="AG81" s="150">
        <v>0</v>
      </c>
      <c r="AH81" s="150">
        <v>0.2</v>
      </c>
      <c r="AI81" s="150">
        <v>0.4</v>
      </c>
      <c r="AJ81" s="150">
        <v>0.6</v>
      </c>
      <c r="AK81" s="150">
        <v>0.8</v>
      </c>
      <c r="AL81" s="150">
        <v>1</v>
      </c>
      <c r="AM81" s="150">
        <v>1.2</v>
      </c>
      <c r="AN81" s="150">
        <v>1.4</v>
      </c>
      <c r="AO81" s="150">
        <v>1.6</v>
      </c>
      <c r="AP81" s="150">
        <v>1.8</v>
      </c>
      <c r="AQ81" s="150">
        <v>2</v>
      </c>
      <c r="AR81" s="150">
        <v>2.2000000000000002</v>
      </c>
      <c r="AS81" s="150">
        <v>2.4</v>
      </c>
      <c r="AT81" s="150">
        <v>2.6</v>
      </c>
      <c r="AU81" s="150">
        <v>2.8</v>
      </c>
      <c r="AV81" s="150">
        <v>3</v>
      </c>
      <c r="AW81" s="150">
        <v>3.2</v>
      </c>
      <c r="AX81" s="150">
        <v>3.4</v>
      </c>
      <c r="AY81" s="150">
        <v>3.6</v>
      </c>
      <c r="AZ81" s="150">
        <v>3.8</v>
      </c>
      <c r="BA81" s="150">
        <v>4</v>
      </c>
      <c r="BB81" s="150">
        <v>4.2</v>
      </c>
      <c r="BC81" s="150">
        <v>4.4000000000000004</v>
      </c>
      <c r="BD81" s="150">
        <v>4.5999999999999996</v>
      </c>
      <c r="BE81" s="150">
        <v>4.8</v>
      </c>
      <c r="BF81" s="150">
        <v>5</v>
      </c>
      <c r="BG81" s="150">
        <v>5.2</v>
      </c>
      <c r="BH81" s="150">
        <v>5.4</v>
      </c>
      <c r="BI81" s="150">
        <v>5.6</v>
      </c>
      <c r="BJ81" s="150">
        <v>5.8</v>
      </c>
      <c r="BK81" s="150">
        <v>6</v>
      </c>
      <c r="BL81" s="150">
        <v>6.2</v>
      </c>
      <c r="BM81" s="150">
        <v>6.4</v>
      </c>
      <c r="BN81" s="150">
        <v>6.6</v>
      </c>
      <c r="BO81" s="150">
        <v>6.8</v>
      </c>
      <c r="BP81" s="150">
        <v>7</v>
      </c>
      <c r="BQ81" s="150">
        <v>7.2</v>
      </c>
      <c r="BR81" s="150">
        <v>7.4</v>
      </c>
      <c r="BS81" s="150">
        <v>7.6</v>
      </c>
      <c r="BT81" s="150">
        <v>7.8</v>
      </c>
      <c r="BU81" s="150">
        <v>8</v>
      </c>
      <c r="BV81" s="150">
        <v>8.1999999999999993</v>
      </c>
      <c r="BW81" s="150">
        <v>8.4</v>
      </c>
      <c r="BX81" s="150">
        <v>8.6</v>
      </c>
      <c r="BY81" s="150">
        <v>8.7999999999999936</v>
      </c>
      <c r="BZ81" s="150">
        <v>9</v>
      </c>
      <c r="CA81" s="150">
        <v>9.1999999999999922</v>
      </c>
      <c r="CB81" s="150">
        <v>9.4</v>
      </c>
      <c r="CC81" s="150">
        <v>9.5999999999999908</v>
      </c>
      <c r="CD81" s="150">
        <v>9.8000000000000007</v>
      </c>
      <c r="CE81" s="150">
        <v>9.9999999999999893</v>
      </c>
      <c r="CF81" s="150">
        <v>10.199999999999999</v>
      </c>
      <c r="CG81" s="150">
        <v>10.4</v>
      </c>
      <c r="CH81" s="150">
        <v>10.6</v>
      </c>
      <c r="CI81" s="150">
        <v>10.8</v>
      </c>
      <c r="CJ81" s="150">
        <v>11</v>
      </c>
      <c r="CK81" s="150">
        <v>11.2</v>
      </c>
      <c r="CL81" s="150">
        <v>11.4</v>
      </c>
      <c r="CM81" s="150">
        <v>11.6</v>
      </c>
      <c r="CN81" s="150">
        <v>11.8</v>
      </c>
      <c r="CO81" s="150">
        <v>12</v>
      </c>
      <c r="CP81" s="150">
        <v>12.2</v>
      </c>
      <c r="CQ81" s="150">
        <v>12.4</v>
      </c>
      <c r="CR81" s="150">
        <v>12.6</v>
      </c>
      <c r="CS81" s="150">
        <v>12.8</v>
      </c>
      <c r="CT81" s="150">
        <v>13</v>
      </c>
      <c r="CU81" s="150">
        <v>13.2</v>
      </c>
      <c r="CV81" s="150">
        <v>13.4</v>
      </c>
      <c r="CW81" s="150">
        <v>13.6</v>
      </c>
      <c r="CX81" s="150">
        <v>13.8</v>
      </c>
      <c r="CY81" s="150">
        <v>14</v>
      </c>
      <c r="CZ81" s="150">
        <v>14.2</v>
      </c>
      <c r="DA81" s="150">
        <v>14.4</v>
      </c>
      <c r="DB81" s="150">
        <v>14.6</v>
      </c>
      <c r="DC81" s="150">
        <v>14.8</v>
      </c>
      <c r="DD81" s="150">
        <v>15</v>
      </c>
      <c r="DE81" s="150">
        <v>15.2</v>
      </c>
      <c r="DF81" s="150">
        <v>15.4</v>
      </c>
      <c r="DG81" s="150">
        <v>15.6</v>
      </c>
      <c r="DH81" s="150">
        <v>15.8</v>
      </c>
      <c r="DI81" s="150">
        <v>16</v>
      </c>
      <c r="DJ81" s="150">
        <v>16.2</v>
      </c>
      <c r="DK81" s="150">
        <v>16.399999999999999</v>
      </c>
      <c r="DL81" s="150">
        <v>16.600000000000001</v>
      </c>
      <c r="DM81" s="150">
        <v>16.8</v>
      </c>
      <c r="DN81" s="150">
        <v>17</v>
      </c>
      <c r="DO81" s="150">
        <v>17.2</v>
      </c>
      <c r="DP81" s="150">
        <v>17.399999999999999</v>
      </c>
      <c r="DQ81" s="150">
        <v>17.600000000000001</v>
      </c>
      <c r="DR81" s="150">
        <v>17.8</v>
      </c>
      <c r="DS81" s="150">
        <v>18</v>
      </c>
      <c r="DT81" s="150">
        <v>18.2</v>
      </c>
      <c r="DU81" s="150">
        <v>18.399999999999999</v>
      </c>
      <c r="DV81" s="150">
        <v>18.600000000000001</v>
      </c>
      <c r="DW81" s="150">
        <v>18.8</v>
      </c>
      <c r="DX81" s="150">
        <v>19</v>
      </c>
      <c r="DY81" s="150">
        <v>19.2</v>
      </c>
      <c r="DZ81" s="150">
        <v>19.399999999999999</v>
      </c>
      <c r="EA81" s="150">
        <v>19.600000000000001</v>
      </c>
      <c r="EB81" s="150">
        <v>19.8</v>
      </c>
      <c r="EC81" s="150">
        <v>20</v>
      </c>
      <c r="ED81" s="150">
        <v>20.2</v>
      </c>
      <c r="EE81" s="150">
        <v>20.399999999999999</v>
      </c>
      <c r="EF81" s="150">
        <v>20.6</v>
      </c>
      <c r="EG81" s="150">
        <v>20.799999999999951</v>
      </c>
      <c r="EH81" s="150">
        <v>21</v>
      </c>
      <c r="EI81" s="150">
        <v>21.19999999999995</v>
      </c>
      <c r="EJ81" s="150">
        <v>21.4</v>
      </c>
      <c r="EK81" s="150">
        <v>21.599999999999948</v>
      </c>
    </row>
    <row r="82" spans="1:141" ht="13.2" x14ac:dyDescent="0.25">
      <c r="A82" s="149">
        <v>39142</v>
      </c>
      <c r="B82" s="219">
        <v>-1.7785964148750009</v>
      </c>
      <c r="C82" s="219">
        <v>-1.7482952255625008</v>
      </c>
      <c r="D82" s="219">
        <v>-1.7179940362500008</v>
      </c>
      <c r="E82" s="219">
        <v>-1.6876928469375008</v>
      </c>
      <c r="F82" s="219">
        <v>-1.6573916576250007</v>
      </c>
      <c r="G82" s="219">
        <v>-1.6270904683125007</v>
      </c>
      <c r="H82" s="219">
        <v>-1.5967892790000007</v>
      </c>
      <c r="I82" s="219">
        <v>-1.5664880896875006</v>
      </c>
      <c r="J82" s="219">
        <v>-1.5361869003750006</v>
      </c>
      <c r="K82" s="219">
        <v>-1.5058857110625006</v>
      </c>
      <c r="L82" s="219">
        <v>-1.4755845217500005</v>
      </c>
      <c r="M82" s="219">
        <v>-1.4452833324375005</v>
      </c>
      <c r="N82" s="219">
        <v>-1.4149821431250005</v>
      </c>
      <c r="O82" s="219">
        <v>-1.3846809538125004</v>
      </c>
      <c r="P82" s="219">
        <v>-1.3543797645000004</v>
      </c>
      <c r="Q82" s="219">
        <v>-1.3240785751875004</v>
      </c>
      <c r="R82" s="219">
        <v>-1.2937773858750004</v>
      </c>
      <c r="S82" s="219">
        <v>-1.2634761965625003</v>
      </c>
      <c r="T82" s="219">
        <v>-1.2331750072500003</v>
      </c>
      <c r="U82" s="219">
        <v>-1.2028738179375003</v>
      </c>
      <c r="V82" s="220">
        <v>-1.1725726286250002</v>
      </c>
      <c r="W82" s="219">
        <v>-1.1422714393125002</v>
      </c>
      <c r="X82" s="220">
        <v>-1.1119702500000002</v>
      </c>
      <c r="Y82" s="219">
        <v>-1.0832351250000003</v>
      </c>
      <c r="Z82" s="220">
        <v>-1.0545000000000002</v>
      </c>
      <c r="AA82" s="219">
        <v>-1.0272500000000002</v>
      </c>
      <c r="AB82" s="221">
        <v>-1</v>
      </c>
      <c r="AC82" s="219">
        <v>-0.8</v>
      </c>
      <c r="AD82" s="221">
        <v>-0.6</v>
      </c>
      <c r="AE82" s="219">
        <v>-0.4</v>
      </c>
      <c r="AF82" s="219">
        <v>-0.2</v>
      </c>
      <c r="AG82" s="150">
        <v>0</v>
      </c>
      <c r="AH82" s="150">
        <v>0.2</v>
      </c>
      <c r="AI82" s="150">
        <v>0.4</v>
      </c>
      <c r="AJ82" s="150">
        <v>0.6</v>
      </c>
      <c r="AK82" s="150">
        <v>0.8</v>
      </c>
      <c r="AL82" s="150">
        <v>1</v>
      </c>
      <c r="AM82" s="150">
        <v>1.2</v>
      </c>
      <c r="AN82" s="150">
        <v>1.4</v>
      </c>
      <c r="AO82" s="150">
        <v>1.6</v>
      </c>
      <c r="AP82" s="150">
        <v>1.8</v>
      </c>
      <c r="AQ82" s="150">
        <v>2</v>
      </c>
      <c r="AR82" s="150">
        <v>2.2000000000000002</v>
      </c>
      <c r="AS82" s="150">
        <v>2.4</v>
      </c>
      <c r="AT82" s="150">
        <v>2.6</v>
      </c>
      <c r="AU82" s="150">
        <v>2.8</v>
      </c>
      <c r="AV82" s="150">
        <v>3</v>
      </c>
      <c r="AW82" s="150">
        <v>3.2</v>
      </c>
      <c r="AX82" s="150">
        <v>3.4</v>
      </c>
      <c r="AY82" s="150">
        <v>3.6</v>
      </c>
      <c r="AZ82" s="150">
        <v>3.8</v>
      </c>
      <c r="BA82" s="150">
        <v>4</v>
      </c>
      <c r="BB82" s="150">
        <v>4.2</v>
      </c>
      <c r="BC82" s="150">
        <v>4.4000000000000004</v>
      </c>
      <c r="BD82" s="150">
        <v>4.5999999999999996</v>
      </c>
      <c r="BE82" s="150">
        <v>4.8</v>
      </c>
      <c r="BF82" s="150">
        <v>5</v>
      </c>
      <c r="BG82" s="150">
        <v>5.2</v>
      </c>
      <c r="BH82" s="150">
        <v>5.4</v>
      </c>
      <c r="BI82" s="150">
        <v>5.6</v>
      </c>
      <c r="BJ82" s="150">
        <v>5.8</v>
      </c>
      <c r="BK82" s="150">
        <v>6</v>
      </c>
      <c r="BL82" s="150">
        <v>6.2</v>
      </c>
      <c r="BM82" s="150">
        <v>6.4</v>
      </c>
      <c r="BN82" s="150">
        <v>6.6</v>
      </c>
      <c r="BO82" s="150">
        <v>6.8</v>
      </c>
      <c r="BP82" s="150">
        <v>7</v>
      </c>
      <c r="BQ82" s="150">
        <v>7.2</v>
      </c>
      <c r="BR82" s="150">
        <v>7.4</v>
      </c>
      <c r="BS82" s="150">
        <v>7.6</v>
      </c>
      <c r="BT82" s="150">
        <v>7.8</v>
      </c>
      <c r="BU82" s="150">
        <v>8</v>
      </c>
      <c r="BV82" s="150">
        <v>8.1999999999999993</v>
      </c>
      <c r="BW82" s="150">
        <v>8.4</v>
      </c>
      <c r="BX82" s="150">
        <v>8.6</v>
      </c>
      <c r="BY82" s="150">
        <v>8.7999999999999936</v>
      </c>
      <c r="BZ82" s="150">
        <v>9</v>
      </c>
      <c r="CA82" s="150">
        <v>9.1999999999999922</v>
      </c>
      <c r="CB82" s="150">
        <v>9.4</v>
      </c>
      <c r="CC82" s="150">
        <v>9.5999999999999908</v>
      </c>
      <c r="CD82" s="150">
        <v>9.8000000000000007</v>
      </c>
      <c r="CE82" s="150">
        <v>9.9999999999999893</v>
      </c>
      <c r="CF82" s="150">
        <v>10.199999999999999</v>
      </c>
      <c r="CG82" s="150">
        <v>10.4</v>
      </c>
      <c r="CH82" s="150">
        <v>10.6</v>
      </c>
      <c r="CI82" s="150">
        <v>10.8</v>
      </c>
      <c r="CJ82" s="150">
        <v>11</v>
      </c>
      <c r="CK82" s="150">
        <v>11.2</v>
      </c>
      <c r="CL82" s="150">
        <v>11.4</v>
      </c>
      <c r="CM82" s="150">
        <v>11.6</v>
      </c>
      <c r="CN82" s="150">
        <v>11.8</v>
      </c>
      <c r="CO82" s="150">
        <v>12</v>
      </c>
      <c r="CP82" s="150">
        <v>12.2</v>
      </c>
      <c r="CQ82" s="150">
        <v>12.4</v>
      </c>
      <c r="CR82" s="150">
        <v>12.6</v>
      </c>
      <c r="CS82" s="150">
        <v>12.8</v>
      </c>
      <c r="CT82" s="150">
        <v>13</v>
      </c>
      <c r="CU82" s="150">
        <v>13.2</v>
      </c>
      <c r="CV82" s="150">
        <v>13.4</v>
      </c>
      <c r="CW82" s="150">
        <v>13.6</v>
      </c>
      <c r="CX82" s="150">
        <v>13.8</v>
      </c>
      <c r="CY82" s="150">
        <v>14</v>
      </c>
      <c r="CZ82" s="150">
        <v>14.2</v>
      </c>
      <c r="DA82" s="150">
        <v>14.4</v>
      </c>
      <c r="DB82" s="150">
        <v>14.6</v>
      </c>
      <c r="DC82" s="150">
        <v>14.8</v>
      </c>
      <c r="DD82" s="150">
        <v>15</v>
      </c>
      <c r="DE82" s="150">
        <v>15.2</v>
      </c>
      <c r="DF82" s="150">
        <v>15.4</v>
      </c>
      <c r="DG82" s="150">
        <v>15.6</v>
      </c>
      <c r="DH82" s="150">
        <v>15.8</v>
      </c>
      <c r="DI82" s="150">
        <v>16</v>
      </c>
      <c r="DJ82" s="150">
        <v>16.2</v>
      </c>
      <c r="DK82" s="150">
        <v>16.399999999999999</v>
      </c>
      <c r="DL82" s="150">
        <v>16.600000000000001</v>
      </c>
      <c r="DM82" s="150">
        <v>16.8</v>
      </c>
      <c r="DN82" s="150">
        <v>17</v>
      </c>
      <c r="DO82" s="150">
        <v>17.2</v>
      </c>
      <c r="DP82" s="150">
        <v>17.399999999999999</v>
      </c>
      <c r="DQ82" s="150">
        <v>17.600000000000001</v>
      </c>
      <c r="DR82" s="150">
        <v>17.8</v>
      </c>
      <c r="DS82" s="150">
        <v>18</v>
      </c>
      <c r="DT82" s="150">
        <v>18.2</v>
      </c>
      <c r="DU82" s="150">
        <v>18.399999999999999</v>
      </c>
      <c r="DV82" s="150">
        <v>18.600000000000001</v>
      </c>
      <c r="DW82" s="150">
        <v>18.8</v>
      </c>
      <c r="DX82" s="150">
        <v>19</v>
      </c>
      <c r="DY82" s="150">
        <v>19.2</v>
      </c>
      <c r="DZ82" s="150">
        <v>19.399999999999999</v>
      </c>
      <c r="EA82" s="150">
        <v>19.600000000000001</v>
      </c>
      <c r="EB82" s="150">
        <v>19.8</v>
      </c>
      <c r="EC82" s="150">
        <v>20</v>
      </c>
      <c r="ED82" s="150">
        <v>20.2</v>
      </c>
      <c r="EE82" s="150">
        <v>20.399999999999999</v>
      </c>
      <c r="EF82" s="150">
        <v>20.6</v>
      </c>
      <c r="EG82" s="150">
        <v>20.799999999999951</v>
      </c>
      <c r="EH82" s="150">
        <v>21</v>
      </c>
      <c r="EI82" s="150">
        <v>21.19999999999995</v>
      </c>
      <c r="EJ82" s="150">
        <v>21.4</v>
      </c>
      <c r="EK82" s="150">
        <v>21.599999999999948</v>
      </c>
    </row>
    <row r="83" spans="1:141" ht="13.2" x14ac:dyDescent="0.25">
      <c r="A83" s="149">
        <v>39173</v>
      </c>
      <c r="B83" s="219">
        <v>-1.7785964148750009</v>
      </c>
      <c r="C83" s="219">
        <v>-1.7482952255625008</v>
      </c>
      <c r="D83" s="219">
        <v>-1.7179940362500008</v>
      </c>
      <c r="E83" s="219">
        <v>-1.6876928469375008</v>
      </c>
      <c r="F83" s="219">
        <v>-1.6573916576250007</v>
      </c>
      <c r="G83" s="219">
        <v>-1.6270904683125007</v>
      </c>
      <c r="H83" s="219">
        <v>-1.5967892790000007</v>
      </c>
      <c r="I83" s="219">
        <v>-1.5664880896875006</v>
      </c>
      <c r="J83" s="219">
        <v>-1.5361869003750006</v>
      </c>
      <c r="K83" s="219">
        <v>-1.5058857110625006</v>
      </c>
      <c r="L83" s="219">
        <v>-1.4755845217500005</v>
      </c>
      <c r="M83" s="219">
        <v>-1.4452833324375005</v>
      </c>
      <c r="N83" s="219">
        <v>-1.4149821431250005</v>
      </c>
      <c r="O83" s="219">
        <v>-1.3846809538125004</v>
      </c>
      <c r="P83" s="219">
        <v>-1.3543797645000004</v>
      </c>
      <c r="Q83" s="219">
        <v>-1.3240785751875004</v>
      </c>
      <c r="R83" s="219">
        <v>-1.2937773858750004</v>
      </c>
      <c r="S83" s="219">
        <v>-1.2634761965625003</v>
      </c>
      <c r="T83" s="219">
        <v>-1.2331750072500003</v>
      </c>
      <c r="U83" s="219">
        <v>-1.2028738179375003</v>
      </c>
      <c r="V83" s="220">
        <v>-1.1725726286250002</v>
      </c>
      <c r="W83" s="219">
        <v>-1.1422714393125002</v>
      </c>
      <c r="X83" s="220">
        <v>-1.1119702500000002</v>
      </c>
      <c r="Y83" s="219">
        <v>-1.0832351250000003</v>
      </c>
      <c r="Z83" s="220">
        <v>-1.0545000000000002</v>
      </c>
      <c r="AA83" s="219">
        <v>-1.0272500000000002</v>
      </c>
      <c r="AB83" s="221">
        <v>-1</v>
      </c>
      <c r="AC83" s="219">
        <v>-0.8</v>
      </c>
      <c r="AD83" s="221">
        <v>-0.6</v>
      </c>
      <c r="AE83" s="219">
        <v>-0.4</v>
      </c>
      <c r="AF83" s="219">
        <v>-0.2</v>
      </c>
      <c r="AG83" s="150">
        <v>0</v>
      </c>
      <c r="AH83" s="150">
        <v>0.2</v>
      </c>
      <c r="AI83" s="150">
        <v>0.4</v>
      </c>
      <c r="AJ83" s="150">
        <v>0.6</v>
      </c>
      <c r="AK83" s="150">
        <v>0.8</v>
      </c>
      <c r="AL83" s="150">
        <v>1</v>
      </c>
      <c r="AM83" s="150">
        <v>1.2</v>
      </c>
      <c r="AN83" s="150">
        <v>1.4</v>
      </c>
      <c r="AO83" s="150">
        <v>1.6</v>
      </c>
      <c r="AP83" s="150">
        <v>1.8</v>
      </c>
      <c r="AQ83" s="150">
        <v>2</v>
      </c>
      <c r="AR83" s="150">
        <v>2.2000000000000002</v>
      </c>
      <c r="AS83" s="150">
        <v>2.4</v>
      </c>
      <c r="AT83" s="150">
        <v>2.6</v>
      </c>
      <c r="AU83" s="150">
        <v>2.8</v>
      </c>
      <c r="AV83" s="150">
        <v>3</v>
      </c>
      <c r="AW83" s="150">
        <v>3.2</v>
      </c>
      <c r="AX83" s="150">
        <v>3.4</v>
      </c>
      <c r="AY83" s="150">
        <v>3.6</v>
      </c>
      <c r="AZ83" s="150">
        <v>3.8</v>
      </c>
      <c r="BA83" s="150">
        <v>4</v>
      </c>
      <c r="BB83" s="150">
        <v>4.2</v>
      </c>
      <c r="BC83" s="150">
        <v>4.4000000000000004</v>
      </c>
      <c r="BD83" s="150">
        <v>4.5999999999999996</v>
      </c>
      <c r="BE83" s="150">
        <v>4.8</v>
      </c>
      <c r="BF83" s="150">
        <v>5</v>
      </c>
      <c r="BG83" s="150">
        <v>5.2</v>
      </c>
      <c r="BH83" s="150">
        <v>5.4</v>
      </c>
      <c r="BI83" s="150">
        <v>5.6</v>
      </c>
      <c r="BJ83" s="150">
        <v>5.8</v>
      </c>
      <c r="BK83" s="150">
        <v>6</v>
      </c>
      <c r="BL83" s="150">
        <v>6.2</v>
      </c>
      <c r="BM83" s="150">
        <v>6.4</v>
      </c>
      <c r="BN83" s="150">
        <v>6.6</v>
      </c>
      <c r="BO83" s="150">
        <v>6.8</v>
      </c>
      <c r="BP83" s="150">
        <v>7</v>
      </c>
      <c r="BQ83" s="150">
        <v>7.2</v>
      </c>
      <c r="BR83" s="150">
        <v>7.4</v>
      </c>
      <c r="BS83" s="150">
        <v>7.6</v>
      </c>
      <c r="BT83" s="150">
        <v>7.8</v>
      </c>
      <c r="BU83" s="150">
        <v>8</v>
      </c>
      <c r="BV83" s="150">
        <v>8.1999999999999993</v>
      </c>
      <c r="BW83" s="150">
        <v>8.4</v>
      </c>
      <c r="BX83" s="150">
        <v>8.6</v>
      </c>
      <c r="BY83" s="150">
        <v>8.7999999999999936</v>
      </c>
      <c r="BZ83" s="150">
        <v>9</v>
      </c>
      <c r="CA83" s="150">
        <v>9.1999999999999922</v>
      </c>
      <c r="CB83" s="150">
        <v>9.4</v>
      </c>
      <c r="CC83" s="150">
        <v>9.5999999999999908</v>
      </c>
      <c r="CD83" s="150">
        <v>9.8000000000000007</v>
      </c>
      <c r="CE83" s="150">
        <v>9.9999999999999893</v>
      </c>
      <c r="CF83" s="150">
        <v>10.199999999999999</v>
      </c>
      <c r="CG83" s="150">
        <v>10.4</v>
      </c>
      <c r="CH83" s="150">
        <v>10.6</v>
      </c>
      <c r="CI83" s="150">
        <v>10.8</v>
      </c>
      <c r="CJ83" s="150">
        <v>11</v>
      </c>
      <c r="CK83" s="150">
        <v>11.2</v>
      </c>
      <c r="CL83" s="150">
        <v>11.4</v>
      </c>
      <c r="CM83" s="150">
        <v>11.6</v>
      </c>
      <c r="CN83" s="150">
        <v>11.8</v>
      </c>
      <c r="CO83" s="150">
        <v>12</v>
      </c>
      <c r="CP83" s="150">
        <v>12.2</v>
      </c>
      <c r="CQ83" s="150">
        <v>12.4</v>
      </c>
      <c r="CR83" s="150">
        <v>12.6</v>
      </c>
      <c r="CS83" s="150">
        <v>12.8</v>
      </c>
      <c r="CT83" s="150">
        <v>13</v>
      </c>
      <c r="CU83" s="150">
        <v>13.2</v>
      </c>
      <c r="CV83" s="150">
        <v>13.4</v>
      </c>
      <c r="CW83" s="150">
        <v>13.6</v>
      </c>
      <c r="CX83" s="150">
        <v>13.8</v>
      </c>
      <c r="CY83" s="150">
        <v>14</v>
      </c>
      <c r="CZ83" s="150">
        <v>14.2</v>
      </c>
      <c r="DA83" s="150">
        <v>14.4</v>
      </c>
      <c r="DB83" s="150">
        <v>14.6</v>
      </c>
      <c r="DC83" s="150">
        <v>14.8</v>
      </c>
      <c r="DD83" s="150">
        <v>15</v>
      </c>
      <c r="DE83" s="150">
        <v>15.2</v>
      </c>
      <c r="DF83" s="150">
        <v>15.4</v>
      </c>
      <c r="DG83" s="150">
        <v>15.6</v>
      </c>
      <c r="DH83" s="150">
        <v>15.8</v>
      </c>
      <c r="DI83" s="150">
        <v>16</v>
      </c>
      <c r="DJ83" s="150">
        <v>16.2</v>
      </c>
      <c r="DK83" s="150">
        <v>16.399999999999999</v>
      </c>
      <c r="DL83" s="150">
        <v>16.600000000000001</v>
      </c>
      <c r="DM83" s="150">
        <v>16.8</v>
      </c>
      <c r="DN83" s="150">
        <v>17</v>
      </c>
      <c r="DO83" s="150">
        <v>17.2</v>
      </c>
      <c r="DP83" s="150">
        <v>17.399999999999999</v>
      </c>
      <c r="DQ83" s="150">
        <v>17.600000000000001</v>
      </c>
      <c r="DR83" s="150">
        <v>17.8</v>
      </c>
      <c r="DS83" s="150">
        <v>18</v>
      </c>
      <c r="DT83" s="150">
        <v>18.2</v>
      </c>
      <c r="DU83" s="150">
        <v>18.399999999999999</v>
      </c>
      <c r="DV83" s="150">
        <v>18.600000000000001</v>
      </c>
      <c r="DW83" s="150">
        <v>18.8</v>
      </c>
      <c r="DX83" s="150">
        <v>19</v>
      </c>
      <c r="DY83" s="150">
        <v>19.2</v>
      </c>
      <c r="DZ83" s="150">
        <v>19.399999999999999</v>
      </c>
      <c r="EA83" s="150">
        <v>19.600000000000001</v>
      </c>
      <c r="EB83" s="150">
        <v>19.8</v>
      </c>
      <c r="EC83" s="150">
        <v>20</v>
      </c>
      <c r="ED83" s="150">
        <v>20.2</v>
      </c>
      <c r="EE83" s="150">
        <v>20.399999999999999</v>
      </c>
      <c r="EF83" s="150">
        <v>20.6</v>
      </c>
      <c r="EG83" s="150">
        <v>20.799999999999951</v>
      </c>
      <c r="EH83" s="150">
        <v>21</v>
      </c>
      <c r="EI83" s="150">
        <v>21.19999999999995</v>
      </c>
      <c r="EJ83" s="150">
        <v>21.4</v>
      </c>
      <c r="EK83" s="150">
        <v>21.599999999999948</v>
      </c>
    </row>
    <row r="84" spans="1:141" ht="13.2" x14ac:dyDescent="0.25">
      <c r="A84" s="149">
        <v>39203</v>
      </c>
      <c r="B84" s="219">
        <v>-1.7785964148750009</v>
      </c>
      <c r="C84" s="219">
        <v>-1.7482952255625008</v>
      </c>
      <c r="D84" s="219">
        <v>-1.7179940362500008</v>
      </c>
      <c r="E84" s="219">
        <v>-1.6876928469375008</v>
      </c>
      <c r="F84" s="219">
        <v>-1.6573916576250007</v>
      </c>
      <c r="G84" s="219">
        <v>-1.6270904683125007</v>
      </c>
      <c r="H84" s="219">
        <v>-1.5967892790000007</v>
      </c>
      <c r="I84" s="219">
        <v>-1.5664880896875006</v>
      </c>
      <c r="J84" s="219">
        <v>-1.5361869003750006</v>
      </c>
      <c r="K84" s="219">
        <v>-1.5058857110625006</v>
      </c>
      <c r="L84" s="219">
        <v>-1.4755845217500005</v>
      </c>
      <c r="M84" s="219">
        <v>-1.4452833324375005</v>
      </c>
      <c r="N84" s="219">
        <v>-1.4149821431250005</v>
      </c>
      <c r="O84" s="219">
        <v>-1.3846809538125004</v>
      </c>
      <c r="P84" s="219">
        <v>-1.3543797645000004</v>
      </c>
      <c r="Q84" s="219">
        <v>-1.3240785751875004</v>
      </c>
      <c r="R84" s="219">
        <v>-1.2937773858750004</v>
      </c>
      <c r="S84" s="219">
        <v>-1.2634761965625003</v>
      </c>
      <c r="T84" s="219">
        <v>-1.2331750072500003</v>
      </c>
      <c r="U84" s="219">
        <v>-1.2028738179375003</v>
      </c>
      <c r="V84" s="220">
        <v>-1.1725726286250002</v>
      </c>
      <c r="W84" s="219">
        <v>-1.1422714393125002</v>
      </c>
      <c r="X84" s="220">
        <v>-1.1119702500000002</v>
      </c>
      <c r="Y84" s="219">
        <v>-1.0832351250000003</v>
      </c>
      <c r="Z84" s="220">
        <v>-1.0545000000000002</v>
      </c>
      <c r="AA84" s="219">
        <v>-1.0272500000000002</v>
      </c>
      <c r="AB84" s="221">
        <v>-1</v>
      </c>
      <c r="AC84" s="219">
        <v>-0.8</v>
      </c>
      <c r="AD84" s="221">
        <v>-0.6</v>
      </c>
      <c r="AE84" s="219">
        <v>-0.4</v>
      </c>
      <c r="AF84" s="219">
        <v>-0.2</v>
      </c>
      <c r="AG84" s="150">
        <v>0</v>
      </c>
      <c r="AH84" s="150">
        <v>0.2</v>
      </c>
      <c r="AI84" s="150">
        <v>0.4</v>
      </c>
      <c r="AJ84" s="150">
        <v>0.6</v>
      </c>
      <c r="AK84" s="150">
        <v>0.8</v>
      </c>
      <c r="AL84" s="150">
        <v>1</v>
      </c>
      <c r="AM84" s="150">
        <v>1.2</v>
      </c>
      <c r="AN84" s="150">
        <v>1.4</v>
      </c>
      <c r="AO84" s="150">
        <v>1.6</v>
      </c>
      <c r="AP84" s="150">
        <v>1.8</v>
      </c>
      <c r="AQ84" s="150">
        <v>2</v>
      </c>
      <c r="AR84" s="150">
        <v>2.2000000000000002</v>
      </c>
      <c r="AS84" s="150">
        <v>2.4</v>
      </c>
      <c r="AT84" s="150">
        <v>2.6</v>
      </c>
      <c r="AU84" s="150">
        <v>2.8</v>
      </c>
      <c r="AV84" s="150">
        <v>3</v>
      </c>
      <c r="AW84" s="150">
        <v>3.2</v>
      </c>
      <c r="AX84" s="150">
        <v>3.4</v>
      </c>
      <c r="AY84" s="150">
        <v>3.6</v>
      </c>
      <c r="AZ84" s="150">
        <v>3.8</v>
      </c>
      <c r="BA84" s="150">
        <v>4</v>
      </c>
      <c r="BB84" s="150">
        <v>4.2</v>
      </c>
      <c r="BC84" s="150">
        <v>4.4000000000000004</v>
      </c>
      <c r="BD84" s="150">
        <v>4.5999999999999996</v>
      </c>
      <c r="BE84" s="150">
        <v>4.8</v>
      </c>
      <c r="BF84" s="150">
        <v>5</v>
      </c>
      <c r="BG84" s="150">
        <v>5.2</v>
      </c>
      <c r="BH84" s="150">
        <v>5.4</v>
      </c>
      <c r="BI84" s="150">
        <v>5.6</v>
      </c>
      <c r="BJ84" s="150">
        <v>5.8</v>
      </c>
      <c r="BK84" s="150">
        <v>6</v>
      </c>
      <c r="BL84" s="150">
        <v>6.2</v>
      </c>
      <c r="BM84" s="150">
        <v>6.4</v>
      </c>
      <c r="BN84" s="150">
        <v>6.6</v>
      </c>
      <c r="BO84" s="150">
        <v>6.8</v>
      </c>
      <c r="BP84" s="150">
        <v>7</v>
      </c>
      <c r="BQ84" s="150">
        <v>7.2</v>
      </c>
      <c r="BR84" s="150">
        <v>7.4</v>
      </c>
      <c r="BS84" s="150">
        <v>7.6</v>
      </c>
      <c r="BT84" s="150">
        <v>7.8</v>
      </c>
      <c r="BU84" s="150">
        <v>8</v>
      </c>
      <c r="BV84" s="150">
        <v>8.1999999999999993</v>
      </c>
      <c r="BW84" s="150">
        <v>8.4</v>
      </c>
      <c r="BX84" s="150">
        <v>8.6</v>
      </c>
      <c r="BY84" s="150">
        <v>8.7999999999999936</v>
      </c>
      <c r="BZ84" s="150">
        <v>9</v>
      </c>
      <c r="CA84" s="150">
        <v>9.1999999999999922</v>
      </c>
      <c r="CB84" s="150">
        <v>9.4</v>
      </c>
      <c r="CC84" s="150">
        <v>9.5999999999999908</v>
      </c>
      <c r="CD84" s="150">
        <v>9.8000000000000007</v>
      </c>
      <c r="CE84" s="150">
        <v>9.9999999999999893</v>
      </c>
      <c r="CF84" s="150">
        <v>10.199999999999999</v>
      </c>
      <c r="CG84" s="150">
        <v>10.4</v>
      </c>
      <c r="CH84" s="150">
        <v>10.6</v>
      </c>
      <c r="CI84" s="150">
        <v>10.8</v>
      </c>
      <c r="CJ84" s="150">
        <v>11</v>
      </c>
      <c r="CK84" s="150">
        <v>11.2</v>
      </c>
      <c r="CL84" s="150">
        <v>11.4</v>
      </c>
      <c r="CM84" s="150">
        <v>11.6</v>
      </c>
      <c r="CN84" s="150">
        <v>11.8</v>
      </c>
      <c r="CO84" s="150">
        <v>12</v>
      </c>
      <c r="CP84" s="150">
        <v>12.2</v>
      </c>
      <c r="CQ84" s="150">
        <v>12.4</v>
      </c>
      <c r="CR84" s="150">
        <v>12.6</v>
      </c>
      <c r="CS84" s="150">
        <v>12.8</v>
      </c>
      <c r="CT84" s="150">
        <v>13</v>
      </c>
      <c r="CU84" s="150">
        <v>13.2</v>
      </c>
      <c r="CV84" s="150">
        <v>13.4</v>
      </c>
      <c r="CW84" s="150">
        <v>13.6</v>
      </c>
      <c r="CX84" s="150">
        <v>13.8</v>
      </c>
      <c r="CY84" s="150">
        <v>14</v>
      </c>
      <c r="CZ84" s="150">
        <v>14.2</v>
      </c>
      <c r="DA84" s="150">
        <v>14.4</v>
      </c>
      <c r="DB84" s="150">
        <v>14.6</v>
      </c>
      <c r="DC84" s="150">
        <v>14.8</v>
      </c>
      <c r="DD84" s="150">
        <v>15</v>
      </c>
      <c r="DE84" s="150">
        <v>15.2</v>
      </c>
      <c r="DF84" s="150">
        <v>15.4</v>
      </c>
      <c r="DG84" s="150">
        <v>15.6</v>
      </c>
      <c r="DH84" s="150">
        <v>15.8</v>
      </c>
      <c r="DI84" s="150">
        <v>16</v>
      </c>
      <c r="DJ84" s="150">
        <v>16.2</v>
      </c>
      <c r="DK84" s="150">
        <v>16.399999999999999</v>
      </c>
      <c r="DL84" s="150">
        <v>16.600000000000001</v>
      </c>
      <c r="DM84" s="150">
        <v>16.8</v>
      </c>
      <c r="DN84" s="150">
        <v>17</v>
      </c>
      <c r="DO84" s="150">
        <v>17.2</v>
      </c>
      <c r="DP84" s="150">
        <v>17.399999999999999</v>
      </c>
      <c r="DQ84" s="150">
        <v>17.600000000000001</v>
      </c>
      <c r="DR84" s="150">
        <v>17.8</v>
      </c>
      <c r="DS84" s="150">
        <v>18</v>
      </c>
      <c r="DT84" s="150">
        <v>18.2</v>
      </c>
      <c r="DU84" s="150">
        <v>18.399999999999999</v>
      </c>
      <c r="DV84" s="150">
        <v>18.600000000000001</v>
      </c>
      <c r="DW84" s="150">
        <v>18.8</v>
      </c>
      <c r="DX84" s="150">
        <v>19</v>
      </c>
      <c r="DY84" s="150">
        <v>19.2</v>
      </c>
      <c r="DZ84" s="150">
        <v>19.399999999999999</v>
      </c>
      <c r="EA84" s="150">
        <v>19.600000000000001</v>
      </c>
      <c r="EB84" s="150">
        <v>19.8</v>
      </c>
      <c r="EC84" s="150">
        <v>20</v>
      </c>
      <c r="ED84" s="150">
        <v>20.2</v>
      </c>
      <c r="EE84" s="150">
        <v>20.399999999999999</v>
      </c>
      <c r="EF84" s="150">
        <v>20.6</v>
      </c>
      <c r="EG84" s="150">
        <v>20.799999999999951</v>
      </c>
      <c r="EH84" s="150">
        <v>21</v>
      </c>
      <c r="EI84" s="150">
        <v>21.19999999999995</v>
      </c>
      <c r="EJ84" s="150">
        <v>21.4</v>
      </c>
      <c r="EK84" s="150">
        <v>21.599999999999948</v>
      </c>
    </row>
    <row r="85" spans="1:141" ht="13.2" x14ac:dyDescent="0.25">
      <c r="A85" s="149">
        <v>39234</v>
      </c>
      <c r="B85" s="219">
        <v>-1.7785964148750009</v>
      </c>
      <c r="C85" s="219">
        <v>-1.7482952255625008</v>
      </c>
      <c r="D85" s="219">
        <v>-1.7179940362500008</v>
      </c>
      <c r="E85" s="219">
        <v>-1.6876928469375008</v>
      </c>
      <c r="F85" s="219">
        <v>-1.6573916576250007</v>
      </c>
      <c r="G85" s="219">
        <v>-1.6270904683125007</v>
      </c>
      <c r="H85" s="219">
        <v>-1.5967892790000007</v>
      </c>
      <c r="I85" s="219">
        <v>-1.5664880896875006</v>
      </c>
      <c r="J85" s="219">
        <v>-1.5361869003750006</v>
      </c>
      <c r="K85" s="219">
        <v>-1.5058857110625006</v>
      </c>
      <c r="L85" s="219">
        <v>-1.4755845217500005</v>
      </c>
      <c r="M85" s="219">
        <v>-1.4452833324375005</v>
      </c>
      <c r="N85" s="219">
        <v>-1.4149821431250005</v>
      </c>
      <c r="O85" s="219">
        <v>-1.3846809538125004</v>
      </c>
      <c r="P85" s="219">
        <v>-1.3543797645000004</v>
      </c>
      <c r="Q85" s="219">
        <v>-1.3240785751875004</v>
      </c>
      <c r="R85" s="219">
        <v>-1.2937773858750004</v>
      </c>
      <c r="S85" s="219">
        <v>-1.2634761965625003</v>
      </c>
      <c r="T85" s="219">
        <v>-1.2331750072500003</v>
      </c>
      <c r="U85" s="219">
        <v>-1.2028738179375003</v>
      </c>
      <c r="V85" s="220">
        <v>-1.1725726286250002</v>
      </c>
      <c r="W85" s="219">
        <v>-1.1422714393125002</v>
      </c>
      <c r="X85" s="220">
        <v>-1.1119702500000002</v>
      </c>
      <c r="Y85" s="219">
        <v>-1.0832351250000003</v>
      </c>
      <c r="Z85" s="220">
        <v>-1.0545000000000002</v>
      </c>
      <c r="AA85" s="219">
        <v>-1.0272500000000002</v>
      </c>
      <c r="AB85" s="221">
        <v>-1</v>
      </c>
      <c r="AC85" s="219">
        <v>-0.8</v>
      </c>
      <c r="AD85" s="221">
        <v>-0.6</v>
      </c>
      <c r="AE85" s="219">
        <v>-0.4</v>
      </c>
      <c r="AF85" s="219">
        <v>-0.2</v>
      </c>
      <c r="AG85" s="150">
        <v>0</v>
      </c>
      <c r="AH85" s="150">
        <v>0.2</v>
      </c>
      <c r="AI85" s="150">
        <v>0.4</v>
      </c>
      <c r="AJ85" s="150">
        <v>0.6</v>
      </c>
      <c r="AK85" s="150">
        <v>0.8</v>
      </c>
      <c r="AL85" s="150">
        <v>1</v>
      </c>
      <c r="AM85" s="150">
        <v>1.2</v>
      </c>
      <c r="AN85" s="150">
        <v>1.4</v>
      </c>
      <c r="AO85" s="150">
        <v>1.6</v>
      </c>
      <c r="AP85" s="150">
        <v>1.8</v>
      </c>
      <c r="AQ85" s="150">
        <v>2</v>
      </c>
      <c r="AR85" s="150">
        <v>2.2000000000000002</v>
      </c>
      <c r="AS85" s="150">
        <v>2.4</v>
      </c>
      <c r="AT85" s="150">
        <v>2.6</v>
      </c>
      <c r="AU85" s="150">
        <v>2.8</v>
      </c>
      <c r="AV85" s="150">
        <v>3</v>
      </c>
      <c r="AW85" s="150">
        <v>3.2</v>
      </c>
      <c r="AX85" s="150">
        <v>3.4</v>
      </c>
      <c r="AY85" s="150">
        <v>3.6</v>
      </c>
      <c r="AZ85" s="150">
        <v>3.8</v>
      </c>
      <c r="BA85" s="150">
        <v>4</v>
      </c>
      <c r="BB85" s="150">
        <v>4.2</v>
      </c>
      <c r="BC85" s="150">
        <v>4.4000000000000004</v>
      </c>
      <c r="BD85" s="150">
        <v>4.5999999999999996</v>
      </c>
      <c r="BE85" s="150">
        <v>4.8</v>
      </c>
      <c r="BF85" s="150">
        <v>5</v>
      </c>
      <c r="BG85" s="150">
        <v>5.2</v>
      </c>
      <c r="BH85" s="150">
        <v>5.4</v>
      </c>
      <c r="BI85" s="150">
        <v>5.6</v>
      </c>
      <c r="BJ85" s="150">
        <v>5.8</v>
      </c>
      <c r="BK85" s="150">
        <v>6</v>
      </c>
      <c r="BL85" s="150">
        <v>6.2</v>
      </c>
      <c r="BM85" s="150">
        <v>6.4</v>
      </c>
      <c r="BN85" s="150">
        <v>6.6</v>
      </c>
      <c r="BO85" s="150">
        <v>6.8</v>
      </c>
      <c r="BP85" s="150">
        <v>7</v>
      </c>
      <c r="BQ85" s="150">
        <v>7.2</v>
      </c>
      <c r="BR85" s="150">
        <v>7.4</v>
      </c>
      <c r="BS85" s="150">
        <v>7.6</v>
      </c>
      <c r="BT85" s="150">
        <v>7.8</v>
      </c>
      <c r="BU85" s="150">
        <v>8</v>
      </c>
      <c r="BV85" s="150">
        <v>8.1999999999999993</v>
      </c>
      <c r="BW85" s="150">
        <v>8.4</v>
      </c>
      <c r="BX85" s="150">
        <v>8.6</v>
      </c>
      <c r="BY85" s="150">
        <v>8.7999999999999936</v>
      </c>
      <c r="BZ85" s="150">
        <v>9</v>
      </c>
      <c r="CA85" s="150">
        <v>9.1999999999999922</v>
      </c>
      <c r="CB85" s="150">
        <v>9.4</v>
      </c>
      <c r="CC85" s="150">
        <v>9.5999999999999908</v>
      </c>
      <c r="CD85" s="150">
        <v>9.8000000000000007</v>
      </c>
      <c r="CE85" s="150">
        <v>9.9999999999999893</v>
      </c>
      <c r="CF85" s="150">
        <v>10.199999999999999</v>
      </c>
      <c r="CG85" s="150">
        <v>10.4</v>
      </c>
      <c r="CH85" s="150">
        <v>10.6</v>
      </c>
      <c r="CI85" s="150">
        <v>10.8</v>
      </c>
      <c r="CJ85" s="150">
        <v>11</v>
      </c>
      <c r="CK85" s="150">
        <v>11.2</v>
      </c>
      <c r="CL85" s="150">
        <v>11.4</v>
      </c>
      <c r="CM85" s="150">
        <v>11.6</v>
      </c>
      <c r="CN85" s="150">
        <v>11.8</v>
      </c>
      <c r="CO85" s="150">
        <v>12</v>
      </c>
      <c r="CP85" s="150">
        <v>12.2</v>
      </c>
      <c r="CQ85" s="150">
        <v>12.4</v>
      </c>
      <c r="CR85" s="150">
        <v>12.6</v>
      </c>
      <c r="CS85" s="150">
        <v>12.8</v>
      </c>
      <c r="CT85" s="150">
        <v>13</v>
      </c>
      <c r="CU85" s="150">
        <v>13.2</v>
      </c>
      <c r="CV85" s="150">
        <v>13.4</v>
      </c>
      <c r="CW85" s="150">
        <v>13.6</v>
      </c>
      <c r="CX85" s="150">
        <v>13.8</v>
      </c>
      <c r="CY85" s="150">
        <v>14</v>
      </c>
      <c r="CZ85" s="150">
        <v>14.2</v>
      </c>
      <c r="DA85" s="150">
        <v>14.4</v>
      </c>
      <c r="DB85" s="150">
        <v>14.6</v>
      </c>
      <c r="DC85" s="150">
        <v>14.8</v>
      </c>
      <c r="DD85" s="150">
        <v>15</v>
      </c>
      <c r="DE85" s="150">
        <v>15.2</v>
      </c>
      <c r="DF85" s="150">
        <v>15.4</v>
      </c>
      <c r="DG85" s="150">
        <v>15.6</v>
      </c>
      <c r="DH85" s="150">
        <v>15.8</v>
      </c>
      <c r="DI85" s="150">
        <v>16</v>
      </c>
      <c r="DJ85" s="150">
        <v>16.2</v>
      </c>
      <c r="DK85" s="150">
        <v>16.399999999999999</v>
      </c>
      <c r="DL85" s="150">
        <v>16.600000000000001</v>
      </c>
      <c r="DM85" s="150">
        <v>16.8</v>
      </c>
      <c r="DN85" s="150">
        <v>17</v>
      </c>
      <c r="DO85" s="150">
        <v>17.2</v>
      </c>
      <c r="DP85" s="150">
        <v>17.399999999999999</v>
      </c>
      <c r="DQ85" s="150">
        <v>17.600000000000001</v>
      </c>
      <c r="DR85" s="150">
        <v>17.8</v>
      </c>
      <c r="DS85" s="150">
        <v>18</v>
      </c>
      <c r="DT85" s="150">
        <v>18.2</v>
      </c>
      <c r="DU85" s="150">
        <v>18.399999999999999</v>
      </c>
      <c r="DV85" s="150">
        <v>18.600000000000001</v>
      </c>
      <c r="DW85" s="150">
        <v>18.8</v>
      </c>
      <c r="DX85" s="150">
        <v>19</v>
      </c>
      <c r="DY85" s="150">
        <v>19.2</v>
      </c>
      <c r="DZ85" s="150">
        <v>19.399999999999999</v>
      </c>
      <c r="EA85" s="150">
        <v>19.600000000000001</v>
      </c>
      <c r="EB85" s="150">
        <v>19.8</v>
      </c>
      <c r="EC85" s="150">
        <v>20</v>
      </c>
      <c r="ED85" s="150">
        <v>20.2</v>
      </c>
      <c r="EE85" s="150">
        <v>20.399999999999999</v>
      </c>
      <c r="EF85" s="150">
        <v>20.6</v>
      </c>
      <c r="EG85" s="150">
        <v>20.799999999999951</v>
      </c>
      <c r="EH85" s="150">
        <v>21</v>
      </c>
      <c r="EI85" s="150">
        <v>21.19999999999995</v>
      </c>
      <c r="EJ85" s="150">
        <v>21.4</v>
      </c>
      <c r="EK85" s="150">
        <v>21.599999999999948</v>
      </c>
    </row>
    <row r="86" spans="1:141" ht="13.2" x14ac:dyDescent="0.25">
      <c r="A86" s="149">
        <v>39264</v>
      </c>
      <c r="B86" s="219">
        <v>-1.7785964148750009</v>
      </c>
      <c r="C86" s="219">
        <v>-1.7482952255625008</v>
      </c>
      <c r="D86" s="219">
        <v>-1.7179940362500008</v>
      </c>
      <c r="E86" s="219">
        <v>-1.6876928469375008</v>
      </c>
      <c r="F86" s="219">
        <v>-1.6573916576250007</v>
      </c>
      <c r="G86" s="219">
        <v>-1.6270904683125007</v>
      </c>
      <c r="H86" s="219">
        <v>-1.5967892790000007</v>
      </c>
      <c r="I86" s="219">
        <v>-1.5664880896875006</v>
      </c>
      <c r="J86" s="219">
        <v>-1.5361869003750006</v>
      </c>
      <c r="K86" s="219">
        <v>-1.5058857110625006</v>
      </c>
      <c r="L86" s="219">
        <v>-1.4755845217500005</v>
      </c>
      <c r="M86" s="219">
        <v>-1.4452833324375005</v>
      </c>
      <c r="N86" s="219">
        <v>-1.4149821431250005</v>
      </c>
      <c r="O86" s="219">
        <v>-1.3846809538125004</v>
      </c>
      <c r="P86" s="219">
        <v>-1.3543797645000004</v>
      </c>
      <c r="Q86" s="219">
        <v>-1.3240785751875004</v>
      </c>
      <c r="R86" s="219">
        <v>-1.2937773858750004</v>
      </c>
      <c r="S86" s="219">
        <v>-1.2634761965625003</v>
      </c>
      <c r="T86" s="219">
        <v>-1.2331750072500003</v>
      </c>
      <c r="U86" s="219">
        <v>-1.2028738179375003</v>
      </c>
      <c r="V86" s="220">
        <v>-1.1725726286250002</v>
      </c>
      <c r="W86" s="219">
        <v>-1.1422714393125002</v>
      </c>
      <c r="X86" s="220">
        <v>-1.1119702500000002</v>
      </c>
      <c r="Y86" s="219">
        <v>-1.0832351250000003</v>
      </c>
      <c r="Z86" s="220">
        <v>-1.0545000000000002</v>
      </c>
      <c r="AA86" s="219">
        <v>-1.0272500000000002</v>
      </c>
      <c r="AB86" s="221">
        <v>-1</v>
      </c>
      <c r="AC86" s="219">
        <v>-0.8</v>
      </c>
      <c r="AD86" s="221">
        <v>-0.6</v>
      </c>
      <c r="AE86" s="219">
        <v>-0.4</v>
      </c>
      <c r="AF86" s="219">
        <v>-0.2</v>
      </c>
      <c r="AG86" s="150">
        <v>0</v>
      </c>
      <c r="AH86" s="150">
        <v>0.2</v>
      </c>
      <c r="AI86" s="150">
        <v>0.4</v>
      </c>
      <c r="AJ86" s="150">
        <v>0.6</v>
      </c>
      <c r="AK86" s="150">
        <v>0.8</v>
      </c>
      <c r="AL86" s="150">
        <v>1</v>
      </c>
      <c r="AM86" s="150">
        <v>1.2</v>
      </c>
      <c r="AN86" s="150">
        <v>1.4</v>
      </c>
      <c r="AO86" s="150">
        <v>1.6</v>
      </c>
      <c r="AP86" s="150">
        <v>1.8</v>
      </c>
      <c r="AQ86" s="150">
        <v>2</v>
      </c>
      <c r="AR86" s="150">
        <v>2.2000000000000002</v>
      </c>
      <c r="AS86" s="150">
        <v>2.4</v>
      </c>
      <c r="AT86" s="150">
        <v>2.6</v>
      </c>
      <c r="AU86" s="150">
        <v>2.8</v>
      </c>
      <c r="AV86" s="150">
        <v>3</v>
      </c>
      <c r="AW86" s="150">
        <v>3.2</v>
      </c>
      <c r="AX86" s="150">
        <v>3.4</v>
      </c>
      <c r="AY86" s="150">
        <v>3.6</v>
      </c>
      <c r="AZ86" s="150">
        <v>3.8</v>
      </c>
      <c r="BA86" s="150">
        <v>4</v>
      </c>
      <c r="BB86" s="150">
        <v>4.2</v>
      </c>
      <c r="BC86" s="150">
        <v>4.4000000000000004</v>
      </c>
      <c r="BD86" s="150">
        <v>4.5999999999999996</v>
      </c>
      <c r="BE86" s="150">
        <v>4.8</v>
      </c>
      <c r="BF86" s="150">
        <v>5</v>
      </c>
      <c r="BG86" s="150">
        <v>5.2</v>
      </c>
      <c r="BH86" s="150">
        <v>5.4</v>
      </c>
      <c r="BI86" s="150">
        <v>5.6</v>
      </c>
      <c r="BJ86" s="150">
        <v>5.8</v>
      </c>
      <c r="BK86" s="150">
        <v>6</v>
      </c>
      <c r="BL86" s="150">
        <v>6.2</v>
      </c>
      <c r="BM86" s="150">
        <v>6.4</v>
      </c>
      <c r="BN86" s="150">
        <v>6.6</v>
      </c>
      <c r="BO86" s="150">
        <v>6.8</v>
      </c>
      <c r="BP86" s="150">
        <v>7</v>
      </c>
      <c r="BQ86" s="150">
        <v>7.2</v>
      </c>
      <c r="BR86" s="150">
        <v>7.4</v>
      </c>
      <c r="BS86" s="150">
        <v>7.6</v>
      </c>
      <c r="BT86" s="150">
        <v>7.8</v>
      </c>
      <c r="BU86" s="150">
        <v>8</v>
      </c>
      <c r="BV86" s="150">
        <v>8.1999999999999993</v>
      </c>
      <c r="BW86" s="150">
        <v>8.4</v>
      </c>
      <c r="BX86" s="150">
        <v>8.6</v>
      </c>
      <c r="BY86" s="150">
        <v>8.7999999999999936</v>
      </c>
      <c r="BZ86" s="150">
        <v>9</v>
      </c>
      <c r="CA86" s="150">
        <v>9.1999999999999922</v>
      </c>
      <c r="CB86" s="150">
        <v>9.4</v>
      </c>
      <c r="CC86" s="150">
        <v>9.5999999999999908</v>
      </c>
      <c r="CD86" s="150">
        <v>9.8000000000000007</v>
      </c>
      <c r="CE86" s="150">
        <v>9.9999999999999893</v>
      </c>
      <c r="CF86" s="150">
        <v>10.199999999999999</v>
      </c>
      <c r="CG86" s="150">
        <v>10.4</v>
      </c>
      <c r="CH86" s="150">
        <v>10.6</v>
      </c>
      <c r="CI86" s="150">
        <v>10.8</v>
      </c>
      <c r="CJ86" s="150">
        <v>11</v>
      </c>
      <c r="CK86" s="150">
        <v>11.2</v>
      </c>
      <c r="CL86" s="150">
        <v>11.4</v>
      </c>
      <c r="CM86" s="150">
        <v>11.6</v>
      </c>
      <c r="CN86" s="150">
        <v>11.8</v>
      </c>
      <c r="CO86" s="150">
        <v>12</v>
      </c>
      <c r="CP86" s="150">
        <v>12.2</v>
      </c>
      <c r="CQ86" s="150">
        <v>12.4</v>
      </c>
      <c r="CR86" s="150">
        <v>12.6</v>
      </c>
      <c r="CS86" s="150">
        <v>12.8</v>
      </c>
      <c r="CT86" s="150">
        <v>13</v>
      </c>
      <c r="CU86" s="150">
        <v>13.2</v>
      </c>
      <c r="CV86" s="150">
        <v>13.4</v>
      </c>
      <c r="CW86" s="150">
        <v>13.6</v>
      </c>
      <c r="CX86" s="150">
        <v>13.8</v>
      </c>
      <c r="CY86" s="150">
        <v>14</v>
      </c>
      <c r="CZ86" s="150">
        <v>14.2</v>
      </c>
      <c r="DA86" s="150">
        <v>14.4</v>
      </c>
      <c r="DB86" s="150">
        <v>14.6</v>
      </c>
      <c r="DC86" s="150">
        <v>14.8</v>
      </c>
      <c r="DD86" s="150">
        <v>15</v>
      </c>
      <c r="DE86" s="150">
        <v>15.2</v>
      </c>
      <c r="DF86" s="150">
        <v>15.4</v>
      </c>
      <c r="DG86" s="150">
        <v>15.6</v>
      </c>
      <c r="DH86" s="150">
        <v>15.8</v>
      </c>
      <c r="DI86" s="150">
        <v>16</v>
      </c>
      <c r="DJ86" s="150">
        <v>16.2</v>
      </c>
      <c r="DK86" s="150">
        <v>16.399999999999999</v>
      </c>
      <c r="DL86" s="150">
        <v>16.600000000000001</v>
      </c>
      <c r="DM86" s="150">
        <v>16.8</v>
      </c>
      <c r="DN86" s="150">
        <v>17</v>
      </c>
      <c r="DO86" s="150">
        <v>17.2</v>
      </c>
      <c r="DP86" s="150">
        <v>17.399999999999999</v>
      </c>
      <c r="DQ86" s="150">
        <v>17.600000000000001</v>
      </c>
      <c r="DR86" s="150">
        <v>17.8</v>
      </c>
      <c r="DS86" s="150">
        <v>18</v>
      </c>
      <c r="DT86" s="150">
        <v>18.2</v>
      </c>
      <c r="DU86" s="150">
        <v>18.399999999999999</v>
      </c>
      <c r="DV86" s="150">
        <v>18.600000000000001</v>
      </c>
      <c r="DW86" s="150">
        <v>18.8</v>
      </c>
      <c r="DX86" s="150">
        <v>19</v>
      </c>
      <c r="DY86" s="150">
        <v>19.2</v>
      </c>
      <c r="DZ86" s="150">
        <v>19.399999999999999</v>
      </c>
      <c r="EA86" s="150">
        <v>19.600000000000001</v>
      </c>
      <c r="EB86" s="150">
        <v>19.8</v>
      </c>
      <c r="EC86" s="150">
        <v>20</v>
      </c>
      <c r="ED86" s="150">
        <v>20.2</v>
      </c>
      <c r="EE86" s="150">
        <v>20.399999999999999</v>
      </c>
      <c r="EF86" s="150">
        <v>20.6</v>
      </c>
      <c r="EG86" s="150">
        <v>20.799999999999951</v>
      </c>
      <c r="EH86" s="150">
        <v>21</v>
      </c>
      <c r="EI86" s="150">
        <v>21.19999999999995</v>
      </c>
      <c r="EJ86" s="150">
        <v>21.4</v>
      </c>
      <c r="EK86" s="150">
        <v>21.599999999999948</v>
      </c>
    </row>
    <row r="87" spans="1:141" ht="13.2" x14ac:dyDescent="0.25">
      <c r="A87" s="149">
        <v>39295</v>
      </c>
      <c r="B87" s="219">
        <v>-1.7785964148750009</v>
      </c>
      <c r="C87" s="219">
        <v>-1.7482952255625008</v>
      </c>
      <c r="D87" s="219">
        <v>-1.7179940362500008</v>
      </c>
      <c r="E87" s="219">
        <v>-1.6876928469375008</v>
      </c>
      <c r="F87" s="219">
        <v>-1.6573916576250007</v>
      </c>
      <c r="G87" s="219">
        <v>-1.6270904683125007</v>
      </c>
      <c r="H87" s="219">
        <v>-1.5967892790000007</v>
      </c>
      <c r="I87" s="219">
        <v>-1.5664880896875006</v>
      </c>
      <c r="J87" s="219">
        <v>-1.5361869003750006</v>
      </c>
      <c r="K87" s="219">
        <v>-1.5058857110625006</v>
      </c>
      <c r="L87" s="219">
        <v>-1.4755845217500005</v>
      </c>
      <c r="M87" s="219">
        <v>-1.4452833324375005</v>
      </c>
      <c r="N87" s="219">
        <v>-1.4149821431250005</v>
      </c>
      <c r="O87" s="219">
        <v>-1.3846809538125004</v>
      </c>
      <c r="P87" s="219">
        <v>-1.3543797645000004</v>
      </c>
      <c r="Q87" s="219">
        <v>-1.3240785751875004</v>
      </c>
      <c r="R87" s="219">
        <v>-1.2937773858750004</v>
      </c>
      <c r="S87" s="219">
        <v>-1.2634761965625003</v>
      </c>
      <c r="T87" s="219">
        <v>-1.2331750072500003</v>
      </c>
      <c r="U87" s="219">
        <v>-1.2028738179375003</v>
      </c>
      <c r="V87" s="220">
        <v>-1.1725726286250002</v>
      </c>
      <c r="W87" s="219">
        <v>-1.1422714393125002</v>
      </c>
      <c r="X87" s="220">
        <v>-1.1119702500000002</v>
      </c>
      <c r="Y87" s="219">
        <v>-1.0832351250000003</v>
      </c>
      <c r="Z87" s="220">
        <v>-1.0545000000000002</v>
      </c>
      <c r="AA87" s="219">
        <v>-1.0272500000000002</v>
      </c>
      <c r="AB87" s="221">
        <v>-1</v>
      </c>
      <c r="AC87" s="219">
        <v>-0.8</v>
      </c>
      <c r="AD87" s="221">
        <v>-0.6</v>
      </c>
      <c r="AE87" s="219">
        <v>-0.4</v>
      </c>
      <c r="AF87" s="219">
        <v>-0.2</v>
      </c>
      <c r="AG87" s="150">
        <v>0</v>
      </c>
      <c r="AH87" s="150">
        <v>0.2</v>
      </c>
      <c r="AI87" s="150">
        <v>0.4</v>
      </c>
      <c r="AJ87" s="150">
        <v>0.6</v>
      </c>
      <c r="AK87" s="150">
        <v>0.8</v>
      </c>
      <c r="AL87" s="150">
        <v>1</v>
      </c>
      <c r="AM87" s="150">
        <v>1.2</v>
      </c>
      <c r="AN87" s="150">
        <v>1.4</v>
      </c>
      <c r="AO87" s="150">
        <v>1.6</v>
      </c>
      <c r="AP87" s="150">
        <v>1.8</v>
      </c>
      <c r="AQ87" s="150">
        <v>2</v>
      </c>
      <c r="AR87" s="150">
        <v>2.2000000000000002</v>
      </c>
      <c r="AS87" s="150">
        <v>2.4</v>
      </c>
      <c r="AT87" s="150">
        <v>2.6</v>
      </c>
      <c r="AU87" s="150">
        <v>2.8</v>
      </c>
      <c r="AV87" s="150">
        <v>3</v>
      </c>
      <c r="AW87" s="150">
        <v>3.2</v>
      </c>
      <c r="AX87" s="150">
        <v>3.4</v>
      </c>
      <c r="AY87" s="150">
        <v>3.6</v>
      </c>
      <c r="AZ87" s="150">
        <v>3.8</v>
      </c>
      <c r="BA87" s="150">
        <v>4</v>
      </c>
      <c r="BB87" s="150">
        <v>4.2</v>
      </c>
      <c r="BC87" s="150">
        <v>4.4000000000000004</v>
      </c>
      <c r="BD87" s="150">
        <v>4.5999999999999996</v>
      </c>
      <c r="BE87" s="150">
        <v>4.8</v>
      </c>
      <c r="BF87" s="150">
        <v>5</v>
      </c>
      <c r="BG87" s="150">
        <v>5.2</v>
      </c>
      <c r="BH87" s="150">
        <v>5.4</v>
      </c>
      <c r="BI87" s="150">
        <v>5.6</v>
      </c>
      <c r="BJ87" s="150">
        <v>5.8</v>
      </c>
      <c r="BK87" s="150">
        <v>6</v>
      </c>
      <c r="BL87" s="150">
        <v>6.2</v>
      </c>
      <c r="BM87" s="150">
        <v>6.4</v>
      </c>
      <c r="BN87" s="150">
        <v>6.6</v>
      </c>
      <c r="BO87" s="150">
        <v>6.8</v>
      </c>
      <c r="BP87" s="150">
        <v>7</v>
      </c>
      <c r="BQ87" s="150">
        <v>7.2</v>
      </c>
      <c r="BR87" s="150">
        <v>7.4</v>
      </c>
      <c r="BS87" s="150">
        <v>7.6</v>
      </c>
      <c r="BT87" s="150">
        <v>7.8</v>
      </c>
      <c r="BU87" s="150">
        <v>8</v>
      </c>
      <c r="BV87" s="150">
        <v>8.1999999999999993</v>
      </c>
      <c r="BW87" s="150">
        <v>8.4</v>
      </c>
      <c r="BX87" s="150">
        <v>8.6</v>
      </c>
      <c r="BY87" s="150">
        <v>8.7999999999999936</v>
      </c>
      <c r="BZ87" s="150">
        <v>9</v>
      </c>
      <c r="CA87" s="150">
        <v>9.1999999999999922</v>
      </c>
      <c r="CB87" s="150">
        <v>9.4</v>
      </c>
      <c r="CC87" s="150">
        <v>9.5999999999999908</v>
      </c>
      <c r="CD87" s="150">
        <v>9.8000000000000007</v>
      </c>
      <c r="CE87" s="150">
        <v>9.9999999999999893</v>
      </c>
      <c r="CF87" s="150">
        <v>10.199999999999999</v>
      </c>
      <c r="CG87" s="150">
        <v>10.4</v>
      </c>
      <c r="CH87" s="150">
        <v>10.6</v>
      </c>
      <c r="CI87" s="150">
        <v>10.8</v>
      </c>
      <c r="CJ87" s="150">
        <v>11</v>
      </c>
      <c r="CK87" s="150">
        <v>11.2</v>
      </c>
      <c r="CL87" s="150">
        <v>11.4</v>
      </c>
      <c r="CM87" s="150">
        <v>11.6</v>
      </c>
      <c r="CN87" s="150">
        <v>11.8</v>
      </c>
      <c r="CO87" s="150">
        <v>12</v>
      </c>
      <c r="CP87" s="150">
        <v>12.2</v>
      </c>
      <c r="CQ87" s="150">
        <v>12.4</v>
      </c>
      <c r="CR87" s="150">
        <v>12.6</v>
      </c>
      <c r="CS87" s="150">
        <v>12.8</v>
      </c>
      <c r="CT87" s="150">
        <v>13</v>
      </c>
      <c r="CU87" s="150">
        <v>13.2</v>
      </c>
      <c r="CV87" s="150">
        <v>13.4</v>
      </c>
      <c r="CW87" s="150">
        <v>13.6</v>
      </c>
      <c r="CX87" s="150">
        <v>13.8</v>
      </c>
      <c r="CY87" s="150">
        <v>14</v>
      </c>
      <c r="CZ87" s="150">
        <v>14.2</v>
      </c>
      <c r="DA87" s="150">
        <v>14.4</v>
      </c>
      <c r="DB87" s="150">
        <v>14.6</v>
      </c>
      <c r="DC87" s="150">
        <v>14.8</v>
      </c>
      <c r="DD87" s="150">
        <v>15</v>
      </c>
      <c r="DE87" s="150">
        <v>15.2</v>
      </c>
      <c r="DF87" s="150">
        <v>15.4</v>
      </c>
      <c r="DG87" s="150">
        <v>15.6</v>
      </c>
      <c r="DH87" s="150">
        <v>15.8</v>
      </c>
      <c r="DI87" s="150">
        <v>16</v>
      </c>
      <c r="DJ87" s="150">
        <v>16.2</v>
      </c>
      <c r="DK87" s="150">
        <v>16.399999999999999</v>
      </c>
      <c r="DL87" s="150">
        <v>16.600000000000001</v>
      </c>
      <c r="DM87" s="150">
        <v>16.8</v>
      </c>
      <c r="DN87" s="150">
        <v>17</v>
      </c>
      <c r="DO87" s="150">
        <v>17.2</v>
      </c>
      <c r="DP87" s="150">
        <v>17.399999999999999</v>
      </c>
      <c r="DQ87" s="150">
        <v>17.600000000000001</v>
      </c>
      <c r="DR87" s="150">
        <v>17.8</v>
      </c>
      <c r="DS87" s="150">
        <v>18</v>
      </c>
      <c r="DT87" s="150">
        <v>18.2</v>
      </c>
      <c r="DU87" s="150">
        <v>18.399999999999999</v>
      </c>
      <c r="DV87" s="150">
        <v>18.600000000000001</v>
      </c>
      <c r="DW87" s="150">
        <v>18.8</v>
      </c>
      <c r="DX87" s="150">
        <v>19</v>
      </c>
      <c r="DY87" s="150">
        <v>19.2</v>
      </c>
      <c r="DZ87" s="150">
        <v>19.399999999999999</v>
      </c>
      <c r="EA87" s="150">
        <v>19.600000000000001</v>
      </c>
      <c r="EB87" s="150">
        <v>19.8</v>
      </c>
      <c r="EC87" s="150">
        <v>20</v>
      </c>
      <c r="ED87" s="150">
        <v>20.2</v>
      </c>
      <c r="EE87" s="150">
        <v>20.399999999999999</v>
      </c>
      <c r="EF87" s="150">
        <v>20.6</v>
      </c>
      <c r="EG87" s="150">
        <v>20.799999999999951</v>
      </c>
      <c r="EH87" s="150">
        <v>21</v>
      </c>
      <c r="EI87" s="150">
        <v>21.19999999999995</v>
      </c>
      <c r="EJ87" s="150">
        <v>21.4</v>
      </c>
      <c r="EK87" s="150">
        <v>21.599999999999948</v>
      </c>
    </row>
    <row r="88" spans="1:141" ht="13.2" x14ac:dyDescent="0.25">
      <c r="A88" s="149">
        <v>39326</v>
      </c>
      <c r="B88" s="219">
        <v>-1.7785964148750009</v>
      </c>
      <c r="C88" s="219">
        <v>-1.7482952255625008</v>
      </c>
      <c r="D88" s="219">
        <v>-1.7179940362500008</v>
      </c>
      <c r="E88" s="219">
        <v>-1.6876928469375008</v>
      </c>
      <c r="F88" s="219">
        <v>-1.6573916576250007</v>
      </c>
      <c r="G88" s="219">
        <v>-1.6270904683125007</v>
      </c>
      <c r="H88" s="219">
        <v>-1.5967892790000007</v>
      </c>
      <c r="I88" s="219">
        <v>-1.5664880896875006</v>
      </c>
      <c r="J88" s="219">
        <v>-1.5361869003750006</v>
      </c>
      <c r="K88" s="219">
        <v>-1.5058857110625006</v>
      </c>
      <c r="L88" s="219">
        <v>-1.4755845217500005</v>
      </c>
      <c r="M88" s="219">
        <v>-1.4452833324375005</v>
      </c>
      <c r="N88" s="219">
        <v>-1.4149821431250005</v>
      </c>
      <c r="O88" s="219">
        <v>-1.3846809538125004</v>
      </c>
      <c r="P88" s="219">
        <v>-1.3543797645000004</v>
      </c>
      <c r="Q88" s="219">
        <v>-1.3240785751875004</v>
      </c>
      <c r="R88" s="219">
        <v>-1.2937773858750004</v>
      </c>
      <c r="S88" s="219">
        <v>-1.2634761965625003</v>
      </c>
      <c r="T88" s="219">
        <v>-1.2331750072500003</v>
      </c>
      <c r="U88" s="219">
        <v>-1.2028738179375003</v>
      </c>
      <c r="V88" s="220">
        <v>-1.1725726286250002</v>
      </c>
      <c r="W88" s="219">
        <v>-1.1422714393125002</v>
      </c>
      <c r="X88" s="220">
        <v>-1.1119702500000002</v>
      </c>
      <c r="Y88" s="219">
        <v>-1.0832351250000003</v>
      </c>
      <c r="Z88" s="220">
        <v>-1.0545000000000002</v>
      </c>
      <c r="AA88" s="219">
        <v>-1.0272500000000002</v>
      </c>
      <c r="AB88" s="221">
        <v>-1</v>
      </c>
      <c r="AC88" s="219">
        <v>-0.8</v>
      </c>
      <c r="AD88" s="221">
        <v>-0.6</v>
      </c>
      <c r="AE88" s="219">
        <v>-0.4</v>
      </c>
      <c r="AF88" s="219">
        <v>-0.2</v>
      </c>
      <c r="AG88" s="150">
        <v>0</v>
      </c>
      <c r="AH88" s="150">
        <v>0.2</v>
      </c>
      <c r="AI88" s="150">
        <v>0.4</v>
      </c>
      <c r="AJ88" s="150">
        <v>0.6</v>
      </c>
      <c r="AK88" s="150">
        <v>0.8</v>
      </c>
      <c r="AL88" s="150">
        <v>1</v>
      </c>
      <c r="AM88" s="150">
        <v>1.2</v>
      </c>
      <c r="AN88" s="150">
        <v>1.4</v>
      </c>
      <c r="AO88" s="150">
        <v>1.6</v>
      </c>
      <c r="AP88" s="150">
        <v>1.8</v>
      </c>
      <c r="AQ88" s="150">
        <v>2</v>
      </c>
      <c r="AR88" s="150">
        <v>2.2000000000000002</v>
      </c>
      <c r="AS88" s="150">
        <v>2.4</v>
      </c>
      <c r="AT88" s="150">
        <v>2.6</v>
      </c>
      <c r="AU88" s="150">
        <v>2.8</v>
      </c>
      <c r="AV88" s="150">
        <v>3</v>
      </c>
      <c r="AW88" s="150">
        <v>3.2</v>
      </c>
      <c r="AX88" s="150">
        <v>3.4</v>
      </c>
      <c r="AY88" s="150">
        <v>3.6</v>
      </c>
      <c r="AZ88" s="150">
        <v>3.8</v>
      </c>
      <c r="BA88" s="150">
        <v>4</v>
      </c>
      <c r="BB88" s="150">
        <v>4.2</v>
      </c>
      <c r="BC88" s="150">
        <v>4.4000000000000004</v>
      </c>
      <c r="BD88" s="150">
        <v>4.5999999999999996</v>
      </c>
      <c r="BE88" s="150">
        <v>4.8</v>
      </c>
      <c r="BF88" s="150">
        <v>5</v>
      </c>
      <c r="BG88" s="150">
        <v>5.2</v>
      </c>
      <c r="BH88" s="150">
        <v>5.4</v>
      </c>
      <c r="BI88" s="150">
        <v>5.6</v>
      </c>
      <c r="BJ88" s="150">
        <v>5.8</v>
      </c>
      <c r="BK88" s="150">
        <v>6</v>
      </c>
      <c r="BL88" s="150">
        <v>6.2</v>
      </c>
      <c r="BM88" s="150">
        <v>6.4</v>
      </c>
      <c r="BN88" s="150">
        <v>6.6</v>
      </c>
      <c r="BO88" s="150">
        <v>6.8</v>
      </c>
      <c r="BP88" s="150">
        <v>7</v>
      </c>
      <c r="BQ88" s="150">
        <v>7.2</v>
      </c>
      <c r="BR88" s="150">
        <v>7.4</v>
      </c>
      <c r="BS88" s="150">
        <v>7.6</v>
      </c>
      <c r="BT88" s="150">
        <v>7.8</v>
      </c>
      <c r="BU88" s="150">
        <v>8</v>
      </c>
      <c r="BV88" s="150">
        <v>8.1999999999999993</v>
      </c>
      <c r="BW88" s="150">
        <v>8.4</v>
      </c>
      <c r="BX88" s="150">
        <v>8.6</v>
      </c>
      <c r="BY88" s="150">
        <v>8.7999999999999936</v>
      </c>
      <c r="BZ88" s="150">
        <v>9</v>
      </c>
      <c r="CA88" s="150">
        <v>9.1999999999999922</v>
      </c>
      <c r="CB88" s="150">
        <v>9.4</v>
      </c>
      <c r="CC88" s="150">
        <v>9.5999999999999908</v>
      </c>
      <c r="CD88" s="150">
        <v>9.8000000000000007</v>
      </c>
      <c r="CE88" s="150">
        <v>9.9999999999999893</v>
      </c>
      <c r="CF88" s="150">
        <v>10.199999999999999</v>
      </c>
      <c r="CG88" s="150">
        <v>10.4</v>
      </c>
      <c r="CH88" s="150">
        <v>10.6</v>
      </c>
      <c r="CI88" s="150">
        <v>10.8</v>
      </c>
      <c r="CJ88" s="150">
        <v>11</v>
      </c>
      <c r="CK88" s="150">
        <v>11.2</v>
      </c>
      <c r="CL88" s="150">
        <v>11.4</v>
      </c>
      <c r="CM88" s="150">
        <v>11.6</v>
      </c>
      <c r="CN88" s="150">
        <v>11.8</v>
      </c>
      <c r="CO88" s="150">
        <v>12</v>
      </c>
      <c r="CP88" s="150">
        <v>12.2</v>
      </c>
      <c r="CQ88" s="150">
        <v>12.4</v>
      </c>
      <c r="CR88" s="150">
        <v>12.6</v>
      </c>
      <c r="CS88" s="150">
        <v>12.8</v>
      </c>
      <c r="CT88" s="150">
        <v>13</v>
      </c>
      <c r="CU88" s="150">
        <v>13.2</v>
      </c>
      <c r="CV88" s="150">
        <v>13.4</v>
      </c>
      <c r="CW88" s="150">
        <v>13.6</v>
      </c>
      <c r="CX88" s="150">
        <v>13.8</v>
      </c>
      <c r="CY88" s="150">
        <v>14</v>
      </c>
      <c r="CZ88" s="150">
        <v>14.2</v>
      </c>
      <c r="DA88" s="150">
        <v>14.4</v>
      </c>
      <c r="DB88" s="150">
        <v>14.6</v>
      </c>
      <c r="DC88" s="150">
        <v>14.8</v>
      </c>
      <c r="DD88" s="150">
        <v>15</v>
      </c>
      <c r="DE88" s="150">
        <v>15.2</v>
      </c>
      <c r="DF88" s="150">
        <v>15.4</v>
      </c>
      <c r="DG88" s="150">
        <v>15.6</v>
      </c>
      <c r="DH88" s="150">
        <v>15.8</v>
      </c>
      <c r="DI88" s="150">
        <v>16</v>
      </c>
      <c r="DJ88" s="150">
        <v>16.2</v>
      </c>
      <c r="DK88" s="150">
        <v>16.399999999999999</v>
      </c>
      <c r="DL88" s="150">
        <v>16.600000000000001</v>
      </c>
      <c r="DM88" s="150">
        <v>16.8</v>
      </c>
      <c r="DN88" s="150">
        <v>17</v>
      </c>
      <c r="DO88" s="150">
        <v>17.2</v>
      </c>
      <c r="DP88" s="150">
        <v>17.399999999999999</v>
      </c>
      <c r="DQ88" s="150">
        <v>17.600000000000001</v>
      </c>
      <c r="DR88" s="150">
        <v>17.8</v>
      </c>
      <c r="DS88" s="150">
        <v>18</v>
      </c>
      <c r="DT88" s="150">
        <v>18.2</v>
      </c>
      <c r="DU88" s="150">
        <v>18.399999999999999</v>
      </c>
      <c r="DV88" s="150">
        <v>18.600000000000001</v>
      </c>
      <c r="DW88" s="150">
        <v>18.8</v>
      </c>
      <c r="DX88" s="150">
        <v>19</v>
      </c>
      <c r="DY88" s="150">
        <v>19.2</v>
      </c>
      <c r="DZ88" s="150">
        <v>19.399999999999999</v>
      </c>
      <c r="EA88" s="150">
        <v>19.600000000000001</v>
      </c>
      <c r="EB88" s="150">
        <v>19.8</v>
      </c>
      <c r="EC88" s="150">
        <v>20</v>
      </c>
      <c r="ED88" s="150">
        <v>20.2</v>
      </c>
      <c r="EE88" s="150">
        <v>20.399999999999999</v>
      </c>
      <c r="EF88" s="150">
        <v>20.6</v>
      </c>
      <c r="EG88" s="150">
        <v>20.799999999999951</v>
      </c>
      <c r="EH88" s="150">
        <v>21</v>
      </c>
      <c r="EI88" s="150">
        <v>21.19999999999995</v>
      </c>
      <c r="EJ88" s="150">
        <v>21.4</v>
      </c>
      <c r="EK88" s="150">
        <v>21.599999999999948</v>
      </c>
    </row>
    <row r="89" spans="1:141" ht="13.2" x14ac:dyDescent="0.25">
      <c r="A89" s="149">
        <v>39356</v>
      </c>
      <c r="B89" s="219">
        <v>-1.7785964148750009</v>
      </c>
      <c r="C89" s="219">
        <v>-1.7482952255625008</v>
      </c>
      <c r="D89" s="219">
        <v>-1.7179940362500008</v>
      </c>
      <c r="E89" s="219">
        <v>-1.6876928469375008</v>
      </c>
      <c r="F89" s="219">
        <v>-1.6573916576250007</v>
      </c>
      <c r="G89" s="219">
        <v>-1.6270904683125007</v>
      </c>
      <c r="H89" s="219">
        <v>-1.5967892790000007</v>
      </c>
      <c r="I89" s="219">
        <v>-1.5664880896875006</v>
      </c>
      <c r="J89" s="219">
        <v>-1.5361869003750006</v>
      </c>
      <c r="K89" s="219">
        <v>-1.5058857110625006</v>
      </c>
      <c r="L89" s="219">
        <v>-1.4755845217500005</v>
      </c>
      <c r="M89" s="219">
        <v>-1.4452833324375005</v>
      </c>
      <c r="N89" s="219">
        <v>-1.4149821431250005</v>
      </c>
      <c r="O89" s="219">
        <v>-1.3846809538125004</v>
      </c>
      <c r="P89" s="219">
        <v>-1.3543797645000004</v>
      </c>
      <c r="Q89" s="219">
        <v>-1.3240785751875004</v>
      </c>
      <c r="R89" s="219">
        <v>-1.2937773858750004</v>
      </c>
      <c r="S89" s="219">
        <v>-1.2634761965625003</v>
      </c>
      <c r="T89" s="219">
        <v>-1.2331750072500003</v>
      </c>
      <c r="U89" s="219">
        <v>-1.2028738179375003</v>
      </c>
      <c r="V89" s="220">
        <v>-1.1725726286250002</v>
      </c>
      <c r="W89" s="219">
        <v>-1.1422714393125002</v>
      </c>
      <c r="X89" s="220">
        <v>-1.1119702500000002</v>
      </c>
      <c r="Y89" s="219">
        <v>-1.0832351250000003</v>
      </c>
      <c r="Z89" s="220">
        <v>-1.0545000000000002</v>
      </c>
      <c r="AA89" s="219">
        <v>-1.0272500000000002</v>
      </c>
      <c r="AB89" s="221">
        <v>-1</v>
      </c>
      <c r="AC89" s="219">
        <v>-0.8</v>
      </c>
      <c r="AD89" s="221">
        <v>-0.6</v>
      </c>
      <c r="AE89" s="219">
        <v>-0.4</v>
      </c>
      <c r="AF89" s="219">
        <v>-0.2</v>
      </c>
      <c r="AG89" s="150">
        <v>0</v>
      </c>
      <c r="AH89" s="150">
        <v>0.2</v>
      </c>
      <c r="AI89" s="150">
        <v>0.4</v>
      </c>
      <c r="AJ89" s="150">
        <v>0.6</v>
      </c>
      <c r="AK89" s="150">
        <v>0.8</v>
      </c>
      <c r="AL89" s="150">
        <v>1</v>
      </c>
      <c r="AM89" s="150">
        <v>1.2</v>
      </c>
      <c r="AN89" s="150">
        <v>1.4</v>
      </c>
      <c r="AO89" s="150">
        <v>1.6</v>
      </c>
      <c r="AP89" s="150">
        <v>1.8</v>
      </c>
      <c r="AQ89" s="150">
        <v>2</v>
      </c>
      <c r="AR89" s="150">
        <v>2.2000000000000002</v>
      </c>
      <c r="AS89" s="150">
        <v>2.4</v>
      </c>
      <c r="AT89" s="150">
        <v>2.6</v>
      </c>
      <c r="AU89" s="150">
        <v>2.8</v>
      </c>
      <c r="AV89" s="150">
        <v>3</v>
      </c>
      <c r="AW89" s="150">
        <v>3.2</v>
      </c>
      <c r="AX89" s="150">
        <v>3.4</v>
      </c>
      <c r="AY89" s="150">
        <v>3.6</v>
      </c>
      <c r="AZ89" s="150">
        <v>3.8</v>
      </c>
      <c r="BA89" s="150">
        <v>4</v>
      </c>
      <c r="BB89" s="150">
        <v>4.2</v>
      </c>
      <c r="BC89" s="150">
        <v>4.4000000000000004</v>
      </c>
      <c r="BD89" s="150">
        <v>4.5999999999999996</v>
      </c>
      <c r="BE89" s="150">
        <v>4.8</v>
      </c>
      <c r="BF89" s="150">
        <v>5</v>
      </c>
      <c r="BG89" s="150">
        <v>5.2</v>
      </c>
      <c r="BH89" s="150">
        <v>5.4</v>
      </c>
      <c r="BI89" s="150">
        <v>5.6</v>
      </c>
      <c r="BJ89" s="150">
        <v>5.8</v>
      </c>
      <c r="BK89" s="150">
        <v>6</v>
      </c>
      <c r="BL89" s="150">
        <v>6.2</v>
      </c>
      <c r="BM89" s="150">
        <v>6.4</v>
      </c>
      <c r="BN89" s="150">
        <v>6.6</v>
      </c>
      <c r="BO89" s="150">
        <v>6.8</v>
      </c>
      <c r="BP89" s="150">
        <v>7</v>
      </c>
      <c r="BQ89" s="150">
        <v>7.2</v>
      </c>
      <c r="BR89" s="150">
        <v>7.4</v>
      </c>
      <c r="BS89" s="150">
        <v>7.6</v>
      </c>
      <c r="BT89" s="150">
        <v>7.8</v>
      </c>
      <c r="BU89" s="150">
        <v>8</v>
      </c>
      <c r="BV89" s="150">
        <v>8.1999999999999993</v>
      </c>
      <c r="BW89" s="150">
        <v>8.4</v>
      </c>
      <c r="BX89" s="150">
        <v>8.6</v>
      </c>
      <c r="BY89" s="150">
        <v>8.7999999999999936</v>
      </c>
      <c r="BZ89" s="150">
        <v>9</v>
      </c>
      <c r="CA89" s="150">
        <v>9.1999999999999922</v>
      </c>
      <c r="CB89" s="150">
        <v>9.4</v>
      </c>
      <c r="CC89" s="150">
        <v>9.5999999999999908</v>
      </c>
      <c r="CD89" s="150">
        <v>9.8000000000000007</v>
      </c>
      <c r="CE89" s="150">
        <v>9.9999999999999893</v>
      </c>
      <c r="CF89" s="150">
        <v>10.199999999999999</v>
      </c>
      <c r="CG89" s="150">
        <v>10.4</v>
      </c>
      <c r="CH89" s="150">
        <v>10.6</v>
      </c>
      <c r="CI89" s="150">
        <v>10.8</v>
      </c>
      <c r="CJ89" s="150">
        <v>11</v>
      </c>
      <c r="CK89" s="150">
        <v>11.2</v>
      </c>
      <c r="CL89" s="150">
        <v>11.4</v>
      </c>
      <c r="CM89" s="150">
        <v>11.6</v>
      </c>
      <c r="CN89" s="150">
        <v>11.8</v>
      </c>
      <c r="CO89" s="150">
        <v>12</v>
      </c>
      <c r="CP89" s="150">
        <v>12.2</v>
      </c>
      <c r="CQ89" s="150">
        <v>12.4</v>
      </c>
      <c r="CR89" s="150">
        <v>12.6</v>
      </c>
      <c r="CS89" s="150">
        <v>12.8</v>
      </c>
      <c r="CT89" s="150">
        <v>13</v>
      </c>
      <c r="CU89" s="150">
        <v>13.2</v>
      </c>
      <c r="CV89" s="150">
        <v>13.4</v>
      </c>
      <c r="CW89" s="150">
        <v>13.6</v>
      </c>
      <c r="CX89" s="150">
        <v>13.8</v>
      </c>
      <c r="CY89" s="150">
        <v>14</v>
      </c>
      <c r="CZ89" s="150">
        <v>14.2</v>
      </c>
      <c r="DA89" s="150">
        <v>14.4</v>
      </c>
      <c r="DB89" s="150">
        <v>14.6</v>
      </c>
      <c r="DC89" s="150">
        <v>14.8</v>
      </c>
      <c r="DD89" s="150">
        <v>15</v>
      </c>
      <c r="DE89" s="150">
        <v>15.2</v>
      </c>
      <c r="DF89" s="150">
        <v>15.4</v>
      </c>
      <c r="DG89" s="150">
        <v>15.6</v>
      </c>
      <c r="DH89" s="150">
        <v>15.8</v>
      </c>
      <c r="DI89" s="150">
        <v>16</v>
      </c>
      <c r="DJ89" s="150">
        <v>16.2</v>
      </c>
      <c r="DK89" s="150">
        <v>16.399999999999999</v>
      </c>
      <c r="DL89" s="150">
        <v>16.600000000000001</v>
      </c>
      <c r="DM89" s="150">
        <v>16.8</v>
      </c>
      <c r="DN89" s="150">
        <v>17</v>
      </c>
      <c r="DO89" s="150">
        <v>17.2</v>
      </c>
      <c r="DP89" s="150">
        <v>17.399999999999999</v>
      </c>
      <c r="DQ89" s="150">
        <v>17.600000000000001</v>
      </c>
      <c r="DR89" s="150">
        <v>17.8</v>
      </c>
      <c r="DS89" s="150">
        <v>18</v>
      </c>
      <c r="DT89" s="150">
        <v>18.2</v>
      </c>
      <c r="DU89" s="150">
        <v>18.399999999999999</v>
      </c>
      <c r="DV89" s="150">
        <v>18.600000000000001</v>
      </c>
      <c r="DW89" s="150">
        <v>18.8</v>
      </c>
      <c r="DX89" s="150">
        <v>19</v>
      </c>
      <c r="DY89" s="150">
        <v>19.2</v>
      </c>
      <c r="DZ89" s="150">
        <v>19.399999999999999</v>
      </c>
      <c r="EA89" s="150">
        <v>19.600000000000001</v>
      </c>
      <c r="EB89" s="150">
        <v>19.8</v>
      </c>
      <c r="EC89" s="150">
        <v>20</v>
      </c>
      <c r="ED89" s="150">
        <v>20.2</v>
      </c>
      <c r="EE89" s="150">
        <v>20.399999999999999</v>
      </c>
      <c r="EF89" s="150">
        <v>20.6</v>
      </c>
      <c r="EG89" s="150">
        <v>20.799999999999951</v>
      </c>
      <c r="EH89" s="150">
        <v>21</v>
      </c>
      <c r="EI89" s="150">
        <v>21.19999999999995</v>
      </c>
      <c r="EJ89" s="150">
        <v>21.4</v>
      </c>
      <c r="EK89" s="150">
        <v>21.599999999999948</v>
      </c>
    </row>
    <row r="90" spans="1:141" ht="13.2" x14ac:dyDescent="0.25">
      <c r="A90" s="149">
        <v>39387</v>
      </c>
      <c r="B90" s="219">
        <v>-1.7785964148750009</v>
      </c>
      <c r="C90" s="219">
        <v>-1.7482952255625008</v>
      </c>
      <c r="D90" s="219">
        <v>-1.7179940362500008</v>
      </c>
      <c r="E90" s="219">
        <v>-1.6876928469375008</v>
      </c>
      <c r="F90" s="219">
        <v>-1.6573916576250007</v>
      </c>
      <c r="G90" s="219">
        <v>-1.6270904683125007</v>
      </c>
      <c r="H90" s="219">
        <v>-1.5967892790000007</v>
      </c>
      <c r="I90" s="219">
        <v>-1.5664880896875006</v>
      </c>
      <c r="J90" s="219">
        <v>-1.5361869003750006</v>
      </c>
      <c r="K90" s="219">
        <v>-1.5058857110625006</v>
      </c>
      <c r="L90" s="219">
        <v>-1.4755845217500005</v>
      </c>
      <c r="M90" s="219">
        <v>-1.4452833324375005</v>
      </c>
      <c r="N90" s="219">
        <v>-1.4149821431250005</v>
      </c>
      <c r="O90" s="219">
        <v>-1.3846809538125004</v>
      </c>
      <c r="P90" s="219">
        <v>-1.3543797645000004</v>
      </c>
      <c r="Q90" s="219">
        <v>-1.3240785751875004</v>
      </c>
      <c r="R90" s="219">
        <v>-1.2937773858750004</v>
      </c>
      <c r="S90" s="219">
        <v>-1.2634761965625003</v>
      </c>
      <c r="T90" s="219">
        <v>-1.2331750072500003</v>
      </c>
      <c r="U90" s="219">
        <v>-1.2028738179375003</v>
      </c>
      <c r="V90" s="220">
        <v>-1.1725726286250002</v>
      </c>
      <c r="W90" s="219">
        <v>-1.1422714393125002</v>
      </c>
      <c r="X90" s="220">
        <v>-1.1119702500000002</v>
      </c>
      <c r="Y90" s="219">
        <v>-1.0832351250000003</v>
      </c>
      <c r="Z90" s="220">
        <v>-1.0545000000000002</v>
      </c>
      <c r="AA90" s="219">
        <v>-1.0272500000000002</v>
      </c>
      <c r="AB90" s="221">
        <v>-1</v>
      </c>
      <c r="AC90" s="219">
        <v>-0.8</v>
      </c>
      <c r="AD90" s="221">
        <v>-0.6</v>
      </c>
      <c r="AE90" s="219">
        <v>-0.4</v>
      </c>
      <c r="AF90" s="219">
        <v>-0.2</v>
      </c>
      <c r="AG90" s="150">
        <v>0</v>
      </c>
      <c r="AH90" s="150">
        <v>0.2</v>
      </c>
      <c r="AI90" s="150">
        <v>0.4</v>
      </c>
      <c r="AJ90" s="150">
        <v>0.6</v>
      </c>
      <c r="AK90" s="150">
        <v>0.8</v>
      </c>
      <c r="AL90" s="150">
        <v>1</v>
      </c>
      <c r="AM90" s="150">
        <v>1.2</v>
      </c>
      <c r="AN90" s="150">
        <v>1.4</v>
      </c>
      <c r="AO90" s="150">
        <v>1.6</v>
      </c>
      <c r="AP90" s="150">
        <v>1.8</v>
      </c>
      <c r="AQ90" s="150">
        <v>2</v>
      </c>
      <c r="AR90" s="150">
        <v>2.2000000000000002</v>
      </c>
      <c r="AS90" s="150">
        <v>2.4</v>
      </c>
      <c r="AT90" s="150">
        <v>2.6</v>
      </c>
      <c r="AU90" s="150">
        <v>2.8</v>
      </c>
      <c r="AV90" s="150">
        <v>3</v>
      </c>
      <c r="AW90" s="150">
        <v>3.2</v>
      </c>
      <c r="AX90" s="150">
        <v>3.4</v>
      </c>
      <c r="AY90" s="150">
        <v>3.6</v>
      </c>
      <c r="AZ90" s="150">
        <v>3.8</v>
      </c>
      <c r="BA90" s="150">
        <v>4</v>
      </c>
      <c r="BB90" s="150">
        <v>4.2</v>
      </c>
      <c r="BC90" s="150">
        <v>4.4000000000000004</v>
      </c>
      <c r="BD90" s="150">
        <v>4.5999999999999996</v>
      </c>
      <c r="BE90" s="150">
        <v>4.8</v>
      </c>
      <c r="BF90" s="150">
        <v>5</v>
      </c>
      <c r="BG90" s="150">
        <v>5.2</v>
      </c>
      <c r="BH90" s="150">
        <v>5.4</v>
      </c>
      <c r="BI90" s="150">
        <v>5.6</v>
      </c>
      <c r="BJ90" s="150">
        <v>5.8</v>
      </c>
      <c r="BK90" s="150">
        <v>6</v>
      </c>
      <c r="BL90" s="150">
        <v>6.2</v>
      </c>
      <c r="BM90" s="150">
        <v>6.4</v>
      </c>
      <c r="BN90" s="150">
        <v>6.6</v>
      </c>
      <c r="BO90" s="150">
        <v>6.8</v>
      </c>
      <c r="BP90" s="150">
        <v>7</v>
      </c>
      <c r="BQ90" s="150">
        <v>7.2</v>
      </c>
      <c r="BR90" s="150">
        <v>7.4</v>
      </c>
      <c r="BS90" s="150">
        <v>7.6</v>
      </c>
      <c r="BT90" s="150">
        <v>7.8</v>
      </c>
      <c r="BU90" s="150">
        <v>8</v>
      </c>
      <c r="BV90" s="150">
        <v>8.1999999999999993</v>
      </c>
      <c r="BW90" s="150">
        <v>8.4</v>
      </c>
      <c r="BX90" s="150">
        <v>8.6</v>
      </c>
      <c r="BY90" s="150">
        <v>8.7999999999999936</v>
      </c>
      <c r="BZ90" s="150">
        <v>9</v>
      </c>
      <c r="CA90" s="150">
        <v>9.1999999999999922</v>
      </c>
      <c r="CB90" s="150">
        <v>9.4</v>
      </c>
      <c r="CC90" s="150">
        <v>9.5999999999999908</v>
      </c>
      <c r="CD90" s="150">
        <v>9.8000000000000007</v>
      </c>
      <c r="CE90" s="150">
        <v>9.9999999999999893</v>
      </c>
      <c r="CF90" s="150">
        <v>10.199999999999999</v>
      </c>
      <c r="CG90" s="150">
        <v>10.4</v>
      </c>
      <c r="CH90" s="150">
        <v>10.6</v>
      </c>
      <c r="CI90" s="150">
        <v>10.8</v>
      </c>
      <c r="CJ90" s="150">
        <v>11</v>
      </c>
      <c r="CK90" s="150">
        <v>11.2</v>
      </c>
      <c r="CL90" s="150">
        <v>11.4</v>
      </c>
      <c r="CM90" s="150">
        <v>11.6</v>
      </c>
      <c r="CN90" s="150">
        <v>11.8</v>
      </c>
      <c r="CO90" s="150">
        <v>12</v>
      </c>
      <c r="CP90" s="150">
        <v>12.2</v>
      </c>
      <c r="CQ90" s="150">
        <v>12.4</v>
      </c>
      <c r="CR90" s="150">
        <v>12.6</v>
      </c>
      <c r="CS90" s="150">
        <v>12.8</v>
      </c>
      <c r="CT90" s="150">
        <v>13</v>
      </c>
      <c r="CU90" s="150">
        <v>13.2</v>
      </c>
      <c r="CV90" s="150">
        <v>13.4</v>
      </c>
      <c r="CW90" s="150">
        <v>13.6</v>
      </c>
      <c r="CX90" s="150">
        <v>13.8</v>
      </c>
      <c r="CY90" s="150">
        <v>14</v>
      </c>
      <c r="CZ90" s="150">
        <v>14.2</v>
      </c>
      <c r="DA90" s="150">
        <v>14.4</v>
      </c>
      <c r="DB90" s="150">
        <v>14.6</v>
      </c>
      <c r="DC90" s="150">
        <v>14.8</v>
      </c>
      <c r="DD90" s="150">
        <v>15</v>
      </c>
      <c r="DE90" s="150">
        <v>15.2</v>
      </c>
      <c r="DF90" s="150">
        <v>15.4</v>
      </c>
      <c r="DG90" s="150">
        <v>15.6</v>
      </c>
      <c r="DH90" s="150">
        <v>15.8</v>
      </c>
      <c r="DI90" s="150">
        <v>16</v>
      </c>
      <c r="DJ90" s="150">
        <v>16.2</v>
      </c>
      <c r="DK90" s="150">
        <v>16.399999999999999</v>
      </c>
      <c r="DL90" s="150">
        <v>16.600000000000001</v>
      </c>
      <c r="DM90" s="150">
        <v>16.8</v>
      </c>
      <c r="DN90" s="150">
        <v>17</v>
      </c>
      <c r="DO90" s="150">
        <v>17.2</v>
      </c>
      <c r="DP90" s="150">
        <v>17.399999999999999</v>
      </c>
      <c r="DQ90" s="150">
        <v>17.600000000000001</v>
      </c>
      <c r="DR90" s="150">
        <v>17.8</v>
      </c>
      <c r="DS90" s="150">
        <v>18</v>
      </c>
      <c r="DT90" s="150">
        <v>18.2</v>
      </c>
      <c r="DU90" s="150">
        <v>18.399999999999999</v>
      </c>
      <c r="DV90" s="150">
        <v>18.600000000000001</v>
      </c>
      <c r="DW90" s="150">
        <v>18.8</v>
      </c>
      <c r="DX90" s="150">
        <v>19</v>
      </c>
      <c r="DY90" s="150">
        <v>19.2</v>
      </c>
      <c r="DZ90" s="150">
        <v>19.399999999999999</v>
      </c>
      <c r="EA90" s="150">
        <v>19.600000000000001</v>
      </c>
      <c r="EB90" s="150">
        <v>19.8</v>
      </c>
      <c r="EC90" s="150">
        <v>20</v>
      </c>
      <c r="ED90" s="150">
        <v>20.2</v>
      </c>
      <c r="EE90" s="150">
        <v>20.399999999999999</v>
      </c>
      <c r="EF90" s="150">
        <v>20.6</v>
      </c>
      <c r="EG90" s="150">
        <v>20.799999999999951</v>
      </c>
      <c r="EH90" s="150">
        <v>21</v>
      </c>
      <c r="EI90" s="150">
        <v>21.19999999999995</v>
      </c>
      <c r="EJ90" s="150">
        <v>21.4</v>
      </c>
      <c r="EK90" s="150">
        <v>21.599999999999948</v>
      </c>
    </row>
    <row r="91" spans="1:141" ht="13.2" x14ac:dyDescent="0.25">
      <c r="A91" s="149">
        <v>39417</v>
      </c>
      <c r="B91" s="219">
        <v>-1.7785964148750009</v>
      </c>
      <c r="C91" s="219">
        <v>-1.7482952255625008</v>
      </c>
      <c r="D91" s="219">
        <v>-1.7179940362500008</v>
      </c>
      <c r="E91" s="219">
        <v>-1.6876928469375008</v>
      </c>
      <c r="F91" s="219">
        <v>-1.6573916576250007</v>
      </c>
      <c r="G91" s="219">
        <v>-1.6270904683125007</v>
      </c>
      <c r="H91" s="219">
        <v>-1.5967892790000007</v>
      </c>
      <c r="I91" s="219">
        <v>-1.5664880896875006</v>
      </c>
      <c r="J91" s="219">
        <v>-1.5361869003750006</v>
      </c>
      <c r="K91" s="219">
        <v>-1.5058857110625006</v>
      </c>
      <c r="L91" s="219">
        <v>-1.4755845217500005</v>
      </c>
      <c r="M91" s="219">
        <v>-1.4452833324375005</v>
      </c>
      <c r="N91" s="219">
        <v>-1.4149821431250005</v>
      </c>
      <c r="O91" s="219">
        <v>-1.3846809538125004</v>
      </c>
      <c r="P91" s="219">
        <v>-1.3543797645000004</v>
      </c>
      <c r="Q91" s="219">
        <v>-1.3240785751875004</v>
      </c>
      <c r="R91" s="219">
        <v>-1.2937773858750004</v>
      </c>
      <c r="S91" s="219">
        <v>-1.2634761965625003</v>
      </c>
      <c r="T91" s="219">
        <v>-1.2331750072500003</v>
      </c>
      <c r="U91" s="219">
        <v>-1.2028738179375003</v>
      </c>
      <c r="V91" s="220">
        <v>-1.1725726286250002</v>
      </c>
      <c r="W91" s="219">
        <v>-1.1422714393125002</v>
      </c>
      <c r="X91" s="220">
        <v>-1.1119702500000002</v>
      </c>
      <c r="Y91" s="219">
        <v>-1.0832351250000003</v>
      </c>
      <c r="Z91" s="220">
        <v>-1.0545000000000002</v>
      </c>
      <c r="AA91" s="219">
        <v>-1.0272500000000002</v>
      </c>
      <c r="AB91" s="221">
        <v>-1</v>
      </c>
      <c r="AC91" s="219">
        <v>-0.8</v>
      </c>
      <c r="AD91" s="221">
        <v>-0.6</v>
      </c>
      <c r="AE91" s="219">
        <v>-0.4</v>
      </c>
      <c r="AF91" s="219">
        <v>-0.2</v>
      </c>
      <c r="AG91" s="150">
        <v>0</v>
      </c>
      <c r="AH91" s="150">
        <v>0.2</v>
      </c>
      <c r="AI91" s="150">
        <v>0.4</v>
      </c>
      <c r="AJ91" s="150">
        <v>0.6</v>
      </c>
      <c r="AK91" s="150">
        <v>0.8</v>
      </c>
      <c r="AL91" s="150">
        <v>1</v>
      </c>
      <c r="AM91" s="150">
        <v>1.2</v>
      </c>
      <c r="AN91" s="150">
        <v>1.4</v>
      </c>
      <c r="AO91" s="150">
        <v>1.6</v>
      </c>
      <c r="AP91" s="150">
        <v>1.8</v>
      </c>
      <c r="AQ91" s="150">
        <v>2</v>
      </c>
      <c r="AR91" s="150">
        <v>2.2000000000000002</v>
      </c>
      <c r="AS91" s="150">
        <v>2.4</v>
      </c>
      <c r="AT91" s="150">
        <v>2.6</v>
      </c>
      <c r="AU91" s="150">
        <v>2.8</v>
      </c>
      <c r="AV91" s="150">
        <v>3</v>
      </c>
      <c r="AW91" s="150">
        <v>3.2</v>
      </c>
      <c r="AX91" s="150">
        <v>3.4</v>
      </c>
      <c r="AY91" s="150">
        <v>3.6</v>
      </c>
      <c r="AZ91" s="150">
        <v>3.8</v>
      </c>
      <c r="BA91" s="150">
        <v>4</v>
      </c>
      <c r="BB91" s="150">
        <v>4.2</v>
      </c>
      <c r="BC91" s="150">
        <v>4.4000000000000004</v>
      </c>
      <c r="BD91" s="150">
        <v>4.5999999999999996</v>
      </c>
      <c r="BE91" s="150">
        <v>4.8</v>
      </c>
      <c r="BF91" s="150">
        <v>5</v>
      </c>
      <c r="BG91" s="150">
        <v>5.2</v>
      </c>
      <c r="BH91" s="150">
        <v>5.4</v>
      </c>
      <c r="BI91" s="150">
        <v>5.6</v>
      </c>
      <c r="BJ91" s="150">
        <v>5.8</v>
      </c>
      <c r="BK91" s="150">
        <v>6</v>
      </c>
      <c r="BL91" s="150">
        <v>6.2</v>
      </c>
      <c r="BM91" s="150">
        <v>6.4</v>
      </c>
      <c r="BN91" s="150">
        <v>6.6</v>
      </c>
      <c r="BO91" s="150">
        <v>6.8</v>
      </c>
      <c r="BP91" s="150">
        <v>7</v>
      </c>
      <c r="BQ91" s="150">
        <v>7.2</v>
      </c>
      <c r="BR91" s="150">
        <v>7.4</v>
      </c>
      <c r="BS91" s="150">
        <v>7.6</v>
      </c>
      <c r="BT91" s="150">
        <v>7.8</v>
      </c>
      <c r="BU91" s="150">
        <v>8</v>
      </c>
      <c r="BV91" s="150">
        <v>8.1999999999999993</v>
      </c>
      <c r="BW91" s="150">
        <v>8.4</v>
      </c>
      <c r="BX91" s="150">
        <v>8.6</v>
      </c>
      <c r="BY91" s="150">
        <v>8.7999999999999936</v>
      </c>
      <c r="BZ91" s="150">
        <v>9</v>
      </c>
      <c r="CA91" s="150">
        <v>9.1999999999999922</v>
      </c>
      <c r="CB91" s="150">
        <v>9.4</v>
      </c>
      <c r="CC91" s="150">
        <v>9.5999999999999908</v>
      </c>
      <c r="CD91" s="150">
        <v>9.8000000000000007</v>
      </c>
      <c r="CE91" s="150">
        <v>9.9999999999999893</v>
      </c>
      <c r="CF91" s="150">
        <v>10.199999999999999</v>
      </c>
      <c r="CG91" s="150">
        <v>10.4</v>
      </c>
      <c r="CH91" s="150">
        <v>10.6</v>
      </c>
      <c r="CI91" s="150">
        <v>10.8</v>
      </c>
      <c r="CJ91" s="150">
        <v>11</v>
      </c>
      <c r="CK91" s="150">
        <v>11.2</v>
      </c>
      <c r="CL91" s="150">
        <v>11.4</v>
      </c>
      <c r="CM91" s="150">
        <v>11.6</v>
      </c>
      <c r="CN91" s="150">
        <v>11.8</v>
      </c>
      <c r="CO91" s="150">
        <v>12</v>
      </c>
      <c r="CP91" s="150">
        <v>12.2</v>
      </c>
      <c r="CQ91" s="150">
        <v>12.4</v>
      </c>
      <c r="CR91" s="150">
        <v>12.6</v>
      </c>
      <c r="CS91" s="150">
        <v>12.8</v>
      </c>
      <c r="CT91" s="150">
        <v>13</v>
      </c>
      <c r="CU91" s="150">
        <v>13.2</v>
      </c>
      <c r="CV91" s="150">
        <v>13.4</v>
      </c>
      <c r="CW91" s="150">
        <v>13.6</v>
      </c>
      <c r="CX91" s="150">
        <v>13.8</v>
      </c>
      <c r="CY91" s="150">
        <v>14</v>
      </c>
      <c r="CZ91" s="150">
        <v>14.2</v>
      </c>
      <c r="DA91" s="150">
        <v>14.4</v>
      </c>
      <c r="DB91" s="150">
        <v>14.6</v>
      </c>
      <c r="DC91" s="150">
        <v>14.8</v>
      </c>
      <c r="DD91" s="150">
        <v>15</v>
      </c>
      <c r="DE91" s="150">
        <v>15.2</v>
      </c>
      <c r="DF91" s="150">
        <v>15.4</v>
      </c>
      <c r="DG91" s="150">
        <v>15.6</v>
      </c>
      <c r="DH91" s="150">
        <v>15.8</v>
      </c>
      <c r="DI91" s="150">
        <v>16</v>
      </c>
      <c r="DJ91" s="150">
        <v>16.2</v>
      </c>
      <c r="DK91" s="150">
        <v>16.399999999999999</v>
      </c>
      <c r="DL91" s="150">
        <v>16.600000000000001</v>
      </c>
      <c r="DM91" s="150">
        <v>16.8</v>
      </c>
      <c r="DN91" s="150">
        <v>17</v>
      </c>
      <c r="DO91" s="150">
        <v>17.2</v>
      </c>
      <c r="DP91" s="150">
        <v>17.399999999999999</v>
      </c>
      <c r="DQ91" s="150">
        <v>17.600000000000001</v>
      </c>
      <c r="DR91" s="150">
        <v>17.8</v>
      </c>
      <c r="DS91" s="150">
        <v>18</v>
      </c>
      <c r="DT91" s="150">
        <v>18.2</v>
      </c>
      <c r="DU91" s="150">
        <v>18.399999999999999</v>
      </c>
      <c r="DV91" s="150">
        <v>18.600000000000001</v>
      </c>
      <c r="DW91" s="150">
        <v>18.8</v>
      </c>
      <c r="DX91" s="150">
        <v>19</v>
      </c>
      <c r="DY91" s="150">
        <v>19.2</v>
      </c>
      <c r="DZ91" s="150">
        <v>19.399999999999999</v>
      </c>
      <c r="EA91" s="150">
        <v>19.600000000000001</v>
      </c>
      <c r="EB91" s="150">
        <v>19.8</v>
      </c>
      <c r="EC91" s="150">
        <v>20</v>
      </c>
      <c r="ED91" s="150">
        <v>20.2</v>
      </c>
      <c r="EE91" s="150">
        <v>20.399999999999999</v>
      </c>
      <c r="EF91" s="150">
        <v>20.6</v>
      </c>
      <c r="EG91" s="150">
        <v>20.799999999999951</v>
      </c>
      <c r="EH91" s="150">
        <v>21</v>
      </c>
      <c r="EI91" s="150">
        <v>21.19999999999995</v>
      </c>
      <c r="EJ91" s="150">
        <v>21.4</v>
      </c>
      <c r="EK91" s="150">
        <v>21.599999999999948</v>
      </c>
    </row>
    <row r="92" spans="1:141" ht="13.2" x14ac:dyDescent="0.25">
      <c r="A92" s="149">
        <v>39448</v>
      </c>
      <c r="B92" s="219">
        <v>-1.7785964148750009</v>
      </c>
      <c r="C92" s="219">
        <v>-1.7482952255625008</v>
      </c>
      <c r="D92" s="219">
        <v>-1.7179940362500008</v>
      </c>
      <c r="E92" s="219">
        <v>-1.6876928469375008</v>
      </c>
      <c r="F92" s="219">
        <v>-1.6573916576250007</v>
      </c>
      <c r="G92" s="219">
        <v>-1.6270904683125007</v>
      </c>
      <c r="H92" s="219">
        <v>-1.5967892790000007</v>
      </c>
      <c r="I92" s="219">
        <v>-1.5664880896875006</v>
      </c>
      <c r="J92" s="219">
        <v>-1.5361869003750006</v>
      </c>
      <c r="K92" s="219">
        <v>-1.5058857110625006</v>
      </c>
      <c r="L92" s="219">
        <v>-1.4755845217500005</v>
      </c>
      <c r="M92" s="219">
        <v>-1.4452833324375005</v>
      </c>
      <c r="N92" s="219">
        <v>-1.4149821431250005</v>
      </c>
      <c r="O92" s="219">
        <v>-1.3846809538125004</v>
      </c>
      <c r="P92" s="219">
        <v>-1.3543797645000004</v>
      </c>
      <c r="Q92" s="219">
        <v>-1.3240785751875004</v>
      </c>
      <c r="R92" s="219">
        <v>-1.2937773858750004</v>
      </c>
      <c r="S92" s="219">
        <v>-1.2634761965625003</v>
      </c>
      <c r="T92" s="219">
        <v>-1.2331750072500003</v>
      </c>
      <c r="U92" s="219">
        <v>-1.2028738179375003</v>
      </c>
      <c r="V92" s="220">
        <v>-1.1725726286250002</v>
      </c>
      <c r="W92" s="219">
        <v>-1.1422714393125002</v>
      </c>
      <c r="X92" s="220">
        <v>-1.1119702500000002</v>
      </c>
      <c r="Y92" s="219">
        <v>-1.0832351250000003</v>
      </c>
      <c r="Z92" s="220">
        <v>-1.0545000000000002</v>
      </c>
      <c r="AA92" s="219">
        <v>-1.0272500000000002</v>
      </c>
      <c r="AB92" s="221">
        <v>-1</v>
      </c>
      <c r="AC92" s="219">
        <v>-0.8</v>
      </c>
      <c r="AD92" s="221">
        <v>-0.6</v>
      </c>
      <c r="AE92" s="219">
        <v>-0.4</v>
      </c>
      <c r="AF92" s="219">
        <v>-0.2</v>
      </c>
      <c r="AG92" s="150">
        <v>0</v>
      </c>
      <c r="AH92" s="150">
        <v>0.2</v>
      </c>
      <c r="AI92" s="150">
        <v>0.4</v>
      </c>
      <c r="AJ92" s="150">
        <v>0.6</v>
      </c>
      <c r="AK92" s="150">
        <v>0.8</v>
      </c>
      <c r="AL92" s="150">
        <v>1</v>
      </c>
      <c r="AM92" s="150">
        <v>1.2</v>
      </c>
      <c r="AN92" s="150">
        <v>1.4</v>
      </c>
      <c r="AO92" s="150">
        <v>1.6</v>
      </c>
      <c r="AP92" s="150">
        <v>1.8</v>
      </c>
      <c r="AQ92" s="150">
        <v>2</v>
      </c>
      <c r="AR92" s="150">
        <v>2.2000000000000002</v>
      </c>
      <c r="AS92" s="150">
        <v>2.4</v>
      </c>
      <c r="AT92" s="150">
        <v>2.6</v>
      </c>
      <c r="AU92" s="150">
        <v>2.8</v>
      </c>
      <c r="AV92" s="150">
        <v>3</v>
      </c>
      <c r="AW92" s="150">
        <v>3.2</v>
      </c>
      <c r="AX92" s="150">
        <v>3.4</v>
      </c>
      <c r="AY92" s="150">
        <v>3.6</v>
      </c>
      <c r="AZ92" s="150">
        <v>3.8</v>
      </c>
      <c r="BA92" s="150">
        <v>4</v>
      </c>
      <c r="BB92" s="150">
        <v>4.2</v>
      </c>
      <c r="BC92" s="150">
        <v>4.4000000000000004</v>
      </c>
      <c r="BD92" s="150">
        <v>4.5999999999999996</v>
      </c>
      <c r="BE92" s="150">
        <v>4.8</v>
      </c>
      <c r="BF92" s="150">
        <v>5</v>
      </c>
      <c r="BG92" s="150">
        <v>5.2</v>
      </c>
      <c r="BH92" s="150">
        <v>5.4</v>
      </c>
      <c r="BI92" s="150">
        <v>5.6</v>
      </c>
      <c r="BJ92" s="150">
        <v>5.8</v>
      </c>
      <c r="BK92" s="150">
        <v>6</v>
      </c>
      <c r="BL92" s="150">
        <v>6.2</v>
      </c>
      <c r="BM92" s="150">
        <v>6.4</v>
      </c>
      <c r="BN92" s="150">
        <v>6.6</v>
      </c>
      <c r="BO92" s="150">
        <v>6.8</v>
      </c>
      <c r="BP92" s="150">
        <v>7</v>
      </c>
      <c r="BQ92" s="150">
        <v>7.2</v>
      </c>
      <c r="BR92" s="150">
        <v>7.4</v>
      </c>
      <c r="BS92" s="150">
        <v>7.6</v>
      </c>
      <c r="BT92" s="150">
        <v>7.8</v>
      </c>
      <c r="BU92" s="150">
        <v>8</v>
      </c>
      <c r="BV92" s="150">
        <v>8.1999999999999993</v>
      </c>
      <c r="BW92" s="150">
        <v>8.4</v>
      </c>
      <c r="BX92" s="150">
        <v>8.6</v>
      </c>
      <c r="BY92" s="150">
        <v>8.7999999999999936</v>
      </c>
      <c r="BZ92" s="150">
        <v>9</v>
      </c>
      <c r="CA92" s="150">
        <v>9.1999999999999922</v>
      </c>
      <c r="CB92" s="150">
        <v>9.4</v>
      </c>
      <c r="CC92" s="150">
        <v>9.5999999999999908</v>
      </c>
      <c r="CD92" s="150">
        <v>9.8000000000000007</v>
      </c>
      <c r="CE92" s="150">
        <v>9.9999999999999893</v>
      </c>
      <c r="CF92" s="150">
        <v>10.199999999999999</v>
      </c>
      <c r="CG92" s="150">
        <v>10.4</v>
      </c>
      <c r="CH92" s="150">
        <v>10.6</v>
      </c>
      <c r="CI92" s="150">
        <v>10.8</v>
      </c>
      <c r="CJ92" s="150">
        <v>11</v>
      </c>
      <c r="CK92" s="150">
        <v>11.2</v>
      </c>
      <c r="CL92" s="150">
        <v>11.4</v>
      </c>
      <c r="CM92" s="150">
        <v>11.6</v>
      </c>
      <c r="CN92" s="150">
        <v>11.8</v>
      </c>
      <c r="CO92" s="150">
        <v>12</v>
      </c>
      <c r="CP92" s="150">
        <v>12.2</v>
      </c>
      <c r="CQ92" s="150">
        <v>12.4</v>
      </c>
      <c r="CR92" s="150">
        <v>12.6</v>
      </c>
      <c r="CS92" s="150">
        <v>12.8</v>
      </c>
      <c r="CT92" s="150">
        <v>13</v>
      </c>
      <c r="CU92" s="150">
        <v>13.2</v>
      </c>
      <c r="CV92" s="150">
        <v>13.4</v>
      </c>
      <c r="CW92" s="150">
        <v>13.6</v>
      </c>
      <c r="CX92" s="150">
        <v>13.8</v>
      </c>
      <c r="CY92" s="150">
        <v>14</v>
      </c>
      <c r="CZ92" s="150">
        <v>14.2</v>
      </c>
      <c r="DA92" s="150">
        <v>14.4</v>
      </c>
      <c r="DB92" s="150">
        <v>14.6</v>
      </c>
      <c r="DC92" s="150">
        <v>14.8</v>
      </c>
      <c r="DD92" s="150">
        <v>15</v>
      </c>
      <c r="DE92" s="150">
        <v>15.2</v>
      </c>
      <c r="DF92" s="150">
        <v>15.4</v>
      </c>
      <c r="DG92" s="150">
        <v>15.6</v>
      </c>
      <c r="DH92" s="150">
        <v>15.8</v>
      </c>
      <c r="DI92" s="150">
        <v>16</v>
      </c>
      <c r="DJ92" s="150">
        <v>16.2</v>
      </c>
      <c r="DK92" s="150">
        <v>16.399999999999999</v>
      </c>
      <c r="DL92" s="150">
        <v>16.600000000000001</v>
      </c>
      <c r="DM92" s="150">
        <v>16.8</v>
      </c>
      <c r="DN92" s="150">
        <v>17</v>
      </c>
      <c r="DO92" s="150">
        <v>17.2</v>
      </c>
      <c r="DP92" s="150">
        <v>17.399999999999999</v>
      </c>
      <c r="DQ92" s="150">
        <v>17.600000000000001</v>
      </c>
      <c r="DR92" s="150">
        <v>17.8</v>
      </c>
      <c r="DS92" s="150">
        <v>18</v>
      </c>
      <c r="DT92" s="150">
        <v>18.2</v>
      </c>
      <c r="DU92" s="150">
        <v>18.399999999999999</v>
      </c>
      <c r="DV92" s="150">
        <v>18.600000000000001</v>
      </c>
      <c r="DW92" s="150">
        <v>18.8</v>
      </c>
      <c r="DX92" s="150">
        <v>19</v>
      </c>
      <c r="DY92" s="150">
        <v>19.2</v>
      </c>
      <c r="DZ92" s="150">
        <v>19.399999999999999</v>
      </c>
      <c r="EA92" s="150">
        <v>19.600000000000001</v>
      </c>
      <c r="EB92" s="150">
        <v>19.8</v>
      </c>
      <c r="EC92" s="150">
        <v>20</v>
      </c>
      <c r="ED92" s="150">
        <v>20.2</v>
      </c>
      <c r="EE92" s="150">
        <v>20.399999999999999</v>
      </c>
      <c r="EF92" s="150">
        <v>20.6</v>
      </c>
      <c r="EG92" s="150">
        <v>20.799999999999951</v>
      </c>
      <c r="EH92" s="150">
        <v>21</v>
      </c>
      <c r="EI92" s="150">
        <v>21.19999999999995</v>
      </c>
      <c r="EJ92" s="150">
        <v>21.4</v>
      </c>
      <c r="EK92" s="150">
        <v>21.599999999999948</v>
      </c>
    </row>
    <row r="93" spans="1:141" ht="13.2" x14ac:dyDescent="0.25">
      <c r="A93" s="149">
        <v>39479</v>
      </c>
      <c r="B93" s="219">
        <v>-1.7785964148750009</v>
      </c>
      <c r="C93" s="219">
        <v>-1.7482952255625008</v>
      </c>
      <c r="D93" s="219">
        <v>-1.7179940362500008</v>
      </c>
      <c r="E93" s="219">
        <v>-1.6876928469375008</v>
      </c>
      <c r="F93" s="219">
        <v>-1.6573916576250007</v>
      </c>
      <c r="G93" s="219">
        <v>-1.6270904683125007</v>
      </c>
      <c r="H93" s="219">
        <v>-1.5967892790000007</v>
      </c>
      <c r="I93" s="219">
        <v>-1.5664880896875006</v>
      </c>
      <c r="J93" s="219">
        <v>-1.5361869003750006</v>
      </c>
      <c r="K93" s="219">
        <v>-1.5058857110625006</v>
      </c>
      <c r="L93" s="219">
        <v>-1.4755845217500005</v>
      </c>
      <c r="M93" s="219">
        <v>-1.4452833324375005</v>
      </c>
      <c r="N93" s="219">
        <v>-1.4149821431250005</v>
      </c>
      <c r="O93" s="219">
        <v>-1.3846809538125004</v>
      </c>
      <c r="P93" s="219">
        <v>-1.3543797645000004</v>
      </c>
      <c r="Q93" s="219">
        <v>-1.3240785751875004</v>
      </c>
      <c r="R93" s="219">
        <v>-1.2937773858750004</v>
      </c>
      <c r="S93" s="219">
        <v>-1.2634761965625003</v>
      </c>
      <c r="T93" s="219">
        <v>-1.2331750072500003</v>
      </c>
      <c r="U93" s="219">
        <v>-1.2028738179375003</v>
      </c>
      <c r="V93" s="220">
        <v>-1.1725726286250002</v>
      </c>
      <c r="W93" s="219">
        <v>-1.1422714393125002</v>
      </c>
      <c r="X93" s="220">
        <v>-1.1119702500000002</v>
      </c>
      <c r="Y93" s="219">
        <v>-1.0832351250000003</v>
      </c>
      <c r="Z93" s="220">
        <v>-1.0545000000000002</v>
      </c>
      <c r="AA93" s="219">
        <v>-1.0272500000000002</v>
      </c>
      <c r="AB93" s="221">
        <v>-1</v>
      </c>
      <c r="AC93" s="219">
        <v>-0.8</v>
      </c>
      <c r="AD93" s="221">
        <v>-0.6</v>
      </c>
      <c r="AE93" s="219">
        <v>-0.4</v>
      </c>
      <c r="AF93" s="219">
        <v>-0.2</v>
      </c>
      <c r="AG93" s="150">
        <v>0</v>
      </c>
      <c r="AH93" s="150">
        <v>0.2</v>
      </c>
      <c r="AI93" s="150">
        <v>0.4</v>
      </c>
      <c r="AJ93" s="150">
        <v>0.6</v>
      </c>
      <c r="AK93" s="150">
        <v>0.8</v>
      </c>
      <c r="AL93" s="150">
        <v>1</v>
      </c>
      <c r="AM93" s="150">
        <v>1.2</v>
      </c>
      <c r="AN93" s="150">
        <v>1.4</v>
      </c>
      <c r="AO93" s="150">
        <v>1.6</v>
      </c>
      <c r="AP93" s="150">
        <v>1.8</v>
      </c>
      <c r="AQ93" s="150">
        <v>2</v>
      </c>
      <c r="AR93" s="150">
        <v>2.2000000000000002</v>
      </c>
      <c r="AS93" s="150">
        <v>2.4</v>
      </c>
      <c r="AT93" s="150">
        <v>2.6</v>
      </c>
      <c r="AU93" s="150">
        <v>2.8</v>
      </c>
      <c r="AV93" s="150">
        <v>3</v>
      </c>
      <c r="AW93" s="150">
        <v>3.2</v>
      </c>
      <c r="AX93" s="150">
        <v>3.4</v>
      </c>
      <c r="AY93" s="150">
        <v>3.6</v>
      </c>
      <c r="AZ93" s="150">
        <v>3.8</v>
      </c>
      <c r="BA93" s="150">
        <v>4</v>
      </c>
      <c r="BB93" s="150">
        <v>4.2</v>
      </c>
      <c r="BC93" s="150">
        <v>4.4000000000000004</v>
      </c>
      <c r="BD93" s="150">
        <v>4.5999999999999996</v>
      </c>
      <c r="BE93" s="150">
        <v>4.8</v>
      </c>
      <c r="BF93" s="150">
        <v>5</v>
      </c>
      <c r="BG93" s="150">
        <v>5.2</v>
      </c>
      <c r="BH93" s="150">
        <v>5.4</v>
      </c>
      <c r="BI93" s="150">
        <v>5.6</v>
      </c>
      <c r="BJ93" s="150">
        <v>5.8</v>
      </c>
      <c r="BK93" s="150">
        <v>6</v>
      </c>
      <c r="BL93" s="150">
        <v>6.2</v>
      </c>
      <c r="BM93" s="150">
        <v>6.4</v>
      </c>
      <c r="BN93" s="150">
        <v>6.6</v>
      </c>
      <c r="BO93" s="150">
        <v>6.8</v>
      </c>
      <c r="BP93" s="150">
        <v>7</v>
      </c>
      <c r="BQ93" s="150">
        <v>7.2</v>
      </c>
      <c r="BR93" s="150">
        <v>7.4</v>
      </c>
      <c r="BS93" s="150">
        <v>7.6</v>
      </c>
      <c r="BT93" s="150">
        <v>7.8</v>
      </c>
      <c r="BU93" s="150">
        <v>8</v>
      </c>
      <c r="BV93" s="150">
        <v>8.1999999999999993</v>
      </c>
      <c r="BW93" s="150">
        <v>8.4</v>
      </c>
      <c r="BX93" s="150">
        <v>8.6</v>
      </c>
      <c r="BY93" s="150">
        <v>8.7999999999999936</v>
      </c>
      <c r="BZ93" s="150">
        <v>9</v>
      </c>
      <c r="CA93" s="150">
        <v>9.1999999999999922</v>
      </c>
      <c r="CB93" s="150">
        <v>9.4</v>
      </c>
      <c r="CC93" s="150">
        <v>9.5999999999999908</v>
      </c>
      <c r="CD93" s="150">
        <v>9.8000000000000007</v>
      </c>
      <c r="CE93" s="150">
        <v>9.9999999999999893</v>
      </c>
      <c r="CF93" s="150">
        <v>10.199999999999999</v>
      </c>
      <c r="CG93" s="150">
        <v>10.4</v>
      </c>
      <c r="CH93" s="150">
        <v>10.6</v>
      </c>
      <c r="CI93" s="150">
        <v>10.8</v>
      </c>
      <c r="CJ93" s="150">
        <v>11</v>
      </c>
      <c r="CK93" s="150">
        <v>11.2</v>
      </c>
      <c r="CL93" s="150">
        <v>11.4</v>
      </c>
      <c r="CM93" s="150">
        <v>11.6</v>
      </c>
      <c r="CN93" s="150">
        <v>11.8</v>
      </c>
      <c r="CO93" s="150">
        <v>12</v>
      </c>
      <c r="CP93" s="150">
        <v>12.2</v>
      </c>
      <c r="CQ93" s="150">
        <v>12.4</v>
      </c>
      <c r="CR93" s="150">
        <v>12.6</v>
      </c>
      <c r="CS93" s="150">
        <v>12.8</v>
      </c>
      <c r="CT93" s="150">
        <v>13</v>
      </c>
      <c r="CU93" s="150">
        <v>13.2</v>
      </c>
      <c r="CV93" s="150">
        <v>13.4</v>
      </c>
      <c r="CW93" s="150">
        <v>13.6</v>
      </c>
      <c r="CX93" s="150">
        <v>13.8</v>
      </c>
      <c r="CY93" s="150">
        <v>14</v>
      </c>
      <c r="CZ93" s="150">
        <v>14.2</v>
      </c>
      <c r="DA93" s="150">
        <v>14.4</v>
      </c>
      <c r="DB93" s="150">
        <v>14.6</v>
      </c>
      <c r="DC93" s="150">
        <v>14.8</v>
      </c>
      <c r="DD93" s="150">
        <v>15</v>
      </c>
      <c r="DE93" s="150">
        <v>15.2</v>
      </c>
      <c r="DF93" s="150">
        <v>15.4</v>
      </c>
      <c r="DG93" s="150">
        <v>15.6</v>
      </c>
      <c r="DH93" s="150">
        <v>15.8</v>
      </c>
      <c r="DI93" s="150">
        <v>16</v>
      </c>
      <c r="DJ93" s="150">
        <v>16.2</v>
      </c>
      <c r="DK93" s="150">
        <v>16.399999999999999</v>
      </c>
      <c r="DL93" s="150">
        <v>16.600000000000001</v>
      </c>
      <c r="DM93" s="150">
        <v>16.8</v>
      </c>
      <c r="DN93" s="150">
        <v>17</v>
      </c>
      <c r="DO93" s="150">
        <v>17.2</v>
      </c>
      <c r="DP93" s="150">
        <v>17.399999999999999</v>
      </c>
      <c r="DQ93" s="150">
        <v>17.600000000000001</v>
      </c>
      <c r="DR93" s="150">
        <v>17.8</v>
      </c>
      <c r="DS93" s="150">
        <v>18</v>
      </c>
      <c r="DT93" s="150">
        <v>18.2</v>
      </c>
      <c r="DU93" s="150">
        <v>18.399999999999999</v>
      </c>
      <c r="DV93" s="150">
        <v>18.600000000000001</v>
      </c>
      <c r="DW93" s="150">
        <v>18.8</v>
      </c>
      <c r="DX93" s="150">
        <v>19</v>
      </c>
      <c r="DY93" s="150">
        <v>19.2</v>
      </c>
      <c r="DZ93" s="150">
        <v>19.399999999999999</v>
      </c>
      <c r="EA93" s="150">
        <v>19.600000000000001</v>
      </c>
      <c r="EB93" s="150">
        <v>19.8</v>
      </c>
      <c r="EC93" s="150">
        <v>20</v>
      </c>
      <c r="ED93" s="150">
        <v>20.2</v>
      </c>
      <c r="EE93" s="150">
        <v>20.399999999999999</v>
      </c>
      <c r="EF93" s="150">
        <v>20.6</v>
      </c>
      <c r="EG93" s="150">
        <v>20.799999999999951</v>
      </c>
      <c r="EH93" s="150">
        <v>21</v>
      </c>
      <c r="EI93" s="150">
        <v>21.19999999999995</v>
      </c>
      <c r="EJ93" s="150">
        <v>21.4</v>
      </c>
      <c r="EK93" s="150">
        <v>21.599999999999948</v>
      </c>
    </row>
    <row r="94" spans="1:141" ht="13.2" x14ac:dyDescent="0.25">
      <c r="A94" s="149">
        <v>39508</v>
      </c>
      <c r="B94" s="219">
        <v>-1.7785964148750009</v>
      </c>
      <c r="C94" s="219">
        <v>-1.7482952255625008</v>
      </c>
      <c r="D94" s="219">
        <v>-1.7179940362500008</v>
      </c>
      <c r="E94" s="219">
        <v>-1.6876928469375008</v>
      </c>
      <c r="F94" s="219">
        <v>-1.6573916576250007</v>
      </c>
      <c r="G94" s="219">
        <v>-1.6270904683125007</v>
      </c>
      <c r="H94" s="219">
        <v>-1.5967892790000007</v>
      </c>
      <c r="I94" s="219">
        <v>-1.5664880896875006</v>
      </c>
      <c r="J94" s="219">
        <v>-1.5361869003750006</v>
      </c>
      <c r="K94" s="219">
        <v>-1.5058857110625006</v>
      </c>
      <c r="L94" s="219">
        <v>-1.4755845217500005</v>
      </c>
      <c r="M94" s="219">
        <v>-1.4452833324375005</v>
      </c>
      <c r="N94" s="219">
        <v>-1.4149821431250005</v>
      </c>
      <c r="O94" s="219">
        <v>-1.3846809538125004</v>
      </c>
      <c r="P94" s="219">
        <v>-1.3543797645000004</v>
      </c>
      <c r="Q94" s="219">
        <v>-1.3240785751875004</v>
      </c>
      <c r="R94" s="219">
        <v>-1.2937773858750004</v>
      </c>
      <c r="S94" s="219">
        <v>-1.2634761965625003</v>
      </c>
      <c r="T94" s="219">
        <v>-1.2331750072500003</v>
      </c>
      <c r="U94" s="219">
        <v>-1.2028738179375003</v>
      </c>
      <c r="V94" s="220">
        <v>-1.1725726286250002</v>
      </c>
      <c r="W94" s="219">
        <v>-1.1422714393125002</v>
      </c>
      <c r="X94" s="220">
        <v>-1.1119702500000002</v>
      </c>
      <c r="Y94" s="219">
        <v>-1.0832351250000003</v>
      </c>
      <c r="Z94" s="220">
        <v>-1.0545000000000002</v>
      </c>
      <c r="AA94" s="219">
        <v>-1.0272500000000002</v>
      </c>
      <c r="AB94" s="221">
        <v>-1</v>
      </c>
      <c r="AC94" s="219">
        <v>-0.8</v>
      </c>
      <c r="AD94" s="221">
        <v>-0.6</v>
      </c>
      <c r="AE94" s="219">
        <v>-0.4</v>
      </c>
      <c r="AF94" s="219">
        <v>-0.2</v>
      </c>
      <c r="AG94" s="150">
        <v>0</v>
      </c>
      <c r="AH94" s="150">
        <v>0.2</v>
      </c>
      <c r="AI94" s="150">
        <v>0.4</v>
      </c>
      <c r="AJ94" s="150">
        <v>0.6</v>
      </c>
      <c r="AK94" s="150">
        <v>0.8</v>
      </c>
      <c r="AL94" s="150">
        <v>1</v>
      </c>
      <c r="AM94" s="150">
        <v>1.2</v>
      </c>
      <c r="AN94" s="150">
        <v>1.4</v>
      </c>
      <c r="AO94" s="150">
        <v>1.6</v>
      </c>
      <c r="AP94" s="150">
        <v>1.8</v>
      </c>
      <c r="AQ94" s="150">
        <v>2</v>
      </c>
      <c r="AR94" s="150">
        <v>2.2000000000000002</v>
      </c>
      <c r="AS94" s="150">
        <v>2.4</v>
      </c>
      <c r="AT94" s="150">
        <v>2.6</v>
      </c>
      <c r="AU94" s="150">
        <v>2.8</v>
      </c>
      <c r="AV94" s="150">
        <v>3</v>
      </c>
      <c r="AW94" s="150">
        <v>3.2</v>
      </c>
      <c r="AX94" s="150">
        <v>3.4</v>
      </c>
      <c r="AY94" s="150">
        <v>3.6</v>
      </c>
      <c r="AZ94" s="150">
        <v>3.8</v>
      </c>
      <c r="BA94" s="150">
        <v>4</v>
      </c>
      <c r="BB94" s="150">
        <v>4.2</v>
      </c>
      <c r="BC94" s="150">
        <v>4.4000000000000004</v>
      </c>
      <c r="BD94" s="150">
        <v>4.5999999999999996</v>
      </c>
      <c r="BE94" s="150">
        <v>4.8</v>
      </c>
      <c r="BF94" s="150">
        <v>5</v>
      </c>
      <c r="BG94" s="150">
        <v>5.2</v>
      </c>
      <c r="BH94" s="150">
        <v>5.4</v>
      </c>
      <c r="BI94" s="150">
        <v>5.6</v>
      </c>
      <c r="BJ94" s="150">
        <v>5.8</v>
      </c>
      <c r="BK94" s="150">
        <v>6</v>
      </c>
      <c r="BL94" s="150">
        <v>6.2</v>
      </c>
      <c r="BM94" s="150">
        <v>6.4</v>
      </c>
      <c r="BN94" s="150">
        <v>6.6</v>
      </c>
      <c r="BO94" s="150">
        <v>6.8</v>
      </c>
      <c r="BP94" s="150">
        <v>7</v>
      </c>
      <c r="BQ94" s="150">
        <v>7.2</v>
      </c>
      <c r="BR94" s="150">
        <v>7.4</v>
      </c>
      <c r="BS94" s="150">
        <v>7.6</v>
      </c>
      <c r="BT94" s="150">
        <v>7.8</v>
      </c>
      <c r="BU94" s="150">
        <v>8</v>
      </c>
      <c r="BV94" s="150">
        <v>8.1999999999999993</v>
      </c>
      <c r="BW94" s="150">
        <v>8.4</v>
      </c>
      <c r="BX94" s="150">
        <v>8.6</v>
      </c>
      <c r="BY94" s="150">
        <v>8.7999999999999936</v>
      </c>
      <c r="BZ94" s="150">
        <v>9</v>
      </c>
      <c r="CA94" s="150">
        <v>9.1999999999999922</v>
      </c>
      <c r="CB94" s="150">
        <v>9.4</v>
      </c>
      <c r="CC94" s="150">
        <v>9.5999999999999908</v>
      </c>
      <c r="CD94" s="150">
        <v>9.8000000000000007</v>
      </c>
      <c r="CE94" s="150">
        <v>9.9999999999999893</v>
      </c>
      <c r="CF94" s="150">
        <v>10.199999999999999</v>
      </c>
      <c r="CG94" s="150">
        <v>10.4</v>
      </c>
      <c r="CH94" s="150">
        <v>10.6</v>
      </c>
      <c r="CI94" s="150">
        <v>10.8</v>
      </c>
      <c r="CJ94" s="150">
        <v>11</v>
      </c>
      <c r="CK94" s="150">
        <v>11.2</v>
      </c>
      <c r="CL94" s="150">
        <v>11.4</v>
      </c>
      <c r="CM94" s="150">
        <v>11.6</v>
      </c>
      <c r="CN94" s="150">
        <v>11.8</v>
      </c>
      <c r="CO94" s="150">
        <v>12</v>
      </c>
      <c r="CP94" s="150">
        <v>12.2</v>
      </c>
      <c r="CQ94" s="150">
        <v>12.4</v>
      </c>
      <c r="CR94" s="150">
        <v>12.6</v>
      </c>
      <c r="CS94" s="150">
        <v>12.8</v>
      </c>
      <c r="CT94" s="150">
        <v>13</v>
      </c>
      <c r="CU94" s="150">
        <v>13.2</v>
      </c>
      <c r="CV94" s="150">
        <v>13.4</v>
      </c>
      <c r="CW94" s="150">
        <v>13.6</v>
      </c>
      <c r="CX94" s="150">
        <v>13.8</v>
      </c>
      <c r="CY94" s="150">
        <v>14</v>
      </c>
      <c r="CZ94" s="150">
        <v>14.2</v>
      </c>
      <c r="DA94" s="150">
        <v>14.4</v>
      </c>
      <c r="DB94" s="150">
        <v>14.6</v>
      </c>
      <c r="DC94" s="150">
        <v>14.8</v>
      </c>
      <c r="DD94" s="150">
        <v>15</v>
      </c>
      <c r="DE94" s="150">
        <v>15.2</v>
      </c>
      <c r="DF94" s="150">
        <v>15.4</v>
      </c>
      <c r="DG94" s="150">
        <v>15.6</v>
      </c>
      <c r="DH94" s="150">
        <v>15.8</v>
      </c>
      <c r="DI94" s="150">
        <v>16</v>
      </c>
      <c r="DJ94" s="150">
        <v>16.2</v>
      </c>
      <c r="DK94" s="150">
        <v>16.399999999999999</v>
      </c>
      <c r="DL94" s="150">
        <v>16.600000000000001</v>
      </c>
      <c r="DM94" s="150">
        <v>16.8</v>
      </c>
      <c r="DN94" s="150">
        <v>17</v>
      </c>
      <c r="DO94" s="150">
        <v>17.2</v>
      </c>
      <c r="DP94" s="150">
        <v>17.399999999999999</v>
      </c>
      <c r="DQ94" s="150">
        <v>17.600000000000001</v>
      </c>
      <c r="DR94" s="150">
        <v>17.8</v>
      </c>
      <c r="DS94" s="150">
        <v>18</v>
      </c>
      <c r="DT94" s="150">
        <v>18.2</v>
      </c>
      <c r="DU94" s="150">
        <v>18.399999999999999</v>
      </c>
      <c r="DV94" s="150">
        <v>18.600000000000001</v>
      </c>
      <c r="DW94" s="150">
        <v>18.8</v>
      </c>
      <c r="DX94" s="150">
        <v>19</v>
      </c>
      <c r="DY94" s="150">
        <v>19.2</v>
      </c>
      <c r="DZ94" s="150">
        <v>19.399999999999999</v>
      </c>
      <c r="EA94" s="150">
        <v>19.600000000000001</v>
      </c>
      <c r="EB94" s="150">
        <v>19.8</v>
      </c>
      <c r="EC94" s="150">
        <v>20</v>
      </c>
      <c r="ED94" s="150">
        <v>20.2</v>
      </c>
      <c r="EE94" s="150">
        <v>20.399999999999999</v>
      </c>
      <c r="EF94" s="150">
        <v>20.6</v>
      </c>
      <c r="EG94" s="150">
        <v>20.799999999999951</v>
      </c>
      <c r="EH94" s="150">
        <v>21</v>
      </c>
      <c r="EI94" s="150">
        <v>21.19999999999995</v>
      </c>
      <c r="EJ94" s="150">
        <v>21.4</v>
      </c>
      <c r="EK94" s="150">
        <v>21.599999999999948</v>
      </c>
    </row>
    <row r="95" spans="1:141" ht="13.2" x14ac:dyDescent="0.25">
      <c r="A95" s="149">
        <v>39539</v>
      </c>
      <c r="B95" s="219">
        <v>-1.7785964148750009</v>
      </c>
      <c r="C95" s="219">
        <v>-1.7482952255625008</v>
      </c>
      <c r="D95" s="219">
        <v>-1.7179940362500008</v>
      </c>
      <c r="E95" s="219">
        <v>-1.6876928469375008</v>
      </c>
      <c r="F95" s="219">
        <v>-1.6573916576250007</v>
      </c>
      <c r="G95" s="219">
        <v>-1.6270904683125007</v>
      </c>
      <c r="H95" s="219">
        <v>-1.5967892790000007</v>
      </c>
      <c r="I95" s="219">
        <v>-1.5664880896875006</v>
      </c>
      <c r="J95" s="219">
        <v>-1.5361869003750006</v>
      </c>
      <c r="K95" s="219">
        <v>-1.5058857110625006</v>
      </c>
      <c r="L95" s="219">
        <v>-1.4755845217500005</v>
      </c>
      <c r="M95" s="219">
        <v>-1.4452833324375005</v>
      </c>
      <c r="N95" s="219">
        <v>-1.4149821431250005</v>
      </c>
      <c r="O95" s="219">
        <v>-1.3846809538125004</v>
      </c>
      <c r="P95" s="219">
        <v>-1.3543797645000004</v>
      </c>
      <c r="Q95" s="219">
        <v>-1.3240785751875004</v>
      </c>
      <c r="R95" s="219">
        <v>-1.2937773858750004</v>
      </c>
      <c r="S95" s="219">
        <v>-1.2634761965625003</v>
      </c>
      <c r="T95" s="219">
        <v>-1.2331750072500003</v>
      </c>
      <c r="U95" s="219">
        <v>-1.2028738179375003</v>
      </c>
      <c r="V95" s="220">
        <v>-1.1725726286250002</v>
      </c>
      <c r="W95" s="219">
        <v>-1.1422714393125002</v>
      </c>
      <c r="X95" s="220">
        <v>-1.1119702500000002</v>
      </c>
      <c r="Y95" s="219">
        <v>-1.0832351250000003</v>
      </c>
      <c r="Z95" s="220">
        <v>-1.0545000000000002</v>
      </c>
      <c r="AA95" s="219">
        <v>-1.0272500000000002</v>
      </c>
      <c r="AB95" s="221">
        <v>-1</v>
      </c>
      <c r="AC95" s="219">
        <v>-0.8</v>
      </c>
      <c r="AD95" s="221">
        <v>-0.6</v>
      </c>
      <c r="AE95" s="219">
        <v>-0.4</v>
      </c>
      <c r="AF95" s="219">
        <v>-0.2</v>
      </c>
      <c r="AG95" s="150">
        <v>0</v>
      </c>
      <c r="AH95" s="150">
        <v>0.2</v>
      </c>
      <c r="AI95" s="150">
        <v>0.4</v>
      </c>
      <c r="AJ95" s="150">
        <v>0.6</v>
      </c>
      <c r="AK95" s="150">
        <v>0.8</v>
      </c>
      <c r="AL95" s="150">
        <v>1</v>
      </c>
      <c r="AM95" s="150">
        <v>1.2</v>
      </c>
      <c r="AN95" s="150">
        <v>1.4</v>
      </c>
      <c r="AO95" s="150">
        <v>1.6</v>
      </c>
      <c r="AP95" s="150">
        <v>1.8</v>
      </c>
      <c r="AQ95" s="150">
        <v>2</v>
      </c>
      <c r="AR95" s="150">
        <v>2.2000000000000002</v>
      </c>
      <c r="AS95" s="150">
        <v>2.4</v>
      </c>
      <c r="AT95" s="150">
        <v>2.6</v>
      </c>
      <c r="AU95" s="150">
        <v>2.8</v>
      </c>
      <c r="AV95" s="150">
        <v>3</v>
      </c>
      <c r="AW95" s="150">
        <v>3.2</v>
      </c>
      <c r="AX95" s="150">
        <v>3.4</v>
      </c>
      <c r="AY95" s="150">
        <v>3.6</v>
      </c>
      <c r="AZ95" s="150">
        <v>3.8</v>
      </c>
      <c r="BA95" s="150">
        <v>4</v>
      </c>
      <c r="BB95" s="150">
        <v>4.2</v>
      </c>
      <c r="BC95" s="150">
        <v>4.4000000000000004</v>
      </c>
      <c r="BD95" s="150">
        <v>4.5999999999999996</v>
      </c>
      <c r="BE95" s="150">
        <v>4.8</v>
      </c>
      <c r="BF95" s="150">
        <v>5</v>
      </c>
      <c r="BG95" s="150">
        <v>5.2</v>
      </c>
      <c r="BH95" s="150">
        <v>5.4</v>
      </c>
      <c r="BI95" s="150">
        <v>5.6</v>
      </c>
      <c r="BJ95" s="150">
        <v>5.8</v>
      </c>
      <c r="BK95" s="150">
        <v>6</v>
      </c>
      <c r="BL95" s="150">
        <v>6.2</v>
      </c>
      <c r="BM95" s="150">
        <v>6.4</v>
      </c>
      <c r="BN95" s="150">
        <v>6.6</v>
      </c>
      <c r="BO95" s="150">
        <v>6.8</v>
      </c>
      <c r="BP95" s="150">
        <v>7</v>
      </c>
      <c r="BQ95" s="150">
        <v>7.2</v>
      </c>
      <c r="BR95" s="150">
        <v>7.4</v>
      </c>
      <c r="BS95" s="150">
        <v>7.6</v>
      </c>
      <c r="BT95" s="150">
        <v>7.8</v>
      </c>
      <c r="BU95" s="150">
        <v>8</v>
      </c>
      <c r="BV95" s="150">
        <v>8.1999999999999993</v>
      </c>
      <c r="BW95" s="150">
        <v>8.4</v>
      </c>
      <c r="BX95" s="150">
        <v>8.6</v>
      </c>
      <c r="BY95" s="150">
        <v>8.7999999999999936</v>
      </c>
      <c r="BZ95" s="150">
        <v>9</v>
      </c>
      <c r="CA95" s="150">
        <v>9.1999999999999922</v>
      </c>
      <c r="CB95" s="150">
        <v>9.4</v>
      </c>
      <c r="CC95" s="150">
        <v>9.5999999999999908</v>
      </c>
      <c r="CD95" s="150">
        <v>9.8000000000000007</v>
      </c>
      <c r="CE95" s="150">
        <v>9.9999999999999893</v>
      </c>
      <c r="CF95" s="150">
        <v>10.199999999999999</v>
      </c>
      <c r="CG95" s="150">
        <v>10.4</v>
      </c>
      <c r="CH95" s="150">
        <v>10.6</v>
      </c>
      <c r="CI95" s="150">
        <v>10.8</v>
      </c>
      <c r="CJ95" s="150">
        <v>11</v>
      </c>
      <c r="CK95" s="150">
        <v>11.2</v>
      </c>
      <c r="CL95" s="150">
        <v>11.4</v>
      </c>
      <c r="CM95" s="150">
        <v>11.6</v>
      </c>
      <c r="CN95" s="150">
        <v>11.8</v>
      </c>
      <c r="CO95" s="150">
        <v>12</v>
      </c>
      <c r="CP95" s="150">
        <v>12.2</v>
      </c>
      <c r="CQ95" s="150">
        <v>12.4</v>
      </c>
      <c r="CR95" s="150">
        <v>12.6</v>
      </c>
      <c r="CS95" s="150">
        <v>12.8</v>
      </c>
      <c r="CT95" s="150">
        <v>13</v>
      </c>
      <c r="CU95" s="150">
        <v>13.2</v>
      </c>
      <c r="CV95" s="150">
        <v>13.4</v>
      </c>
      <c r="CW95" s="150">
        <v>13.6</v>
      </c>
      <c r="CX95" s="150">
        <v>13.8</v>
      </c>
      <c r="CY95" s="150">
        <v>14</v>
      </c>
      <c r="CZ95" s="150">
        <v>14.2</v>
      </c>
      <c r="DA95" s="150">
        <v>14.4</v>
      </c>
      <c r="DB95" s="150">
        <v>14.6</v>
      </c>
      <c r="DC95" s="150">
        <v>14.8</v>
      </c>
      <c r="DD95" s="150">
        <v>15</v>
      </c>
      <c r="DE95" s="150">
        <v>15.2</v>
      </c>
      <c r="DF95" s="150">
        <v>15.4</v>
      </c>
      <c r="DG95" s="150">
        <v>15.6</v>
      </c>
      <c r="DH95" s="150">
        <v>15.8</v>
      </c>
      <c r="DI95" s="150">
        <v>16</v>
      </c>
      <c r="DJ95" s="150">
        <v>16.2</v>
      </c>
      <c r="DK95" s="150">
        <v>16.399999999999999</v>
      </c>
      <c r="DL95" s="150">
        <v>16.600000000000001</v>
      </c>
      <c r="DM95" s="150">
        <v>16.8</v>
      </c>
      <c r="DN95" s="150">
        <v>17</v>
      </c>
      <c r="DO95" s="150">
        <v>17.2</v>
      </c>
      <c r="DP95" s="150">
        <v>17.399999999999999</v>
      </c>
      <c r="DQ95" s="150">
        <v>17.600000000000001</v>
      </c>
      <c r="DR95" s="150">
        <v>17.8</v>
      </c>
      <c r="DS95" s="150">
        <v>18</v>
      </c>
      <c r="DT95" s="150">
        <v>18.2</v>
      </c>
      <c r="DU95" s="150">
        <v>18.399999999999999</v>
      </c>
      <c r="DV95" s="150">
        <v>18.600000000000001</v>
      </c>
      <c r="DW95" s="150">
        <v>18.8</v>
      </c>
      <c r="DX95" s="150">
        <v>19</v>
      </c>
      <c r="DY95" s="150">
        <v>19.2</v>
      </c>
      <c r="DZ95" s="150">
        <v>19.399999999999999</v>
      </c>
      <c r="EA95" s="150">
        <v>19.600000000000001</v>
      </c>
      <c r="EB95" s="150">
        <v>19.8</v>
      </c>
      <c r="EC95" s="150">
        <v>20</v>
      </c>
      <c r="ED95" s="150">
        <v>20.2</v>
      </c>
      <c r="EE95" s="150">
        <v>20.399999999999999</v>
      </c>
      <c r="EF95" s="150">
        <v>20.6</v>
      </c>
      <c r="EG95" s="150">
        <v>20.799999999999951</v>
      </c>
      <c r="EH95" s="150">
        <v>21</v>
      </c>
      <c r="EI95" s="150">
        <v>21.19999999999995</v>
      </c>
      <c r="EJ95" s="150">
        <v>21.4</v>
      </c>
      <c r="EK95" s="150">
        <v>21.599999999999948</v>
      </c>
    </row>
    <row r="96" spans="1:141" ht="13.2" x14ac:dyDescent="0.25">
      <c r="A96" s="149">
        <v>39569</v>
      </c>
      <c r="B96" s="219">
        <v>-1.7785964148750009</v>
      </c>
      <c r="C96" s="219">
        <v>-1.7482952255625008</v>
      </c>
      <c r="D96" s="219">
        <v>-1.7179940362500008</v>
      </c>
      <c r="E96" s="219">
        <v>-1.6876928469375008</v>
      </c>
      <c r="F96" s="219">
        <v>-1.6573916576250007</v>
      </c>
      <c r="G96" s="219">
        <v>-1.6270904683125007</v>
      </c>
      <c r="H96" s="219">
        <v>-1.5967892790000007</v>
      </c>
      <c r="I96" s="219">
        <v>-1.5664880896875006</v>
      </c>
      <c r="J96" s="219">
        <v>-1.5361869003750006</v>
      </c>
      <c r="K96" s="219">
        <v>-1.5058857110625006</v>
      </c>
      <c r="L96" s="219">
        <v>-1.4755845217500005</v>
      </c>
      <c r="M96" s="219">
        <v>-1.4452833324375005</v>
      </c>
      <c r="N96" s="219">
        <v>-1.4149821431250005</v>
      </c>
      <c r="O96" s="219">
        <v>-1.3846809538125004</v>
      </c>
      <c r="P96" s="219">
        <v>-1.3543797645000004</v>
      </c>
      <c r="Q96" s="219">
        <v>-1.3240785751875004</v>
      </c>
      <c r="R96" s="219">
        <v>-1.2937773858750004</v>
      </c>
      <c r="S96" s="219">
        <v>-1.2634761965625003</v>
      </c>
      <c r="T96" s="219">
        <v>-1.2331750072500003</v>
      </c>
      <c r="U96" s="219">
        <v>-1.2028738179375003</v>
      </c>
      <c r="V96" s="220">
        <v>-1.1725726286250002</v>
      </c>
      <c r="W96" s="219">
        <v>-1.1422714393125002</v>
      </c>
      <c r="X96" s="220">
        <v>-1.1119702500000002</v>
      </c>
      <c r="Y96" s="219">
        <v>-1.0832351250000003</v>
      </c>
      <c r="Z96" s="220">
        <v>-1.0545000000000002</v>
      </c>
      <c r="AA96" s="219">
        <v>-1.0272500000000002</v>
      </c>
      <c r="AB96" s="221">
        <v>-1</v>
      </c>
      <c r="AC96" s="219">
        <v>-0.8</v>
      </c>
      <c r="AD96" s="221">
        <v>-0.6</v>
      </c>
      <c r="AE96" s="219">
        <v>-0.4</v>
      </c>
      <c r="AF96" s="219">
        <v>-0.2</v>
      </c>
      <c r="AG96" s="150">
        <v>0</v>
      </c>
      <c r="AH96" s="150">
        <v>0.2</v>
      </c>
      <c r="AI96" s="150">
        <v>0.4</v>
      </c>
      <c r="AJ96" s="150">
        <v>0.6</v>
      </c>
      <c r="AK96" s="150">
        <v>0.8</v>
      </c>
      <c r="AL96" s="150">
        <v>1</v>
      </c>
      <c r="AM96" s="150">
        <v>1.2</v>
      </c>
      <c r="AN96" s="150">
        <v>1.4</v>
      </c>
      <c r="AO96" s="150">
        <v>1.6</v>
      </c>
      <c r="AP96" s="150">
        <v>1.8</v>
      </c>
      <c r="AQ96" s="150">
        <v>2</v>
      </c>
      <c r="AR96" s="150">
        <v>2.2000000000000002</v>
      </c>
      <c r="AS96" s="150">
        <v>2.4</v>
      </c>
      <c r="AT96" s="150">
        <v>2.6</v>
      </c>
      <c r="AU96" s="150">
        <v>2.8</v>
      </c>
      <c r="AV96" s="150">
        <v>3</v>
      </c>
      <c r="AW96" s="150">
        <v>3.2</v>
      </c>
      <c r="AX96" s="150">
        <v>3.4</v>
      </c>
      <c r="AY96" s="150">
        <v>3.6</v>
      </c>
      <c r="AZ96" s="150">
        <v>3.8</v>
      </c>
      <c r="BA96" s="150">
        <v>4</v>
      </c>
      <c r="BB96" s="150">
        <v>4.2</v>
      </c>
      <c r="BC96" s="150">
        <v>4.4000000000000004</v>
      </c>
      <c r="BD96" s="150">
        <v>4.5999999999999996</v>
      </c>
      <c r="BE96" s="150">
        <v>4.8</v>
      </c>
      <c r="BF96" s="150">
        <v>5</v>
      </c>
      <c r="BG96" s="150">
        <v>5.2</v>
      </c>
      <c r="BH96" s="150">
        <v>5.4</v>
      </c>
      <c r="BI96" s="150">
        <v>5.6</v>
      </c>
      <c r="BJ96" s="150">
        <v>5.8</v>
      </c>
      <c r="BK96" s="150">
        <v>6</v>
      </c>
      <c r="BL96" s="150">
        <v>6.2</v>
      </c>
      <c r="BM96" s="150">
        <v>6.4</v>
      </c>
      <c r="BN96" s="150">
        <v>6.6</v>
      </c>
      <c r="BO96" s="150">
        <v>6.8</v>
      </c>
      <c r="BP96" s="150">
        <v>7</v>
      </c>
      <c r="BQ96" s="150">
        <v>7.2</v>
      </c>
      <c r="BR96" s="150">
        <v>7.4</v>
      </c>
      <c r="BS96" s="150">
        <v>7.6</v>
      </c>
      <c r="BT96" s="150">
        <v>7.8</v>
      </c>
      <c r="BU96" s="150">
        <v>8</v>
      </c>
      <c r="BV96" s="150">
        <v>8.1999999999999993</v>
      </c>
      <c r="BW96" s="150">
        <v>8.4</v>
      </c>
      <c r="BX96" s="150">
        <v>8.6</v>
      </c>
      <c r="BY96" s="150">
        <v>8.7999999999999936</v>
      </c>
      <c r="BZ96" s="150">
        <v>9</v>
      </c>
      <c r="CA96" s="150">
        <v>9.1999999999999922</v>
      </c>
      <c r="CB96" s="150">
        <v>9.4</v>
      </c>
      <c r="CC96" s="150">
        <v>9.5999999999999908</v>
      </c>
      <c r="CD96" s="150">
        <v>9.8000000000000007</v>
      </c>
      <c r="CE96" s="150">
        <v>9.9999999999999893</v>
      </c>
      <c r="CF96" s="150">
        <v>10.199999999999999</v>
      </c>
      <c r="CG96" s="150">
        <v>10.4</v>
      </c>
      <c r="CH96" s="150">
        <v>10.6</v>
      </c>
      <c r="CI96" s="150">
        <v>10.8</v>
      </c>
      <c r="CJ96" s="150">
        <v>11</v>
      </c>
      <c r="CK96" s="150">
        <v>11.2</v>
      </c>
      <c r="CL96" s="150">
        <v>11.4</v>
      </c>
      <c r="CM96" s="150">
        <v>11.6</v>
      </c>
      <c r="CN96" s="150">
        <v>11.8</v>
      </c>
      <c r="CO96" s="150">
        <v>12</v>
      </c>
      <c r="CP96" s="150">
        <v>12.2</v>
      </c>
      <c r="CQ96" s="150">
        <v>12.4</v>
      </c>
      <c r="CR96" s="150">
        <v>12.6</v>
      </c>
      <c r="CS96" s="150">
        <v>12.8</v>
      </c>
      <c r="CT96" s="150">
        <v>13</v>
      </c>
      <c r="CU96" s="150">
        <v>13.2</v>
      </c>
      <c r="CV96" s="150">
        <v>13.4</v>
      </c>
      <c r="CW96" s="150">
        <v>13.6</v>
      </c>
      <c r="CX96" s="150">
        <v>13.8</v>
      </c>
      <c r="CY96" s="150">
        <v>14</v>
      </c>
      <c r="CZ96" s="150">
        <v>14.2</v>
      </c>
      <c r="DA96" s="150">
        <v>14.4</v>
      </c>
      <c r="DB96" s="150">
        <v>14.6</v>
      </c>
      <c r="DC96" s="150">
        <v>14.8</v>
      </c>
      <c r="DD96" s="150">
        <v>15</v>
      </c>
      <c r="DE96" s="150">
        <v>15.2</v>
      </c>
      <c r="DF96" s="150">
        <v>15.4</v>
      </c>
      <c r="DG96" s="150">
        <v>15.6</v>
      </c>
      <c r="DH96" s="150">
        <v>15.8</v>
      </c>
      <c r="DI96" s="150">
        <v>16</v>
      </c>
      <c r="DJ96" s="150">
        <v>16.2</v>
      </c>
      <c r="DK96" s="150">
        <v>16.399999999999999</v>
      </c>
      <c r="DL96" s="150">
        <v>16.600000000000001</v>
      </c>
      <c r="DM96" s="150">
        <v>16.8</v>
      </c>
      <c r="DN96" s="150">
        <v>17</v>
      </c>
      <c r="DO96" s="150">
        <v>17.2</v>
      </c>
      <c r="DP96" s="150">
        <v>17.399999999999999</v>
      </c>
      <c r="DQ96" s="150">
        <v>17.600000000000001</v>
      </c>
      <c r="DR96" s="150">
        <v>17.8</v>
      </c>
      <c r="DS96" s="150">
        <v>18</v>
      </c>
      <c r="DT96" s="150">
        <v>18.2</v>
      </c>
      <c r="DU96" s="150">
        <v>18.399999999999999</v>
      </c>
      <c r="DV96" s="150">
        <v>18.600000000000001</v>
      </c>
      <c r="DW96" s="150">
        <v>18.8</v>
      </c>
      <c r="DX96" s="150">
        <v>19</v>
      </c>
      <c r="DY96" s="150">
        <v>19.2</v>
      </c>
      <c r="DZ96" s="150">
        <v>19.399999999999999</v>
      </c>
      <c r="EA96" s="150">
        <v>19.600000000000001</v>
      </c>
      <c r="EB96" s="150">
        <v>19.8</v>
      </c>
      <c r="EC96" s="150">
        <v>20</v>
      </c>
      <c r="ED96" s="150">
        <v>20.2</v>
      </c>
      <c r="EE96" s="150">
        <v>20.399999999999999</v>
      </c>
      <c r="EF96" s="150">
        <v>20.6</v>
      </c>
      <c r="EG96" s="150">
        <v>20.799999999999951</v>
      </c>
      <c r="EH96" s="150">
        <v>21</v>
      </c>
      <c r="EI96" s="150">
        <v>21.19999999999995</v>
      </c>
      <c r="EJ96" s="150">
        <v>21.4</v>
      </c>
      <c r="EK96" s="150">
        <v>21.599999999999948</v>
      </c>
    </row>
    <row r="97" spans="1:141" ht="13.2" x14ac:dyDescent="0.25">
      <c r="A97" s="149">
        <v>39600</v>
      </c>
      <c r="B97" s="219">
        <v>-1.7785964148750009</v>
      </c>
      <c r="C97" s="219">
        <v>-1.7482952255625008</v>
      </c>
      <c r="D97" s="219">
        <v>-1.7179940362500008</v>
      </c>
      <c r="E97" s="219">
        <v>-1.6876928469375008</v>
      </c>
      <c r="F97" s="219">
        <v>-1.6573916576250007</v>
      </c>
      <c r="G97" s="219">
        <v>-1.6270904683125007</v>
      </c>
      <c r="H97" s="219">
        <v>-1.5967892790000007</v>
      </c>
      <c r="I97" s="219">
        <v>-1.5664880896875006</v>
      </c>
      <c r="J97" s="219">
        <v>-1.5361869003750006</v>
      </c>
      <c r="K97" s="219">
        <v>-1.5058857110625006</v>
      </c>
      <c r="L97" s="219">
        <v>-1.4755845217500005</v>
      </c>
      <c r="M97" s="219">
        <v>-1.4452833324375005</v>
      </c>
      <c r="N97" s="219">
        <v>-1.4149821431250005</v>
      </c>
      <c r="O97" s="219">
        <v>-1.3846809538125004</v>
      </c>
      <c r="P97" s="219">
        <v>-1.3543797645000004</v>
      </c>
      <c r="Q97" s="219">
        <v>-1.3240785751875004</v>
      </c>
      <c r="R97" s="219">
        <v>-1.2937773858750004</v>
      </c>
      <c r="S97" s="219">
        <v>-1.2634761965625003</v>
      </c>
      <c r="T97" s="219">
        <v>-1.2331750072500003</v>
      </c>
      <c r="U97" s="219">
        <v>-1.2028738179375003</v>
      </c>
      <c r="V97" s="220">
        <v>-1.1725726286250002</v>
      </c>
      <c r="W97" s="219">
        <v>-1.1422714393125002</v>
      </c>
      <c r="X97" s="220">
        <v>-1.1119702500000002</v>
      </c>
      <c r="Y97" s="219">
        <v>-1.0832351250000003</v>
      </c>
      <c r="Z97" s="220">
        <v>-1.0545000000000002</v>
      </c>
      <c r="AA97" s="219">
        <v>-1.0272500000000002</v>
      </c>
      <c r="AB97" s="221">
        <v>-1</v>
      </c>
      <c r="AC97" s="219">
        <v>-0.8</v>
      </c>
      <c r="AD97" s="221">
        <v>-0.6</v>
      </c>
      <c r="AE97" s="219">
        <v>-0.4</v>
      </c>
      <c r="AF97" s="219">
        <v>-0.2</v>
      </c>
      <c r="AG97" s="150">
        <v>0</v>
      </c>
      <c r="AH97" s="150">
        <v>0.2</v>
      </c>
      <c r="AI97" s="150">
        <v>0.4</v>
      </c>
      <c r="AJ97" s="150">
        <v>0.6</v>
      </c>
      <c r="AK97" s="150">
        <v>0.8</v>
      </c>
      <c r="AL97" s="150">
        <v>1</v>
      </c>
      <c r="AM97" s="150">
        <v>1.2</v>
      </c>
      <c r="AN97" s="150">
        <v>1.4</v>
      </c>
      <c r="AO97" s="150">
        <v>1.6</v>
      </c>
      <c r="AP97" s="150">
        <v>1.8</v>
      </c>
      <c r="AQ97" s="150">
        <v>2</v>
      </c>
      <c r="AR97" s="150">
        <v>2.2000000000000002</v>
      </c>
      <c r="AS97" s="150">
        <v>2.4</v>
      </c>
      <c r="AT97" s="150">
        <v>2.6</v>
      </c>
      <c r="AU97" s="150">
        <v>2.8</v>
      </c>
      <c r="AV97" s="150">
        <v>3</v>
      </c>
      <c r="AW97" s="150">
        <v>3.2</v>
      </c>
      <c r="AX97" s="150">
        <v>3.4</v>
      </c>
      <c r="AY97" s="150">
        <v>3.6</v>
      </c>
      <c r="AZ97" s="150">
        <v>3.8</v>
      </c>
      <c r="BA97" s="150">
        <v>4</v>
      </c>
      <c r="BB97" s="150">
        <v>4.2</v>
      </c>
      <c r="BC97" s="150">
        <v>4.4000000000000004</v>
      </c>
      <c r="BD97" s="150">
        <v>4.5999999999999996</v>
      </c>
      <c r="BE97" s="150">
        <v>4.8</v>
      </c>
      <c r="BF97" s="150">
        <v>5</v>
      </c>
      <c r="BG97" s="150">
        <v>5.2</v>
      </c>
      <c r="BH97" s="150">
        <v>5.4</v>
      </c>
      <c r="BI97" s="150">
        <v>5.6</v>
      </c>
      <c r="BJ97" s="150">
        <v>5.8</v>
      </c>
      <c r="BK97" s="150">
        <v>6</v>
      </c>
      <c r="BL97" s="150">
        <v>6.2</v>
      </c>
      <c r="BM97" s="150">
        <v>6.4</v>
      </c>
      <c r="BN97" s="150">
        <v>6.6</v>
      </c>
      <c r="BO97" s="150">
        <v>6.8</v>
      </c>
      <c r="BP97" s="150">
        <v>7</v>
      </c>
      <c r="BQ97" s="150">
        <v>7.2</v>
      </c>
      <c r="BR97" s="150">
        <v>7.4</v>
      </c>
      <c r="BS97" s="150">
        <v>7.6</v>
      </c>
      <c r="BT97" s="150">
        <v>7.8</v>
      </c>
      <c r="BU97" s="150">
        <v>8</v>
      </c>
      <c r="BV97" s="150">
        <v>8.1999999999999993</v>
      </c>
      <c r="BW97" s="150">
        <v>8.4</v>
      </c>
      <c r="BX97" s="150">
        <v>8.6</v>
      </c>
      <c r="BY97" s="150">
        <v>8.7999999999999936</v>
      </c>
      <c r="BZ97" s="150">
        <v>9</v>
      </c>
      <c r="CA97" s="150">
        <v>9.1999999999999922</v>
      </c>
      <c r="CB97" s="150">
        <v>9.4</v>
      </c>
      <c r="CC97" s="150">
        <v>9.5999999999999908</v>
      </c>
      <c r="CD97" s="150">
        <v>9.8000000000000007</v>
      </c>
      <c r="CE97" s="150">
        <v>9.9999999999999893</v>
      </c>
      <c r="CF97" s="150">
        <v>10.199999999999999</v>
      </c>
      <c r="CG97" s="150">
        <v>10.4</v>
      </c>
      <c r="CH97" s="150">
        <v>10.6</v>
      </c>
      <c r="CI97" s="150">
        <v>10.8</v>
      </c>
      <c r="CJ97" s="150">
        <v>11</v>
      </c>
      <c r="CK97" s="150">
        <v>11.2</v>
      </c>
      <c r="CL97" s="150">
        <v>11.4</v>
      </c>
      <c r="CM97" s="150">
        <v>11.6</v>
      </c>
      <c r="CN97" s="150">
        <v>11.8</v>
      </c>
      <c r="CO97" s="150">
        <v>12</v>
      </c>
      <c r="CP97" s="150">
        <v>12.2</v>
      </c>
      <c r="CQ97" s="150">
        <v>12.4</v>
      </c>
      <c r="CR97" s="150">
        <v>12.6</v>
      </c>
      <c r="CS97" s="150">
        <v>12.8</v>
      </c>
      <c r="CT97" s="150">
        <v>13</v>
      </c>
      <c r="CU97" s="150">
        <v>13.2</v>
      </c>
      <c r="CV97" s="150">
        <v>13.4</v>
      </c>
      <c r="CW97" s="150">
        <v>13.6</v>
      </c>
      <c r="CX97" s="150">
        <v>13.8</v>
      </c>
      <c r="CY97" s="150">
        <v>14</v>
      </c>
      <c r="CZ97" s="150">
        <v>14.2</v>
      </c>
      <c r="DA97" s="150">
        <v>14.4</v>
      </c>
      <c r="DB97" s="150">
        <v>14.6</v>
      </c>
      <c r="DC97" s="150">
        <v>14.8</v>
      </c>
      <c r="DD97" s="150">
        <v>15</v>
      </c>
      <c r="DE97" s="150">
        <v>15.2</v>
      </c>
      <c r="DF97" s="150">
        <v>15.4</v>
      </c>
      <c r="DG97" s="150">
        <v>15.6</v>
      </c>
      <c r="DH97" s="150">
        <v>15.8</v>
      </c>
      <c r="DI97" s="150">
        <v>16</v>
      </c>
      <c r="DJ97" s="150">
        <v>16.2</v>
      </c>
      <c r="DK97" s="150">
        <v>16.399999999999999</v>
      </c>
      <c r="DL97" s="150">
        <v>16.600000000000001</v>
      </c>
      <c r="DM97" s="150">
        <v>16.8</v>
      </c>
      <c r="DN97" s="150">
        <v>17</v>
      </c>
      <c r="DO97" s="150">
        <v>17.2</v>
      </c>
      <c r="DP97" s="150">
        <v>17.399999999999999</v>
      </c>
      <c r="DQ97" s="150">
        <v>17.600000000000001</v>
      </c>
      <c r="DR97" s="150">
        <v>17.8</v>
      </c>
      <c r="DS97" s="150">
        <v>18</v>
      </c>
      <c r="DT97" s="150">
        <v>18.2</v>
      </c>
      <c r="DU97" s="150">
        <v>18.399999999999999</v>
      </c>
      <c r="DV97" s="150">
        <v>18.600000000000001</v>
      </c>
      <c r="DW97" s="150">
        <v>18.8</v>
      </c>
      <c r="DX97" s="150">
        <v>19</v>
      </c>
      <c r="DY97" s="150">
        <v>19.2</v>
      </c>
      <c r="DZ97" s="150">
        <v>19.399999999999999</v>
      </c>
      <c r="EA97" s="150">
        <v>19.600000000000001</v>
      </c>
      <c r="EB97" s="150">
        <v>19.8</v>
      </c>
      <c r="EC97" s="150">
        <v>20</v>
      </c>
      <c r="ED97" s="150">
        <v>20.2</v>
      </c>
      <c r="EE97" s="150">
        <v>20.399999999999999</v>
      </c>
      <c r="EF97" s="150">
        <v>20.6</v>
      </c>
      <c r="EG97" s="150">
        <v>20.799999999999951</v>
      </c>
      <c r="EH97" s="150">
        <v>21</v>
      </c>
      <c r="EI97" s="150">
        <v>21.19999999999995</v>
      </c>
      <c r="EJ97" s="150">
        <v>21.4</v>
      </c>
      <c r="EK97" s="150">
        <v>21.599999999999948</v>
      </c>
    </row>
    <row r="98" spans="1:141" ht="13.2" x14ac:dyDescent="0.25">
      <c r="A98" s="149">
        <v>39630</v>
      </c>
      <c r="B98" s="219">
        <v>-1.7785964148750009</v>
      </c>
      <c r="C98" s="219">
        <v>-1.7482952255625008</v>
      </c>
      <c r="D98" s="219">
        <v>-1.7179940362500008</v>
      </c>
      <c r="E98" s="219">
        <v>-1.6876928469375008</v>
      </c>
      <c r="F98" s="219">
        <v>-1.6573916576250007</v>
      </c>
      <c r="G98" s="219">
        <v>-1.6270904683125007</v>
      </c>
      <c r="H98" s="219">
        <v>-1.5967892790000007</v>
      </c>
      <c r="I98" s="219">
        <v>-1.5664880896875006</v>
      </c>
      <c r="J98" s="219">
        <v>-1.5361869003750006</v>
      </c>
      <c r="K98" s="219">
        <v>-1.5058857110625006</v>
      </c>
      <c r="L98" s="219">
        <v>-1.4755845217500005</v>
      </c>
      <c r="M98" s="219">
        <v>-1.4452833324375005</v>
      </c>
      <c r="N98" s="219">
        <v>-1.4149821431250005</v>
      </c>
      <c r="O98" s="219">
        <v>-1.3846809538125004</v>
      </c>
      <c r="P98" s="219">
        <v>-1.3543797645000004</v>
      </c>
      <c r="Q98" s="219">
        <v>-1.3240785751875004</v>
      </c>
      <c r="R98" s="219">
        <v>-1.2937773858750004</v>
      </c>
      <c r="S98" s="219">
        <v>-1.2634761965625003</v>
      </c>
      <c r="T98" s="219">
        <v>-1.2331750072500003</v>
      </c>
      <c r="U98" s="219">
        <v>-1.2028738179375003</v>
      </c>
      <c r="V98" s="220">
        <v>-1.1725726286250002</v>
      </c>
      <c r="W98" s="219">
        <v>-1.1422714393125002</v>
      </c>
      <c r="X98" s="220">
        <v>-1.1119702500000002</v>
      </c>
      <c r="Y98" s="219">
        <v>-1.0832351250000003</v>
      </c>
      <c r="Z98" s="220">
        <v>-1.0545000000000002</v>
      </c>
      <c r="AA98" s="219">
        <v>-1.0272500000000002</v>
      </c>
      <c r="AB98" s="221">
        <v>-1</v>
      </c>
      <c r="AC98" s="219">
        <v>-0.8</v>
      </c>
      <c r="AD98" s="221">
        <v>-0.6</v>
      </c>
      <c r="AE98" s="219">
        <v>-0.4</v>
      </c>
      <c r="AF98" s="219">
        <v>-0.2</v>
      </c>
      <c r="AG98" s="150">
        <v>0</v>
      </c>
      <c r="AH98" s="150">
        <v>0.2</v>
      </c>
      <c r="AI98" s="150">
        <v>0.4</v>
      </c>
      <c r="AJ98" s="150">
        <v>0.6</v>
      </c>
      <c r="AK98" s="150">
        <v>0.8</v>
      </c>
      <c r="AL98" s="150">
        <v>1</v>
      </c>
      <c r="AM98" s="150">
        <v>1.2</v>
      </c>
      <c r="AN98" s="150">
        <v>1.4</v>
      </c>
      <c r="AO98" s="150">
        <v>1.6</v>
      </c>
      <c r="AP98" s="150">
        <v>1.8</v>
      </c>
      <c r="AQ98" s="150">
        <v>2</v>
      </c>
      <c r="AR98" s="150">
        <v>2.2000000000000002</v>
      </c>
      <c r="AS98" s="150">
        <v>2.4</v>
      </c>
      <c r="AT98" s="150">
        <v>2.6</v>
      </c>
      <c r="AU98" s="150">
        <v>2.8</v>
      </c>
      <c r="AV98" s="150">
        <v>3</v>
      </c>
      <c r="AW98" s="150">
        <v>3.2</v>
      </c>
      <c r="AX98" s="150">
        <v>3.4</v>
      </c>
      <c r="AY98" s="150">
        <v>3.6</v>
      </c>
      <c r="AZ98" s="150">
        <v>3.8</v>
      </c>
      <c r="BA98" s="150">
        <v>4</v>
      </c>
      <c r="BB98" s="150">
        <v>4.2</v>
      </c>
      <c r="BC98" s="150">
        <v>4.4000000000000004</v>
      </c>
      <c r="BD98" s="150">
        <v>4.5999999999999996</v>
      </c>
      <c r="BE98" s="150">
        <v>4.8</v>
      </c>
      <c r="BF98" s="150">
        <v>5</v>
      </c>
      <c r="BG98" s="150">
        <v>5.2</v>
      </c>
      <c r="BH98" s="150">
        <v>5.4</v>
      </c>
      <c r="BI98" s="150">
        <v>5.6</v>
      </c>
      <c r="BJ98" s="150">
        <v>5.8</v>
      </c>
      <c r="BK98" s="150">
        <v>6</v>
      </c>
      <c r="BL98" s="150">
        <v>6.2</v>
      </c>
      <c r="BM98" s="150">
        <v>6.4</v>
      </c>
      <c r="BN98" s="150">
        <v>6.6</v>
      </c>
      <c r="BO98" s="150">
        <v>6.8</v>
      </c>
      <c r="BP98" s="150">
        <v>7</v>
      </c>
      <c r="BQ98" s="150">
        <v>7.2</v>
      </c>
      <c r="BR98" s="150">
        <v>7.4</v>
      </c>
      <c r="BS98" s="150">
        <v>7.6</v>
      </c>
      <c r="BT98" s="150">
        <v>7.8</v>
      </c>
      <c r="BU98" s="150">
        <v>8</v>
      </c>
      <c r="BV98" s="150">
        <v>8.1999999999999993</v>
      </c>
      <c r="BW98" s="150">
        <v>8.4</v>
      </c>
      <c r="BX98" s="150">
        <v>8.6</v>
      </c>
      <c r="BY98" s="150">
        <v>8.7999999999999936</v>
      </c>
      <c r="BZ98" s="150">
        <v>9</v>
      </c>
      <c r="CA98" s="150">
        <v>9.1999999999999922</v>
      </c>
      <c r="CB98" s="150">
        <v>9.4</v>
      </c>
      <c r="CC98" s="150">
        <v>9.5999999999999908</v>
      </c>
      <c r="CD98" s="150">
        <v>9.8000000000000007</v>
      </c>
      <c r="CE98" s="150">
        <v>9.9999999999999893</v>
      </c>
      <c r="CF98" s="150">
        <v>10.199999999999999</v>
      </c>
      <c r="CG98" s="150">
        <v>10.4</v>
      </c>
      <c r="CH98" s="150">
        <v>10.6</v>
      </c>
      <c r="CI98" s="150">
        <v>10.8</v>
      </c>
      <c r="CJ98" s="150">
        <v>11</v>
      </c>
      <c r="CK98" s="150">
        <v>11.2</v>
      </c>
      <c r="CL98" s="150">
        <v>11.4</v>
      </c>
      <c r="CM98" s="150">
        <v>11.6</v>
      </c>
      <c r="CN98" s="150">
        <v>11.8</v>
      </c>
      <c r="CO98" s="150">
        <v>12</v>
      </c>
      <c r="CP98" s="150">
        <v>12.2</v>
      </c>
      <c r="CQ98" s="150">
        <v>12.4</v>
      </c>
      <c r="CR98" s="150">
        <v>12.6</v>
      </c>
      <c r="CS98" s="150">
        <v>12.8</v>
      </c>
      <c r="CT98" s="150">
        <v>13</v>
      </c>
      <c r="CU98" s="150">
        <v>13.2</v>
      </c>
      <c r="CV98" s="150">
        <v>13.4</v>
      </c>
      <c r="CW98" s="150">
        <v>13.6</v>
      </c>
      <c r="CX98" s="150">
        <v>13.8</v>
      </c>
      <c r="CY98" s="150">
        <v>14</v>
      </c>
      <c r="CZ98" s="150">
        <v>14.2</v>
      </c>
      <c r="DA98" s="150">
        <v>14.4</v>
      </c>
      <c r="DB98" s="150">
        <v>14.6</v>
      </c>
      <c r="DC98" s="150">
        <v>14.8</v>
      </c>
      <c r="DD98" s="150">
        <v>15</v>
      </c>
      <c r="DE98" s="150">
        <v>15.2</v>
      </c>
      <c r="DF98" s="150">
        <v>15.4</v>
      </c>
      <c r="DG98" s="150">
        <v>15.6</v>
      </c>
      <c r="DH98" s="150">
        <v>15.8</v>
      </c>
      <c r="DI98" s="150">
        <v>16</v>
      </c>
      <c r="DJ98" s="150">
        <v>16.2</v>
      </c>
      <c r="DK98" s="150">
        <v>16.399999999999999</v>
      </c>
      <c r="DL98" s="150">
        <v>16.600000000000001</v>
      </c>
      <c r="DM98" s="150">
        <v>16.8</v>
      </c>
      <c r="DN98" s="150">
        <v>17</v>
      </c>
      <c r="DO98" s="150">
        <v>17.2</v>
      </c>
      <c r="DP98" s="150">
        <v>17.399999999999999</v>
      </c>
      <c r="DQ98" s="150">
        <v>17.600000000000001</v>
      </c>
      <c r="DR98" s="150">
        <v>17.8</v>
      </c>
      <c r="DS98" s="150">
        <v>18</v>
      </c>
      <c r="DT98" s="150">
        <v>18.2</v>
      </c>
      <c r="DU98" s="150">
        <v>18.399999999999999</v>
      </c>
      <c r="DV98" s="150">
        <v>18.600000000000001</v>
      </c>
      <c r="DW98" s="150">
        <v>18.8</v>
      </c>
      <c r="DX98" s="150">
        <v>19</v>
      </c>
      <c r="DY98" s="150">
        <v>19.2</v>
      </c>
      <c r="DZ98" s="150">
        <v>19.399999999999999</v>
      </c>
      <c r="EA98" s="150">
        <v>19.600000000000001</v>
      </c>
      <c r="EB98" s="150">
        <v>19.8</v>
      </c>
      <c r="EC98" s="150">
        <v>20</v>
      </c>
      <c r="ED98" s="150">
        <v>20.2</v>
      </c>
      <c r="EE98" s="150">
        <v>20.399999999999999</v>
      </c>
      <c r="EF98" s="150">
        <v>20.6</v>
      </c>
      <c r="EG98" s="150">
        <v>20.799999999999951</v>
      </c>
      <c r="EH98" s="150">
        <v>21</v>
      </c>
      <c r="EI98" s="150">
        <v>21.19999999999995</v>
      </c>
      <c r="EJ98" s="150">
        <v>21.4</v>
      </c>
      <c r="EK98" s="150">
        <v>21.599999999999948</v>
      </c>
    </row>
    <row r="99" spans="1:141" ht="13.2" x14ac:dyDescent="0.25">
      <c r="A99" s="149">
        <v>39661</v>
      </c>
      <c r="B99" s="219">
        <v>-1.7785964148750009</v>
      </c>
      <c r="C99" s="219">
        <v>-1.7482952255625008</v>
      </c>
      <c r="D99" s="219">
        <v>-1.7179940362500008</v>
      </c>
      <c r="E99" s="219">
        <v>-1.6876928469375008</v>
      </c>
      <c r="F99" s="219">
        <v>-1.6573916576250007</v>
      </c>
      <c r="G99" s="219">
        <v>-1.6270904683125007</v>
      </c>
      <c r="H99" s="219">
        <v>-1.5967892790000007</v>
      </c>
      <c r="I99" s="219">
        <v>-1.5664880896875006</v>
      </c>
      <c r="J99" s="219">
        <v>-1.5361869003750006</v>
      </c>
      <c r="K99" s="219">
        <v>-1.5058857110625006</v>
      </c>
      <c r="L99" s="219">
        <v>-1.4755845217500005</v>
      </c>
      <c r="M99" s="219">
        <v>-1.4452833324375005</v>
      </c>
      <c r="N99" s="219">
        <v>-1.4149821431250005</v>
      </c>
      <c r="O99" s="219">
        <v>-1.3846809538125004</v>
      </c>
      <c r="P99" s="219">
        <v>-1.3543797645000004</v>
      </c>
      <c r="Q99" s="219">
        <v>-1.3240785751875004</v>
      </c>
      <c r="R99" s="219">
        <v>-1.2937773858750004</v>
      </c>
      <c r="S99" s="219">
        <v>-1.2634761965625003</v>
      </c>
      <c r="T99" s="219">
        <v>-1.2331750072500003</v>
      </c>
      <c r="U99" s="219">
        <v>-1.2028738179375003</v>
      </c>
      <c r="V99" s="220">
        <v>-1.1725726286250002</v>
      </c>
      <c r="W99" s="219">
        <v>-1.1422714393125002</v>
      </c>
      <c r="X99" s="220">
        <v>-1.1119702500000002</v>
      </c>
      <c r="Y99" s="219">
        <v>-1.0832351250000003</v>
      </c>
      <c r="Z99" s="220">
        <v>-1.0545000000000002</v>
      </c>
      <c r="AA99" s="219">
        <v>-1.0272500000000002</v>
      </c>
      <c r="AB99" s="221">
        <v>-1</v>
      </c>
      <c r="AC99" s="219">
        <v>-0.8</v>
      </c>
      <c r="AD99" s="221">
        <v>-0.6</v>
      </c>
      <c r="AE99" s="219">
        <v>-0.4</v>
      </c>
      <c r="AF99" s="219">
        <v>-0.2</v>
      </c>
      <c r="AG99" s="150">
        <v>0</v>
      </c>
      <c r="AH99" s="150">
        <v>0.2</v>
      </c>
      <c r="AI99" s="150">
        <v>0.4</v>
      </c>
      <c r="AJ99" s="150">
        <v>0.6</v>
      </c>
      <c r="AK99" s="150">
        <v>0.8</v>
      </c>
      <c r="AL99" s="150">
        <v>1</v>
      </c>
      <c r="AM99" s="150">
        <v>1.2</v>
      </c>
      <c r="AN99" s="150">
        <v>1.4</v>
      </c>
      <c r="AO99" s="150">
        <v>1.6</v>
      </c>
      <c r="AP99" s="150">
        <v>1.8</v>
      </c>
      <c r="AQ99" s="150">
        <v>2</v>
      </c>
      <c r="AR99" s="150">
        <v>2.2000000000000002</v>
      </c>
      <c r="AS99" s="150">
        <v>2.4</v>
      </c>
      <c r="AT99" s="150">
        <v>2.6</v>
      </c>
      <c r="AU99" s="150">
        <v>2.8</v>
      </c>
      <c r="AV99" s="150">
        <v>3</v>
      </c>
      <c r="AW99" s="150">
        <v>3.2</v>
      </c>
      <c r="AX99" s="150">
        <v>3.4</v>
      </c>
      <c r="AY99" s="150">
        <v>3.6</v>
      </c>
      <c r="AZ99" s="150">
        <v>3.8</v>
      </c>
      <c r="BA99" s="150">
        <v>4</v>
      </c>
      <c r="BB99" s="150">
        <v>4.2</v>
      </c>
      <c r="BC99" s="150">
        <v>4.4000000000000004</v>
      </c>
      <c r="BD99" s="150">
        <v>4.5999999999999996</v>
      </c>
      <c r="BE99" s="150">
        <v>4.8</v>
      </c>
      <c r="BF99" s="150">
        <v>5</v>
      </c>
      <c r="BG99" s="150">
        <v>5.2</v>
      </c>
      <c r="BH99" s="150">
        <v>5.4</v>
      </c>
      <c r="BI99" s="150">
        <v>5.6</v>
      </c>
      <c r="BJ99" s="150">
        <v>5.8</v>
      </c>
      <c r="BK99" s="150">
        <v>6</v>
      </c>
      <c r="BL99" s="150">
        <v>6.2</v>
      </c>
      <c r="BM99" s="150">
        <v>6.4</v>
      </c>
      <c r="BN99" s="150">
        <v>6.6</v>
      </c>
      <c r="BO99" s="150">
        <v>6.8</v>
      </c>
      <c r="BP99" s="150">
        <v>7</v>
      </c>
      <c r="BQ99" s="150">
        <v>7.2</v>
      </c>
      <c r="BR99" s="150">
        <v>7.4</v>
      </c>
      <c r="BS99" s="150">
        <v>7.6</v>
      </c>
      <c r="BT99" s="150">
        <v>7.8</v>
      </c>
      <c r="BU99" s="150">
        <v>8</v>
      </c>
      <c r="BV99" s="150">
        <v>8.1999999999999993</v>
      </c>
      <c r="BW99" s="150">
        <v>8.4</v>
      </c>
      <c r="BX99" s="150">
        <v>8.6</v>
      </c>
      <c r="BY99" s="150">
        <v>8.7999999999999936</v>
      </c>
      <c r="BZ99" s="150">
        <v>9</v>
      </c>
      <c r="CA99" s="150">
        <v>9.1999999999999922</v>
      </c>
      <c r="CB99" s="150">
        <v>9.4</v>
      </c>
      <c r="CC99" s="150">
        <v>9.5999999999999908</v>
      </c>
      <c r="CD99" s="150">
        <v>9.8000000000000007</v>
      </c>
      <c r="CE99" s="150">
        <v>9.9999999999999893</v>
      </c>
      <c r="CF99" s="150">
        <v>10.199999999999999</v>
      </c>
      <c r="CG99" s="150">
        <v>10.4</v>
      </c>
      <c r="CH99" s="150">
        <v>10.6</v>
      </c>
      <c r="CI99" s="150">
        <v>10.8</v>
      </c>
      <c r="CJ99" s="150">
        <v>11</v>
      </c>
      <c r="CK99" s="150">
        <v>11.2</v>
      </c>
      <c r="CL99" s="150">
        <v>11.4</v>
      </c>
      <c r="CM99" s="150">
        <v>11.6</v>
      </c>
      <c r="CN99" s="150">
        <v>11.8</v>
      </c>
      <c r="CO99" s="150">
        <v>12</v>
      </c>
      <c r="CP99" s="150">
        <v>12.2</v>
      </c>
      <c r="CQ99" s="150">
        <v>12.4</v>
      </c>
      <c r="CR99" s="150">
        <v>12.6</v>
      </c>
      <c r="CS99" s="150">
        <v>12.8</v>
      </c>
      <c r="CT99" s="150">
        <v>13</v>
      </c>
      <c r="CU99" s="150">
        <v>13.2</v>
      </c>
      <c r="CV99" s="150">
        <v>13.4</v>
      </c>
      <c r="CW99" s="150">
        <v>13.6</v>
      </c>
      <c r="CX99" s="150">
        <v>13.8</v>
      </c>
      <c r="CY99" s="150">
        <v>14</v>
      </c>
      <c r="CZ99" s="150">
        <v>14.2</v>
      </c>
      <c r="DA99" s="150">
        <v>14.4</v>
      </c>
      <c r="DB99" s="150">
        <v>14.6</v>
      </c>
      <c r="DC99" s="150">
        <v>14.8</v>
      </c>
      <c r="DD99" s="150">
        <v>15</v>
      </c>
      <c r="DE99" s="150">
        <v>15.2</v>
      </c>
      <c r="DF99" s="150">
        <v>15.4</v>
      </c>
      <c r="DG99" s="150">
        <v>15.6</v>
      </c>
      <c r="DH99" s="150">
        <v>15.8</v>
      </c>
      <c r="DI99" s="150">
        <v>16</v>
      </c>
      <c r="DJ99" s="150">
        <v>16.2</v>
      </c>
      <c r="DK99" s="150">
        <v>16.399999999999999</v>
      </c>
      <c r="DL99" s="150">
        <v>16.600000000000001</v>
      </c>
      <c r="DM99" s="150">
        <v>16.8</v>
      </c>
      <c r="DN99" s="150">
        <v>17</v>
      </c>
      <c r="DO99" s="150">
        <v>17.2</v>
      </c>
      <c r="DP99" s="150">
        <v>17.399999999999999</v>
      </c>
      <c r="DQ99" s="150">
        <v>17.600000000000001</v>
      </c>
      <c r="DR99" s="150">
        <v>17.8</v>
      </c>
      <c r="DS99" s="150">
        <v>18</v>
      </c>
      <c r="DT99" s="150">
        <v>18.2</v>
      </c>
      <c r="DU99" s="150">
        <v>18.399999999999999</v>
      </c>
      <c r="DV99" s="150">
        <v>18.600000000000001</v>
      </c>
      <c r="DW99" s="150">
        <v>18.8</v>
      </c>
      <c r="DX99" s="150">
        <v>19</v>
      </c>
      <c r="DY99" s="150">
        <v>19.2</v>
      </c>
      <c r="DZ99" s="150">
        <v>19.399999999999999</v>
      </c>
      <c r="EA99" s="150">
        <v>19.600000000000001</v>
      </c>
      <c r="EB99" s="150">
        <v>19.8</v>
      </c>
      <c r="EC99" s="150">
        <v>20</v>
      </c>
      <c r="ED99" s="150">
        <v>20.2</v>
      </c>
      <c r="EE99" s="150">
        <v>20.399999999999999</v>
      </c>
      <c r="EF99" s="150">
        <v>20.6</v>
      </c>
      <c r="EG99" s="150">
        <v>20.799999999999951</v>
      </c>
      <c r="EH99" s="150">
        <v>21</v>
      </c>
      <c r="EI99" s="150">
        <v>21.19999999999995</v>
      </c>
      <c r="EJ99" s="150">
        <v>21.4</v>
      </c>
      <c r="EK99" s="150">
        <v>21.599999999999948</v>
      </c>
    </row>
    <row r="100" spans="1:141" ht="13.2" x14ac:dyDescent="0.25">
      <c r="A100" s="149">
        <v>39692</v>
      </c>
      <c r="B100" s="219">
        <v>-1.7785964148750009</v>
      </c>
      <c r="C100" s="219">
        <v>-1.7482952255625008</v>
      </c>
      <c r="D100" s="219">
        <v>-1.7179940362500008</v>
      </c>
      <c r="E100" s="219">
        <v>-1.6876928469375008</v>
      </c>
      <c r="F100" s="219">
        <v>-1.6573916576250007</v>
      </c>
      <c r="G100" s="219">
        <v>-1.6270904683125007</v>
      </c>
      <c r="H100" s="219">
        <v>-1.5967892790000007</v>
      </c>
      <c r="I100" s="219">
        <v>-1.5664880896875006</v>
      </c>
      <c r="J100" s="219">
        <v>-1.5361869003750006</v>
      </c>
      <c r="K100" s="219">
        <v>-1.5058857110625006</v>
      </c>
      <c r="L100" s="219">
        <v>-1.4755845217500005</v>
      </c>
      <c r="M100" s="219">
        <v>-1.4452833324375005</v>
      </c>
      <c r="N100" s="219">
        <v>-1.4149821431250005</v>
      </c>
      <c r="O100" s="219">
        <v>-1.3846809538125004</v>
      </c>
      <c r="P100" s="219">
        <v>-1.3543797645000004</v>
      </c>
      <c r="Q100" s="219">
        <v>-1.3240785751875004</v>
      </c>
      <c r="R100" s="219">
        <v>-1.2937773858750004</v>
      </c>
      <c r="S100" s="219">
        <v>-1.2634761965625003</v>
      </c>
      <c r="T100" s="219">
        <v>-1.2331750072500003</v>
      </c>
      <c r="U100" s="219">
        <v>-1.2028738179375003</v>
      </c>
      <c r="V100" s="220">
        <v>-1.1725726286250002</v>
      </c>
      <c r="W100" s="219">
        <v>-1.1422714393125002</v>
      </c>
      <c r="X100" s="220">
        <v>-1.1119702500000002</v>
      </c>
      <c r="Y100" s="219">
        <v>-1.0832351250000003</v>
      </c>
      <c r="Z100" s="220">
        <v>-1.0545000000000002</v>
      </c>
      <c r="AA100" s="219">
        <v>-1.0272500000000002</v>
      </c>
      <c r="AB100" s="221">
        <v>-1</v>
      </c>
      <c r="AC100" s="219">
        <v>-0.8</v>
      </c>
      <c r="AD100" s="221">
        <v>-0.6</v>
      </c>
      <c r="AE100" s="219">
        <v>-0.4</v>
      </c>
      <c r="AF100" s="219">
        <v>-0.2</v>
      </c>
      <c r="AG100" s="150">
        <v>0</v>
      </c>
      <c r="AH100" s="150">
        <v>0.2</v>
      </c>
      <c r="AI100" s="150">
        <v>0.4</v>
      </c>
      <c r="AJ100" s="150">
        <v>0.6</v>
      </c>
      <c r="AK100" s="150">
        <v>0.8</v>
      </c>
      <c r="AL100" s="150">
        <v>1</v>
      </c>
      <c r="AM100" s="150">
        <v>1.2</v>
      </c>
      <c r="AN100" s="150">
        <v>1.4</v>
      </c>
      <c r="AO100" s="150">
        <v>1.6</v>
      </c>
      <c r="AP100" s="150">
        <v>1.8</v>
      </c>
      <c r="AQ100" s="150">
        <v>2</v>
      </c>
      <c r="AR100" s="150">
        <v>2.2000000000000002</v>
      </c>
      <c r="AS100" s="150">
        <v>2.4</v>
      </c>
      <c r="AT100" s="150">
        <v>2.6</v>
      </c>
      <c r="AU100" s="150">
        <v>2.8</v>
      </c>
      <c r="AV100" s="150">
        <v>3</v>
      </c>
      <c r="AW100" s="150">
        <v>3.2</v>
      </c>
      <c r="AX100" s="150">
        <v>3.4</v>
      </c>
      <c r="AY100" s="150">
        <v>3.6</v>
      </c>
      <c r="AZ100" s="150">
        <v>3.8</v>
      </c>
      <c r="BA100" s="150">
        <v>4</v>
      </c>
      <c r="BB100" s="150">
        <v>4.2</v>
      </c>
      <c r="BC100" s="150">
        <v>4.4000000000000004</v>
      </c>
      <c r="BD100" s="150">
        <v>4.5999999999999996</v>
      </c>
      <c r="BE100" s="150">
        <v>4.8</v>
      </c>
      <c r="BF100" s="150">
        <v>5</v>
      </c>
      <c r="BG100" s="150">
        <v>5.2</v>
      </c>
      <c r="BH100" s="150">
        <v>5.4</v>
      </c>
      <c r="BI100" s="150">
        <v>5.6</v>
      </c>
      <c r="BJ100" s="150">
        <v>5.8</v>
      </c>
      <c r="BK100" s="150">
        <v>6</v>
      </c>
      <c r="BL100" s="150">
        <v>6.2</v>
      </c>
      <c r="BM100" s="150">
        <v>6.4</v>
      </c>
      <c r="BN100" s="150">
        <v>6.6</v>
      </c>
      <c r="BO100" s="150">
        <v>6.8</v>
      </c>
      <c r="BP100" s="150">
        <v>7</v>
      </c>
      <c r="BQ100" s="150">
        <v>7.2</v>
      </c>
      <c r="BR100" s="150">
        <v>7.4</v>
      </c>
      <c r="BS100" s="150">
        <v>7.6</v>
      </c>
      <c r="BT100" s="150">
        <v>7.8</v>
      </c>
      <c r="BU100" s="150">
        <v>8</v>
      </c>
      <c r="BV100" s="150">
        <v>8.1999999999999993</v>
      </c>
      <c r="BW100" s="150">
        <v>8.4</v>
      </c>
      <c r="BX100" s="150">
        <v>8.6</v>
      </c>
      <c r="BY100" s="150">
        <v>8.7999999999999936</v>
      </c>
      <c r="BZ100" s="150">
        <v>9</v>
      </c>
      <c r="CA100" s="150">
        <v>9.1999999999999922</v>
      </c>
      <c r="CB100" s="150">
        <v>9.4</v>
      </c>
      <c r="CC100" s="150">
        <v>9.5999999999999908</v>
      </c>
      <c r="CD100" s="150">
        <v>9.8000000000000007</v>
      </c>
      <c r="CE100" s="150">
        <v>9.9999999999999893</v>
      </c>
      <c r="CF100" s="150">
        <v>10.199999999999999</v>
      </c>
      <c r="CG100" s="150">
        <v>10.4</v>
      </c>
      <c r="CH100" s="150">
        <v>10.6</v>
      </c>
      <c r="CI100" s="150">
        <v>10.8</v>
      </c>
      <c r="CJ100" s="150">
        <v>11</v>
      </c>
      <c r="CK100" s="150">
        <v>11.2</v>
      </c>
      <c r="CL100" s="150">
        <v>11.4</v>
      </c>
      <c r="CM100" s="150">
        <v>11.6</v>
      </c>
      <c r="CN100" s="150">
        <v>11.8</v>
      </c>
      <c r="CO100" s="150">
        <v>12</v>
      </c>
      <c r="CP100" s="150">
        <v>12.2</v>
      </c>
      <c r="CQ100" s="150">
        <v>12.4</v>
      </c>
      <c r="CR100" s="150">
        <v>12.6</v>
      </c>
      <c r="CS100" s="150">
        <v>12.8</v>
      </c>
      <c r="CT100" s="150">
        <v>13</v>
      </c>
      <c r="CU100" s="150">
        <v>13.2</v>
      </c>
      <c r="CV100" s="150">
        <v>13.4</v>
      </c>
      <c r="CW100" s="150">
        <v>13.6</v>
      </c>
      <c r="CX100" s="150">
        <v>13.8</v>
      </c>
      <c r="CY100" s="150">
        <v>14</v>
      </c>
      <c r="CZ100" s="150">
        <v>14.2</v>
      </c>
      <c r="DA100" s="150">
        <v>14.4</v>
      </c>
      <c r="DB100" s="150">
        <v>14.6</v>
      </c>
      <c r="DC100" s="150">
        <v>14.8</v>
      </c>
      <c r="DD100" s="150">
        <v>15</v>
      </c>
      <c r="DE100" s="150">
        <v>15.2</v>
      </c>
      <c r="DF100" s="150">
        <v>15.4</v>
      </c>
      <c r="DG100" s="150">
        <v>15.6</v>
      </c>
      <c r="DH100" s="150">
        <v>15.8</v>
      </c>
      <c r="DI100" s="150">
        <v>16</v>
      </c>
      <c r="DJ100" s="150">
        <v>16.2</v>
      </c>
      <c r="DK100" s="150">
        <v>16.399999999999999</v>
      </c>
      <c r="DL100" s="150">
        <v>16.600000000000001</v>
      </c>
      <c r="DM100" s="150">
        <v>16.8</v>
      </c>
      <c r="DN100" s="150">
        <v>17</v>
      </c>
      <c r="DO100" s="150">
        <v>17.2</v>
      </c>
      <c r="DP100" s="150">
        <v>17.399999999999999</v>
      </c>
      <c r="DQ100" s="150">
        <v>17.600000000000001</v>
      </c>
      <c r="DR100" s="150">
        <v>17.8</v>
      </c>
      <c r="DS100" s="150">
        <v>18</v>
      </c>
      <c r="DT100" s="150">
        <v>18.2</v>
      </c>
      <c r="DU100" s="150">
        <v>18.399999999999999</v>
      </c>
      <c r="DV100" s="150">
        <v>18.600000000000001</v>
      </c>
      <c r="DW100" s="150">
        <v>18.8</v>
      </c>
      <c r="DX100" s="150">
        <v>19</v>
      </c>
      <c r="DY100" s="150">
        <v>19.2</v>
      </c>
      <c r="DZ100" s="150">
        <v>19.399999999999999</v>
      </c>
      <c r="EA100" s="150">
        <v>19.600000000000001</v>
      </c>
      <c r="EB100" s="150">
        <v>19.8</v>
      </c>
      <c r="EC100" s="150">
        <v>20</v>
      </c>
      <c r="ED100" s="150">
        <v>20.2</v>
      </c>
      <c r="EE100" s="150">
        <v>20.399999999999999</v>
      </c>
      <c r="EF100" s="150">
        <v>20.6</v>
      </c>
      <c r="EG100" s="150">
        <v>20.799999999999951</v>
      </c>
      <c r="EH100" s="150">
        <v>21</v>
      </c>
      <c r="EI100" s="150">
        <v>21.19999999999995</v>
      </c>
      <c r="EJ100" s="150">
        <v>21.4</v>
      </c>
      <c r="EK100" s="150">
        <v>21.599999999999948</v>
      </c>
    </row>
    <row r="101" spans="1:141" ht="13.2" x14ac:dyDescent="0.25">
      <c r="A101" s="149">
        <v>39722</v>
      </c>
      <c r="B101" s="219">
        <v>-1.7785964148750009</v>
      </c>
      <c r="C101" s="219">
        <v>-1.7482952255625008</v>
      </c>
      <c r="D101" s="219">
        <v>-1.7179940362500008</v>
      </c>
      <c r="E101" s="219">
        <v>-1.6876928469375008</v>
      </c>
      <c r="F101" s="219">
        <v>-1.6573916576250007</v>
      </c>
      <c r="G101" s="219">
        <v>-1.6270904683125007</v>
      </c>
      <c r="H101" s="219">
        <v>-1.5967892790000007</v>
      </c>
      <c r="I101" s="219">
        <v>-1.5664880896875006</v>
      </c>
      <c r="J101" s="219">
        <v>-1.5361869003750006</v>
      </c>
      <c r="K101" s="219">
        <v>-1.5058857110625006</v>
      </c>
      <c r="L101" s="219">
        <v>-1.4755845217500005</v>
      </c>
      <c r="M101" s="219">
        <v>-1.4452833324375005</v>
      </c>
      <c r="N101" s="219">
        <v>-1.4149821431250005</v>
      </c>
      <c r="O101" s="219">
        <v>-1.3846809538125004</v>
      </c>
      <c r="P101" s="219">
        <v>-1.3543797645000004</v>
      </c>
      <c r="Q101" s="219">
        <v>-1.3240785751875004</v>
      </c>
      <c r="R101" s="219">
        <v>-1.2937773858750004</v>
      </c>
      <c r="S101" s="219">
        <v>-1.2634761965625003</v>
      </c>
      <c r="T101" s="219">
        <v>-1.2331750072500003</v>
      </c>
      <c r="U101" s="219">
        <v>-1.2028738179375003</v>
      </c>
      <c r="V101" s="220">
        <v>-1.1725726286250002</v>
      </c>
      <c r="W101" s="219">
        <v>-1.1422714393125002</v>
      </c>
      <c r="X101" s="220">
        <v>-1.1119702500000002</v>
      </c>
      <c r="Y101" s="219">
        <v>-1.0832351250000003</v>
      </c>
      <c r="Z101" s="220">
        <v>-1.0545000000000002</v>
      </c>
      <c r="AA101" s="219">
        <v>-1.0272500000000002</v>
      </c>
      <c r="AB101" s="221">
        <v>-1</v>
      </c>
      <c r="AC101" s="219">
        <v>-0.8</v>
      </c>
      <c r="AD101" s="221">
        <v>-0.6</v>
      </c>
      <c r="AE101" s="219">
        <v>-0.4</v>
      </c>
      <c r="AF101" s="219">
        <v>-0.2</v>
      </c>
      <c r="AG101" s="150">
        <v>0</v>
      </c>
      <c r="AH101" s="150">
        <v>0.2</v>
      </c>
      <c r="AI101" s="150">
        <v>0.4</v>
      </c>
      <c r="AJ101" s="150">
        <v>0.6</v>
      </c>
      <c r="AK101" s="150">
        <v>0.8</v>
      </c>
      <c r="AL101" s="150">
        <v>1</v>
      </c>
      <c r="AM101" s="150">
        <v>1.2</v>
      </c>
      <c r="AN101" s="150">
        <v>1.4</v>
      </c>
      <c r="AO101" s="150">
        <v>1.6</v>
      </c>
      <c r="AP101" s="150">
        <v>1.8</v>
      </c>
      <c r="AQ101" s="150">
        <v>2</v>
      </c>
      <c r="AR101" s="150">
        <v>2.2000000000000002</v>
      </c>
      <c r="AS101" s="150">
        <v>2.4</v>
      </c>
      <c r="AT101" s="150">
        <v>2.6</v>
      </c>
      <c r="AU101" s="150">
        <v>2.8</v>
      </c>
      <c r="AV101" s="150">
        <v>3</v>
      </c>
      <c r="AW101" s="150">
        <v>3.2</v>
      </c>
      <c r="AX101" s="150">
        <v>3.4</v>
      </c>
      <c r="AY101" s="150">
        <v>3.6</v>
      </c>
      <c r="AZ101" s="150">
        <v>3.8</v>
      </c>
      <c r="BA101" s="150">
        <v>4</v>
      </c>
      <c r="BB101" s="150">
        <v>4.2</v>
      </c>
      <c r="BC101" s="150">
        <v>4.4000000000000004</v>
      </c>
      <c r="BD101" s="150">
        <v>4.5999999999999996</v>
      </c>
      <c r="BE101" s="150">
        <v>4.8</v>
      </c>
      <c r="BF101" s="150">
        <v>5</v>
      </c>
      <c r="BG101" s="150">
        <v>5.2</v>
      </c>
      <c r="BH101" s="150">
        <v>5.4</v>
      </c>
      <c r="BI101" s="150">
        <v>5.6</v>
      </c>
      <c r="BJ101" s="150">
        <v>5.8</v>
      </c>
      <c r="BK101" s="150">
        <v>6</v>
      </c>
      <c r="BL101" s="150">
        <v>6.2</v>
      </c>
      <c r="BM101" s="150">
        <v>6.4</v>
      </c>
      <c r="BN101" s="150">
        <v>6.6</v>
      </c>
      <c r="BO101" s="150">
        <v>6.8</v>
      </c>
      <c r="BP101" s="150">
        <v>7</v>
      </c>
      <c r="BQ101" s="150">
        <v>7.2</v>
      </c>
      <c r="BR101" s="150">
        <v>7.4</v>
      </c>
      <c r="BS101" s="150">
        <v>7.6</v>
      </c>
      <c r="BT101" s="150">
        <v>7.8</v>
      </c>
      <c r="BU101" s="150">
        <v>8</v>
      </c>
      <c r="BV101" s="150">
        <v>8.1999999999999993</v>
      </c>
      <c r="BW101" s="150">
        <v>8.4</v>
      </c>
      <c r="BX101" s="150">
        <v>8.6</v>
      </c>
      <c r="BY101" s="150">
        <v>8.7999999999999936</v>
      </c>
      <c r="BZ101" s="150">
        <v>9</v>
      </c>
      <c r="CA101" s="150">
        <v>9.1999999999999922</v>
      </c>
      <c r="CB101" s="150">
        <v>9.4</v>
      </c>
      <c r="CC101" s="150">
        <v>9.5999999999999908</v>
      </c>
      <c r="CD101" s="150">
        <v>9.8000000000000007</v>
      </c>
      <c r="CE101" s="150">
        <v>9.9999999999999893</v>
      </c>
      <c r="CF101" s="150">
        <v>10.199999999999999</v>
      </c>
      <c r="CG101" s="150">
        <v>10.4</v>
      </c>
      <c r="CH101" s="150">
        <v>10.6</v>
      </c>
      <c r="CI101" s="150">
        <v>10.8</v>
      </c>
      <c r="CJ101" s="150">
        <v>11</v>
      </c>
      <c r="CK101" s="150">
        <v>11.2</v>
      </c>
      <c r="CL101" s="150">
        <v>11.4</v>
      </c>
      <c r="CM101" s="150">
        <v>11.6</v>
      </c>
      <c r="CN101" s="150">
        <v>11.8</v>
      </c>
      <c r="CO101" s="150">
        <v>12</v>
      </c>
      <c r="CP101" s="150">
        <v>12.2</v>
      </c>
      <c r="CQ101" s="150">
        <v>12.4</v>
      </c>
      <c r="CR101" s="150">
        <v>12.6</v>
      </c>
      <c r="CS101" s="150">
        <v>12.8</v>
      </c>
      <c r="CT101" s="150">
        <v>13</v>
      </c>
      <c r="CU101" s="150">
        <v>13.2</v>
      </c>
      <c r="CV101" s="150">
        <v>13.4</v>
      </c>
      <c r="CW101" s="150">
        <v>13.6</v>
      </c>
      <c r="CX101" s="150">
        <v>13.8</v>
      </c>
      <c r="CY101" s="150">
        <v>14</v>
      </c>
      <c r="CZ101" s="150">
        <v>14.2</v>
      </c>
      <c r="DA101" s="150">
        <v>14.4</v>
      </c>
      <c r="DB101" s="150">
        <v>14.6</v>
      </c>
      <c r="DC101" s="150">
        <v>14.8</v>
      </c>
      <c r="DD101" s="150">
        <v>15</v>
      </c>
      <c r="DE101" s="150">
        <v>15.2</v>
      </c>
      <c r="DF101" s="150">
        <v>15.4</v>
      </c>
      <c r="DG101" s="150">
        <v>15.6</v>
      </c>
      <c r="DH101" s="150">
        <v>15.8</v>
      </c>
      <c r="DI101" s="150">
        <v>16</v>
      </c>
      <c r="DJ101" s="150">
        <v>16.2</v>
      </c>
      <c r="DK101" s="150">
        <v>16.399999999999999</v>
      </c>
      <c r="DL101" s="150">
        <v>16.600000000000001</v>
      </c>
      <c r="DM101" s="150">
        <v>16.8</v>
      </c>
      <c r="DN101" s="150">
        <v>17</v>
      </c>
      <c r="DO101" s="150">
        <v>17.2</v>
      </c>
      <c r="DP101" s="150">
        <v>17.399999999999999</v>
      </c>
      <c r="DQ101" s="150">
        <v>17.600000000000001</v>
      </c>
      <c r="DR101" s="150">
        <v>17.8</v>
      </c>
      <c r="DS101" s="150">
        <v>18</v>
      </c>
      <c r="DT101" s="150">
        <v>18.2</v>
      </c>
      <c r="DU101" s="150">
        <v>18.399999999999999</v>
      </c>
      <c r="DV101" s="150">
        <v>18.600000000000001</v>
      </c>
      <c r="DW101" s="150">
        <v>18.8</v>
      </c>
      <c r="DX101" s="150">
        <v>19</v>
      </c>
      <c r="DY101" s="150">
        <v>19.2</v>
      </c>
      <c r="DZ101" s="150">
        <v>19.399999999999999</v>
      </c>
      <c r="EA101" s="150">
        <v>19.600000000000001</v>
      </c>
      <c r="EB101" s="150">
        <v>19.8</v>
      </c>
      <c r="EC101" s="150">
        <v>20</v>
      </c>
      <c r="ED101" s="150">
        <v>20.2</v>
      </c>
      <c r="EE101" s="150">
        <v>20.399999999999999</v>
      </c>
      <c r="EF101" s="150">
        <v>20.6</v>
      </c>
      <c r="EG101" s="150">
        <v>20.799999999999951</v>
      </c>
      <c r="EH101" s="150">
        <v>21</v>
      </c>
      <c r="EI101" s="150">
        <v>21.19999999999995</v>
      </c>
      <c r="EJ101" s="150">
        <v>21.4</v>
      </c>
      <c r="EK101" s="150">
        <v>21.599999999999948</v>
      </c>
    </row>
    <row r="102" spans="1:141" ht="13.2" x14ac:dyDescent="0.25">
      <c r="A102" s="149">
        <v>39753</v>
      </c>
      <c r="B102" s="219">
        <v>-1.7785964148750009</v>
      </c>
      <c r="C102" s="219">
        <v>-1.7482952255625008</v>
      </c>
      <c r="D102" s="219">
        <v>-1.7179940362500008</v>
      </c>
      <c r="E102" s="219">
        <v>-1.6876928469375008</v>
      </c>
      <c r="F102" s="219">
        <v>-1.6573916576250007</v>
      </c>
      <c r="G102" s="219">
        <v>-1.6270904683125007</v>
      </c>
      <c r="H102" s="219">
        <v>-1.5967892790000007</v>
      </c>
      <c r="I102" s="219">
        <v>-1.5664880896875006</v>
      </c>
      <c r="J102" s="219">
        <v>-1.5361869003750006</v>
      </c>
      <c r="K102" s="219">
        <v>-1.5058857110625006</v>
      </c>
      <c r="L102" s="219">
        <v>-1.4755845217500005</v>
      </c>
      <c r="M102" s="219">
        <v>-1.4452833324375005</v>
      </c>
      <c r="N102" s="219">
        <v>-1.4149821431250005</v>
      </c>
      <c r="O102" s="219">
        <v>-1.3846809538125004</v>
      </c>
      <c r="P102" s="219">
        <v>-1.3543797645000004</v>
      </c>
      <c r="Q102" s="219">
        <v>-1.3240785751875004</v>
      </c>
      <c r="R102" s="219">
        <v>-1.2937773858750004</v>
      </c>
      <c r="S102" s="219">
        <v>-1.2634761965625003</v>
      </c>
      <c r="T102" s="219">
        <v>-1.2331750072500003</v>
      </c>
      <c r="U102" s="219">
        <v>-1.2028738179375003</v>
      </c>
      <c r="V102" s="220">
        <v>-1.1725726286250002</v>
      </c>
      <c r="W102" s="219">
        <v>-1.1422714393125002</v>
      </c>
      <c r="X102" s="220">
        <v>-1.1119702500000002</v>
      </c>
      <c r="Y102" s="219">
        <v>-1.0832351250000003</v>
      </c>
      <c r="Z102" s="220">
        <v>-1.0545000000000002</v>
      </c>
      <c r="AA102" s="219">
        <v>-1.0272500000000002</v>
      </c>
      <c r="AB102" s="221">
        <v>-1</v>
      </c>
      <c r="AC102" s="219">
        <v>-0.8</v>
      </c>
      <c r="AD102" s="221">
        <v>-0.6</v>
      </c>
      <c r="AE102" s="219">
        <v>-0.4</v>
      </c>
      <c r="AF102" s="219">
        <v>-0.2</v>
      </c>
      <c r="AG102" s="150">
        <v>0</v>
      </c>
      <c r="AH102" s="150">
        <v>0.2</v>
      </c>
      <c r="AI102" s="150">
        <v>0.4</v>
      </c>
      <c r="AJ102" s="150">
        <v>0.6</v>
      </c>
      <c r="AK102" s="150">
        <v>0.8</v>
      </c>
      <c r="AL102" s="150">
        <v>1</v>
      </c>
      <c r="AM102" s="150">
        <v>1.2</v>
      </c>
      <c r="AN102" s="150">
        <v>1.4</v>
      </c>
      <c r="AO102" s="150">
        <v>1.6</v>
      </c>
      <c r="AP102" s="150">
        <v>1.8</v>
      </c>
      <c r="AQ102" s="150">
        <v>2</v>
      </c>
      <c r="AR102" s="150">
        <v>2.2000000000000002</v>
      </c>
      <c r="AS102" s="150">
        <v>2.4</v>
      </c>
      <c r="AT102" s="150">
        <v>2.6</v>
      </c>
      <c r="AU102" s="150">
        <v>2.8</v>
      </c>
      <c r="AV102" s="150">
        <v>3</v>
      </c>
      <c r="AW102" s="150">
        <v>3.2</v>
      </c>
      <c r="AX102" s="150">
        <v>3.4</v>
      </c>
      <c r="AY102" s="150">
        <v>3.6</v>
      </c>
      <c r="AZ102" s="150">
        <v>3.8</v>
      </c>
      <c r="BA102" s="150">
        <v>4</v>
      </c>
      <c r="BB102" s="150">
        <v>4.2</v>
      </c>
      <c r="BC102" s="150">
        <v>4.4000000000000004</v>
      </c>
      <c r="BD102" s="150">
        <v>4.5999999999999996</v>
      </c>
      <c r="BE102" s="150">
        <v>4.8</v>
      </c>
      <c r="BF102" s="150">
        <v>5</v>
      </c>
      <c r="BG102" s="150">
        <v>5.2</v>
      </c>
      <c r="BH102" s="150">
        <v>5.4</v>
      </c>
      <c r="BI102" s="150">
        <v>5.6</v>
      </c>
      <c r="BJ102" s="150">
        <v>5.8</v>
      </c>
      <c r="BK102" s="150">
        <v>6</v>
      </c>
      <c r="BL102" s="150">
        <v>6.2</v>
      </c>
      <c r="BM102" s="150">
        <v>6.4</v>
      </c>
      <c r="BN102" s="150">
        <v>6.6</v>
      </c>
      <c r="BO102" s="150">
        <v>6.8</v>
      </c>
      <c r="BP102" s="150">
        <v>7</v>
      </c>
      <c r="BQ102" s="150">
        <v>7.2</v>
      </c>
      <c r="BR102" s="150">
        <v>7.4</v>
      </c>
      <c r="BS102" s="150">
        <v>7.6</v>
      </c>
      <c r="BT102" s="150">
        <v>7.8</v>
      </c>
      <c r="BU102" s="150">
        <v>8</v>
      </c>
      <c r="BV102" s="150">
        <v>8.1999999999999993</v>
      </c>
      <c r="BW102" s="150">
        <v>8.4</v>
      </c>
      <c r="BX102" s="150">
        <v>8.6</v>
      </c>
      <c r="BY102" s="150">
        <v>8.7999999999999936</v>
      </c>
      <c r="BZ102" s="150">
        <v>9</v>
      </c>
      <c r="CA102" s="150">
        <v>9.1999999999999922</v>
      </c>
      <c r="CB102" s="150">
        <v>9.4</v>
      </c>
      <c r="CC102" s="150">
        <v>9.5999999999999908</v>
      </c>
      <c r="CD102" s="150">
        <v>9.8000000000000007</v>
      </c>
      <c r="CE102" s="150">
        <v>9.9999999999999893</v>
      </c>
      <c r="CF102" s="150">
        <v>10.199999999999999</v>
      </c>
      <c r="CG102" s="150">
        <v>10.4</v>
      </c>
      <c r="CH102" s="150">
        <v>10.6</v>
      </c>
      <c r="CI102" s="150">
        <v>10.8</v>
      </c>
      <c r="CJ102" s="150">
        <v>11</v>
      </c>
      <c r="CK102" s="150">
        <v>11.2</v>
      </c>
      <c r="CL102" s="150">
        <v>11.4</v>
      </c>
      <c r="CM102" s="150">
        <v>11.6</v>
      </c>
      <c r="CN102" s="150">
        <v>11.8</v>
      </c>
      <c r="CO102" s="150">
        <v>12</v>
      </c>
      <c r="CP102" s="150">
        <v>12.2</v>
      </c>
      <c r="CQ102" s="150">
        <v>12.4</v>
      </c>
      <c r="CR102" s="150">
        <v>12.6</v>
      </c>
      <c r="CS102" s="150">
        <v>12.8</v>
      </c>
      <c r="CT102" s="150">
        <v>13</v>
      </c>
      <c r="CU102" s="150">
        <v>13.2</v>
      </c>
      <c r="CV102" s="150">
        <v>13.4</v>
      </c>
      <c r="CW102" s="150">
        <v>13.6</v>
      </c>
      <c r="CX102" s="150">
        <v>13.8</v>
      </c>
      <c r="CY102" s="150">
        <v>14</v>
      </c>
      <c r="CZ102" s="150">
        <v>14.2</v>
      </c>
      <c r="DA102" s="150">
        <v>14.4</v>
      </c>
      <c r="DB102" s="150">
        <v>14.6</v>
      </c>
      <c r="DC102" s="150">
        <v>14.8</v>
      </c>
      <c r="DD102" s="150">
        <v>15</v>
      </c>
      <c r="DE102" s="150">
        <v>15.2</v>
      </c>
      <c r="DF102" s="150">
        <v>15.4</v>
      </c>
      <c r="DG102" s="150">
        <v>15.6</v>
      </c>
      <c r="DH102" s="150">
        <v>15.8</v>
      </c>
      <c r="DI102" s="150">
        <v>16</v>
      </c>
      <c r="DJ102" s="150">
        <v>16.2</v>
      </c>
      <c r="DK102" s="150">
        <v>16.399999999999999</v>
      </c>
      <c r="DL102" s="150">
        <v>16.600000000000001</v>
      </c>
      <c r="DM102" s="150">
        <v>16.8</v>
      </c>
      <c r="DN102" s="150">
        <v>17</v>
      </c>
      <c r="DO102" s="150">
        <v>17.2</v>
      </c>
      <c r="DP102" s="150">
        <v>17.399999999999999</v>
      </c>
      <c r="DQ102" s="150">
        <v>17.600000000000001</v>
      </c>
      <c r="DR102" s="150">
        <v>17.8</v>
      </c>
      <c r="DS102" s="150">
        <v>18</v>
      </c>
      <c r="DT102" s="150">
        <v>18.2</v>
      </c>
      <c r="DU102" s="150">
        <v>18.399999999999999</v>
      </c>
      <c r="DV102" s="150">
        <v>18.600000000000001</v>
      </c>
      <c r="DW102" s="150">
        <v>18.8</v>
      </c>
      <c r="DX102" s="150">
        <v>19</v>
      </c>
      <c r="DY102" s="150">
        <v>19.2</v>
      </c>
      <c r="DZ102" s="150">
        <v>19.399999999999999</v>
      </c>
      <c r="EA102" s="150">
        <v>19.600000000000001</v>
      </c>
      <c r="EB102" s="150">
        <v>19.8</v>
      </c>
      <c r="EC102" s="150">
        <v>20</v>
      </c>
      <c r="ED102" s="150">
        <v>20.2</v>
      </c>
      <c r="EE102" s="150">
        <v>20.399999999999999</v>
      </c>
      <c r="EF102" s="150">
        <v>20.6</v>
      </c>
      <c r="EG102" s="150">
        <v>20.799999999999951</v>
      </c>
      <c r="EH102" s="150">
        <v>21</v>
      </c>
      <c r="EI102" s="150">
        <v>21.19999999999995</v>
      </c>
      <c r="EJ102" s="150">
        <v>21.4</v>
      </c>
      <c r="EK102" s="150">
        <v>21.599999999999948</v>
      </c>
    </row>
    <row r="103" spans="1:141" ht="13.2" x14ac:dyDescent="0.25">
      <c r="A103" s="149">
        <v>39783</v>
      </c>
      <c r="B103" s="219">
        <v>-1.7785964148750009</v>
      </c>
      <c r="C103" s="219">
        <v>-1.7482952255625008</v>
      </c>
      <c r="D103" s="219">
        <v>-1.7179940362500008</v>
      </c>
      <c r="E103" s="219">
        <v>-1.6876928469375008</v>
      </c>
      <c r="F103" s="219">
        <v>-1.6573916576250007</v>
      </c>
      <c r="G103" s="219">
        <v>-1.6270904683125007</v>
      </c>
      <c r="H103" s="219">
        <v>-1.5967892790000007</v>
      </c>
      <c r="I103" s="219">
        <v>-1.5664880896875006</v>
      </c>
      <c r="J103" s="219">
        <v>-1.5361869003750006</v>
      </c>
      <c r="K103" s="219">
        <v>-1.5058857110625006</v>
      </c>
      <c r="L103" s="219">
        <v>-1.4755845217500005</v>
      </c>
      <c r="M103" s="219">
        <v>-1.4452833324375005</v>
      </c>
      <c r="N103" s="219">
        <v>-1.4149821431250005</v>
      </c>
      <c r="O103" s="219">
        <v>-1.3846809538125004</v>
      </c>
      <c r="P103" s="219">
        <v>-1.3543797645000004</v>
      </c>
      <c r="Q103" s="219">
        <v>-1.3240785751875004</v>
      </c>
      <c r="R103" s="219">
        <v>-1.2937773858750004</v>
      </c>
      <c r="S103" s="219">
        <v>-1.2634761965625003</v>
      </c>
      <c r="T103" s="219">
        <v>-1.2331750072500003</v>
      </c>
      <c r="U103" s="219">
        <v>-1.2028738179375003</v>
      </c>
      <c r="V103" s="220">
        <v>-1.1725726286250002</v>
      </c>
      <c r="W103" s="219">
        <v>-1.1422714393125002</v>
      </c>
      <c r="X103" s="220">
        <v>-1.1119702500000002</v>
      </c>
      <c r="Y103" s="219">
        <v>-1.0832351250000003</v>
      </c>
      <c r="Z103" s="220">
        <v>-1.0545000000000002</v>
      </c>
      <c r="AA103" s="219">
        <v>-1.0272500000000002</v>
      </c>
      <c r="AB103" s="221">
        <v>-1</v>
      </c>
      <c r="AC103" s="219">
        <v>-0.8</v>
      </c>
      <c r="AD103" s="221">
        <v>-0.6</v>
      </c>
      <c r="AE103" s="219">
        <v>-0.4</v>
      </c>
      <c r="AF103" s="219">
        <v>-0.2</v>
      </c>
      <c r="AG103" s="150">
        <v>0</v>
      </c>
      <c r="AH103" s="150">
        <v>0.2</v>
      </c>
      <c r="AI103" s="150">
        <v>0.4</v>
      </c>
      <c r="AJ103" s="150">
        <v>0.6</v>
      </c>
      <c r="AK103" s="150">
        <v>0.8</v>
      </c>
      <c r="AL103" s="150">
        <v>1</v>
      </c>
      <c r="AM103" s="150">
        <v>1.2</v>
      </c>
      <c r="AN103" s="150">
        <v>1.4</v>
      </c>
      <c r="AO103" s="150">
        <v>1.6</v>
      </c>
      <c r="AP103" s="150">
        <v>1.8</v>
      </c>
      <c r="AQ103" s="150">
        <v>2</v>
      </c>
      <c r="AR103" s="150">
        <v>2.2000000000000002</v>
      </c>
      <c r="AS103" s="150">
        <v>2.4</v>
      </c>
      <c r="AT103" s="150">
        <v>2.6</v>
      </c>
      <c r="AU103" s="150">
        <v>2.8</v>
      </c>
      <c r="AV103" s="150">
        <v>3</v>
      </c>
      <c r="AW103" s="150">
        <v>3.2</v>
      </c>
      <c r="AX103" s="150">
        <v>3.4</v>
      </c>
      <c r="AY103" s="150">
        <v>3.6</v>
      </c>
      <c r="AZ103" s="150">
        <v>3.8</v>
      </c>
      <c r="BA103" s="150">
        <v>4</v>
      </c>
      <c r="BB103" s="150">
        <v>4.2</v>
      </c>
      <c r="BC103" s="150">
        <v>4.4000000000000004</v>
      </c>
      <c r="BD103" s="150">
        <v>4.5999999999999996</v>
      </c>
      <c r="BE103" s="150">
        <v>4.8</v>
      </c>
      <c r="BF103" s="150">
        <v>5</v>
      </c>
      <c r="BG103" s="150">
        <v>5.2</v>
      </c>
      <c r="BH103" s="150">
        <v>5.4</v>
      </c>
      <c r="BI103" s="150">
        <v>5.6</v>
      </c>
      <c r="BJ103" s="150">
        <v>5.8</v>
      </c>
      <c r="BK103" s="150">
        <v>6</v>
      </c>
      <c r="BL103" s="150">
        <v>6.2</v>
      </c>
      <c r="BM103" s="150">
        <v>6.4</v>
      </c>
      <c r="BN103" s="150">
        <v>6.6</v>
      </c>
      <c r="BO103" s="150">
        <v>6.8</v>
      </c>
      <c r="BP103" s="150">
        <v>7</v>
      </c>
      <c r="BQ103" s="150">
        <v>7.2</v>
      </c>
      <c r="BR103" s="150">
        <v>7.4</v>
      </c>
      <c r="BS103" s="150">
        <v>7.6</v>
      </c>
      <c r="BT103" s="150">
        <v>7.8</v>
      </c>
      <c r="BU103" s="150">
        <v>8</v>
      </c>
      <c r="BV103" s="150">
        <v>8.1999999999999993</v>
      </c>
      <c r="BW103" s="150">
        <v>8.4</v>
      </c>
      <c r="BX103" s="150">
        <v>8.6</v>
      </c>
      <c r="BY103" s="150">
        <v>8.7999999999999936</v>
      </c>
      <c r="BZ103" s="150">
        <v>9</v>
      </c>
      <c r="CA103" s="150">
        <v>9.1999999999999922</v>
      </c>
      <c r="CB103" s="150">
        <v>9.4</v>
      </c>
      <c r="CC103" s="150">
        <v>9.5999999999999908</v>
      </c>
      <c r="CD103" s="150">
        <v>9.8000000000000007</v>
      </c>
      <c r="CE103" s="150">
        <v>9.9999999999999893</v>
      </c>
      <c r="CF103" s="150">
        <v>10.199999999999999</v>
      </c>
      <c r="CG103" s="150">
        <v>10.4</v>
      </c>
      <c r="CH103" s="150">
        <v>10.6</v>
      </c>
      <c r="CI103" s="150">
        <v>10.8</v>
      </c>
      <c r="CJ103" s="150">
        <v>11</v>
      </c>
      <c r="CK103" s="150">
        <v>11.2</v>
      </c>
      <c r="CL103" s="150">
        <v>11.4</v>
      </c>
      <c r="CM103" s="150">
        <v>11.6</v>
      </c>
      <c r="CN103" s="150">
        <v>11.8</v>
      </c>
      <c r="CO103" s="150">
        <v>12</v>
      </c>
      <c r="CP103" s="150">
        <v>12.2</v>
      </c>
      <c r="CQ103" s="150">
        <v>12.4</v>
      </c>
      <c r="CR103" s="150">
        <v>12.6</v>
      </c>
      <c r="CS103" s="150">
        <v>12.8</v>
      </c>
      <c r="CT103" s="150">
        <v>13</v>
      </c>
      <c r="CU103" s="150">
        <v>13.2</v>
      </c>
      <c r="CV103" s="150">
        <v>13.4</v>
      </c>
      <c r="CW103" s="150">
        <v>13.6</v>
      </c>
      <c r="CX103" s="150">
        <v>13.8</v>
      </c>
      <c r="CY103" s="150">
        <v>14</v>
      </c>
      <c r="CZ103" s="150">
        <v>14.2</v>
      </c>
      <c r="DA103" s="150">
        <v>14.4</v>
      </c>
      <c r="DB103" s="150">
        <v>14.6</v>
      </c>
      <c r="DC103" s="150">
        <v>14.8</v>
      </c>
      <c r="DD103" s="150">
        <v>15</v>
      </c>
      <c r="DE103" s="150">
        <v>15.2</v>
      </c>
      <c r="DF103" s="150">
        <v>15.4</v>
      </c>
      <c r="DG103" s="150">
        <v>15.6</v>
      </c>
      <c r="DH103" s="150">
        <v>15.8</v>
      </c>
      <c r="DI103" s="150">
        <v>16</v>
      </c>
      <c r="DJ103" s="150">
        <v>16.2</v>
      </c>
      <c r="DK103" s="150">
        <v>16.399999999999999</v>
      </c>
      <c r="DL103" s="150">
        <v>16.600000000000001</v>
      </c>
      <c r="DM103" s="150">
        <v>16.8</v>
      </c>
      <c r="DN103" s="150">
        <v>17</v>
      </c>
      <c r="DO103" s="150">
        <v>17.2</v>
      </c>
      <c r="DP103" s="150">
        <v>17.399999999999999</v>
      </c>
      <c r="DQ103" s="150">
        <v>17.600000000000001</v>
      </c>
      <c r="DR103" s="150">
        <v>17.8</v>
      </c>
      <c r="DS103" s="150">
        <v>18</v>
      </c>
      <c r="DT103" s="150">
        <v>18.2</v>
      </c>
      <c r="DU103" s="150">
        <v>18.399999999999999</v>
      </c>
      <c r="DV103" s="150">
        <v>18.600000000000001</v>
      </c>
      <c r="DW103" s="150">
        <v>18.8</v>
      </c>
      <c r="DX103" s="150">
        <v>19</v>
      </c>
      <c r="DY103" s="150">
        <v>19.2</v>
      </c>
      <c r="DZ103" s="150">
        <v>19.399999999999999</v>
      </c>
      <c r="EA103" s="150">
        <v>19.600000000000001</v>
      </c>
      <c r="EB103" s="150">
        <v>19.8</v>
      </c>
      <c r="EC103" s="150">
        <v>20</v>
      </c>
      <c r="ED103" s="150">
        <v>20.2</v>
      </c>
      <c r="EE103" s="150">
        <v>20.399999999999999</v>
      </c>
      <c r="EF103" s="150">
        <v>20.6</v>
      </c>
      <c r="EG103" s="150">
        <v>20.799999999999951</v>
      </c>
      <c r="EH103" s="150">
        <v>21</v>
      </c>
      <c r="EI103" s="150">
        <v>21.19999999999995</v>
      </c>
      <c r="EJ103" s="150">
        <v>21.4</v>
      </c>
      <c r="EK103" s="150">
        <v>21.599999999999948</v>
      </c>
    </row>
    <row r="104" spans="1:141" ht="13.2" x14ac:dyDescent="0.25">
      <c r="A104" s="149">
        <v>39814</v>
      </c>
      <c r="B104" s="219">
        <v>-1.7785964148750009</v>
      </c>
      <c r="C104" s="219">
        <v>-1.7482952255625008</v>
      </c>
      <c r="D104" s="219">
        <v>-1.7179940362500008</v>
      </c>
      <c r="E104" s="219">
        <v>-1.6876928469375008</v>
      </c>
      <c r="F104" s="219">
        <v>-1.6573916576250007</v>
      </c>
      <c r="G104" s="219">
        <v>-1.6270904683125007</v>
      </c>
      <c r="H104" s="219">
        <v>-1.5967892790000007</v>
      </c>
      <c r="I104" s="219">
        <v>-1.5664880896875006</v>
      </c>
      <c r="J104" s="219">
        <v>-1.5361869003750006</v>
      </c>
      <c r="K104" s="219">
        <v>-1.5058857110625006</v>
      </c>
      <c r="L104" s="219">
        <v>-1.4755845217500005</v>
      </c>
      <c r="M104" s="219">
        <v>-1.4452833324375005</v>
      </c>
      <c r="N104" s="219">
        <v>-1.4149821431250005</v>
      </c>
      <c r="O104" s="219">
        <v>-1.3846809538125004</v>
      </c>
      <c r="P104" s="219">
        <v>-1.3543797645000004</v>
      </c>
      <c r="Q104" s="219">
        <v>-1.3240785751875004</v>
      </c>
      <c r="R104" s="219">
        <v>-1.2937773858750004</v>
      </c>
      <c r="S104" s="219">
        <v>-1.2634761965625003</v>
      </c>
      <c r="T104" s="219">
        <v>-1.2331750072500003</v>
      </c>
      <c r="U104" s="219">
        <v>-1.2028738179375003</v>
      </c>
      <c r="V104" s="220">
        <v>-1.1725726286250002</v>
      </c>
      <c r="W104" s="219">
        <v>-1.1422714393125002</v>
      </c>
      <c r="X104" s="220">
        <v>-1.1119702500000002</v>
      </c>
      <c r="Y104" s="219">
        <v>-1.0832351250000003</v>
      </c>
      <c r="Z104" s="220">
        <v>-1.0545000000000002</v>
      </c>
      <c r="AA104" s="219">
        <v>-1.0272500000000002</v>
      </c>
      <c r="AB104" s="221">
        <v>-1</v>
      </c>
      <c r="AC104" s="219">
        <v>-0.8</v>
      </c>
      <c r="AD104" s="221">
        <v>-0.6</v>
      </c>
      <c r="AE104" s="219">
        <v>-0.4</v>
      </c>
      <c r="AF104" s="219">
        <v>-0.2</v>
      </c>
      <c r="AG104" s="150">
        <v>0</v>
      </c>
      <c r="AH104" s="150">
        <v>0.2</v>
      </c>
      <c r="AI104" s="150">
        <v>0.4</v>
      </c>
      <c r="AJ104" s="150">
        <v>0.6</v>
      </c>
      <c r="AK104" s="150">
        <v>0.8</v>
      </c>
      <c r="AL104" s="150">
        <v>1</v>
      </c>
      <c r="AM104" s="150">
        <v>1.2</v>
      </c>
      <c r="AN104" s="150">
        <v>1.4</v>
      </c>
      <c r="AO104" s="150">
        <v>1.6</v>
      </c>
      <c r="AP104" s="150">
        <v>1.8</v>
      </c>
      <c r="AQ104" s="150">
        <v>2</v>
      </c>
      <c r="AR104" s="150">
        <v>2.2000000000000002</v>
      </c>
      <c r="AS104" s="150">
        <v>2.4</v>
      </c>
      <c r="AT104" s="150">
        <v>2.6</v>
      </c>
      <c r="AU104" s="150">
        <v>2.8</v>
      </c>
      <c r="AV104" s="150">
        <v>3</v>
      </c>
      <c r="AW104" s="150">
        <v>3.2</v>
      </c>
      <c r="AX104" s="150">
        <v>3.4</v>
      </c>
      <c r="AY104" s="150">
        <v>3.6</v>
      </c>
      <c r="AZ104" s="150">
        <v>3.8</v>
      </c>
      <c r="BA104" s="150">
        <v>4</v>
      </c>
      <c r="BB104" s="150">
        <v>4.2</v>
      </c>
      <c r="BC104" s="150">
        <v>4.4000000000000004</v>
      </c>
      <c r="BD104" s="150">
        <v>4.5999999999999996</v>
      </c>
      <c r="BE104" s="150">
        <v>4.8</v>
      </c>
      <c r="BF104" s="150">
        <v>5</v>
      </c>
      <c r="BG104" s="150">
        <v>5.2</v>
      </c>
      <c r="BH104" s="150">
        <v>5.4</v>
      </c>
      <c r="BI104" s="150">
        <v>5.6</v>
      </c>
      <c r="BJ104" s="150">
        <v>5.8</v>
      </c>
      <c r="BK104" s="150">
        <v>6</v>
      </c>
      <c r="BL104" s="150">
        <v>6.2</v>
      </c>
      <c r="BM104" s="150">
        <v>6.4</v>
      </c>
      <c r="BN104" s="150">
        <v>6.6</v>
      </c>
      <c r="BO104" s="150">
        <v>6.8</v>
      </c>
      <c r="BP104" s="150">
        <v>7</v>
      </c>
      <c r="BQ104" s="150">
        <v>7.2</v>
      </c>
      <c r="BR104" s="150">
        <v>7.4</v>
      </c>
      <c r="BS104" s="150">
        <v>7.6</v>
      </c>
      <c r="BT104" s="150">
        <v>7.8</v>
      </c>
      <c r="BU104" s="150">
        <v>8</v>
      </c>
      <c r="BV104" s="150">
        <v>8.1999999999999993</v>
      </c>
      <c r="BW104" s="150">
        <v>8.4</v>
      </c>
      <c r="BX104" s="150">
        <v>8.6</v>
      </c>
      <c r="BY104" s="150">
        <v>8.7999999999999936</v>
      </c>
      <c r="BZ104" s="150">
        <v>9</v>
      </c>
      <c r="CA104" s="150">
        <v>9.1999999999999922</v>
      </c>
      <c r="CB104" s="150">
        <v>9.4</v>
      </c>
      <c r="CC104" s="150">
        <v>9.5999999999999908</v>
      </c>
      <c r="CD104" s="150">
        <v>9.8000000000000007</v>
      </c>
      <c r="CE104" s="150">
        <v>9.9999999999999893</v>
      </c>
      <c r="CF104" s="150">
        <v>10.199999999999999</v>
      </c>
      <c r="CG104" s="150">
        <v>10.4</v>
      </c>
      <c r="CH104" s="150">
        <v>10.6</v>
      </c>
      <c r="CI104" s="150">
        <v>10.8</v>
      </c>
      <c r="CJ104" s="150">
        <v>11</v>
      </c>
      <c r="CK104" s="150">
        <v>11.2</v>
      </c>
      <c r="CL104" s="150">
        <v>11.4</v>
      </c>
      <c r="CM104" s="150">
        <v>11.6</v>
      </c>
      <c r="CN104" s="150">
        <v>11.8</v>
      </c>
      <c r="CO104" s="150">
        <v>12</v>
      </c>
      <c r="CP104" s="150">
        <v>12.2</v>
      </c>
      <c r="CQ104" s="150">
        <v>12.4</v>
      </c>
      <c r="CR104" s="150">
        <v>12.6</v>
      </c>
      <c r="CS104" s="150">
        <v>12.8</v>
      </c>
      <c r="CT104" s="150">
        <v>13</v>
      </c>
      <c r="CU104" s="150">
        <v>13.2</v>
      </c>
      <c r="CV104" s="150">
        <v>13.4</v>
      </c>
      <c r="CW104" s="150">
        <v>13.6</v>
      </c>
      <c r="CX104" s="150">
        <v>13.8</v>
      </c>
      <c r="CY104" s="150">
        <v>14</v>
      </c>
      <c r="CZ104" s="150">
        <v>14.2</v>
      </c>
      <c r="DA104" s="150">
        <v>14.4</v>
      </c>
      <c r="DB104" s="150">
        <v>14.6</v>
      </c>
      <c r="DC104" s="150">
        <v>14.8</v>
      </c>
      <c r="DD104" s="150">
        <v>15</v>
      </c>
      <c r="DE104" s="150">
        <v>15.2</v>
      </c>
      <c r="DF104" s="150">
        <v>15.4</v>
      </c>
      <c r="DG104" s="150">
        <v>15.6</v>
      </c>
      <c r="DH104" s="150">
        <v>15.8</v>
      </c>
      <c r="DI104" s="150">
        <v>16</v>
      </c>
      <c r="DJ104" s="150">
        <v>16.2</v>
      </c>
      <c r="DK104" s="150">
        <v>16.399999999999999</v>
      </c>
      <c r="DL104" s="150">
        <v>16.600000000000001</v>
      </c>
      <c r="DM104" s="150">
        <v>16.8</v>
      </c>
      <c r="DN104" s="150">
        <v>17</v>
      </c>
      <c r="DO104" s="150">
        <v>17.2</v>
      </c>
      <c r="DP104" s="150">
        <v>17.399999999999999</v>
      </c>
      <c r="DQ104" s="150">
        <v>17.600000000000001</v>
      </c>
      <c r="DR104" s="150">
        <v>17.8</v>
      </c>
      <c r="DS104" s="150">
        <v>18</v>
      </c>
      <c r="DT104" s="150">
        <v>18.2</v>
      </c>
      <c r="DU104" s="150">
        <v>18.399999999999999</v>
      </c>
      <c r="DV104" s="150">
        <v>18.600000000000001</v>
      </c>
      <c r="DW104" s="150">
        <v>18.8</v>
      </c>
      <c r="DX104" s="150">
        <v>19</v>
      </c>
      <c r="DY104" s="150">
        <v>19.2</v>
      </c>
      <c r="DZ104" s="150">
        <v>19.399999999999999</v>
      </c>
      <c r="EA104" s="150">
        <v>19.600000000000001</v>
      </c>
      <c r="EB104" s="150">
        <v>19.8</v>
      </c>
      <c r="EC104" s="150">
        <v>20</v>
      </c>
      <c r="ED104" s="150">
        <v>20.2</v>
      </c>
      <c r="EE104" s="150">
        <v>20.399999999999999</v>
      </c>
      <c r="EF104" s="150">
        <v>20.6</v>
      </c>
      <c r="EG104" s="150">
        <v>20.799999999999951</v>
      </c>
      <c r="EH104" s="150">
        <v>21</v>
      </c>
      <c r="EI104" s="150">
        <v>21.19999999999995</v>
      </c>
      <c r="EJ104" s="150">
        <v>21.4</v>
      </c>
      <c r="EK104" s="150">
        <v>21.599999999999948</v>
      </c>
    </row>
    <row r="105" spans="1:141" ht="13.2" x14ac:dyDescent="0.25">
      <c r="A105" s="149">
        <v>39845</v>
      </c>
      <c r="B105" s="219">
        <v>-1.7785964148750009</v>
      </c>
      <c r="C105" s="219">
        <v>-1.7482952255625008</v>
      </c>
      <c r="D105" s="219">
        <v>-1.7179940362500008</v>
      </c>
      <c r="E105" s="219">
        <v>-1.6876928469375008</v>
      </c>
      <c r="F105" s="219">
        <v>-1.6573916576250007</v>
      </c>
      <c r="G105" s="219">
        <v>-1.6270904683125007</v>
      </c>
      <c r="H105" s="219">
        <v>-1.5967892790000007</v>
      </c>
      <c r="I105" s="219">
        <v>-1.5664880896875006</v>
      </c>
      <c r="J105" s="219">
        <v>-1.5361869003750006</v>
      </c>
      <c r="K105" s="219">
        <v>-1.5058857110625006</v>
      </c>
      <c r="L105" s="219">
        <v>-1.4755845217500005</v>
      </c>
      <c r="M105" s="219">
        <v>-1.4452833324375005</v>
      </c>
      <c r="N105" s="219">
        <v>-1.4149821431250005</v>
      </c>
      <c r="O105" s="219">
        <v>-1.3846809538125004</v>
      </c>
      <c r="P105" s="219">
        <v>-1.3543797645000004</v>
      </c>
      <c r="Q105" s="219">
        <v>-1.3240785751875004</v>
      </c>
      <c r="R105" s="219">
        <v>-1.2937773858750004</v>
      </c>
      <c r="S105" s="219">
        <v>-1.2634761965625003</v>
      </c>
      <c r="T105" s="219">
        <v>-1.2331750072500003</v>
      </c>
      <c r="U105" s="219">
        <v>-1.2028738179375003</v>
      </c>
      <c r="V105" s="220">
        <v>-1.1725726286250002</v>
      </c>
      <c r="W105" s="219">
        <v>-1.1422714393125002</v>
      </c>
      <c r="X105" s="220">
        <v>-1.1119702500000002</v>
      </c>
      <c r="Y105" s="219">
        <v>-1.0832351250000003</v>
      </c>
      <c r="Z105" s="220">
        <v>-1.0545000000000002</v>
      </c>
      <c r="AA105" s="219">
        <v>-1.0272500000000002</v>
      </c>
      <c r="AB105" s="221">
        <v>-1</v>
      </c>
      <c r="AC105" s="219">
        <v>-0.8</v>
      </c>
      <c r="AD105" s="221">
        <v>-0.6</v>
      </c>
      <c r="AE105" s="219">
        <v>-0.4</v>
      </c>
      <c r="AF105" s="219">
        <v>-0.2</v>
      </c>
      <c r="AG105" s="150">
        <v>0</v>
      </c>
      <c r="AH105" s="150">
        <v>0.2</v>
      </c>
      <c r="AI105" s="150">
        <v>0.4</v>
      </c>
      <c r="AJ105" s="150">
        <v>0.6</v>
      </c>
      <c r="AK105" s="150">
        <v>0.8</v>
      </c>
      <c r="AL105" s="150">
        <v>1</v>
      </c>
      <c r="AM105" s="150">
        <v>1.2</v>
      </c>
      <c r="AN105" s="150">
        <v>1.4</v>
      </c>
      <c r="AO105" s="150">
        <v>1.6</v>
      </c>
      <c r="AP105" s="150">
        <v>1.8</v>
      </c>
      <c r="AQ105" s="150">
        <v>2</v>
      </c>
      <c r="AR105" s="150">
        <v>2.2000000000000002</v>
      </c>
      <c r="AS105" s="150">
        <v>2.4</v>
      </c>
      <c r="AT105" s="150">
        <v>2.6</v>
      </c>
      <c r="AU105" s="150">
        <v>2.8</v>
      </c>
      <c r="AV105" s="150">
        <v>3</v>
      </c>
      <c r="AW105" s="150">
        <v>3.2</v>
      </c>
      <c r="AX105" s="150">
        <v>3.4</v>
      </c>
      <c r="AY105" s="150">
        <v>3.6</v>
      </c>
      <c r="AZ105" s="150">
        <v>3.8</v>
      </c>
      <c r="BA105" s="150">
        <v>4</v>
      </c>
      <c r="BB105" s="150">
        <v>4.2</v>
      </c>
      <c r="BC105" s="150">
        <v>4.4000000000000004</v>
      </c>
      <c r="BD105" s="150">
        <v>4.5999999999999996</v>
      </c>
      <c r="BE105" s="150">
        <v>4.8</v>
      </c>
      <c r="BF105" s="150">
        <v>5</v>
      </c>
      <c r="BG105" s="150">
        <v>5.2</v>
      </c>
      <c r="BH105" s="150">
        <v>5.4</v>
      </c>
      <c r="BI105" s="150">
        <v>5.6</v>
      </c>
      <c r="BJ105" s="150">
        <v>5.8</v>
      </c>
      <c r="BK105" s="150">
        <v>6</v>
      </c>
      <c r="BL105" s="150">
        <v>6.2</v>
      </c>
      <c r="BM105" s="150">
        <v>6.4</v>
      </c>
      <c r="BN105" s="150">
        <v>6.6</v>
      </c>
      <c r="BO105" s="150">
        <v>6.8</v>
      </c>
      <c r="BP105" s="150">
        <v>7</v>
      </c>
      <c r="BQ105" s="150">
        <v>7.2</v>
      </c>
      <c r="BR105" s="150">
        <v>7.4</v>
      </c>
      <c r="BS105" s="150">
        <v>7.6</v>
      </c>
      <c r="BT105" s="150">
        <v>7.8</v>
      </c>
      <c r="BU105" s="150">
        <v>8</v>
      </c>
      <c r="BV105" s="150">
        <v>8.1999999999999993</v>
      </c>
      <c r="BW105" s="150">
        <v>8.4</v>
      </c>
      <c r="BX105" s="150">
        <v>8.6</v>
      </c>
      <c r="BY105" s="150">
        <v>8.7999999999999936</v>
      </c>
      <c r="BZ105" s="150">
        <v>9</v>
      </c>
      <c r="CA105" s="150">
        <v>9.1999999999999922</v>
      </c>
      <c r="CB105" s="150">
        <v>9.4</v>
      </c>
      <c r="CC105" s="150">
        <v>9.5999999999999908</v>
      </c>
      <c r="CD105" s="150">
        <v>9.8000000000000007</v>
      </c>
      <c r="CE105" s="150">
        <v>9.9999999999999893</v>
      </c>
      <c r="CF105" s="150">
        <v>10.199999999999999</v>
      </c>
      <c r="CG105" s="150">
        <v>10.4</v>
      </c>
      <c r="CH105" s="150">
        <v>10.6</v>
      </c>
      <c r="CI105" s="150">
        <v>10.8</v>
      </c>
      <c r="CJ105" s="150">
        <v>11</v>
      </c>
      <c r="CK105" s="150">
        <v>11.2</v>
      </c>
      <c r="CL105" s="150">
        <v>11.4</v>
      </c>
      <c r="CM105" s="150">
        <v>11.6</v>
      </c>
      <c r="CN105" s="150">
        <v>11.8</v>
      </c>
      <c r="CO105" s="150">
        <v>12</v>
      </c>
      <c r="CP105" s="150">
        <v>12.2</v>
      </c>
      <c r="CQ105" s="150">
        <v>12.4</v>
      </c>
      <c r="CR105" s="150">
        <v>12.6</v>
      </c>
      <c r="CS105" s="150">
        <v>12.8</v>
      </c>
      <c r="CT105" s="150">
        <v>13</v>
      </c>
      <c r="CU105" s="150">
        <v>13.2</v>
      </c>
      <c r="CV105" s="150">
        <v>13.4</v>
      </c>
      <c r="CW105" s="150">
        <v>13.6</v>
      </c>
      <c r="CX105" s="150">
        <v>13.8</v>
      </c>
      <c r="CY105" s="150">
        <v>14</v>
      </c>
      <c r="CZ105" s="150">
        <v>14.2</v>
      </c>
      <c r="DA105" s="150">
        <v>14.4</v>
      </c>
      <c r="DB105" s="150">
        <v>14.6</v>
      </c>
      <c r="DC105" s="150">
        <v>14.8</v>
      </c>
      <c r="DD105" s="150">
        <v>15</v>
      </c>
      <c r="DE105" s="150">
        <v>15.2</v>
      </c>
      <c r="DF105" s="150">
        <v>15.4</v>
      </c>
      <c r="DG105" s="150">
        <v>15.6</v>
      </c>
      <c r="DH105" s="150">
        <v>15.8</v>
      </c>
      <c r="DI105" s="150">
        <v>16</v>
      </c>
      <c r="DJ105" s="150">
        <v>16.2</v>
      </c>
      <c r="DK105" s="150">
        <v>16.399999999999999</v>
      </c>
      <c r="DL105" s="150">
        <v>16.600000000000001</v>
      </c>
      <c r="DM105" s="150">
        <v>16.8</v>
      </c>
      <c r="DN105" s="150">
        <v>17</v>
      </c>
      <c r="DO105" s="150">
        <v>17.2</v>
      </c>
      <c r="DP105" s="150">
        <v>17.399999999999999</v>
      </c>
      <c r="DQ105" s="150">
        <v>17.600000000000001</v>
      </c>
      <c r="DR105" s="150">
        <v>17.8</v>
      </c>
      <c r="DS105" s="150">
        <v>18</v>
      </c>
      <c r="DT105" s="150">
        <v>18.2</v>
      </c>
      <c r="DU105" s="150">
        <v>18.399999999999999</v>
      </c>
      <c r="DV105" s="150">
        <v>18.600000000000001</v>
      </c>
      <c r="DW105" s="150">
        <v>18.8</v>
      </c>
      <c r="DX105" s="150">
        <v>19</v>
      </c>
      <c r="DY105" s="150">
        <v>19.2</v>
      </c>
      <c r="DZ105" s="150">
        <v>19.399999999999999</v>
      </c>
      <c r="EA105" s="150">
        <v>19.600000000000001</v>
      </c>
      <c r="EB105" s="150">
        <v>19.8</v>
      </c>
      <c r="EC105" s="150">
        <v>20</v>
      </c>
      <c r="ED105" s="150">
        <v>20.2</v>
      </c>
      <c r="EE105" s="150">
        <v>20.399999999999999</v>
      </c>
      <c r="EF105" s="150">
        <v>20.6</v>
      </c>
      <c r="EG105" s="150">
        <v>20.799999999999951</v>
      </c>
      <c r="EH105" s="150">
        <v>21</v>
      </c>
      <c r="EI105" s="150">
        <v>21.19999999999995</v>
      </c>
      <c r="EJ105" s="150">
        <v>21.4</v>
      </c>
      <c r="EK105" s="150">
        <v>21.599999999999948</v>
      </c>
    </row>
    <row r="106" spans="1:141" ht="13.2" x14ac:dyDescent="0.25">
      <c r="A106" s="149">
        <v>39873</v>
      </c>
      <c r="B106" s="219">
        <v>-1.7785964148750009</v>
      </c>
      <c r="C106" s="219">
        <v>-1.7482952255625008</v>
      </c>
      <c r="D106" s="219">
        <v>-1.7179940362500008</v>
      </c>
      <c r="E106" s="219">
        <v>-1.6876928469375008</v>
      </c>
      <c r="F106" s="219">
        <v>-1.6573916576250007</v>
      </c>
      <c r="G106" s="219">
        <v>-1.6270904683125007</v>
      </c>
      <c r="H106" s="219">
        <v>-1.5967892790000007</v>
      </c>
      <c r="I106" s="219">
        <v>-1.5664880896875006</v>
      </c>
      <c r="J106" s="219">
        <v>-1.5361869003750006</v>
      </c>
      <c r="K106" s="219">
        <v>-1.5058857110625006</v>
      </c>
      <c r="L106" s="219">
        <v>-1.4755845217500005</v>
      </c>
      <c r="M106" s="219">
        <v>-1.4452833324375005</v>
      </c>
      <c r="N106" s="219">
        <v>-1.4149821431250005</v>
      </c>
      <c r="O106" s="219">
        <v>-1.3846809538125004</v>
      </c>
      <c r="P106" s="219">
        <v>-1.3543797645000004</v>
      </c>
      <c r="Q106" s="219">
        <v>-1.3240785751875004</v>
      </c>
      <c r="R106" s="219">
        <v>-1.2937773858750004</v>
      </c>
      <c r="S106" s="219">
        <v>-1.2634761965625003</v>
      </c>
      <c r="T106" s="219">
        <v>-1.2331750072500003</v>
      </c>
      <c r="U106" s="219">
        <v>-1.2028738179375003</v>
      </c>
      <c r="V106" s="220">
        <v>-1.1725726286250002</v>
      </c>
      <c r="W106" s="219">
        <v>-1.1422714393125002</v>
      </c>
      <c r="X106" s="220">
        <v>-1.1119702500000002</v>
      </c>
      <c r="Y106" s="219">
        <v>-1.0832351250000003</v>
      </c>
      <c r="Z106" s="220">
        <v>-1.0545000000000002</v>
      </c>
      <c r="AA106" s="219">
        <v>-1.0272500000000002</v>
      </c>
      <c r="AB106" s="221">
        <v>-1</v>
      </c>
      <c r="AC106" s="219">
        <v>-0.8</v>
      </c>
      <c r="AD106" s="221">
        <v>-0.6</v>
      </c>
      <c r="AE106" s="219">
        <v>-0.4</v>
      </c>
      <c r="AF106" s="219">
        <v>-0.2</v>
      </c>
      <c r="AG106" s="150">
        <v>0</v>
      </c>
      <c r="AH106" s="150">
        <v>0.2</v>
      </c>
      <c r="AI106" s="150">
        <v>0.4</v>
      </c>
      <c r="AJ106" s="150">
        <v>0.6</v>
      </c>
      <c r="AK106" s="150">
        <v>0.8</v>
      </c>
      <c r="AL106" s="150">
        <v>1</v>
      </c>
      <c r="AM106" s="150">
        <v>1.2</v>
      </c>
      <c r="AN106" s="150">
        <v>1.4</v>
      </c>
      <c r="AO106" s="150">
        <v>1.6</v>
      </c>
      <c r="AP106" s="150">
        <v>1.8</v>
      </c>
      <c r="AQ106" s="150">
        <v>2</v>
      </c>
      <c r="AR106" s="150">
        <v>2.2000000000000002</v>
      </c>
      <c r="AS106" s="150">
        <v>2.4</v>
      </c>
      <c r="AT106" s="150">
        <v>2.6</v>
      </c>
      <c r="AU106" s="150">
        <v>2.8</v>
      </c>
      <c r="AV106" s="150">
        <v>3</v>
      </c>
      <c r="AW106" s="150">
        <v>3.2</v>
      </c>
      <c r="AX106" s="150">
        <v>3.4</v>
      </c>
      <c r="AY106" s="150">
        <v>3.6</v>
      </c>
      <c r="AZ106" s="150">
        <v>3.8</v>
      </c>
      <c r="BA106" s="150">
        <v>4</v>
      </c>
      <c r="BB106" s="150">
        <v>4.2</v>
      </c>
      <c r="BC106" s="150">
        <v>4.4000000000000004</v>
      </c>
      <c r="BD106" s="150">
        <v>4.5999999999999996</v>
      </c>
      <c r="BE106" s="150">
        <v>4.8</v>
      </c>
      <c r="BF106" s="150">
        <v>5</v>
      </c>
      <c r="BG106" s="150">
        <v>5.2</v>
      </c>
      <c r="BH106" s="150">
        <v>5.4</v>
      </c>
      <c r="BI106" s="150">
        <v>5.6</v>
      </c>
      <c r="BJ106" s="150">
        <v>5.8</v>
      </c>
      <c r="BK106" s="150">
        <v>6</v>
      </c>
      <c r="BL106" s="150">
        <v>6.2</v>
      </c>
      <c r="BM106" s="150">
        <v>6.4</v>
      </c>
      <c r="BN106" s="150">
        <v>6.6</v>
      </c>
      <c r="BO106" s="150">
        <v>6.8</v>
      </c>
      <c r="BP106" s="150">
        <v>7</v>
      </c>
      <c r="BQ106" s="150">
        <v>7.2</v>
      </c>
      <c r="BR106" s="150">
        <v>7.4</v>
      </c>
      <c r="BS106" s="150">
        <v>7.6</v>
      </c>
      <c r="BT106" s="150">
        <v>7.8</v>
      </c>
      <c r="BU106" s="150">
        <v>8</v>
      </c>
      <c r="BV106" s="150">
        <v>8.1999999999999993</v>
      </c>
      <c r="BW106" s="150">
        <v>8.4</v>
      </c>
      <c r="BX106" s="150">
        <v>8.6</v>
      </c>
      <c r="BY106" s="150">
        <v>8.7999999999999936</v>
      </c>
      <c r="BZ106" s="150">
        <v>9</v>
      </c>
      <c r="CA106" s="150">
        <v>9.1999999999999922</v>
      </c>
      <c r="CB106" s="150">
        <v>9.4</v>
      </c>
      <c r="CC106" s="150">
        <v>9.5999999999999908</v>
      </c>
      <c r="CD106" s="150">
        <v>9.8000000000000007</v>
      </c>
      <c r="CE106" s="150">
        <v>9.9999999999999893</v>
      </c>
      <c r="CF106" s="150">
        <v>10.199999999999999</v>
      </c>
      <c r="CG106" s="150">
        <v>10.4</v>
      </c>
      <c r="CH106" s="150">
        <v>10.6</v>
      </c>
      <c r="CI106" s="150">
        <v>10.8</v>
      </c>
      <c r="CJ106" s="150">
        <v>11</v>
      </c>
      <c r="CK106" s="150">
        <v>11.2</v>
      </c>
      <c r="CL106" s="150">
        <v>11.4</v>
      </c>
      <c r="CM106" s="150">
        <v>11.6</v>
      </c>
      <c r="CN106" s="150">
        <v>11.8</v>
      </c>
      <c r="CO106" s="150">
        <v>12</v>
      </c>
      <c r="CP106" s="150">
        <v>12.2</v>
      </c>
      <c r="CQ106" s="150">
        <v>12.4</v>
      </c>
      <c r="CR106" s="150">
        <v>12.6</v>
      </c>
      <c r="CS106" s="150">
        <v>12.8</v>
      </c>
      <c r="CT106" s="150">
        <v>13</v>
      </c>
      <c r="CU106" s="150">
        <v>13.2</v>
      </c>
      <c r="CV106" s="150">
        <v>13.4</v>
      </c>
      <c r="CW106" s="150">
        <v>13.6</v>
      </c>
      <c r="CX106" s="150">
        <v>13.8</v>
      </c>
      <c r="CY106" s="150">
        <v>14</v>
      </c>
      <c r="CZ106" s="150">
        <v>14.2</v>
      </c>
      <c r="DA106" s="150">
        <v>14.4</v>
      </c>
      <c r="DB106" s="150">
        <v>14.6</v>
      </c>
      <c r="DC106" s="150">
        <v>14.8</v>
      </c>
      <c r="DD106" s="150">
        <v>15</v>
      </c>
      <c r="DE106" s="150">
        <v>15.2</v>
      </c>
      <c r="DF106" s="150">
        <v>15.4</v>
      </c>
      <c r="DG106" s="150">
        <v>15.6</v>
      </c>
      <c r="DH106" s="150">
        <v>15.8</v>
      </c>
      <c r="DI106" s="150">
        <v>16</v>
      </c>
      <c r="DJ106" s="150">
        <v>16.2</v>
      </c>
      <c r="DK106" s="150">
        <v>16.399999999999999</v>
      </c>
      <c r="DL106" s="150">
        <v>16.600000000000001</v>
      </c>
      <c r="DM106" s="150">
        <v>16.8</v>
      </c>
      <c r="DN106" s="150">
        <v>17</v>
      </c>
      <c r="DO106" s="150">
        <v>17.2</v>
      </c>
      <c r="DP106" s="150">
        <v>17.399999999999999</v>
      </c>
      <c r="DQ106" s="150">
        <v>17.600000000000001</v>
      </c>
      <c r="DR106" s="150">
        <v>17.8</v>
      </c>
      <c r="DS106" s="150">
        <v>18</v>
      </c>
      <c r="DT106" s="150">
        <v>18.2</v>
      </c>
      <c r="DU106" s="150">
        <v>18.399999999999999</v>
      </c>
      <c r="DV106" s="150">
        <v>18.600000000000001</v>
      </c>
      <c r="DW106" s="150">
        <v>18.8</v>
      </c>
      <c r="DX106" s="150">
        <v>19</v>
      </c>
      <c r="DY106" s="150">
        <v>19.2</v>
      </c>
      <c r="DZ106" s="150">
        <v>19.399999999999999</v>
      </c>
      <c r="EA106" s="150">
        <v>19.600000000000001</v>
      </c>
      <c r="EB106" s="150">
        <v>19.8</v>
      </c>
      <c r="EC106" s="150">
        <v>20</v>
      </c>
      <c r="ED106" s="150">
        <v>20.2</v>
      </c>
      <c r="EE106" s="150">
        <v>20.399999999999999</v>
      </c>
      <c r="EF106" s="150">
        <v>20.6</v>
      </c>
      <c r="EG106" s="150">
        <v>20.799999999999951</v>
      </c>
      <c r="EH106" s="150">
        <v>21</v>
      </c>
      <c r="EI106" s="150">
        <v>21.19999999999995</v>
      </c>
      <c r="EJ106" s="150">
        <v>21.4</v>
      </c>
      <c r="EK106" s="150">
        <v>21.599999999999948</v>
      </c>
    </row>
    <row r="107" spans="1:141" ht="13.2" x14ac:dyDescent="0.25">
      <c r="A107" s="149">
        <v>39904</v>
      </c>
      <c r="B107" s="219">
        <v>-1.7785964148750009</v>
      </c>
      <c r="C107" s="219">
        <v>-1.7482952255625008</v>
      </c>
      <c r="D107" s="219">
        <v>-1.7179940362500008</v>
      </c>
      <c r="E107" s="219">
        <v>-1.6876928469375008</v>
      </c>
      <c r="F107" s="219">
        <v>-1.6573916576250007</v>
      </c>
      <c r="G107" s="219">
        <v>-1.6270904683125007</v>
      </c>
      <c r="H107" s="219">
        <v>-1.5967892790000007</v>
      </c>
      <c r="I107" s="219">
        <v>-1.5664880896875006</v>
      </c>
      <c r="J107" s="219">
        <v>-1.5361869003750006</v>
      </c>
      <c r="K107" s="219">
        <v>-1.5058857110625006</v>
      </c>
      <c r="L107" s="219">
        <v>-1.4755845217500005</v>
      </c>
      <c r="M107" s="219">
        <v>-1.4452833324375005</v>
      </c>
      <c r="N107" s="219">
        <v>-1.4149821431250005</v>
      </c>
      <c r="O107" s="219">
        <v>-1.3846809538125004</v>
      </c>
      <c r="P107" s="219">
        <v>-1.3543797645000004</v>
      </c>
      <c r="Q107" s="219">
        <v>-1.3240785751875004</v>
      </c>
      <c r="R107" s="219">
        <v>-1.2937773858750004</v>
      </c>
      <c r="S107" s="219">
        <v>-1.2634761965625003</v>
      </c>
      <c r="T107" s="219">
        <v>-1.2331750072500003</v>
      </c>
      <c r="U107" s="219">
        <v>-1.2028738179375003</v>
      </c>
      <c r="V107" s="220">
        <v>-1.1725726286250002</v>
      </c>
      <c r="W107" s="219">
        <v>-1.1422714393125002</v>
      </c>
      <c r="X107" s="220">
        <v>-1.1119702500000002</v>
      </c>
      <c r="Y107" s="219">
        <v>-1.0832351250000003</v>
      </c>
      <c r="Z107" s="220">
        <v>-1.0545000000000002</v>
      </c>
      <c r="AA107" s="219">
        <v>-1.0272500000000002</v>
      </c>
      <c r="AB107" s="221">
        <v>-1</v>
      </c>
      <c r="AC107" s="219">
        <v>-0.8</v>
      </c>
      <c r="AD107" s="221">
        <v>-0.6</v>
      </c>
      <c r="AE107" s="219">
        <v>-0.4</v>
      </c>
      <c r="AF107" s="219">
        <v>-0.2</v>
      </c>
      <c r="AG107" s="150">
        <v>0</v>
      </c>
      <c r="AH107" s="150">
        <v>0.2</v>
      </c>
      <c r="AI107" s="150">
        <v>0.4</v>
      </c>
      <c r="AJ107" s="150">
        <v>0.6</v>
      </c>
      <c r="AK107" s="150">
        <v>0.8</v>
      </c>
      <c r="AL107" s="150">
        <v>1</v>
      </c>
      <c r="AM107" s="150">
        <v>1.2</v>
      </c>
      <c r="AN107" s="150">
        <v>1.4</v>
      </c>
      <c r="AO107" s="150">
        <v>1.6</v>
      </c>
      <c r="AP107" s="150">
        <v>1.8</v>
      </c>
      <c r="AQ107" s="150">
        <v>2</v>
      </c>
      <c r="AR107" s="150">
        <v>2.2000000000000002</v>
      </c>
      <c r="AS107" s="150">
        <v>2.4</v>
      </c>
      <c r="AT107" s="150">
        <v>2.6</v>
      </c>
      <c r="AU107" s="150">
        <v>2.8</v>
      </c>
      <c r="AV107" s="150">
        <v>3</v>
      </c>
      <c r="AW107" s="150">
        <v>3.2</v>
      </c>
      <c r="AX107" s="150">
        <v>3.4</v>
      </c>
      <c r="AY107" s="150">
        <v>3.6</v>
      </c>
      <c r="AZ107" s="150">
        <v>3.8</v>
      </c>
      <c r="BA107" s="150">
        <v>4</v>
      </c>
      <c r="BB107" s="150">
        <v>4.2</v>
      </c>
      <c r="BC107" s="150">
        <v>4.4000000000000004</v>
      </c>
      <c r="BD107" s="150">
        <v>4.5999999999999996</v>
      </c>
      <c r="BE107" s="150">
        <v>4.8</v>
      </c>
      <c r="BF107" s="150">
        <v>5</v>
      </c>
      <c r="BG107" s="150">
        <v>5.2</v>
      </c>
      <c r="BH107" s="150">
        <v>5.4</v>
      </c>
      <c r="BI107" s="150">
        <v>5.6</v>
      </c>
      <c r="BJ107" s="150">
        <v>5.8</v>
      </c>
      <c r="BK107" s="150">
        <v>6</v>
      </c>
      <c r="BL107" s="150">
        <v>6.2</v>
      </c>
      <c r="BM107" s="150">
        <v>6.4</v>
      </c>
      <c r="BN107" s="150">
        <v>6.6</v>
      </c>
      <c r="BO107" s="150">
        <v>6.8</v>
      </c>
      <c r="BP107" s="150">
        <v>7</v>
      </c>
      <c r="BQ107" s="150">
        <v>7.2</v>
      </c>
      <c r="BR107" s="150">
        <v>7.4</v>
      </c>
      <c r="BS107" s="150">
        <v>7.6</v>
      </c>
      <c r="BT107" s="150">
        <v>7.8</v>
      </c>
      <c r="BU107" s="150">
        <v>8</v>
      </c>
      <c r="BV107" s="150">
        <v>8.1999999999999993</v>
      </c>
      <c r="BW107" s="150">
        <v>8.4</v>
      </c>
      <c r="BX107" s="150">
        <v>8.6</v>
      </c>
      <c r="BY107" s="150">
        <v>8.7999999999999936</v>
      </c>
      <c r="BZ107" s="150">
        <v>9</v>
      </c>
      <c r="CA107" s="150">
        <v>9.1999999999999922</v>
      </c>
      <c r="CB107" s="150">
        <v>9.4</v>
      </c>
      <c r="CC107" s="150">
        <v>9.5999999999999908</v>
      </c>
      <c r="CD107" s="150">
        <v>9.8000000000000007</v>
      </c>
      <c r="CE107" s="150">
        <v>9.9999999999999893</v>
      </c>
      <c r="CF107" s="150">
        <v>10.199999999999999</v>
      </c>
      <c r="CG107" s="150">
        <v>10.4</v>
      </c>
      <c r="CH107" s="150">
        <v>10.6</v>
      </c>
      <c r="CI107" s="150">
        <v>10.8</v>
      </c>
      <c r="CJ107" s="150">
        <v>11</v>
      </c>
      <c r="CK107" s="150">
        <v>11.2</v>
      </c>
      <c r="CL107" s="150">
        <v>11.4</v>
      </c>
      <c r="CM107" s="150">
        <v>11.6</v>
      </c>
      <c r="CN107" s="150">
        <v>11.8</v>
      </c>
      <c r="CO107" s="150">
        <v>12</v>
      </c>
      <c r="CP107" s="150">
        <v>12.2</v>
      </c>
      <c r="CQ107" s="150">
        <v>12.4</v>
      </c>
      <c r="CR107" s="150">
        <v>12.6</v>
      </c>
      <c r="CS107" s="150">
        <v>12.8</v>
      </c>
      <c r="CT107" s="150">
        <v>13</v>
      </c>
      <c r="CU107" s="150">
        <v>13.2</v>
      </c>
      <c r="CV107" s="150">
        <v>13.4</v>
      </c>
      <c r="CW107" s="150">
        <v>13.6</v>
      </c>
      <c r="CX107" s="150">
        <v>13.8</v>
      </c>
      <c r="CY107" s="150">
        <v>14</v>
      </c>
      <c r="CZ107" s="150">
        <v>14.2</v>
      </c>
      <c r="DA107" s="150">
        <v>14.4</v>
      </c>
      <c r="DB107" s="150">
        <v>14.6</v>
      </c>
      <c r="DC107" s="150">
        <v>14.8</v>
      </c>
      <c r="DD107" s="150">
        <v>15</v>
      </c>
      <c r="DE107" s="150">
        <v>15.2</v>
      </c>
      <c r="DF107" s="150">
        <v>15.4</v>
      </c>
      <c r="DG107" s="150">
        <v>15.6</v>
      </c>
      <c r="DH107" s="150">
        <v>15.8</v>
      </c>
      <c r="DI107" s="150">
        <v>16</v>
      </c>
      <c r="DJ107" s="150">
        <v>16.2</v>
      </c>
      <c r="DK107" s="150">
        <v>16.399999999999999</v>
      </c>
      <c r="DL107" s="150">
        <v>16.600000000000001</v>
      </c>
      <c r="DM107" s="150">
        <v>16.8</v>
      </c>
      <c r="DN107" s="150">
        <v>17</v>
      </c>
      <c r="DO107" s="150">
        <v>17.2</v>
      </c>
      <c r="DP107" s="150">
        <v>17.399999999999999</v>
      </c>
      <c r="DQ107" s="150">
        <v>17.600000000000001</v>
      </c>
      <c r="DR107" s="150">
        <v>17.8</v>
      </c>
      <c r="DS107" s="150">
        <v>18</v>
      </c>
      <c r="DT107" s="150">
        <v>18.2</v>
      </c>
      <c r="DU107" s="150">
        <v>18.399999999999999</v>
      </c>
      <c r="DV107" s="150">
        <v>18.600000000000001</v>
      </c>
      <c r="DW107" s="150">
        <v>18.8</v>
      </c>
      <c r="DX107" s="150">
        <v>19</v>
      </c>
      <c r="DY107" s="150">
        <v>19.2</v>
      </c>
      <c r="DZ107" s="150">
        <v>19.399999999999999</v>
      </c>
      <c r="EA107" s="150">
        <v>19.600000000000001</v>
      </c>
      <c r="EB107" s="150">
        <v>19.8</v>
      </c>
      <c r="EC107" s="150">
        <v>20</v>
      </c>
      <c r="ED107" s="150">
        <v>20.2</v>
      </c>
      <c r="EE107" s="150">
        <v>20.399999999999999</v>
      </c>
      <c r="EF107" s="150">
        <v>20.6</v>
      </c>
      <c r="EG107" s="150">
        <v>20.799999999999951</v>
      </c>
      <c r="EH107" s="150">
        <v>21</v>
      </c>
      <c r="EI107" s="150">
        <v>21.19999999999995</v>
      </c>
      <c r="EJ107" s="150">
        <v>21.4</v>
      </c>
      <c r="EK107" s="150">
        <v>21.599999999999948</v>
      </c>
    </row>
    <row r="108" spans="1:141" ht="13.2" x14ac:dyDescent="0.25">
      <c r="A108" s="149">
        <v>39934</v>
      </c>
      <c r="B108" s="219">
        <v>-1.7785964148750009</v>
      </c>
      <c r="C108" s="219">
        <v>-1.7482952255625008</v>
      </c>
      <c r="D108" s="219">
        <v>-1.7179940362500008</v>
      </c>
      <c r="E108" s="219">
        <v>-1.6876928469375008</v>
      </c>
      <c r="F108" s="219">
        <v>-1.6573916576250007</v>
      </c>
      <c r="G108" s="219">
        <v>-1.6270904683125007</v>
      </c>
      <c r="H108" s="219">
        <v>-1.5967892790000007</v>
      </c>
      <c r="I108" s="219">
        <v>-1.5664880896875006</v>
      </c>
      <c r="J108" s="219">
        <v>-1.5361869003750006</v>
      </c>
      <c r="K108" s="219">
        <v>-1.5058857110625006</v>
      </c>
      <c r="L108" s="219">
        <v>-1.4755845217500005</v>
      </c>
      <c r="M108" s="219">
        <v>-1.4452833324375005</v>
      </c>
      <c r="N108" s="219">
        <v>-1.4149821431250005</v>
      </c>
      <c r="O108" s="219">
        <v>-1.3846809538125004</v>
      </c>
      <c r="P108" s="219">
        <v>-1.3543797645000004</v>
      </c>
      <c r="Q108" s="219">
        <v>-1.3240785751875004</v>
      </c>
      <c r="R108" s="219">
        <v>-1.2937773858750004</v>
      </c>
      <c r="S108" s="219">
        <v>-1.2634761965625003</v>
      </c>
      <c r="T108" s="219">
        <v>-1.2331750072500003</v>
      </c>
      <c r="U108" s="219">
        <v>-1.2028738179375003</v>
      </c>
      <c r="V108" s="220">
        <v>-1.1725726286250002</v>
      </c>
      <c r="W108" s="219">
        <v>-1.1422714393125002</v>
      </c>
      <c r="X108" s="220">
        <v>-1.1119702500000002</v>
      </c>
      <c r="Y108" s="219">
        <v>-1.0832351250000003</v>
      </c>
      <c r="Z108" s="220">
        <v>-1.0545000000000002</v>
      </c>
      <c r="AA108" s="219">
        <v>-1.0272500000000002</v>
      </c>
      <c r="AB108" s="221">
        <v>-1</v>
      </c>
      <c r="AC108" s="219">
        <v>-0.8</v>
      </c>
      <c r="AD108" s="221">
        <v>-0.6</v>
      </c>
      <c r="AE108" s="219">
        <v>-0.4</v>
      </c>
      <c r="AF108" s="219">
        <v>-0.2</v>
      </c>
      <c r="AG108" s="150">
        <v>0</v>
      </c>
      <c r="AH108" s="150">
        <v>0.2</v>
      </c>
      <c r="AI108" s="150">
        <v>0.4</v>
      </c>
      <c r="AJ108" s="150">
        <v>0.6</v>
      </c>
      <c r="AK108" s="150">
        <v>0.8</v>
      </c>
      <c r="AL108" s="150">
        <v>1</v>
      </c>
      <c r="AM108" s="150">
        <v>1.2</v>
      </c>
      <c r="AN108" s="150">
        <v>1.4</v>
      </c>
      <c r="AO108" s="150">
        <v>1.6</v>
      </c>
      <c r="AP108" s="150">
        <v>1.8</v>
      </c>
      <c r="AQ108" s="150">
        <v>2</v>
      </c>
      <c r="AR108" s="150">
        <v>2.2000000000000002</v>
      </c>
      <c r="AS108" s="150">
        <v>2.4</v>
      </c>
      <c r="AT108" s="150">
        <v>2.6</v>
      </c>
      <c r="AU108" s="150">
        <v>2.8</v>
      </c>
      <c r="AV108" s="150">
        <v>3</v>
      </c>
      <c r="AW108" s="150">
        <v>3.2</v>
      </c>
      <c r="AX108" s="150">
        <v>3.4</v>
      </c>
      <c r="AY108" s="150">
        <v>3.6</v>
      </c>
      <c r="AZ108" s="150">
        <v>3.8</v>
      </c>
      <c r="BA108" s="150">
        <v>4</v>
      </c>
      <c r="BB108" s="150">
        <v>4.2</v>
      </c>
      <c r="BC108" s="150">
        <v>4.4000000000000004</v>
      </c>
      <c r="BD108" s="150">
        <v>4.5999999999999996</v>
      </c>
      <c r="BE108" s="150">
        <v>4.8</v>
      </c>
      <c r="BF108" s="150">
        <v>5</v>
      </c>
      <c r="BG108" s="150">
        <v>5.2</v>
      </c>
      <c r="BH108" s="150">
        <v>5.4</v>
      </c>
      <c r="BI108" s="150">
        <v>5.6</v>
      </c>
      <c r="BJ108" s="150">
        <v>5.8</v>
      </c>
      <c r="BK108" s="150">
        <v>6</v>
      </c>
      <c r="BL108" s="150">
        <v>6.2</v>
      </c>
      <c r="BM108" s="150">
        <v>6.4</v>
      </c>
      <c r="BN108" s="150">
        <v>6.6</v>
      </c>
      <c r="BO108" s="150">
        <v>6.8</v>
      </c>
      <c r="BP108" s="150">
        <v>7</v>
      </c>
      <c r="BQ108" s="150">
        <v>7.2</v>
      </c>
      <c r="BR108" s="150">
        <v>7.4</v>
      </c>
      <c r="BS108" s="150">
        <v>7.6</v>
      </c>
      <c r="BT108" s="150">
        <v>7.8</v>
      </c>
      <c r="BU108" s="150">
        <v>8</v>
      </c>
      <c r="BV108" s="150">
        <v>8.1999999999999993</v>
      </c>
      <c r="BW108" s="150">
        <v>8.4</v>
      </c>
      <c r="BX108" s="150">
        <v>8.6</v>
      </c>
      <c r="BY108" s="150">
        <v>8.7999999999999936</v>
      </c>
      <c r="BZ108" s="150">
        <v>9</v>
      </c>
      <c r="CA108" s="150">
        <v>9.1999999999999922</v>
      </c>
      <c r="CB108" s="150">
        <v>9.4</v>
      </c>
      <c r="CC108" s="150">
        <v>9.5999999999999908</v>
      </c>
      <c r="CD108" s="150">
        <v>9.8000000000000007</v>
      </c>
      <c r="CE108" s="150">
        <v>9.9999999999999893</v>
      </c>
      <c r="CF108" s="150">
        <v>10.199999999999999</v>
      </c>
      <c r="CG108" s="150">
        <v>10.4</v>
      </c>
      <c r="CH108" s="150">
        <v>10.6</v>
      </c>
      <c r="CI108" s="150">
        <v>10.8</v>
      </c>
      <c r="CJ108" s="150">
        <v>11</v>
      </c>
      <c r="CK108" s="150">
        <v>11.2</v>
      </c>
      <c r="CL108" s="150">
        <v>11.4</v>
      </c>
      <c r="CM108" s="150">
        <v>11.6</v>
      </c>
      <c r="CN108" s="150">
        <v>11.8</v>
      </c>
      <c r="CO108" s="150">
        <v>12</v>
      </c>
      <c r="CP108" s="150">
        <v>12.2</v>
      </c>
      <c r="CQ108" s="150">
        <v>12.4</v>
      </c>
      <c r="CR108" s="150">
        <v>12.6</v>
      </c>
      <c r="CS108" s="150">
        <v>12.8</v>
      </c>
      <c r="CT108" s="150">
        <v>13</v>
      </c>
      <c r="CU108" s="150">
        <v>13.2</v>
      </c>
      <c r="CV108" s="150">
        <v>13.4</v>
      </c>
      <c r="CW108" s="150">
        <v>13.6</v>
      </c>
      <c r="CX108" s="150">
        <v>13.8</v>
      </c>
      <c r="CY108" s="150">
        <v>14</v>
      </c>
      <c r="CZ108" s="150">
        <v>14.2</v>
      </c>
      <c r="DA108" s="150">
        <v>14.4</v>
      </c>
      <c r="DB108" s="150">
        <v>14.6</v>
      </c>
      <c r="DC108" s="150">
        <v>14.8</v>
      </c>
      <c r="DD108" s="150">
        <v>15</v>
      </c>
      <c r="DE108" s="150">
        <v>15.2</v>
      </c>
      <c r="DF108" s="150">
        <v>15.4</v>
      </c>
      <c r="DG108" s="150">
        <v>15.6</v>
      </c>
      <c r="DH108" s="150">
        <v>15.8</v>
      </c>
      <c r="DI108" s="150">
        <v>16</v>
      </c>
      <c r="DJ108" s="150">
        <v>16.2</v>
      </c>
      <c r="DK108" s="150">
        <v>16.399999999999999</v>
      </c>
      <c r="DL108" s="150">
        <v>16.600000000000001</v>
      </c>
      <c r="DM108" s="150">
        <v>16.8</v>
      </c>
      <c r="DN108" s="150">
        <v>17</v>
      </c>
      <c r="DO108" s="150">
        <v>17.2</v>
      </c>
      <c r="DP108" s="150">
        <v>17.399999999999999</v>
      </c>
      <c r="DQ108" s="150">
        <v>17.600000000000001</v>
      </c>
      <c r="DR108" s="150">
        <v>17.8</v>
      </c>
      <c r="DS108" s="150">
        <v>18</v>
      </c>
      <c r="DT108" s="150">
        <v>18.2</v>
      </c>
      <c r="DU108" s="150">
        <v>18.399999999999999</v>
      </c>
      <c r="DV108" s="150">
        <v>18.600000000000001</v>
      </c>
      <c r="DW108" s="150">
        <v>18.8</v>
      </c>
      <c r="DX108" s="150">
        <v>19</v>
      </c>
      <c r="DY108" s="150">
        <v>19.2</v>
      </c>
      <c r="DZ108" s="150">
        <v>19.399999999999999</v>
      </c>
      <c r="EA108" s="150">
        <v>19.600000000000001</v>
      </c>
      <c r="EB108" s="150">
        <v>19.8</v>
      </c>
      <c r="EC108" s="150">
        <v>20</v>
      </c>
      <c r="ED108" s="150">
        <v>20.2</v>
      </c>
      <c r="EE108" s="150">
        <v>20.399999999999999</v>
      </c>
      <c r="EF108" s="150">
        <v>20.6</v>
      </c>
      <c r="EG108" s="150">
        <v>20.799999999999951</v>
      </c>
      <c r="EH108" s="150">
        <v>21</v>
      </c>
      <c r="EI108" s="150">
        <v>21.19999999999995</v>
      </c>
      <c r="EJ108" s="150">
        <v>21.4</v>
      </c>
      <c r="EK108" s="150">
        <v>21.599999999999948</v>
      </c>
    </row>
    <row r="109" spans="1:141" ht="13.2" x14ac:dyDescent="0.25">
      <c r="A109" s="149">
        <v>39965</v>
      </c>
      <c r="B109" s="219">
        <v>-1.7785964148750009</v>
      </c>
      <c r="C109" s="219">
        <v>-1.7482952255625008</v>
      </c>
      <c r="D109" s="219">
        <v>-1.7179940362500008</v>
      </c>
      <c r="E109" s="219">
        <v>-1.6876928469375008</v>
      </c>
      <c r="F109" s="219">
        <v>-1.6573916576250007</v>
      </c>
      <c r="G109" s="219">
        <v>-1.6270904683125007</v>
      </c>
      <c r="H109" s="219">
        <v>-1.5967892790000007</v>
      </c>
      <c r="I109" s="219">
        <v>-1.5664880896875006</v>
      </c>
      <c r="J109" s="219">
        <v>-1.5361869003750006</v>
      </c>
      <c r="K109" s="219">
        <v>-1.5058857110625006</v>
      </c>
      <c r="L109" s="219">
        <v>-1.4755845217500005</v>
      </c>
      <c r="M109" s="219">
        <v>-1.4452833324375005</v>
      </c>
      <c r="N109" s="219">
        <v>-1.4149821431250005</v>
      </c>
      <c r="O109" s="219">
        <v>-1.3846809538125004</v>
      </c>
      <c r="P109" s="219">
        <v>-1.3543797645000004</v>
      </c>
      <c r="Q109" s="219">
        <v>-1.3240785751875004</v>
      </c>
      <c r="R109" s="219">
        <v>-1.2937773858750004</v>
      </c>
      <c r="S109" s="219">
        <v>-1.2634761965625003</v>
      </c>
      <c r="T109" s="219">
        <v>-1.2331750072500003</v>
      </c>
      <c r="U109" s="219">
        <v>-1.2028738179375003</v>
      </c>
      <c r="V109" s="220">
        <v>-1.1725726286250002</v>
      </c>
      <c r="W109" s="219">
        <v>-1.1422714393125002</v>
      </c>
      <c r="X109" s="220">
        <v>-1.1119702500000002</v>
      </c>
      <c r="Y109" s="219">
        <v>-1.0832351250000003</v>
      </c>
      <c r="Z109" s="220">
        <v>-1.0545000000000002</v>
      </c>
      <c r="AA109" s="219">
        <v>-1.0272500000000002</v>
      </c>
      <c r="AB109" s="221">
        <v>-1</v>
      </c>
      <c r="AC109" s="219">
        <v>-0.8</v>
      </c>
      <c r="AD109" s="221">
        <v>-0.6</v>
      </c>
      <c r="AE109" s="219">
        <v>-0.4</v>
      </c>
      <c r="AF109" s="219">
        <v>-0.2</v>
      </c>
      <c r="AG109" s="150">
        <v>0</v>
      </c>
      <c r="AH109" s="150">
        <v>0.2</v>
      </c>
      <c r="AI109" s="150">
        <v>0.4</v>
      </c>
      <c r="AJ109" s="150">
        <v>0.6</v>
      </c>
      <c r="AK109" s="150">
        <v>0.8</v>
      </c>
      <c r="AL109" s="150">
        <v>1</v>
      </c>
      <c r="AM109" s="150">
        <v>1.2</v>
      </c>
      <c r="AN109" s="150">
        <v>1.4</v>
      </c>
      <c r="AO109" s="150">
        <v>1.6</v>
      </c>
      <c r="AP109" s="150">
        <v>1.8</v>
      </c>
      <c r="AQ109" s="150">
        <v>2</v>
      </c>
      <c r="AR109" s="150">
        <v>2.2000000000000002</v>
      </c>
      <c r="AS109" s="150">
        <v>2.4</v>
      </c>
      <c r="AT109" s="150">
        <v>2.6</v>
      </c>
      <c r="AU109" s="150">
        <v>2.8</v>
      </c>
      <c r="AV109" s="150">
        <v>3</v>
      </c>
      <c r="AW109" s="150">
        <v>3.2</v>
      </c>
      <c r="AX109" s="150">
        <v>3.4</v>
      </c>
      <c r="AY109" s="150">
        <v>3.6</v>
      </c>
      <c r="AZ109" s="150">
        <v>3.8</v>
      </c>
      <c r="BA109" s="150">
        <v>4</v>
      </c>
      <c r="BB109" s="150">
        <v>4.2</v>
      </c>
      <c r="BC109" s="150">
        <v>4.4000000000000004</v>
      </c>
      <c r="BD109" s="150">
        <v>4.5999999999999996</v>
      </c>
      <c r="BE109" s="150">
        <v>4.8</v>
      </c>
      <c r="BF109" s="150">
        <v>5</v>
      </c>
      <c r="BG109" s="150">
        <v>5.2</v>
      </c>
      <c r="BH109" s="150">
        <v>5.4</v>
      </c>
      <c r="BI109" s="150">
        <v>5.6</v>
      </c>
      <c r="BJ109" s="150">
        <v>5.8</v>
      </c>
      <c r="BK109" s="150">
        <v>6</v>
      </c>
      <c r="BL109" s="150">
        <v>6.2</v>
      </c>
      <c r="BM109" s="150">
        <v>6.4</v>
      </c>
      <c r="BN109" s="150">
        <v>6.6</v>
      </c>
      <c r="BO109" s="150">
        <v>6.8</v>
      </c>
      <c r="BP109" s="150">
        <v>7</v>
      </c>
      <c r="BQ109" s="150">
        <v>7.2</v>
      </c>
      <c r="BR109" s="150">
        <v>7.4</v>
      </c>
      <c r="BS109" s="150">
        <v>7.6</v>
      </c>
      <c r="BT109" s="150">
        <v>7.8</v>
      </c>
      <c r="BU109" s="150">
        <v>8</v>
      </c>
      <c r="BV109" s="150">
        <v>8.1999999999999993</v>
      </c>
      <c r="BW109" s="150">
        <v>8.4</v>
      </c>
      <c r="BX109" s="150">
        <v>8.6</v>
      </c>
      <c r="BY109" s="150">
        <v>8.7999999999999936</v>
      </c>
      <c r="BZ109" s="150">
        <v>9</v>
      </c>
      <c r="CA109" s="150">
        <v>9.1999999999999922</v>
      </c>
      <c r="CB109" s="150">
        <v>9.4</v>
      </c>
      <c r="CC109" s="150">
        <v>9.5999999999999908</v>
      </c>
      <c r="CD109" s="150">
        <v>9.8000000000000007</v>
      </c>
      <c r="CE109" s="150">
        <v>9.9999999999999893</v>
      </c>
      <c r="CF109" s="150">
        <v>10.199999999999999</v>
      </c>
      <c r="CG109" s="150">
        <v>10.4</v>
      </c>
      <c r="CH109" s="150">
        <v>10.6</v>
      </c>
      <c r="CI109" s="150">
        <v>10.8</v>
      </c>
      <c r="CJ109" s="150">
        <v>11</v>
      </c>
      <c r="CK109" s="150">
        <v>11.2</v>
      </c>
      <c r="CL109" s="150">
        <v>11.4</v>
      </c>
      <c r="CM109" s="150">
        <v>11.6</v>
      </c>
      <c r="CN109" s="150">
        <v>11.8</v>
      </c>
      <c r="CO109" s="150">
        <v>12</v>
      </c>
      <c r="CP109" s="150">
        <v>12.2</v>
      </c>
      <c r="CQ109" s="150">
        <v>12.4</v>
      </c>
      <c r="CR109" s="150">
        <v>12.6</v>
      </c>
      <c r="CS109" s="150">
        <v>12.8</v>
      </c>
      <c r="CT109" s="150">
        <v>13</v>
      </c>
      <c r="CU109" s="150">
        <v>13.2</v>
      </c>
      <c r="CV109" s="150">
        <v>13.4</v>
      </c>
      <c r="CW109" s="150">
        <v>13.6</v>
      </c>
      <c r="CX109" s="150">
        <v>13.8</v>
      </c>
      <c r="CY109" s="150">
        <v>14</v>
      </c>
      <c r="CZ109" s="150">
        <v>14.2</v>
      </c>
      <c r="DA109" s="150">
        <v>14.4</v>
      </c>
      <c r="DB109" s="150">
        <v>14.6</v>
      </c>
      <c r="DC109" s="150">
        <v>14.8</v>
      </c>
      <c r="DD109" s="150">
        <v>15</v>
      </c>
      <c r="DE109" s="150">
        <v>15.2</v>
      </c>
      <c r="DF109" s="150">
        <v>15.4</v>
      </c>
      <c r="DG109" s="150">
        <v>15.6</v>
      </c>
      <c r="DH109" s="150">
        <v>15.8</v>
      </c>
      <c r="DI109" s="150">
        <v>16</v>
      </c>
      <c r="DJ109" s="150">
        <v>16.2</v>
      </c>
      <c r="DK109" s="150">
        <v>16.399999999999999</v>
      </c>
      <c r="DL109" s="150">
        <v>16.600000000000001</v>
      </c>
      <c r="DM109" s="150">
        <v>16.8</v>
      </c>
      <c r="DN109" s="150">
        <v>17</v>
      </c>
      <c r="DO109" s="150">
        <v>17.2</v>
      </c>
      <c r="DP109" s="150">
        <v>17.399999999999999</v>
      </c>
      <c r="DQ109" s="150">
        <v>17.600000000000001</v>
      </c>
      <c r="DR109" s="150">
        <v>17.8</v>
      </c>
      <c r="DS109" s="150">
        <v>18</v>
      </c>
      <c r="DT109" s="150">
        <v>18.2</v>
      </c>
      <c r="DU109" s="150">
        <v>18.399999999999999</v>
      </c>
      <c r="DV109" s="150">
        <v>18.600000000000001</v>
      </c>
      <c r="DW109" s="150">
        <v>18.8</v>
      </c>
      <c r="DX109" s="150">
        <v>19</v>
      </c>
      <c r="DY109" s="150">
        <v>19.2</v>
      </c>
      <c r="DZ109" s="150">
        <v>19.399999999999999</v>
      </c>
      <c r="EA109" s="150">
        <v>19.600000000000001</v>
      </c>
      <c r="EB109" s="150">
        <v>19.8</v>
      </c>
      <c r="EC109" s="150">
        <v>20</v>
      </c>
      <c r="ED109" s="150">
        <v>20.2</v>
      </c>
      <c r="EE109" s="150">
        <v>20.399999999999999</v>
      </c>
      <c r="EF109" s="150">
        <v>20.6</v>
      </c>
      <c r="EG109" s="150">
        <v>20.799999999999951</v>
      </c>
      <c r="EH109" s="150">
        <v>21</v>
      </c>
      <c r="EI109" s="150">
        <v>21.19999999999995</v>
      </c>
      <c r="EJ109" s="150">
        <v>21.4</v>
      </c>
      <c r="EK109" s="150">
        <v>21.599999999999948</v>
      </c>
    </row>
    <row r="110" spans="1:141" ht="13.2" x14ac:dyDescent="0.25">
      <c r="A110" s="149">
        <v>39995</v>
      </c>
      <c r="B110" s="219">
        <v>-1.7785964148750009</v>
      </c>
      <c r="C110" s="219">
        <v>-1.7482952255625008</v>
      </c>
      <c r="D110" s="219">
        <v>-1.7179940362500008</v>
      </c>
      <c r="E110" s="219">
        <v>-1.6876928469375008</v>
      </c>
      <c r="F110" s="219">
        <v>-1.6573916576250007</v>
      </c>
      <c r="G110" s="219">
        <v>-1.6270904683125007</v>
      </c>
      <c r="H110" s="219">
        <v>-1.5967892790000007</v>
      </c>
      <c r="I110" s="219">
        <v>-1.5664880896875006</v>
      </c>
      <c r="J110" s="219">
        <v>-1.5361869003750006</v>
      </c>
      <c r="K110" s="219">
        <v>-1.5058857110625006</v>
      </c>
      <c r="L110" s="219">
        <v>-1.4755845217500005</v>
      </c>
      <c r="M110" s="219">
        <v>-1.4452833324375005</v>
      </c>
      <c r="N110" s="219">
        <v>-1.4149821431250005</v>
      </c>
      <c r="O110" s="219">
        <v>-1.3846809538125004</v>
      </c>
      <c r="P110" s="219">
        <v>-1.3543797645000004</v>
      </c>
      <c r="Q110" s="219">
        <v>-1.3240785751875004</v>
      </c>
      <c r="R110" s="219">
        <v>-1.2937773858750004</v>
      </c>
      <c r="S110" s="219">
        <v>-1.2634761965625003</v>
      </c>
      <c r="T110" s="219">
        <v>-1.2331750072500003</v>
      </c>
      <c r="U110" s="219">
        <v>-1.2028738179375003</v>
      </c>
      <c r="V110" s="220">
        <v>-1.1725726286250002</v>
      </c>
      <c r="W110" s="219">
        <v>-1.1422714393125002</v>
      </c>
      <c r="X110" s="220">
        <v>-1.1119702500000002</v>
      </c>
      <c r="Y110" s="219">
        <v>-1.0832351250000003</v>
      </c>
      <c r="Z110" s="220">
        <v>-1.0545000000000002</v>
      </c>
      <c r="AA110" s="219">
        <v>-1.0272500000000002</v>
      </c>
      <c r="AB110" s="221">
        <v>-1</v>
      </c>
      <c r="AC110" s="219">
        <v>-0.8</v>
      </c>
      <c r="AD110" s="221">
        <v>-0.6</v>
      </c>
      <c r="AE110" s="219">
        <v>-0.4</v>
      </c>
      <c r="AF110" s="219">
        <v>-0.2</v>
      </c>
      <c r="AG110" s="150">
        <v>0</v>
      </c>
      <c r="AH110" s="150">
        <v>0.2</v>
      </c>
      <c r="AI110" s="150">
        <v>0.4</v>
      </c>
      <c r="AJ110" s="150">
        <v>0.6</v>
      </c>
      <c r="AK110" s="150">
        <v>0.8</v>
      </c>
      <c r="AL110" s="150">
        <v>1</v>
      </c>
      <c r="AM110" s="150">
        <v>1.2</v>
      </c>
      <c r="AN110" s="150">
        <v>1.4</v>
      </c>
      <c r="AO110" s="150">
        <v>1.6</v>
      </c>
      <c r="AP110" s="150">
        <v>1.8</v>
      </c>
      <c r="AQ110" s="150">
        <v>2</v>
      </c>
      <c r="AR110" s="150">
        <v>2.2000000000000002</v>
      </c>
      <c r="AS110" s="150">
        <v>2.4</v>
      </c>
      <c r="AT110" s="150">
        <v>2.6</v>
      </c>
      <c r="AU110" s="150">
        <v>2.8</v>
      </c>
      <c r="AV110" s="150">
        <v>3</v>
      </c>
      <c r="AW110" s="150">
        <v>3.2</v>
      </c>
      <c r="AX110" s="150">
        <v>3.4</v>
      </c>
      <c r="AY110" s="150">
        <v>3.6</v>
      </c>
      <c r="AZ110" s="150">
        <v>3.8</v>
      </c>
      <c r="BA110" s="150">
        <v>4</v>
      </c>
      <c r="BB110" s="150">
        <v>4.2</v>
      </c>
      <c r="BC110" s="150">
        <v>4.4000000000000004</v>
      </c>
      <c r="BD110" s="150">
        <v>4.5999999999999996</v>
      </c>
      <c r="BE110" s="150">
        <v>4.8</v>
      </c>
      <c r="BF110" s="150">
        <v>5</v>
      </c>
      <c r="BG110" s="150">
        <v>5.2</v>
      </c>
      <c r="BH110" s="150">
        <v>5.4</v>
      </c>
      <c r="BI110" s="150">
        <v>5.6</v>
      </c>
      <c r="BJ110" s="150">
        <v>5.8</v>
      </c>
      <c r="BK110" s="150">
        <v>6</v>
      </c>
      <c r="BL110" s="150">
        <v>6.2</v>
      </c>
      <c r="BM110" s="150">
        <v>6.4</v>
      </c>
      <c r="BN110" s="150">
        <v>6.6</v>
      </c>
      <c r="BO110" s="150">
        <v>6.8</v>
      </c>
      <c r="BP110" s="150">
        <v>7</v>
      </c>
      <c r="BQ110" s="150">
        <v>7.2</v>
      </c>
      <c r="BR110" s="150">
        <v>7.4</v>
      </c>
      <c r="BS110" s="150">
        <v>7.6</v>
      </c>
      <c r="BT110" s="150">
        <v>7.8</v>
      </c>
      <c r="BU110" s="150">
        <v>8</v>
      </c>
      <c r="BV110" s="150">
        <v>8.1999999999999993</v>
      </c>
      <c r="BW110" s="150">
        <v>8.4</v>
      </c>
      <c r="BX110" s="150">
        <v>8.6</v>
      </c>
      <c r="BY110" s="150">
        <v>8.7999999999999936</v>
      </c>
      <c r="BZ110" s="150">
        <v>9</v>
      </c>
      <c r="CA110" s="150">
        <v>9.1999999999999922</v>
      </c>
      <c r="CB110" s="150">
        <v>9.4</v>
      </c>
      <c r="CC110" s="150">
        <v>9.5999999999999908</v>
      </c>
      <c r="CD110" s="150">
        <v>9.8000000000000007</v>
      </c>
      <c r="CE110" s="150">
        <v>9.9999999999999893</v>
      </c>
      <c r="CF110" s="150">
        <v>10.199999999999999</v>
      </c>
      <c r="CG110" s="150">
        <v>10.4</v>
      </c>
      <c r="CH110" s="150">
        <v>10.6</v>
      </c>
      <c r="CI110" s="150">
        <v>10.8</v>
      </c>
      <c r="CJ110" s="150">
        <v>11</v>
      </c>
      <c r="CK110" s="150">
        <v>11.2</v>
      </c>
      <c r="CL110" s="150">
        <v>11.4</v>
      </c>
      <c r="CM110" s="150">
        <v>11.6</v>
      </c>
      <c r="CN110" s="150">
        <v>11.8</v>
      </c>
      <c r="CO110" s="150">
        <v>12</v>
      </c>
      <c r="CP110" s="150">
        <v>12.2</v>
      </c>
      <c r="CQ110" s="150">
        <v>12.4</v>
      </c>
      <c r="CR110" s="150">
        <v>12.6</v>
      </c>
      <c r="CS110" s="150">
        <v>12.8</v>
      </c>
      <c r="CT110" s="150">
        <v>13</v>
      </c>
      <c r="CU110" s="150">
        <v>13.2</v>
      </c>
      <c r="CV110" s="150">
        <v>13.4</v>
      </c>
      <c r="CW110" s="150">
        <v>13.6</v>
      </c>
      <c r="CX110" s="150">
        <v>13.8</v>
      </c>
      <c r="CY110" s="150">
        <v>14</v>
      </c>
      <c r="CZ110" s="150">
        <v>14.2</v>
      </c>
      <c r="DA110" s="150">
        <v>14.4</v>
      </c>
      <c r="DB110" s="150">
        <v>14.6</v>
      </c>
      <c r="DC110" s="150">
        <v>14.8</v>
      </c>
      <c r="DD110" s="150">
        <v>15</v>
      </c>
      <c r="DE110" s="150">
        <v>15.2</v>
      </c>
      <c r="DF110" s="150">
        <v>15.4</v>
      </c>
      <c r="DG110" s="150">
        <v>15.6</v>
      </c>
      <c r="DH110" s="150">
        <v>15.8</v>
      </c>
      <c r="DI110" s="150">
        <v>16</v>
      </c>
      <c r="DJ110" s="150">
        <v>16.2</v>
      </c>
      <c r="DK110" s="150">
        <v>16.399999999999999</v>
      </c>
      <c r="DL110" s="150">
        <v>16.600000000000001</v>
      </c>
      <c r="DM110" s="150">
        <v>16.8</v>
      </c>
      <c r="DN110" s="150">
        <v>17</v>
      </c>
      <c r="DO110" s="150">
        <v>17.2</v>
      </c>
      <c r="DP110" s="150">
        <v>17.399999999999999</v>
      </c>
      <c r="DQ110" s="150">
        <v>17.600000000000001</v>
      </c>
      <c r="DR110" s="150">
        <v>17.8</v>
      </c>
      <c r="DS110" s="150">
        <v>18</v>
      </c>
      <c r="DT110" s="150">
        <v>18.2</v>
      </c>
      <c r="DU110" s="150">
        <v>18.399999999999999</v>
      </c>
      <c r="DV110" s="150">
        <v>18.600000000000001</v>
      </c>
      <c r="DW110" s="150">
        <v>18.8</v>
      </c>
      <c r="DX110" s="150">
        <v>19</v>
      </c>
      <c r="DY110" s="150">
        <v>19.2</v>
      </c>
      <c r="DZ110" s="150">
        <v>19.399999999999999</v>
      </c>
      <c r="EA110" s="150">
        <v>19.600000000000001</v>
      </c>
      <c r="EB110" s="150">
        <v>19.8</v>
      </c>
      <c r="EC110" s="150">
        <v>20</v>
      </c>
      <c r="ED110" s="150">
        <v>20.2</v>
      </c>
      <c r="EE110" s="150">
        <v>20.399999999999999</v>
      </c>
      <c r="EF110" s="150">
        <v>20.6</v>
      </c>
      <c r="EG110" s="150">
        <v>20.799999999999951</v>
      </c>
      <c r="EH110" s="150">
        <v>21</v>
      </c>
      <c r="EI110" s="150">
        <v>21.19999999999995</v>
      </c>
      <c r="EJ110" s="150">
        <v>21.4</v>
      </c>
      <c r="EK110" s="150">
        <v>21.599999999999948</v>
      </c>
    </row>
    <row r="111" spans="1:141" ht="13.2" x14ac:dyDescent="0.25">
      <c r="A111" s="149">
        <v>40026</v>
      </c>
      <c r="B111" s="219">
        <v>-1.7785964148750009</v>
      </c>
      <c r="C111" s="219">
        <v>-1.7482952255625008</v>
      </c>
      <c r="D111" s="219">
        <v>-1.7179940362500008</v>
      </c>
      <c r="E111" s="219">
        <v>-1.6876928469375008</v>
      </c>
      <c r="F111" s="219">
        <v>-1.6573916576250007</v>
      </c>
      <c r="G111" s="219">
        <v>-1.6270904683125007</v>
      </c>
      <c r="H111" s="219">
        <v>-1.5967892790000007</v>
      </c>
      <c r="I111" s="219">
        <v>-1.5664880896875006</v>
      </c>
      <c r="J111" s="219">
        <v>-1.5361869003750006</v>
      </c>
      <c r="K111" s="219">
        <v>-1.5058857110625006</v>
      </c>
      <c r="L111" s="219">
        <v>-1.4755845217500005</v>
      </c>
      <c r="M111" s="219">
        <v>-1.4452833324375005</v>
      </c>
      <c r="N111" s="219">
        <v>-1.4149821431250005</v>
      </c>
      <c r="O111" s="219">
        <v>-1.3846809538125004</v>
      </c>
      <c r="P111" s="219">
        <v>-1.3543797645000004</v>
      </c>
      <c r="Q111" s="219">
        <v>-1.3240785751875004</v>
      </c>
      <c r="R111" s="219">
        <v>-1.2937773858750004</v>
      </c>
      <c r="S111" s="219">
        <v>-1.2634761965625003</v>
      </c>
      <c r="T111" s="219">
        <v>-1.2331750072500003</v>
      </c>
      <c r="U111" s="219">
        <v>-1.2028738179375003</v>
      </c>
      <c r="V111" s="220">
        <v>-1.1725726286250002</v>
      </c>
      <c r="W111" s="219">
        <v>-1.1422714393125002</v>
      </c>
      <c r="X111" s="220">
        <v>-1.1119702500000002</v>
      </c>
      <c r="Y111" s="219">
        <v>-1.0832351250000003</v>
      </c>
      <c r="Z111" s="220">
        <v>-1.0545000000000002</v>
      </c>
      <c r="AA111" s="219">
        <v>-1.0272500000000002</v>
      </c>
      <c r="AB111" s="221">
        <v>-1</v>
      </c>
      <c r="AC111" s="219">
        <v>-0.8</v>
      </c>
      <c r="AD111" s="221">
        <v>-0.6</v>
      </c>
      <c r="AE111" s="219">
        <v>-0.4</v>
      </c>
      <c r="AF111" s="219">
        <v>-0.2</v>
      </c>
      <c r="AG111" s="150">
        <v>0</v>
      </c>
      <c r="AH111" s="150">
        <v>0.2</v>
      </c>
      <c r="AI111" s="150">
        <v>0.4</v>
      </c>
      <c r="AJ111" s="150">
        <v>0.6</v>
      </c>
      <c r="AK111" s="150">
        <v>0.8</v>
      </c>
      <c r="AL111" s="150">
        <v>1</v>
      </c>
      <c r="AM111" s="150">
        <v>1.2</v>
      </c>
      <c r="AN111" s="150">
        <v>1.4</v>
      </c>
      <c r="AO111" s="150">
        <v>1.6</v>
      </c>
      <c r="AP111" s="150">
        <v>1.8</v>
      </c>
      <c r="AQ111" s="150">
        <v>2</v>
      </c>
      <c r="AR111" s="150">
        <v>2.2000000000000002</v>
      </c>
      <c r="AS111" s="150">
        <v>2.4</v>
      </c>
      <c r="AT111" s="150">
        <v>2.6</v>
      </c>
      <c r="AU111" s="150">
        <v>2.8</v>
      </c>
      <c r="AV111" s="150">
        <v>3</v>
      </c>
      <c r="AW111" s="150">
        <v>3.2</v>
      </c>
      <c r="AX111" s="150">
        <v>3.4</v>
      </c>
      <c r="AY111" s="150">
        <v>3.6</v>
      </c>
      <c r="AZ111" s="150">
        <v>3.8</v>
      </c>
      <c r="BA111" s="150">
        <v>4</v>
      </c>
      <c r="BB111" s="150">
        <v>4.2</v>
      </c>
      <c r="BC111" s="150">
        <v>4.4000000000000004</v>
      </c>
      <c r="BD111" s="150">
        <v>4.5999999999999996</v>
      </c>
      <c r="BE111" s="150">
        <v>4.8</v>
      </c>
      <c r="BF111" s="150">
        <v>5</v>
      </c>
      <c r="BG111" s="150">
        <v>5.2</v>
      </c>
      <c r="BH111" s="150">
        <v>5.4</v>
      </c>
      <c r="BI111" s="150">
        <v>5.6</v>
      </c>
      <c r="BJ111" s="150">
        <v>5.8</v>
      </c>
      <c r="BK111" s="150">
        <v>6</v>
      </c>
      <c r="BL111" s="150">
        <v>6.2</v>
      </c>
      <c r="BM111" s="150">
        <v>6.4</v>
      </c>
      <c r="BN111" s="150">
        <v>6.6</v>
      </c>
      <c r="BO111" s="150">
        <v>6.8</v>
      </c>
      <c r="BP111" s="150">
        <v>7</v>
      </c>
      <c r="BQ111" s="150">
        <v>7.2</v>
      </c>
      <c r="BR111" s="150">
        <v>7.4</v>
      </c>
      <c r="BS111" s="150">
        <v>7.6</v>
      </c>
      <c r="BT111" s="150">
        <v>7.8</v>
      </c>
      <c r="BU111" s="150">
        <v>8</v>
      </c>
      <c r="BV111" s="150">
        <v>8.1999999999999993</v>
      </c>
      <c r="BW111" s="150">
        <v>8.4</v>
      </c>
      <c r="BX111" s="150">
        <v>8.6</v>
      </c>
      <c r="BY111" s="150">
        <v>8.7999999999999936</v>
      </c>
      <c r="BZ111" s="150">
        <v>9</v>
      </c>
      <c r="CA111" s="150">
        <v>9.1999999999999922</v>
      </c>
      <c r="CB111" s="150">
        <v>9.4</v>
      </c>
      <c r="CC111" s="150">
        <v>9.5999999999999908</v>
      </c>
      <c r="CD111" s="150">
        <v>9.8000000000000007</v>
      </c>
      <c r="CE111" s="150">
        <v>9.9999999999999893</v>
      </c>
      <c r="CF111" s="150">
        <v>10.199999999999999</v>
      </c>
      <c r="CG111" s="150">
        <v>10.4</v>
      </c>
      <c r="CH111" s="150">
        <v>10.6</v>
      </c>
      <c r="CI111" s="150">
        <v>10.8</v>
      </c>
      <c r="CJ111" s="150">
        <v>11</v>
      </c>
      <c r="CK111" s="150">
        <v>11.2</v>
      </c>
      <c r="CL111" s="150">
        <v>11.4</v>
      </c>
      <c r="CM111" s="150">
        <v>11.6</v>
      </c>
      <c r="CN111" s="150">
        <v>11.8</v>
      </c>
      <c r="CO111" s="150">
        <v>12</v>
      </c>
      <c r="CP111" s="150">
        <v>12.2</v>
      </c>
      <c r="CQ111" s="150">
        <v>12.4</v>
      </c>
      <c r="CR111" s="150">
        <v>12.6</v>
      </c>
      <c r="CS111" s="150">
        <v>12.8</v>
      </c>
      <c r="CT111" s="150">
        <v>13</v>
      </c>
      <c r="CU111" s="150">
        <v>13.2</v>
      </c>
      <c r="CV111" s="150">
        <v>13.4</v>
      </c>
      <c r="CW111" s="150">
        <v>13.6</v>
      </c>
      <c r="CX111" s="150">
        <v>13.8</v>
      </c>
      <c r="CY111" s="150">
        <v>14</v>
      </c>
      <c r="CZ111" s="150">
        <v>14.2</v>
      </c>
      <c r="DA111" s="150">
        <v>14.4</v>
      </c>
      <c r="DB111" s="150">
        <v>14.6</v>
      </c>
      <c r="DC111" s="150">
        <v>14.8</v>
      </c>
      <c r="DD111" s="150">
        <v>15</v>
      </c>
      <c r="DE111" s="150">
        <v>15.2</v>
      </c>
      <c r="DF111" s="150">
        <v>15.4</v>
      </c>
      <c r="DG111" s="150">
        <v>15.6</v>
      </c>
      <c r="DH111" s="150">
        <v>15.8</v>
      </c>
      <c r="DI111" s="150">
        <v>16</v>
      </c>
      <c r="DJ111" s="150">
        <v>16.2</v>
      </c>
      <c r="DK111" s="150">
        <v>16.399999999999999</v>
      </c>
      <c r="DL111" s="150">
        <v>16.600000000000001</v>
      </c>
      <c r="DM111" s="150">
        <v>16.8</v>
      </c>
      <c r="DN111" s="150">
        <v>17</v>
      </c>
      <c r="DO111" s="150">
        <v>17.2</v>
      </c>
      <c r="DP111" s="150">
        <v>17.399999999999999</v>
      </c>
      <c r="DQ111" s="150">
        <v>17.600000000000001</v>
      </c>
      <c r="DR111" s="150">
        <v>17.8</v>
      </c>
      <c r="DS111" s="150">
        <v>18</v>
      </c>
      <c r="DT111" s="150">
        <v>18.2</v>
      </c>
      <c r="DU111" s="150">
        <v>18.399999999999999</v>
      </c>
      <c r="DV111" s="150">
        <v>18.600000000000001</v>
      </c>
      <c r="DW111" s="150">
        <v>18.8</v>
      </c>
      <c r="DX111" s="150">
        <v>19</v>
      </c>
      <c r="DY111" s="150">
        <v>19.2</v>
      </c>
      <c r="DZ111" s="150">
        <v>19.399999999999999</v>
      </c>
      <c r="EA111" s="150">
        <v>19.600000000000001</v>
      </c>
      <c r="EB111" s="150">
        <v>19.8</v>
      </c>
      <c r="EC111" s="150">
        <v>20</v>
      </c>
      <c r="ED111" s="150">
        <v>20.2</v>
      </c>
      <c r="EE111" s="150">
        <v>20.399999999999999</v>
      </c>
      <c r="EF111" s="150">
        <v>20.6</v>
      </c>
      <c r="EG111" s="150">
        <v>20.799999999999951</v>
      </c>
      <c r="EH111" s="150">
        <v>21</v>
      </c>
      <c r="EI111" s="150">
        <v>21.19999999999995</v>
      </c>
      <c r="EJ111" s="150">
        <v>21.4</v>
      </c>
      <c r="EK111" s="150">
        <v>21.599999999999948</v>
      </c>
    </row>
    <row r="112" spans="1:141" ht="13.2" x14ac:dyDescent="0.25">
      <c r="A112" s="149">
        <v>40057</v>
      </c>
      <c r="B112" s="219">
        <v>-1.7785964148750009</v>
      </c>
      <c r="C112" s="219">
        <v>-1.7482952255625008</v>
      </c>
      <c r="D112" s="219">
        <v>-1.7179940362500008</v>
      </c>
      <c r="E112" s="219">
        <v>-1.6876928469375008</v>
      </c>
      <c r="F112" s="219">
        <v>-1.6573916576250007</v>
      </c>
      <c r="G112" s="219">
        <v>-1.6270904683125007</v>
      </c>
      <c r="H112" s="219">
        <v>-1.5967892790000007</v>
      </c>
      <c r="I112" s="219">
        <v>-1.5664880896875006</v>
      </c>
      <c r="J112" s="219">
        <v>-1.5361869003750006</v>
      </c>
      <c r="K112" s="219">
        <v>-1.5058857110625006</v>
      </c>
      <c r="L112" s="219">
        <v>-1.4755845217500005</v>
      </c>
      <c r="M112" s="219">
        <v>-1.4452833324375005</v>
      </c>
      <c r="N112" s="219">
        <v>-1.4149821431250005</v>
      </c>
      <c r="O112" s="219">
        <v>-1.3846809538125004</v>
      </c>
      <c r="P112" s="219">
        <v>-1.3543797645000004</v>
      </c>
      <c r="Q112" s="219">
        <v>-1.3240785751875004</v>
      </c>
      <c r="R112" s="219">
        <v>-1.2937773858750004</v>
      </c>
      <c r="S112" s="219">
        <v>-1.2634761965625003</v>
      </c>
      <c r="T112" s="219">
        <v>-1.2331750072500003</v>
      </c>
      <c r="U112" s="219">
        <v>-1.2028738179375003</v>
      </c>
      <c r="V112" s="220">
        <v>-1.1725726286250002</v>
      </c>
      <c r="W112" s="219">
        <v>-1.1422714393125002</v>
      </c>
      <c r="X112" s="220">
        <v>-1.1119702500000002</v>
      </c>
      <c r="Y112" s="219">
        <v>-1.0832351250000003</v>
      </c>
      <c r="Z112" s="220">
        <v>-1.0545000000000002</v>
      </c>
      <c r="AA112" s="219">
        <v>-1.0272500000000002</v>
      </c>
      <c r="AB112" s="221">
        <v>-1</v>
      </c>
      <c r="AC112" s="219">
        <v>-0.8</v>
      </c>
      <c r="AD112" s="221">
        <v>-0.6</v>
      </c>
      <c r="AE112" s="219">
        <v>-0.4</v>
      </c>
      <c r="AF112" s="219">
        <v>-0.2</v>
      </c>
      <c r="AG112" s="150">
        <v>0</v>
      </c>
      <c r="AH112" s="150">
        <v>0.2</v>
      </c>
      <c r="AI112" s="150">
        <v>0.4</v>
      </c>
      <c r="AJ112" s="150">
        <v>0.6</v>
      </c>
      <c r="AK112" s="150">
        <v>0.8</v>
      </c>
      <c r="AL112" s="150">
        <v>1</v>
      </c>
      <c r="AM112" s="150">
        <v>1.2</v>
      </c>
      <c r="AN112" s="150">
        <v>1.4</v>
      </c>
      <c r="AO112" s="150">
        <v>1.6</v>
      </c>
      <c r="AP112" s="150">
        <v>1.8</v>
      </c>
      <c r="AQ112" s="150">
        <v>2</v>
      </c>
      <c r="AR112" s="150">
        <v>2.2000000000000002</v>
      </c>
      <c r="AS112" s="150">
        <v>2.4</v>
      </c>
      <c r="AT112" s="150">
        <v>2.6</v>
      </c>
      <c r="AU112" s="150">
        <v>2.8</v>
      </c>
      <c r="AV112" s="150">
        <v>3</v>
      </c>
      <c r="AW112" s="150">
        <v>3.2</v>
      </c>
      <c r="AX112" s="150">
        <v>3.4</v>
      </c>
      <c r="AY112" s="150">
        <v>3.6</v>
      </c>
      <c r="AZ112" s="150">
        <v>3.8</v>
      </c>
      <c r="BA112" s="150">
        <v>4</v>
      </c>
      <c r="BB112" s="150">
        <v>4.2</v>
      </c>
      <c r="BC112" s="150">
        <v>4.4000000000000004</v>
      </c>
      <c r="BD112" s="150">
        <v>4.5999999999999996</v>
      </c>
      <c r="BE112" s="150">
        <v>4.8</v>
      </c>
      <c r="BF112" s="150">
        <v>5</v>
      </c>
      <c r="BG112" s="150">
        <v>5.2</v>
      </c>
      <c r="BH112" s="150">
        <v>5.4</v>
      </c>
      <c r="BI112" s="150">
        <v>5.6</v>
      </c>
      <c r="BJ112" s="150">
        <v>5.8</v>
      </c>
      <c r="BK112" s="150">
        <v>6</v>
      </c>
      <c r="BL112" s="150">
        <v>6.2</v>
      </c>
      <c r="BM112" s="150">
        <v>6.4</v>
      </c>
      <c r="BN112" s="150">
        <v>6.6</v>
      </c>
      <c r="BO112" s="150">
        <v>6.8</v>
      </c>
      <c r="BP112" s="150">
        <v>7</v>
      </c>
      <c r="BQ112" s="150">
        <v>7.2</v>
      </c>
      <c r="BR112" s="150">
        <v>7.4</v>
      </c>
      <c r="BS112" s="150">
        <v>7.6</v>
      </c>
      <c r="BT112" s="150">
        <v>7.8</v>
      </c>
      <c r="BU112" s="150">
        <v>8</v>
      </c>
      <c r="BV112" s="150">
        <v>8.1999999999999993</v>
      </c>
      <c r="BW112" s="150">
        <v>8.4</v>
      </c>
      <c r="BX112" s="150">
        <v>8.6</v>
      </c>
      <c r="BY112" s="150">
        <v>8.7999999999999936</v>
      </c>
      <c r="BZ112" s="150">
        <v>9</v>
      </c>
      <c r="CA112" s="150">
        <v>9.1999999999999922</v>
      </c>
      <c r="CB112" s="150">
        <v>9.4</v>
      </c>
      <c r="CC112" s="150">
        <v>9.5999999999999908</v>
      </c>
      <c r="CD112" s="150">
        <v>9.8000000000000007</v>
      </c>
      <c r="CE112" s="150">
        <v>9.9999999999999893</v>
      </c>
      <c r="CF112" s="150">
        <v>10.199999999999999</v>
      </c>
      <c r="CG112" s="150">
        <v>10.4</v>
      </c>
      <c r="CH112" s="150">
        <v>10.6</v>
      </c>
      <c r="CI112" s="150">
        <v>10.8</v>
      </c>
      <c r="CJ112" s="150">
        <v>11</v>
      </c>
      <c r="CK112" s="150">
        <v>11.2</v>
      </c>
      <c r="CL112" s="150">
        <v>11.4</v>
      </c>
      <c r="CM112" s="150">
        <v>11.6</v>
      </c>
      <c r="CN112" s="150">
        <v>11.8</v>
      </c>
      <c r="CO112" s="150">
        <v>12</v>
      </c>
      <c r="CP112" s="150">
        <v>12.2</v>
      </c>
      <c r="CQ112" s="150">
        <v>12.4</v>
      </c>
      <c r="CR112" s="150">
        <v>12.6</v>
      </c>
      <c r="CS112" s="150">
        <v>12.8</v>
      </c>
      <c r="CT112" s="150">
        <v>13</v>
      </c>
      <c r="CU112" s="150">
        <v>13.2</v>
      </c>
      <c r="CV112" s="150">
        <v>13.4</v>
      </c>
      <c r="CW112" s="150">
        <v>13.6</v>
      </c>
      <c r="CX112" s="150">
        <v>13.8</v>
      </c>
      <c r="CY112" s="150">
        <v>14</v>
      </c>
      <c r="CZ112" s="150">
        <v>14.2</v>
      </c>
      <c r="DA112" s="150">
        <v>14.4</v>
      </c>
      <c r="DB112" s="150">
        <v>14.6</v>
      </c>
      <c r="DC112" s="150">
        <v>14.8</v>
      </c>
      <c r="DD112" s="150">
        <v>15</v>
      </c>
      <c r="DE112" s="150">
        <v>15.2</v>
      </c>
      <c r="DF112" s="150">
        <v>15.4</v>
      </c>
      <c r="DG112" s="150">
        <v>15.6</v>
      </c>
      <c r="DH112" s="150">
        <v>15.8</v>
      </c>
      <c r="DI112" s="150">
        <v>16</v>
      </c>
      <c r="DJ112" s="150">
        <v>16.2</v>
      </c>
      <c r="DK112" s="150">
        <v>16.399999999999999</v>
      </c>
      <c r="DL112" s="150">
        <v>16.600000000000001</v>
      </c>
      <c r="DM112" s="150">
        <v>16.8</v>
      </c>
      <c r="DN112" s="150">
        <v>17</v>
      </c>
      <c r="DO112" s="150">
        <v>17.2</v>
      </c>
      <c r="DP112" s="150">
        <v>17.399999999999999</v>
      </c>
      <c r="DQ112" s="150">
        <v>17.600000000000001</v>
      </c>
      <c r="DR112" s="150">
        <v>17.8</v>
      </c>
      <c r="DS112" s="150">
        <v>18</v>
      </c>
      <c r="DT112" s="150">
        <v>18.2</v>
      </c>
      <c r="DU112" s="150">
        <v>18.399999999999999</v>
      </c>
      <c r="DV112" s="150">
        <v>18.600000000000001</v>
      </c>
      <c r="DW112" s="150">
        <v>18.8</v>
      </c>
      <c r="DX112" s="150">
        <v>19</v>
      </c>
      <c r="DY112" s="150">
        <v>19.2</v>
      </c>
      <c r="DZ112" s="150">
        <v>19.399999999999999</v>
      </c>
      <c r="EA112" s="150">
        <v>19.600000000000001</v>
      </c>
      <c r="EB112" s="150">
        <v>19.8</v>
      </c>
      <c r="EC112" s="150">
        <v>20</v>
      </c>
      <c r="ED112" s="150">
        <v>20.2</v>
      </c>
      <c r="EE112" s="150">
        <v>20.399999999999999</v>
      </c>
      <c r="EF112" s="150">
        <v>20.6</v>
      </c>
      <c r="EG112" s="150">
        <v>20.799999999999951</v>
      </c>
      <c r="EH112" s="150">
        <v>21</v>
      </c>
      <c r="EI112" s="150">
        <v>21.19999999999995</v>
      </c>
      <c r="EJ112" s="150">
        <v>21.4</v>
      </c>
      <c r="EK112" s="150">
        <v>21.599999999999948</v>
      </c>
    </row>
    <row r="113" spans="1:141" ht="13.2" x14ac:dyDescent="0.25">
      <c r="A113" s="149">
        <v>40087</v>
      </c>
      <c r="B113" s="219">
        <v>-1.7785964148750009</v>
      </c>
      <c r="C113" s="219">
        <v>-1.7482952255625008</v>
      </c>
      <c r="D113" s="219">
        <v>-1.7179940362500008</v>
      </c>
      <c r="E113" s="219">
        <v>-1.6876928469375008</v>
      </c>
      <c r="F113" s="219">
        <v>-1.6573916576250007</v>
      </c>
      <c r="G113" s="219">
        <v>-1.6270904683125007</v>
      </c>
      <c r="H113" s="219">
        <v>-1.5967892790000007</v>
      </c>
      <c r="I113" s="219">
        <v>-1.5664880896875006</v>
      </c>
      <c r="J113" s="219">
        <v>-1.5361869003750006</v>
      </c>
      <c r="K113" s="219">
        <v>-1.5058857110625006</v>
      </c>
      <c r="L113" s="219">
        <v>-1.4755845217500005</v>
      </c>
      <c r="M113" s="219">
        <v>-1.4452833324375005</v>
      </c>
      <c r="N113" s="219">
        <v>-1.4149821431250005</v>
      </c>
      <c r="O113" s="219">
        <v>-1.3846809538125004</v>
      </c>
      <c r="P113" s="219">
        <v>-1.3543797645000004</v>
      </c>
      <c r="Q113" s="219">
        <v>-1.3240785751875004</v>
      </c>
      <c r="R113" s="219">
        <v>-1.2937773858750004</v>
      </c>
      <c r="S113" s="219">
        <v>-1.2634761965625003</v>
      </c>
      <c r="T113" s="219">
        <v>-1.2331750072500003</v>
      </c>
      <c r="U113" s="219">
        <v>-1.2028738179375003</v>
      </c>
      <c r="V113" s="220">
        <v>-1.1725726286250002</v>
      </c>
      <c r="W113" s="219">
        <v>-1.1422714393125002</v>
      </c>
      <c r="X113" s="220">
        <v>-1.1119702500000002</v>
      </c>
      <c r="Y113" s="219">
        <v>-1.0832351250000003</v>
      </c>
      <c r="Z113" s="220">
        <v>-1.0545000000000002</v>
      </c>
      <c r="AA113" s="219">
        <v>-1.0272500000000002</v>
      </c>
      <c r="AB113" s="221">
        <v>-1</v>
      </c>
      <c r="AC113" s="219">
        <v>-0.8</v>
      </c>
      <c r="AD113" s="221">
        <v>-0.6</v>
      </c>
      <c r="AE113" s="219">
        <v>-0.4</v>
      </c>
      <c r="AF113" s="219">
        <v>-0.2</v>
      </c>
      <c r="AG113" s="150">
        <v>0</v>
      </c>
      <c r="AH113" s="150">
        <v>0.2</v>
      </c>
      <c r="AI113" s="150">
        <v>0.4</v>
      </c>
      <c r="AJ113" s="150">
        <v>0.6</v>
      </c>
      <c r="AK113" s="150">
        <v>0.8</v>
      </c>
      <c r="AL113" s="150">
        <v>1</v>
      </c>
      <c r="AM113" s="150">
        <v>1.2</v>
      </c>
      <c r="AN113" s="150">
        <v>1.4</v>
      </c>
      <c r="AO113" s="150">
        <v>1.6</v>
      </c>
      <c r="AP113" s="150">
        <v>1.8</v>
      </c>
      <c r="AQ113" s="150">
        <v>2</v>
      </c>
      <c r="AR113" s="150">
        <v>2.2000000000000002</v>
      </c>
      <c r="AS113" s="150">
        <v>2.4</v>
      </c>
      <c r="AT113" s="150">
        <v>2.6</v>
      </c>
      <c r="AU113" s="150">
        <v>2.8</v>
      </c>
      <c r="AV113" s="150">
        <v>3</v>
      </c>
      <c r="AW113" s="150">
        <v>3.2</v>
      </c>
      <c r="AX113" s="150">
        <v>3.4</v>
      </c>
      <c r="AY113" s="150">
        <v>3.6</v>
      </c>
      <c r="AZ113" s="150">
        <v>3.8</v>
      </c>
      <c r="BA113" s="150">
        <v>4</v>
      </c>
      <c r="BB113" s="150">
        <v>4.2</v>
      </c>
      <c r="BC113" s="150">
        <v>4.4000000000000004</v>
      </c>
      <c r="BD113" s="150">
        <v>4.5999999999999996</v>
      </c>
      <c r="BE113" s="150">
        <v>4.8</v>
      </c>
      <c r="BF113" s="150">
        <v>5</v>
      </c>
      <c r="BG113" s="150">
        <v>5.2</v>
      </c>
      <c r="BH113" s="150">
        <v>5.4</v>
      </c>
      <c r="BI113" s="150">
        <v>5.6</v>
      </c>
      <c r="BJ113" s="150">
        <v>5.8</v>
      </c>
      <c r="BK113" s="150">
        <v>6</v>
      </c>
      <c r="BL113" s="150">
        <v>6.2</v>
      </c>
      <c r="BM113" s="150">
        <v>6.4</v>
      </c>
      <c r="BN113" s="150">
        <v>6.6</v>
      </c>
      <c r="BO113" s="150">
        <v>6.8</v>
      </c>
      <c r="BP113" s="150">
        <v>7</v>
      </c>
      <c r="BQ113" s="150">
        <v>7.2</v>
      </c>
      <c r="BR113" s="150">
        <v>7.4</v>
      </c>
      <c r="BS113" s="150">
        <v>7.6</v>
      </c>
      <c r="BT113" s="150">
        <v>7.8</v>
      </c>
      <c r="BU113" s="150">
        <v>8</v>
      </c>
      <c r="BV113" s="150">
        <v>8.1999999999999993</v>
      </c>
      <c r="BW113" s="150">
        <v>8.4</v>
      </c>
      <c r="BX113" s="150">
        <v>8.6</v>
      </c>
      <c r="BY113" s="150">
        <v>8.7999999999999936</v>
      </c>
      <c r="BZ113" s="150">
        <v>9</v>
      </c>
      <c r="CA113" s="150">
        <v>9.1999999999999922</v>
      </c>
      <c r="CB113" s="150">
        <v>9.4</v>
      </c>
      <c r="CC113" s="150">
        <v>9.5999999999999908</v>
      </c>
      <c r="CD113" s="150">
        <v>9.8000000000000007</v>
      </c>
      <c r="CE113" s="150">
        <v>9.9999999999999893</v>
      </c>
      <c r="CF113" s="150">
        <v>10.199999999999999</v>
      </c>
      <c r="CG113" s="150">
        <v>10.4</v>
      </c>
      <c r="CH113" s="150">
        <v>10.6</v>
      </c>
      <c r="CI113" s="150">
        <v>10.8</v>
      </c>
      <c r="CJ113" s="150">
        <v>11</v>
      </c>
      <c r="CK113" s="150">
        <v>11.2</v>
      </c>
      <c r="CL113" s="150">
        <v>11.4</v>
      </c>
      <c r="CM113" s="150">
        <v>11.6</v>
      </c>
      <c r="CN113" s="150">
        <v>11.8</v>
      </c>
      <c r="CO113" s="150">
        <v>12</v>
      </c>
      <c r="CP113" s="150">
        <v>12.2</v>
      </c>
      <c r="CQ113" s="150">
        <v>12.4</v>
      </c>
      <c r="CR113" s="150">
        <v>12.6</v>
      </c>
      <c r="CS113" s="150">
        <v>12.8</v>
      </c>
      <c r="CT113" s="150">
        <v>13</v>
      </c>
      <c r="CU113" s="150">
        <v>13.2</v>
      </c>
      <c r="CV113" s="150">
        <v>13.4</v>
      </c>
      <c r="CW113" s="150">
        <v>13.6</v>
      </c>
      <c r="CX113" s="150">
        <v>13.8</v>
      </c>
      <c r="CY113" s="150">
        <v>14</v>
      </c>
      <c r="CZ113" s="150">
        <v>14.2</v>
      </c>
      <c r="DA113" s="150">
        <v>14.4</v>
      </c>
      <c r="DB113" s="150">
        <v>14.6</v>
      </c>
      <c r="DC113" s="150">
        <v>14.8</v>
      </c>
      <c r="DD113" s="150">
        <v>15</v>
      </c>
      <c r="DE113" s="150">
        <v>15.2</v>
      </c>
      <c r="DF113" s="150">
        <v>15.4</v>
      </c>
      <c r="DG113" s="150">
        <v>15.6</v>
      </c>
      <c r="DH113" s="150">
        <v>15.8</v>
      </c>
      <c r="DI113" s="150">
        <v>16</v>
      </c>
      <c r="DJ113" s="150">
        <v>16.2</v>
      </c>
      <c r="DK113" s="150">
        <v>16.399999999999999</v>
      </c>
      <c r="DL113" s="150">
        <v>16.600000000000001</v>
      </c>
      <c r="DM113" s="150">
        <v>16.8</v>
      </c>
      <c r="DN113" s="150">
        <v>17</v>
      </c>
      <c r="DO113" s="150">
        <v>17.2</v>
      </c>
      <c r="DP113" s="150">
        <v>17.399999999999999</v>
      </c>
      <c r="DQ113" s="150">
        <v>17.600000000000001</v>
      </c>
      <c r="DR113" s="150">
        <v>17.8</v>
      </c>
      <c r="DS113" s="150">
        <v>18</v>
      </c>
      <c r="DT113" s="150">
        <v>18.2</v>
      </c>
      <c r="DU113" s="150">
        <v>18.399999999999999</v>
      </c>
      <c r="DV113" s="150">
        <v>18.600000000000001</v>
      </c>
      <c r="DW113" s="150">
        <v>18.8</v>
      </c>
      <c r="DX113" s="150">
        <v>19</v>
      </c>
      <c r="DY113" s="150">
        <v>19.2</v>
      </c>
      <c r="DZ113" s="150">
        <v>19.399999999999999</v>
      </c>
      <c r="EA113" s="150">
        <v>19.600000000000001</v>
      </c>
      <c r="EB113" s="150">
        <v>19.8</v>
      </c>
      <c r="EC113" s="150">
        <v>20</v>
      </c>
      <c r="ED113" s="150">
        <v>20.2</v>
      </c>
      <c r="EE113" s="150">
        <v>20.399999999999999</v>
      </c>
      <c r="EF113" s="150">
        <v>20.6</v>
      </c>
      <c r="EG113" s="150">
        <v>20.799999999999951</v>
      </c>
      <c r="EH113" s="150">
        <v>21</v>
      </c>
      <c r="EI113" s="150">
        <v>21.19999999999995</v>
      </c>
      <c r="EJ113" s="150">
        <v>21.4</v>
      </c>
      <c r="EK113" s="150">
        <v>21.599999999999948</v>
      </c>
    </row>
    <row r="114" spans="1:141" ht="13.2" x14ac:dyDescent="0.25">
      <c r="A114" s="149">
        <v>40118</v>
      </c>
      <c r="B114" s="219">
        <v>-1.7785964148750009</v>
      </c>
      <c r="C114" s="219">
        <v>-1.7482952255625008</v>
      </c>
      <c r="D114" s="219">
        <v>-1.7179940362500008</v>
      </c>
      <c r="E114" s="219">
        <v>-1.6876928469375008</v>
      </c>
      <c r="F114" s="219">
        <v>-1.6573916576250007</v>
      </c>
      <c r="G114" s="219">
        <v>-1.6270904683125007</v>
      </c>
      <c r="H114" s="219">
        <v>-1.5967892790000007</v>
      </c>
      <c r="I114" s="219">
        <v>-1.5664880896875006</v>
      </c>
      <c r="J114" s="219">
        <v>-1.5361869003750006</v>
      </c>
      <c r="K114" s="219">
        <v>-1.5058857110625006</v>
      </c>
      <c r="L114" s="219">
        <v>-1.4755845217500005</v>
      </c>
      <c r="M114" s="219">
        <v>-1.4452833324375005</v>
      </c>
      <c r="N114" s="219">
        <v>-1.4149821431250005</v>
      </c>
      <c r="O114" s="219">
        <v>-1.3846809538125004</v>
      </c>
      <c r="P114" s="219">
        <v>-1.3543797645000004</v>
      </c>
      <c r="Q114" s="219">
        <v>-1.3240785751875004</v>
      </c>
      <c r="R114" s="219">
        <v>-1.2937773858750004</v>
      </c>
      <c r="S114" s="219">
        <v>-1.2634761965625003</v>
      </c>
      <c r="T114" s="219">
        <v>-1.2331750072500003</v>
      </c>
      <c r="U114" s="219">
        <v>-1.2028738179375003</v>
      </c>
      <c r="V114" s="220">
        <v>-1.1725726286250002</v>
      </c>
      <c r="W114" s="219">
        <v>-1.1422714393125002</v>
      </c>
      <c r="X114" s="220">
        <v>-1.1119702500000002</v>
      </c>
      <c r="Y114" s="219">
        <v>-1.0832351250000003</v>
      </c>
      <c r="Z114" s="220">
        <v>-1.0545000000000002</v>
      </c>
      <c r="AA114" s="219">
        <v>-1.0272500000000002</v>
      </c>
      <c r="AB114" s="221">
        <v>-1</v>
      </c>
      <c r="AC114" s="219">
        <v>-0.8</v>
      </c>
      <c r="AD114" s="221">
        <v>-0.6</v>
      </c>
      <c r="AE114" s="219">
        <v>-0.4</v>
      </c>
      <c r="AF114" s="219">
        <v>-0.2</v>
      </c>
      <c r="AG114" s="150">
        <v>0</v>
      </c>
      <c r="AH114" s="150">
        <v>0.2</v>
      </c>
      <c r="AI114" s="150">
        <v>0.4</v>
      </c>
      <c r="AJ114" s="150">
        <v>0.6</v>
      </c>
      <c r="AK114" s="150">
        <v>0.8</v>
      </c>
      <c r="AL114" s="150">
        <v>1</v>
      </c>
      <c r="AM114" s="150">
        <v>1.2</v>
      </c>
      <c r="AN114" s="150">
        <v>1.4</v>
      </c>
      <c r="AO114" s="150">
        <v>1.6</v>
      </c>
      <c r="AP114" s="150">
        <v>1.8</v>
      </c>
      <c r="AQ114" s="150">
        <v>2</v>
      </c>
      <c r="AR114" s="150">
        <v>2.2000000000000002</v>
      </c>
      <c r="AS114" s="150">
        <v>2.4</v>
      </c>
      <c r="AT114" s="150">
        <v>2.6</v>
      </c>
      <c r="AU114" s="150">
        <v>2.8</v>
      </c>
      <c r="AV114" s="150">
        <v>3</v>
      </c>
      <c r="AW114" s="150">
        <v>3.2</v>
      </c>
      <c r="AX114" s="150">
        <v>3.4</v>
      </c>
      <c r="AY114" s="150">
        <v>3.6</v>
      </c>
      <c r="AZ114" s="150">
        <v>3.8</v>
      </c>
      <c r="BA114" s="150">
        <v>4</v>
      </c>
      <c r="BB114" s="150">
        <v>4.2</v>
      </c>
      <c r="BC114" s="150">
        <v>4.4000000000000004</v>
      </c>
      <c r="BD114" s="150">
        <v>4.5999999999999996</v>
      </c>
      <c r="BE114" s="150">
        <v>4.8</v>
      </c>
      <c r="BF114" s="150">
        <v>5</v>
      </c>
      <c r="BG114" s="150">
        <v>5.2</v>
      </c>
      <c r="BH114" s="150">
        <v>5.4</v>
      </c>
      <c r="BI114" s="150">
        <v>5.6</v>
      </c>
      <c r="BJ114" s="150">
        <v>5.8</v>
      </c>
      <c r="BK114" s="150">
        <v>6</v>
      </c>
      <c r="BL114" s="150">
        <v>6.2</v>
      </c>
      <c r="BM114" s="150">
        <v>6.4</v>
      </c>
      <c r="BN114" s="150">
        <v>6.6</v>
      </c>
      <c r="BO114" s="150">
        <v>6.8</v>
      </c>
      <c r="BP114" s="150">
        <v>7</v>
      </c>
      <c r="BQ114" s="150">
        <v>7.2</v>
      </c>
      <c r="BR114" s="150">
        <v>7.4</v>
      </c>
      <c r="BS114" s="150">
        <v>7.6</v>
      </c>
      <c r="BT114" s="150">
        <v>7.8</v>
      </c>
      <c r="BU114" s="150">
        <v>8</v>
      </c>
      <c r="BV114" s="150">
        <v>8.1999999999999993</v>
      </c>
      <c r="BW114" s="150">
        <v>8.4</v>
      </c>
      <c r="BX114" s="150">
        <v>8.6</v>
      </c>
      <c r="BY114" s="150">
        <v>8.7999999999999936</v>
      </c>
      <c r="BZ114" s="150">
        <v>9</v>
      </c>
      <c r="CA114" s="150">
        <v>9.1999999999999922</v>
      </c>
      <c r="CB114" s="150">
        <v>9.4</v>
      </c>
      <c r="CC114" s="150">
        <v>9.5999999999999908</v>
      </c>
      <c r="CD114" s="150">
        <v>9.8000000000000007</v>
      </c>
      <c r="CE114" s="150">
        <v>9.9999999999999893</v>
      </c>
      <c r="CF114" s="150">
        <v>10.199999999999999</v>
      </c>
      <c r="CG114" s="150">
        <v>10.4</v>
      </c>
      <c r="CH114" s="150">
        <v>10.6</v>
      </c>
      <c r="CI114" s="150">
        <v>10.8</v>
      </c>
      <c r="CJ114" s="150">
        <v>11</v>
      </c>
      <c r="CK114" s="150">
        <v>11.2</v>
      </c>
      <c r="CL114" s="150">
        <v>11.4</v>
      </c>
      <c r="CM114" s="150">
        <v>11.6</v>
      </c>
      <c r="CN114" s="150">
        <v>11.8</v>
      </c>
      <c r="CO114" s="150">
        <v>12</v>
      </c>
      <c r="CP114" s="150">
        <v>12.2</v>
      </c>
      <c r="CQ114" s="150">
        <v>12.4</v>
      </c>
      <c r="CR114" s="150">
        <v>12.6</v>
      </c>
      <c r="CS114" s="150">
        <v>12.8</v>
      </c>
      <c r="CT114" s="150">
        <v>13</v>
      </c>
      <c r="CU114" s="150">
        <v>13.2</v>
      </c>
      <c r="CV114" s="150">
        <v>13.4</v>
      </c>
      <c r="CW114" s="150">
        <v>13.6</v>
      </c>
      <c r="CX114" s="150">
        <v>13.8</v>
      </c>
      <c r="CY114" s="150">
        <v>14</v>
      </c>
      <c r="CZ114" s="150">
        <v>14.2</v>
      </c>
      <c r="DA114" s="150">
        <v>14.4</v>
      </c>
      <c r="DB114" s="150">
        <v>14.6</v>
      </c>
      <c r="DC114" s="150">
        <v>14.8</v>
      </c>
      <c r="DD114" s="150">
        <v>15</v>
      </c>
      <c r="DE114" s="150">
        <v>15.2</v>
      </c>
      <c r="DF114" s="150">
        <v>15.4</v>
      </c>
      <c r="DG114" s="150">
        <v>15.6</v>
      </c>
      <c r="DH114" s="150">
        <v>15.8</v>
      </c>
      <c r="DI114" s="150">
        <v>16</v>
      </c>
      <c r="DJ114" s="150">
        <v>16.2</v>
      </c>
      <c r="DK114" s="150">
        <v>16.399999999999999</v>
      </c>
      <c r="DL114" s="150">
        <v>16.600000000000001</v>
      </c>
      <c r="DM114" s="150">
        <v>16.8</v>
      </c>
      <c r="DN114" s="150">
        <v>17</v>
      </c>
      <c r="DO114" s="150">
        <v>17.2</v>
      </c>
      <c r="DP114" s="150">
        <v>17.399999999999999</v>
      </c>
      <c r="DQ114" s="150">
        <v>17.600000000000001</v>
      </c>
      <c r="DR114" s="150">
        <v>17.8</v>
      </c>
      <c r="DS114" s="150">
        <v>18</v>
      </c>
      <c r="DT114" s="150">
        <v>18.2</v>
      </c>
      <c r="DU114" s="150">
        <v>18.399999999999999</v>
      </c>
      <c r="DV114" s="150">
        <v>18.600000000000001</v>
      </c>
      <c r="DW114" s="150">
        <v>18.8</v>
      </c>
      <c r="DX114" s="150">
        <v>19</v>
      </c>
      <c r="DY114" s="150">
        <v>19.2</v>
      </c>
      <c r="DZ114" s="150">
        <v>19.399999999999999</v>
      </c>
      <c r="EA114" s="150">
        <v>19.600000000000001</v>
      </c>
      <c r="EB114" s="150">
        <v>19.8</v>
      </c>
      <c r="EC114" s="150">
        <v>20</v>
      </c>
      <c r="ED114" s="150">
        <v>20.2</v>
      </c>
      <c r="EE114" s="150">
        <v>20.399999999999999</v>
      </c>
      <c r="EF114" s="150">
        <v>20.6</v>
      </c>
      <c r="EG114" s="150">
        <v>20.799999999999951</v>
      </c>
      <c r="EH114" s="150">
        <v>21</v>
      </c>
      <c r="EI114" s="150">
        <v>21.19999999999995</v>
      </c>
      <c r="EJ114" s="150">
        <v>21.4</v>
      </c>
      <c r="EK114" s="150">
        <v>21.599999999999948</v>
      </c>
    </row>
    <row r="115" spans="1:141" ht="13.2" x14ac:dyDescent="0.25">
      <c r="A115" s="149">
        <v>40148</v>
      </c>
      <c r="B115" s="219">
        <v>-1.7785964148750009</v>
      </c>
      <c r="C115" s="219">
        <v>-1.7482952255625008</v>
      </c>
      <c r="D115" s="219">
        <v>-1.7179940362500008</v>
      </c>
      <c r="E115" s="219">
        <v>-1.6876928469375008</v>
      </c>
      <c r="F115" s="219">
        <v>-1.6573916576250007</v>
      </c>
      <c r="G115" s="219">
        <v>-1.6270904683125007</v>
      </c>
      <c r="H115" s="219">
        <v>-1.5967892790000007</v>
      </c>
      <c r="I115" s="219">
        <v>-1.5664880896875006</v>
      </c>
      <c r="J115" s="219">
        <v>-1.5361869003750006</v>
      </c>
      <c r="K115" s="219">
        <v>-1.5058857110625006</v>
      </c>
      <c r="L115" s="219">
        <v>-1.4755845217500005</v>
      </c>
      <c r="M115" s="219">
        <v>-1.4452833324375005</v>
      </c>
      <c r="N115" s="219">
        <v>-1.4149821431250005</v>
      </c>
      <c r="O115" s="219">
        <v>-1.3846809538125004</v>
      </c>
      <c r="P115" s="219">
        <v>-1.3543797645000004</v>
      </c>
      <c r="Q115" s="219">
        <v>-1.3240785751875004</v>
      </c>
      <c r="R115" s="219">
        <v>-1.2937773858750004</v>
      </c>
      <c r="S115" s="219">
        <v>-1.2634761965625003</v>
      </c>
      <c r="T115" s="219">
        <v>-1.2331750072500003</v>
      </c>
      <c r="U115" s="219">
        <v>-1.2028738179375003</v>
      </c>
      <c r="V115" s="220">
        <v>-1.1725726286250002</v>
      </c>
      <c r="W115" s="219">
        <v>-1.1422714393125002</v>
      </c>
      <c r="X115" s="220">
        <v>-1.1119702500000002</v>
      </c>
      <c r="Y115" s="219">
        <v>-1.0832351250000003</v>
      </c>
      <c r="Z115" s="220">
        <v>-1.0545000000000002</v>
      </c>
      <c r="AA115" s="219">
        <v>-1.0272500000000002</v>
      </c>
      <c r="AB115" s="221">
        <v>-1</v>
      </c>
      <c r="AC115" s="219">
        <v>-0.8</v>
      </c>
      <c r="AD115" s="221">
        <v>-0.6</v>
      </c>
      <c r="AE115" s="219">
        <v>-0.4</v>
      </c>
      <c r="AF115" s="219">
        <v>-0.2</v>
      </c>
      <c r="AG115" s="150">
        <v>0</v>
      </c>
      <c r="AH115" s="150">
        <v>0.2</v>
      </c>
      <c r="AI115" s="150">
        <v>0.4</v>
      </c>
      <c r="AJ115" s="150">
        <v>0.6</v>
      </c>
      <c r="AK115" s="150">
        <v>0.8</v>
      </c>
      <c r="AL115" s="150">
        <v>1</v>
      </c>
      <c r="AM115" s="150">
        <v>1.2</v>
      </c>
      <c r="AN115" s="150">
        <v>1.4</v>
      </c>
      <c r="AO115" s="150">
        <v>1.6</v>
      </c>
      <c r="AP115" s="150">
        <v>1.8</v>
      </c>
      <c r="AQ115" s="150">
        <v>2</v>
      </c>
      <c r="AR115" s="150">
        <v>2.2000000000000002</v>
      </c>
      <c r="AS115" s="150">
        <v>2.4</v>
      </c>
      <c r="AT115" s="150">
        <v>2.6</v>
      </c>
      <c r="AU115" s="150">
        <v>2.8</v>
      </c>
      <c r="AV115" s="150">
        <v>3</v>
      </c>
      <c r="AW115" s="150">
        <v>3.2</v>
      </c>
      <c r="AX115" s="150">
        <v>3.4</v>
      </c>
      <c r="AY115" s="150">
        <v>3.6</v>
      </c>
      <c r="AZ115" s="150">
        <v>3.8</v>
      </c>
      <c r="BA115" s="150">
        <v>4</v>
      </c>
      <c r="BB115" s="150">
        <v>4.2</v>
      </c>
      <c r="BC115" s="150">
        <v>4.4000000000000004</v>
      </c>
      <c r="BD115" s="150">
        <v>4.5999999999999996</v>
      </c>
      <c r="BE115" s="150">
        <v>4.8</v>
      </c>
      <c r="BF115" s="150">
        <v>5</v>
      </c>
      <c r="BG115" s="150">
        <v>5.2</v>
      </c>
      <c r="BH115" s="150">
        <v>5.4</v>
      </c>
      <c r="BI115" s="150">
        <v>5.6</v>
      </c>
      <c r="BJ115" s="150">
        <v>5.8</v>
      </c>
      <c r="BK115" s="150">
        <v>6</v>
      </c>
      <c r="BL115" s="150">
        <v>6.2</v>
      </c>
      <c r="BM115" s="150">
        <v>6.4</v>
      </c>
      <c r="BN115" s="150">
        <v>6.6</v>
      </c>
      <c r="BO115" s="150">
        <v>6.8</v>
      </c>
      <c r="BP115" s="150">
        <v>7</v>
      </c>
      <c r="BQ115" s="150">
        <v>7.2</v>
      </c>
      <c r="BR115" s="150">
        <v>7.4</v>
      </c>
      <c r="BS115" s="150">
        <v>7.6</v>
      </c>
      <c r="BT115" s="150">
        <v>7.8</v>
      </c>
      <c r="BU115" s="150">
        <v>8</v>
      </c>
      <c r="BV115" s="150">
        <v>8.1999999999999993</v>
      </c>
      <c r="BW115" s="150">
        <v>8.4</v>
      </c>
      <c r="BX115" s="150">
        <v>8.6</v>
      </c>
      <c r="BY115" s="150">
        <v>8.7999999999999936</v>
      </c>
      <c r="BZ115" s="150">
        <v>9</v>
      </c>
      <c r="CA115" s="150">
        <v>9.1999999999999922</v>
      </c>
      <c r="CB115" s="150">
        <v>9.4</v>
      </c>
      <c r="CC115" s="150">
        <v>9.5999999999999908</v>
      </c>
      <c r="CD115" s="150">
        <v>9.8000000000000007</v>
      </c>
      <c r="CE115" s="150">
        <v>9.9999999999999893</v>
      </c>
      <c r="CF115" s="150">
        <v>10.199999999999999</v>
      </c>
      <c r="CG115" s="150">
        <v>10.4</v>
      </c>
      <c r="CH115" s="150">
        <v>10.6</v>
      </c>
      <c r="CI115" s="150">
        <v>10.8</v>
      </c>
      <c r="CJ115" s="150">
        <v>11</v>
      </c>
      <c r="CK115" s="150">
        <v>11.2</v>
      </c>
      <c r="CL115" s="150">
        <v>11.4</v>
      </c>
      <c r="CM115" s="150">
        <v>11.6</v>
      </c>
      <c r="CN115" s="150">
        <v>11.8</v>
      </c>
      <c r="CO115" s="150">
        <v>12</v>
      </c>
      <c r="CP115" s="150">
        <v>12.2</v>
      </c>
      <c r="CQ115" s="150">
        <v>12.4</v>
      </c>
      <c r="CR115" s="150">
        <v>12.6</v>
      </c>
      <c r="CS115" s="150">
        <v>12.8</v>
      </c>
      <c r="CT115" s="150">
        <v>13</v>
      </c>
      <c r="CU115" s="150">
        <v>13.2</v>
      </c>
      <c r="CV115" s="150">
        <v>13.4</v>
      </c>
      <c r="CW115" s="150">
        <v>13.6</v>
      </c>
      <c r="CX115" s="150">
        <v>13.8</v>
      </c>
      <c r="CY115" s="150">
        <v>14</v>
      </c>
      <c r="CZ115" s="150">
        <v>14.2</v>
      </c>
      <c r="DA115" s="150">
        <v>14.4</v>
      </c>
      <c r="DB115" s="150">
        <v>14.6</v>
      </c>
      <c r="DC115" s="150">
        <v>14.8</v>
      </c>
      <c r="DD115" s="150">
        <v>15</v>
      </c>
      <c r="DE115" s="150">
        <v>15.2</v>
      </c>
      <c r="DF115" s="150">
        <v>15.4</v>
      </c>
      <c r="DG115" s="150">
        <v>15.6</v>
      </c>
      <c r="DH115" s="150">
        <v>15.8</v>
      </c>
      <c r="DI115" s="150">
        <v>16</v>
      </c>
      <c r="DJ115" s="150">
        <v>16.2</v>
      </c>
      <c r="DK115" s="150">
        <v>16.399999999999999</v>
      </c>
      <c r="DL115" s="150">
        <v>16.600000000000001</v>
      </c>
      <c r="DM115" s="150">
        <v>16.8</v>
      </c>
      <c r="DN115" s="150">
        <v>17</v>
      </c>
      <c r="DO115" s="150">
        <v>17.2</v>
      </c>
      <c r="DP115" s="150">
        <v>17.399999999999999</v>
      </c>
      <c r="DQ115" s="150">
        <v>17.600000000000001</v>
      </c>
      <c r="DR115" s="150">
        <v>17.8</v>
      </c>
      <c r="DS115" s="150">
        <v>18</v>
      </c>
      <c r="DT115" s="150">
        <v>18.2</v>
      </c>
      <c r="DU115" s="150">
        <v>18.399999999999999</v>
      </c>
      <c r="DV115" s="150">
        <v>18.600000000000001</v>
      </c>
      <c r="DW115" s="150">
        <v>18.8</v>
      </c>
      <c r="DX115" s="150">
        <v>19</v>
      </c>
      <c r="DY115" s="150">
        <v>19.2</v>
      </c>
      <c r="DZ115" s="150">
        <v>19.399999999999999</v>
      </c>
      <c r="EA115" s="150">
        <v>19.600000000000001</v>
      </c>
      <c r="EB115" s="150">
        <v>19.8</v>
      </c>
      <c r="EC115" s="150">
        <v>20</v>
      </c>
      <c r="ED115" s="150">
        <v>20.2</v>
      </c>
      <c r="EE115" s="150">
        <v>20.399999999999999</v>
      </c>
      <c r="EF115" s="150">
        <v>20.6</v>
      </c>
      <c r="EG115" s="150">
        <v>20.799999999999951</v>
      </c>
      <c r="EH115" s="150">
        <v>21</v>
      </c>
      <c r="EI115" s="150">
        <v>21.19999999999995</v>
      </c>
      <c r="EJ115" s="150">
        <v>21.4</v>
      </c>
      <c r="EK115" s="150">
        <v>21.599999999999948</v>
      </c>
    </row>
    <row r="116" spans="1:141" ht="13.2" x14ac:dyDescent="0.25">
      <c r="A116" s="149">
        <v>40179</v>
      </c>
      <c r="B116" s="219">
        <v>-1.7785964148750009</v>
      </c>
      <c r="C116" s="219">
        <v>-1.7482952255625008</v>
      </c>
      <c r="D116" s="219">
        <v>-1.7179940362500008</v>
      </c>
      <c r="E116" s="219">
        <v>-1.6876928469375008</v>
      </c>
      <c r="F116" s="219">
        <v>-1.6573916576250007</v>
      </c>
      <c r="G116" s="219">
        <v>-1.6270904683125007</v>
      </c>
      <c r="H116" s="219">
        <v>-1.5967892790000007</v>
      </c>
      <c r="I116" s="219">
        <v>-1.5664880896875006</v>
      </c>
      <c r="J116" s="219">
        <v>-1.5361869003750006</v>
      </c>
      <c r="K116" s="219">
        <v>-1.5058857110625006</v>
      </c>
      <c r="L116" s="219">
        <v>-1.4755845217500005</v>
      </c>
      <c r="M116" s="219">
        <v>-1.4452833324375005</v>
      </c>
      <c r="N116" s="219">
        <v>-1.4149821431250005</v>
      </c>
      <c r="O116" s="219">
        <v>-1.3846809538125004</v>
      </c>
      <c r="P116" s="219">
        <v>-1.3543797645000004</v>
      </c>
      <c r="Q116" s="219">
        <v>-1.3240785751875004</v>
      </c>
      <c r="R116" s="219">
        <v>-1.2937773858750004</v>
      </c>
      <c r="S116" s="219">
        <v>-1.2634761965625003</v>
      </c>
      <c r="T116" s="219">
        <v>-1.2331750072500003</v>
      </c>
      <c r="U116" s="219">
        <v>-1.2028738179375003</v>
      </c>
      <c r="V116" s="220">
        <v>-1.1725726286250002</v>
      </c>
      <c r="W116" s="219">
        <v>-1.1422714393125002</v>
      </c>
      <c r="X116" s="220">
        <v>-1.1119702500000002</v>
      </c>
      <c r="Y116" s="219">
        <v>-1.0832351250000003</v>
      </c>
      <c r="Z116" s="220">
        <v>-1.0545000000000002</v>
      </c>
      <c r="AA116" s="219">
        <v>-1.0272500000000002</v>
      </c>
      <c r="AB116" s="221">
        <v>-1</v>
      </c>
      <c r="AC116" s="219">
        <v>-0.8</v>
      </c>
      <c r="AD116" s="221">
        <v>-0.6</v>
      </c>
      <c r="AE116" s="219">
        <v>-0.4</v>
      </c>
      <c r="AF116" s="219">
        <v>-0.2</v>
      </c>
      <c r="AG116" s="150">
        <v>0</v>
      </c>
      <c r="AH116" s="150">
        <v>0.2</v>
      </c>
      <c r="AI116" s="150">
        <v>0.4</v>
      </c>
      <c r="AJ116" s="150">
        <v>0.6</v>
      </c>
      <c r="AK116" s="150">
        <v>0.8</v>
      </c>
      <c r="AL116" s="150">
        <v>1</v>
      </c>
      <c r="AM116" s="150">
        <v>1.2</v>
      </c>
      <c r="AN116" s="150">
        <v>1.4</v>
      </c>
      <c r="AO116" s="150">
        <v>1.6</v>
      </c>
      <c r="AP116" s="150">
        <v>1.8</v>
      </c>
      <c r="AQ116" s="150">
        <v>2</v>
      </c>
      <c r="AR116" s="150">
        <v>2.2000000000000002</v>
      </c>
      <c r="AS116" s="150">
        <v>2.4</v>
      </c>
      <c r="AT116" s="150">
        <v>2.6</v>
      </c>
      <c r="AU116" s="150">
        <v>2.8</v>
      </c>
      <c r="AV116" s="150">
        <v>3</v>
      </c>
      <c r="AW116" s="150">
        <v>3.2</v>
      </c>
      <c r="AX116" s="150">
        <v>3.4</v>
      </c>
      <c r="AY116" s="150">
        <v>3.6</v>
      </c>
      <c r="AZ116" s="150">
        <v>3.8</v>
      </c>
      <c r="BA116" s="150">
        <v>4</v>
      </c>
      <c r="BB116" s="150">
        <v>4.2</v>
      </c>
      <c r="BC116" s="150">
        <v>4.4000000000000004</v>
      </c>
      <c r="BD116" s="150">
        <v>4.5999999999999996</v>
      </c>
      <c r="BE116" s="150">
        <v>4.8</v>
      </c>
      <c r="BF116" s="150">
        <v>5</v>
      </c>
      <c r="BG116" s="150">
        <v>5.2</v>
      </c>
      <c r="BH116" s="150">
        <v>5.4</v>
      </c>
      <c r="BI116" s="150">
        <v>5.6</v>
      </c>
      <c r="BJ116" s="150">
        <v>5.8</v>
      </c>
      <c r="BK116" s="150">
        <v>6</v>
      </c>
      <c r="BL116" s="150">
        <v>6.2</v>
      </c>
      <c r="BM116" s="150">
        <v>6.4</v>
      </c>
      <c r="BN116" s="150">
        <v>6.6</v>
      </c>
      <c r="BO116" s="150">
        <v>6.8</v>
      </c>
      <c r="BP116" s="150">
        <v>7</v>
      </c>
      <c r="BQ116" s="150">
        <v>7.2</v>
      </c>
      <c r="BR116" s="150">
        <v>7.4</v>
      </c>
      <c r="BS116" s="150">
        <v>7.6</v>
      </c>
      <c r="BT116" s="150">
        <v>7.8</v>
      </c>
      <c r="BU116" s="150">
        <v>8</v>
      </c>
      <c r="BV116" s="150">
        <v>8.1999999999999993</v>
      </c>
      <c r="BW116" s="150">
        <v>8.4</v>
      </c>
      <c r="BX116" s="150">
        <v>8.6</v>
      </c>
      <c r="BY116" s="150">
        <v>8.7999999999999936</v>
      </c>
      <c r="BZ116" s="150">
        <v>9</v>
      </c>
      <c r="CA116" s="150">
        <v>9.1999999999999922</v>
      </c>
      <c r="CB116" s="150">
        <v>9.4</v>
      </c>
      <c r="CC116" s="150">
        <v>9.5999999999999908</v>
      </c>
      <c r="CD116" s="150">
        <v>9.8000000000000007</v>
      </c>
      <c r="CE116" s="150">
        <v>9.9999999999999893</v>
      </c>
      <c r="CF116" s="150">
        <v>10.199999999999999</v>
      </c>
      <c r="CG116" s="150">
        <v>10.4</v>
      </c>
      <c r="CH116" s="150">
        <v>10.6</v>
      </c>
      <c r="CI116" s="150">
        <v>10.8</v>
      </c>
      <c r="CJ116" s="150">
        <v>11</v>
      </c>
      <c r="CK116" s="150">
        <v>11.2</v>
      </c>
      <c r="CL116" s="150">
        <v>11.4</v>
      </c>
      <c r="CM116" s="150">
        <v>11.6</v>
      </c>
      <c r="CN116" s="150">
        <v>11.8</v>
      </c>
      <c r="CO116" s="150">
        <v>12</v>
      </c>
      <c r="CP116" s="150">
        <v>12.2</v>
      </c>
      <c r="CQ116" s="150">
        <v>12.4</v>
      </c>
      <c r="CR116" s="150">
        <v>12.6</v>
      </c>
      <c r="CS116" s="150">
        <v>12.8</v>
      </c>
      <c r="CT116" s="150">
        <v>13</v>
      </c>
      <c r="CU116" s="150">
        <v>13.2</v>
      </c>
      <c r="CV116" s="150">
        <v>13.4</v>
      </c>
      <c r="CW116" s="150">
        <v>13.6</v>
      </c>
      <c r="CX116" s="150">
        <v>13.8</v>
      </c>
      <c r="CY116" s="150">
        <v>14</v>
      </c>
      <c r="CZ116" s="150">
        <v>14.2</v>
      </c>
      <c r="DA116" s="150">
        <v>14.4</v>
      </c>
      <c r="DB116" s="150">
        <v>14.6</v>
      </c>
      <c r="DC116" s="150">
        <v>14.8</v>
      </c>
      <c r="DD116" s="150">
        <v>15</v>
      </c>
      <c r="DE116" s="150">
        <v>15.2</v>
      </c>
      <c r="DF116" s="150">
        <v>15.4</v>
      </c>
      <c r="DG116" s="150">
        <v>15.6</v>
      </c>
      <c r="DH116" s="150">
        <v>15.8</v>
      </c>
      <c r="DI116" s="150">
        <v>16</v>
      </c>
      <c r="DJ116" s="150">
        <v>16.2</v>
      </c>
      <c r="DK116" s="150">
        <v>16.399999999999999</v>
      </c>
      <c r="DL116" s="150">
        <v>16.600000000000001</v>
      </c>
      <c r="DM116" s="150">
        <v>16.8</v>
      </c>
      <c r="DN116" s="150">
        <v>17</v>
      </c>
      <c r="DO116" s="150">
        <v>17.2</v>
      </c>
      <c r="DP116" s="150">
        <v>17.399999999999999</v>
      </c>
      <c r="DQ116" s="150">
        <v>17.600000000000001</v>
      </c>
      <c r="DR116" s="150">
        <v>17.8</v>
      </c>
      <c r="DS116" s="150">
        <v>18</v>
      </c>
      <c r="DT116" s="150">
        <v>18.2</v>
      </c>
      <c r="DU116" s="150">
        <v>18.399999999999999</v>
      </c>
      <c r="DV116" s="150">
        <v>18.600000000000001</v>
      </c>
      <c r="DW116" s="150">
        <v>18.8</v>
      </c>
      <c r="DX116" s="150">
        <v>19</v>
      </c>
      <c r="DY116" s="150">
        <v>19.2</v>
      </c>
      <c r="DZ116" s="150">
        <v>19.399999999999999</v>
      </c>
      <c r="EA116" s="150">
        <v>19.600000000000001</v>
      </c>
      <c r="EB116" s="150">
        <v>19.8</v>
      </c>
      <c r="EC116" s="150">
        <v>20</v>
      </c>
      <c r="ED116" s="150">
        <v>20.2</v>
      </c>
      <c r="EE116" s="150">
        <v>20.399999999999999</v>
      </c>
      <c r="EF116" s="150">
        <v>20.6</v>
      </c>
      <c r="EG116" s="150">
        <v>20.799999999999951</v>
      </c>
      <c r="EH116" s="150">
        <v>21</v>
      </c>
      <c r="EI116" s="150">
        <v>21.19999999999995</v>
      </c>
      <c r="EJ116" s="150">
        <v>21.4</v>
      </c>
      <c r="EK116" s="150">
        <v>21.599999999999948</v>
      </c>
    </row>
    <row r="117" spans="1:141" ht="13.2" x14ac:dyDescent="0.25">
      <c r="A117" s="149">
        <v>40210</v>
      </c>
      <c r="B117" s="219">
        <v>-1.7785964148750009</v>
      </c>
      <c r="C117" s="219">
        <v>-1.7482952255625008</v>
      </c>
      <c r="D117" s="219">
        <v>-1.7179940362500008</v>
      </c>
      <c r="E117" s="219">
        <v>-1.6876928469375008</v>
      </c>
      <c r="F117" s="219">
        <v>-1.6573916576250007</v>
      </c>
      <c r="G117" s="219">
        <v>-1.6270904683125007</v>
      </c>
      <c r="H117" s="219">
        <v>-1.5967892790000007</v>
      </c>
      <c r="I117" s="219">
        <v>-1.5664880896875006</v>
      </c>
      <c r="J117" s="219">
        <v>-1.5361869003750006</v>
      </c>
      <c r="K117" s="219">
        <v>-1.5058857110625006</v>
      </c>
      <c r="L117" s="219">
        <v>-1.4755845217500005</v>
      </c>
      <c r="M117" s="219">
        <v>-1.4452833324375005</v>
      </c>
      <c r="N117" s="219">
        <v>-1.4149821431250005</v>
      </c>
      <c r="O117" s="219">
        <v>-1.3846809538125004</v>
      </c>
      <c r="P117" s="219">
        <v>-1.3543797645000004</v>
      </c>
      <c r="Q117" s="219">
        <v>-1.3240785751875004</v>
      </c>
      <c r="R117" s="219">
        <v>-1.2937773858750004</v>
      </c>
      <c r="S117" s="219">
        <v>-1.2634761965625003</v>
      </c>
      <c r="T117" s="219">
        <v>-1.2331750072500003</v>
      </c>
      <c r="U117" s="219">
        <v>-1.2028738179375003</v>
      </c>
      <c r="V117" s="220">
        <v>-1.1725726286250002</v>
      </c>
      <c r="W117" s="219">
        <v>-1.1422714393125002</v>
      </c>
      <c r="X117" s="220">
        <v>-1.1119702500000002</v>
      </c>
      <c r="Y117" s="219">
        <v>-1.0832351250000003</v>
      </c>
      <c r="Z117" s="220">
        <v>-1.0545000000000002</v>
      </c>
      <c r="AA117" s="219">
        <v>-1.0272500000000002</v>
      </c>
      <c r="AB117" s="221">
        <v>-1</v>
      </c>
      <c r="AC117" s="219">
        <v>-0.8</v>
      </c>
      <c r="AD117" s="221">
        <v>-0.6</v>
      </c>
      <c r="AE117" s="219">
        <v>-0.4</v>
      </c>
      <c r="AF117" s="219">
        <v>-0.2</v>
      </c>
      <c r="AG117" s="150">
        <v>0</v>
      </c>
      <c r="AH117" s="150">
        <v>0.2</v>
      </c>
      <c r="AI117" s="150">
        <v>0.4</v>
      </c>
      <c r="AJ117" s="150">
        <v>0.6</v>
      </c>
      <c r="AK117" s="150">
        <v>0.8</v>
      </c>
      <c r="AL117" s="150">
        <v>1</v>
      </c>
      <c r="AM117" s="150">
        <v>1.2</v>
      </c>
      <c r="AN117" s="150">
        <v>1.4</v>
      </c>
      <c r="AO117" s="150">
        <v>1.6</v>
      </c>
      <c r="AP117" s="150">
        <v>1.8</v>
      </c>
      <c r="AQ117" s="150">
        <v>2</v>
      </c>
      <c r="AR117" s="150">
        <v>2.2000000000000002</v>
      </c>
      <c r="AS117" s="150">
        <v>2.4</v>
      </c>
      <c r="AT117" s="150">
        <v>2.6</v>
      </c>
      <c r="AU117" s="150">
        <v>2.8</v>
      </c>
      <c r="AV117" s="150">
        <v>3</v>
      </c>
      <c r="AW117" s="150">
        <v>3.2</v>
      </c>
      <c r="AX117" s="150">
        <v>3.4</v>
      </c>
      <c r="AY117" s="150">
        <v>3.6</v>
      </c>
      <c r="AZ117" s="150">
        <v>3.8</v>
      </c>
      <c r="BA117" s="150">
        <v>4</v>
      </c>
      <c r="BB117" s="150">
        <v>4.2</v>
      </c>
      <c r="BC117" s="150">
        <v>4.4000000000000004</v>
      </c>
      <c r="BD117" s="150">
        <v>4.5999999999999996</v>
      </c>
      <c r="BE117" s="150">
        <v>4.8</v>
      </c>
      <c r="BF117" s="150">
        <v>5</v>
      </c>
      <c r="BG117" s="150">
        <v>5.2</v>
      </c>
      <c r="BH117" s="150">
        <v>5.4</v>
      </c>
      <c r="BI117" s="150">
        <v>5.6</v>
      </c>
      <c r="BJ117" s="150">
        <v>5.8</v>
      </c>
      <c r="BK117" s="150">
        <v>6</v>
      </c>
      <c r="BL117" s="150">
        <v>6.2</v>
      </c>
      <c r="BM117" s="150">
        <v>6.4</v>
      </c>
      <c r="BN117" s="150">
        <v>6.6</v>
      </c>
      <c r="BO117" s="150">
        <v>6.8</v>
      </c>
      <c r="BP117" s="150">
        <v>7</v>
      </c>
      <c r="BQ117" s="150">
        <v>7.2</v>
      </c>
      <c r="BR117" s="150">
        <v>7.4</v>
      </c>
      <c r="BS117" s="150">
        <v>7.6</v>
      </c>
      <c r="BT117" s="150">
        <v>7.8</v>
      </c>
      <c r="BU117" s="150">
        <v>8</v>
      </c>
      <c r="BV117" s="150">
        <v>8.1999999999999993</v>
      </c>
      <c r="BW117" s="150">
        <v>8.4</v>
      </c>
      <c r="BX117" s="150">
        <v>8.6</v>
      </c>
      <c r="BY117" s="150">
        <v>8.7999999999999936</v>
      </c>
      <c r="BZ117" s="150">
        <v>9</v>
      </c>
      <c r="CA117" s="150">
        <v>9.1999999999999922</v>
      </c>
      <c r="CB117" s="150">
        <v>9.4</v>
      </c>
      <c r="CC117" s="150">
        <v>9.5999999999999908</v>
      </c>
      <c r="CD117" s="150">
        <v>9.8000000000000007</v>
      </c>
      <c r="CE117" s="150">
        <v>9.9999999999999893</v>
      </c>
      <c r="CF117" s="150">
        <v>10.199999999999999</v>
      </c>
      <c r="CG117" s="150">
        <v>10.4</v>
      </c>
      <c r="CH117" s="150">
        <v>10.6</v>
      </c>
      <c r="CI117" s="150">
        <v>10.8</v>
      </c>
      <c r="CJ117" s="150">
        <v>11</v>
      </c>
      <c r="CK117" s="150">
        <v>11.2</v>
      </c>
      <c r="CL117" s="150">
        <v>11.4</v>
      </c>
      <c r="CM117" s="150">
        <v>11.6</v>
      </c>
      <c r="CN117" s="150">
        <v>11.8</v>
      </c>
      <c r="CO117" s="150">
        <v>12</v>
      </c>
      <c r="CP117" s="150">
        <v>12.2</v>
      </c>
      <c r="CQ117" s="150">
        <v>12.4</v>
      </c>
      <c r="CR117" s="150">
        <v>12.6</v>
      </c>
      <c r="CS117" s="150">
        <v>12.8</v>
      </c>
      <c r="CT117" s="150">
        <v>13</v>
      </c>
      <c r="CU117" s="150">
        <v>13.2</v>
      </c>
      <c r="CV117" s="150">
        <v>13.4</v>
      </c>
      <c r="CW117" s="150">
        <v>13.6</v>
      </c>
      <c r="CX117" s="150">
        <v>13.8</v>
      </c>
      <c r="CY117" s="150">
        <v>14</v>
      </c>
      <c r="CZ117" s="150">
        <v>14.2</v>
      </c>
      <c r="DA117" s="150">
        <v>14.4</v>
      </c>
      <c r="DB117" s="150">
        <v>14.6</v>
      </c>
      <c r="DC117" s="150">
        <v>14.8</v>
      </c>
      <c r="DD117" s="150">
        <v>15</v>
      </c>
      <c r="DE117" s="150">
        <v>15.2</v>
      </c>
      <c r="DF117" s="150">
        <v>15.4</v>
      </c>
      <c r="DG117" s="150">
        <v>15.6</v>
      </c>
      <c r="DH117" s="150">
        <v>15.8</v>
      </c>
      <c r="DI117" s="150">
        <v>16</v>
      </c>
      <c r="DJ117" s="150">
        <v>16.2</v>
      </c>
      <c r="DK117" s="150">
        <v>16.399999999999999</v>
      </c>
      <c r="DL117" s="150">
        <v>16.600000000000001</v>
      </c>
      <c r="DM117" s="150">
        <v>16.8</v>
      </c>
      <c r="DN117" s="150">
        <v>17</v>
      </c>
      <c r="DO117" s="150">
        <v>17.2</v>
      </c>
      <c r="DP117" s="150">
        <v>17.399999999999999</v>
      </c>
      <c r="DQ117" s="150">
        <v>17.600000000000001</v>
      </c>
      <c r="DR117" s="150">
        <v>17.8</v>
      </c>
      <c r="DS117" s="150">
        <v>18</v>
      </c>
      <c r="DT117" s="150">
        <v>18.2</v>
      </c>
      <c r="DU117" s="150">
        <v>18.399999999999999</v>
      </c>
      <c r="DV117" s="150">
        <v>18.600000000000001</v>
      </c>
      <c r="DW117" s="150">
        <v>18.8</v>
      </c>
      <c r="DX117" s="150">
        <v>19</v>
      </c>
      <c r="DY117" s="150">
        <v>19.2</v>
      </c>
      <c r="DZ117" s="150">
        <v>19.399999999999999</v>
      </c>
      <c r="EA117" s="150">
        <v>19.600000000000001</v>
      </c>
      <c r="EB117" s="150">
        <v>19.8</v>
      </c>
      <c r="EC117" s="150">
        <v>20</v>
      </c>
      <c r="ED117" s="150">
        <v>20.2</v>
      </c>
      <c r="EE117" s="150">
        <v>20.399999999999999</v>
      </c>
      <c r="EF117" s="150">
        <v>20.6</v>
      </c>
      <c r="EG117" s="150">
        <v>20.799999999999951</v>
      </c>
      <c r="EH117" s="150">
        <v>21</v>
      </c>
      <c r="EI117" s="150">
        <v>21.19999999999995</v>
      </c>
      <c r="EJ117" s="150">
        <v>21.4</v>
      </c>
      <c r="EK117" s="150">
        <v>21.599999999999948</v>
      </c>
    </row>
    <row r="118" spans="1:141" ht="13.2" x14ac:dyDescent="0.25">
      <c r="A118" s="149">
        <v>40238</v>
      </c>
      <c r="B118" s="219">
        <v>-1.7785964148750009</v>
      </c>
      <c r="C118" s="219">
        <v>-1.7482952255625008</v>
      </c>
      <c r="D118" s="219">
        <v>-1.7179940362500008</v>
      </c>
      <c r="E118" s="219">
        <v>-1.6876928469375008</v>
      </c>
      <c r="F118" s="219">
        <v>-1.6573916576250007</v>
      </c>
      <c r="G118" s="219">
        <v>-1.6270904683125007</v>
      </c>
      <c r="H118" s="219">
        <v>-1.5967892790000007</v>
      </c>
      <c r="I118" s="219">
        <v>-1.5664880896875006</v>
      </c>
      <c r="J118" s="219">
        <v>-1.5361869003750006</v>
      </c>
      <c r="K118" s="219">
        <v>-1.5058857110625006</v>
      </c>
      <c r="L118" s="219">
        <v>-1.4755845217500005</v>
      </c>
      <c r="M118" s="219">
        <v>-1.4452833324375005</v>
      </c>
      <c r="N118" s="219">
        <v>-1.4149821431250005</v>
      </c>
      <c r="O118" s="219">
        <v>-1.3846809538125004</v>
      </c>
      <c r="P118" s="219">
        <v>-1.3543797645000004</v>
      </c>
      <c r="Q118" s="219">
        <v>-1.3240785751875004</v>
      </c>
      <c r="R118" s="219">
        <v>-1.2937773858750004</v>
      </c>
      <c r="S118" s="219">
        <v>-1.2634761965625003</v>
      </c>
      <c r="T118" s="219">
        <v>-1.2331750072500003</v>
      </c>
      <c r="U118" s="219">
        <v>-1.2028738179375003</v>
      </c>
      <c r="V118" s="220">
        <v>-1.1725726286250002</v>
      </c>
      <c r="W118" s="219">
        <v>-1.1422714393125002</v>
      </c>
      <c r="X118" s="220">
        <v>-1.1119702500000002</v>
      </c>
      <c r="Y118" s="219">
        <v>-1.0832351250000003</v>
      </c>
      <c r="Z118" s="220">
        <v>-1.0545000000000002</v>
      </c>
      <c r="AA118" s="219">
        <v>-1.0272500000000002</v>
      </c>
      <c r="AB118" s="221">
        <v>-1</v>
      </c>
      <c r="AC118" s="219">
        <v>-0.8</v>
      </c>
      <c r="AD118" s="221">
        <v>-0.6</v>
      </c>
      <c r="AE118" s="219">
        <v>-0.4</v>
      </c>
      <c r="AF118" s="219">
        <v>-0.2</v>
      </c>
      <c r="AG118" s="150">
        <v>0</v>
      </c>
      <c r="AH118" s="150">
        <v>0.2</v>
      </c>
      <c r="AI118" s="150">
        <v>0.4</v>
      </c>
      <c r="AJ118" s="150">
        <v>0.6</v>
      </c>
      <c r="AK118" s="150">
        <v>0.8</v>
      </c>
      <c r="AL118" s="150">
        <v>1</v>
      </c>
      <c r="AM118" s="150">
        <v>1.2</v>
      </c>
      <c r="AN118" s="150">
        <v>1.4</v>
      </c>
      <c r="AO118" s="150">
        <v>1.6</v>
      </c>
      <c r="AP118" s="150">
        <v>1.8</v>
      </c>
      <c r="AQ118" s="150">
        <v>2</v>
      </c>
      <c r="AR118" s="150">
        <v>2.2000000000000002</v>
      </c>
      <c r="AS118" s="150">
        <v>2.4</v>
      </c>
      <c r="AT118" s="150">
        <v>2.6</v>
      </c>
      <c r="AU118" s="150">
        <v>2.8</v>
      </c>
      <c r="AV118" s="150">
        <v>3</v>
      </c>
      <c r="AW118" s="150">
        <v>3.2</v>
      </c>
      <c r="AX118" s="150">
        <v>3.4</v>
      </c>
      <c r="AY118" s="150">
        <v>3.6</v>
      </c>
      <c r="AZ118" s="150">
        <v>3.8</v>
      </c>
      <c r="BA118" s="150">
        <v>4</v>
      </c>
      <c r="BB118" s="150">
        <v>4.2</v>
      </c>
      <c r="BC118" s="150">
        <v>4.4000000000000004</v>
      </c>
      <c r="BD118" s="150">
        <v>4.5999999999999996</v>
      </c>
      <c r="BE118" s="150">
        <v>4.8</v>
      </c>
      <c r="BF118" s="150">
        <v>5</v>
      </c>
      <c r="BG118" s="150">
        <v>5.2</v>
      </c>
      <c r="BH118" s="150">
        <v>5.4</v>
      </c>
      <c r="BI118" s="150">
        <v>5.6</v>
      </c>
      <c r="BJ118" s="150">
        <v>5.8</v>
      </c>
      <c r="BK118" s="150">
        <v>6</v>
      </c>
      <c r="BL118" s="150">
        <v>6.2</v>
      </c>
      <c r="BM118" s="150">
        <v>6.4</v>
      </c>
      <c r="BN118" s="150">
        <v>6.6</v>
      </c>
      <c r="BO118" s="150">
        <v>6.8</v>
      </c>
      <c r="BP118" s="150">
        <v>7</v>
      </c>
      <c r="BQ118" s="150">
        <v>7.2</v>
      </c>
      <c r="BR118" s="150">
        <v>7.4</v>
      </c>
      <c r="BS118" s="150">
        <v>7.6</v>
      </c>
      <c r="BT118" s="150">
        <v>7.8</v>
      </c>
      <c r="BU118" s="150">
        <v>8</v>
      </c>
      <c r="BV118" s="150">
        <v>8.1999999999999993</v>
      </c>
      <c r="BW118" s="150">
        <v>8.4</v>
      </c>
      <c r="BX118" s="150">
        <v>8.6</v>
      </c>
      <c r="BY118" s="150">
        <v>8.7999999999999936</v>
      </c>
      <c r="BZ118" s="150">
        <v>9</v>
      </c>
      <c r="CA118" s="150">
        <v>9.1999999999999922</v>
      </c>
      <c r="CB118" s="150">
        <v>9.4</v>
      </c>
      <c r="CC118" s="150">
        <v>9.5999999999999908</v>
      </c>
      <c r="CD118" s="150">
        <v>9.8000000000000007</v>
      </c>
      <c r="CE118" s="150">
        <v>9.9999999999999893</v>
      </c>
      <c r="CF118" s="150">
        <v>10.199999999999999</v>
      </c>
      <c r="CG118" s="150">
        <v>10.4</v>
      </c>
      <c r="CH118" s="150">
        <v>10.6</v>
      </c>
      <c r="CI118" s="150">
        <v>10.8</v>
      </c>
      <c r="CJ118" s="150">
        <v>11</v>
      </c>
      <c r="CK118" s="150">
        <v>11.2</v>
      </c>
      <c r="CL118" s="150">
        <v>11.4</v>
      </c>
      <c r="CM118" s="150">
        <v>11.6</v>
      </c>
      <c r="CN118" s="150">
        <v>11.8</v>
      </c>
      <c r="CO118" s="150">
        <v>12</v>
      </c>
      <c r="CP118" s="150">
        <v>12.2</v>
      </c>
      <c r="CQ118" s="150">
        <v>12.4</v>
      </c>
      <c r="CR118" s="150">
        <v>12.6</v>
      </c>
      <c r="CS118" s="150">
        <v>12.8</v>
      </c>
      <c r="CT118" s="150">
        <v>13</v>
      </c>
      <c r="CU118" s="150">
        <v>13.2</v>
      </c>
      <c r="CV118" s="150">
        <v>13.4</v>
      </c>
      <c r="CW118" s="150">
        <v>13.6</v>
      </c>
      <c r="CX118" s="150">
        <v>13.8</v>
      </c>
      <c r="CY118" s="150">
        <v>14</v>
      </c>
      <c r="CZ118" s="150">
        <v>14.2</v>
      </c>
      <c r="DA118" s="150">
        <v>14.4</v>
      </c>
      <c r="DB118" s="150">
        <v>14.6</v>
      </c>
      <c r="DC118" s="150">
        <v>14.8</v>
      </c>
      <c r="DD118" s="150">
        <v>15</v>
      </c>
      <c r="DE118" s="150">
        <v>15.2</v>
      </c>
      <c r="DF118" s="150">
        <v>15.4</v>
      </c>
      <c r="DG118" s="150">
        <v>15.6</v>
      </c>
      <c r="DH118" s="150">
        <v>15.8</v>
      </c>
      <c r="DI118" s="150">
        <v>16</v>
      </c>
      <c r="DJ118" s="150">
        <v>16.2</v>
      </c>
      <c r="DK118" s="150">
        <v>16.399999999999999</v>
      </c>
      <c r="DL118" s="150">
        <v>16.600000000000001</v>
      </c>
      <c r="DM118" s="150">
        <v>16.8</v>
      </c>
      <c r="DN118" s="150">
        <v>17</v>
      </c>
      <c r="DO118" s="150">
        <v>17.2</v>
      </c>
      <c r="DP118" s="150">
        <v>17.399999999999999</v>
      </c>
      <c r="DQ118" s="150">
        <v>17.600000000000001</v>
      </c>
      <c r="DR118" s="150">
        <v>17.8</v>
      </c>
      <c r="DS118" s="150">
        <v>18</v>
      </c>
      <c r="DT118" s="150">
        <v>18.2</v>
      </c>
      <c r="DU118" s="150">
        <v>18.399999999999999</v>
      </c>
      <c r="DV118" s="150">
        <v>18.600000000000001</v>
      </c>
      <c r="DW118" s="150">
        <v>18.8</v>
      </c>
      <c r="DX118" s="150">
        <v>19</v>
      </c>
      <c r="DY118" s="150">
        <v>19.2</v>
      </c>
      <c r="DZ118" s="150">
        <v>19.399999999999999</v>
      </c>
      <c r="EA118" s="150">
        <v>19.600000000000001</v>
      </c>
      <c r="EB118" s="150">
        <v>19.8</v>
      </c>
      <c r="EC118" s="150">
        <v>20</v>
      </c>
      <c r="ED118" s="150">
        <v>20.2</v>
      </c>
      <c r="EE118" s="150">
        <v>20.399999999999999</v>
      </c>
      <c r="EF118" s="150">
        <v>20.6</v>
      </c>
      <c r="EG118" s="150">
        <v>20.799999999999951</v>
      </c>
      <c r="EH118" s="150">
        <v>21</v>
      </c>
      <c r="EI118" s="150">
        <v>21.19999999999995</v>
      </c>
      <c r="EJ118" s="150">
        <v>21.4</v>
      </c>
      <c r="EK118" s="150">
        <v>21.599999999999948</v>
      </c>
    </row>
    <row r="119" spans="1:141" ht="13.2" x14ac:dyDescent="0.25">
      <c r="A119" s="149">
        <v>40269</v>
      </c>
      <c r="B119" s="219">
        <v>-1.7785964148750009</v>
      </c>
      <c r="C119" s="219">
        <v>-1.7482952255625008</v>
      </c>
      <c r="D119" s="219">
        <v>-1.7179940362500008</v>
      </c>
      <c r="E119" s="219">
        <v>-1.6876928469375008</v>
      </c>
      <c r="F119" s="219">
        <v>-1.6573916576250007</v>
      </c>
      <c r="G119" s="219">
        <v>-1.6270904683125007</v>
      </c>
      <c r="H119" s="219">
        <v>-1.5967892790000007</v>
      </c>
      <c r="I119" s="219">
        <v>-1.5664880896875006</v>
      </c>
      <c r="J119" s="219">
        <v>-1.5361869003750006</v>
      </c>
      <c r="K119" s="219">
        <v>-1.5058857110625006</v>
      </c>
      <c r="L119" s="219">
        <v>-1.4755845217500005</v>
      </c>
      <c r="M119" s="219">
        <v>-1.4452833324375005</v>
      </c>
      <c r="N119" s="219">
        <v>-1.4149821431250005</v>
      </c>
      <c r="O119" s="219">
        <v>-1.3846809538125004</v>
      </c>
      <c r="P119" s="219">
        <v>-1.3543797645000004</v>
      </c>
      <c r="Q119" s="219">
        <v>-1.3240785751875004</v>
      </c>
      <c r="R119" s="219">
        <v>-1.2937773858750004</v>
      </c>
      <c r="S119" s="219">
        <v>-1.2634761965625003</v>
      </c>
      <c r="T119" s="219">
        <v>-1.2331750072500003</v>
      </c>
      <c r="U119" s="219">
        <v>-1.2028738179375003</v>
      </c>
      <c r="V119" s="220">
        <v>-1.1725726286250002</v>
      </c>
      <c r="W119" s="219">
        <v>-1.1422714393125002</v>
      </c>
      <c r="X119" s="220">
        <v>-1.1119702500000002</v>
      </c>
      <c r="Y119" s="219">
        <v>-1.0832351250000003</v>
      </c>
      <c r="Z119" s="220">
        <v>-1.0545000000000002</v>
      </c>
      <c r="AA119" s="219">
        <v>-1.0272500000000002</v>
      </c>
      <c r="AB119" s="221">
        <v>-1</v>
      </c>
      <c r="AC119" s="219">
        <v>-0.8</v>
      </c>
      <c r="AD119" s="221">
        <v>-0.6</v>
      </c>
      <c r="AE119" s="219">
        <v>-0.4</v>
      </c>
      <c r="AF119" s="219">
        <v>-0.2</v>
      </c>
      <c r="AG119" s="150">
        <v>0</v>
      </c>
      <c r="AH119" s="150">
        <v>0.2</v>
      </c>
      <c r="AI119" s="150">
        <v>0.4</v>
      </c>
      <c r="AJ119" s="150">
        <v>0.6</v>
      </c>
      <c r="AK119" s="150">
        <v>0.8</v>
      </c>
      <c r="AL119" s="150">
        <v>1</v>
      </c>
      <c r="AM119" s="150">
        <v>1.2</v>
      </c>
      <c r="AN119" s="150">
        <v>1.4</v>
      </c>
      <c r="AO119" s="150">
        <v>1.6</v>
      </c>
      <c r="AP119" s="150">
        <v>1.8</v>
      </c>
      <c r="AQ119" s="150">
        <v>2</v>
      </c>
      <c r="AR119" s="150">
        <v>2.2000000000000002</v>
      </c>
      <c r="AS119" s="150">
        <v>2.4</v>
      </c>
      <c r="AT119" s="150">
        <v>2.6</v>
      </c>
      <c r="AU119" s="150">
        <v>2.8</v>
      </c>
      <c r="AV119" s="150">
        <v>3</v>
      </c>
      <c r="AW119" s="150">
        <v>3.2</v>
      </c>
      <c r="AX119" s="150">
        <v>3.4</v>
      </c>
      <c r="AY119" s="150">
        <v>3.6</v>
      </c>
      <c r="AZ119" s="150">
        <v>3.8</v>
      </c>
      <c r="BA119" s="150">
        <v>4</v>
      </c>
      <c r="BB119" s="150">
        <v>4.2</v>
      </c>
      <c r="BC119" s="150">
        <v>4.4000000000000004</v>
      </c>
      <c r="BD119" s="150">
        <v>4.5999999999999996</v>
      </c>
      <c r="BE119" s="150">
        <v>4.8</v>
      </c>
      <c r="BF119" s="150">
        <v>5</v>
      </c>
      <c r="BG119" s="150">
        <v>5.2</v>
      </c>
      <c r="BH119" s="150">
        <v>5.4</v>
      </c>
      <c r="BI119" s="150">
        <v>5.6</v>
      </c>
      <c r="BJ119" s="150">
        <v>5.8</v>
      </c>
      <c r="BK119" s="150">
        <v>6</v>
      </c>
      <c r="BL119" s="150">
        <v>6.2</v>
      </c>
      <c r="BM119" s="150">
        <v>6.4</v>
      </c>
      <c r="BN119" s="150">
        <v>6.6</v>
      </c>
      <c r="BO119" s="150">
        <v>6.8</v>
      </c>
      <c r="BP119" s="150">
        <v>7</v>
      </c>
      <c r="BQ119" s="150">
        <v>7.2</v>
      </c>
      <c r="BR119" s="150">
        <v>7.4</v>
      </c>
      <c r="BS119" s="150">
        <v>7.6</v>
      </c>
      <c r="BT119" s="150">
        <v>7.8</v>
      </c>
      <c r="BU119" s="150">
        <v>8</v>
      </c>
      <c r="BV119" s="150">
        <v>8.1999999999999993</v>
      </c>
      <c r="BW119" s="150">
        <v>8.4</v>
      </c>
      <c r="BX119" s="150">
        <v>8.6</v>
      </c>
      <c r="BY119" s="150">
        <v>8.7999999999999936</v>
      </c>
      <c r="BZ119" s="150">
        <v>9</v>
      </c>
      <c r="CA119" s="150">
        <v>9.1999999999999922</v>
      </c>
      <c r="CB119" s="150">
        <v>9.4</v>
      </c>
      <c r="CC119" s="150">
        <v>9.5999999999999908</v>
      </c>
      <c r="CD119" s="150">
        <v>9.8000000000000007</v>
      </c>
      <c r="CE119" s="150">
        <v>9.9999999999999893</v>
      </c>
      <c r="CF119" s="150">
        <v>10.199999999999999</v>
      </c>
      <c r="CG119" s="150">
        <v>10.4</v>
      </c>
      <c r="CH119" s="150">
        <v>10.6</v>
      </c>
      <c r="CI119" s="150">
        <v>10.8</v>
      </c>
      <c r="CJ119" s="150">
        <v>11</v>
      </c>
      <c r="CK119" s="150">
        <v>11.2</v>
      </c>
      <c r="CL119" s="150">
        <v>11.4</v>
      </c>
      <c r="CM119" s="150">
        <v>11.6</v>
      </c>
      <c r="CN119" s="150">
        <v>11.8</v>
      </c>
      <c r="CO119" s="150">
        <v>12</v>
      </c>
      <c r="CP119" s="150">
        <v>12.2</v>
      </c>
      <c r="CQ119" s="150">
        <v>12.4</v>
      </c>
      <c r="CR119" s="150">
        <v>12.6</v>
      </c>
      <c r="CS119" s="150">
        <v>12.8</v>
      </c>
      <c r="CT119" s="150">
        <v>13</v>
      </c>
      <c r="CU119" s="150">
        <v>13.2</v>
      </c>
      <c r="CV119" s="150">
        <v>13.4</v>
      </c>
      <c r="CW119" s="150">
        <v>13.6</v>
      </c>
      <c r="CX119" s="150">
        <v>13.8</v>
      </c>
      <c r="CY119" s="150">
        <v>14</v>
      </c>
      <c r="CZ119" s="150">
        <v>14.2</v>
      </c>
      <c r="DA119" s="150">
        <v>14.4</v>
      </c>
      <c r="DB119" s="150">
        <v>14.6</v>
      </c>
      <c r="DC119" s="150">
        <v>14.8</v>
      </c>
      <c r="DD119" s="150">
        <v>15</v>
      </c>
      <c r="DE119" s="150">
        <v>15.2</v>
      </c>
      <c r="DF119" s="150">
        <v>15.4</v>
      </c>
      <c r="DG119" s="150">
        <v>15.6</v>
      </c>
      <c r="DH119" s="150">
        <v>15.8</v>
      </c>
      <c r="DI119" s="150">
        <v>16</v>
      </c>
      <c r="DJ119" s="150">
        <v>16.2</v>
      </c>
      <c r="DK119" s="150">
        <v>16.399999999999999</v>
      </c>
      <c r="DL119" s="150">
        <v>16.600000000000001</v>
      </c>
      <c r="DM119" s="150">
        <v>16.8</v>
      </c>
      <c r="DN119" s="150">
        <v>17</v>
      </c>
      <c r="DO119" s="150">
        <v>17.2</v>
      </c>
      <c r="DP119" s="150">
        <v>17.399999999999999</v>
      </c>
      <c r="DQ119" s="150">
        <v>17.600000000000001</v>
      </c>
      <c r="DR119" s="150">
        <v>17.8</v>
      </c>
      <c r="DS119" s="150">
        <v>18</v>
      </c>
      <c r="DT119" s="150">
        <v>18.2</v>
      </c>
      <c r="DU119" s="150">
        <v>18.399999999999999</v>
      </c>
      <c r="DV119" s="150">
        <v>18.600000000000001</v>
      </c>
      <c r="DW119" s="150">
        <v>18.8</v>
      </c>
      <c r="DX119" s="150">
        <v>19</v>
      </c>
      <c r="DY119" s="150">
        <v>19.2</v>
      </c>
      <c r="DZ119" s="150">
        <v>19.399999999999999</v>
      </c>
      <c r="EA119" s="150">
        <v>19.600000000000001</v>
      </c>
      <c r="EB119" s="150">
        <v>19.8</v>
      </c>
      <c r="EC119" s="150">
        <v>20</v>
      </c>
      <c r="ED119" s="150">
        <v>20.2</v>
      </c>
      <c r="EE119" s="150">
        <v>20.399999999999999</v>
      </c>
      <c r="EF119" s="150">
        <v>20.6</v>
      </c>
      <c r="EG119" s="150">
        <v>20.799999999999951</v>
      </c>
      <c r="EH119" s="150">
        <v>21</v>
      </c>
      <c r="EI119" s="150">
        <v>21.19999999999995</v>
      </c>
      <c r="EJ119" s="150">
        <v>21.4</v>
      </c>
      <c r="EK119" s="150">
        <v>21.599999999999948</v>
      </c>
    </row>
    <row r="120" spans="1:141" ht="13.2" x14ac:dyDescent="0.25">
      <c r="A120" s="149">
        <v>40299</v>
      </c>
      <c r="B120" s="219">
        <v>-1.7785964148750009</v>
      </c>
      <c r="C120" s="219">
        <v>-1.7482952255625008</v>
      </c>
      <c r="D120" s="219">
        <v>-1.7179940362500008</v>
      </c>
      <c r="E120" s="219">
        <v>-1.6876928469375008</v>
      </c>
      <c r="F120" s="219">
        <v>-1.6573916576250007</v>
      </c>
      <c r="G120" s="219">
        <v>-1.6270904683125007</v>
      </c>
      <c r="H120" s="219">
        <v>-1.5967892790000007</v>
      </c>
      <c r="I120" s="219">
        <v>-1.5664880896875006</v>
      </c>
      <c r="J120" s="219">
        <v>-1.5361869003750006</v>
      </c>
      <c r="K120" s="219">
        <v>-1.5058857110625006</v>
      </c>
      <c r="L120" s="219">
        <v>-1.4755845217500005</v>
      </c>
      <c r="M120" s="219">
        <v>-1.4452833324375005</v>
      </c>
      <c r="N120" s="219">
        <v>-1.4149821431250005</v>
      </c>
      <c r="O120" s="219">
        <v>-1.3846809538125004</v>
      </c>
      <c r="P120" s="219">
        <v>-1.3543797645000004</v>
      </c>
      <c r="Q120" s="219">
        <v>-1.3240785751875004</v>
      </c>
      <c r="R120" s="219">
        <v>-1.2937773858750004</v>
      </c>
      <c r="S120" s="219">
        <v>-1.2634761965625003</v>
      </c>
      <c r="T120" s="219">
        <v>-1.2331750072500003</v>
      </c>
      <c r="U120" s="219">
        <v>-1.2028738179375003</v>
      </c>
      <c r="V120" s="220">
        <v>-1.1725726286250002</v>
      </c>
      <c r="W120" s="219">
        <v>-1.1422714393125002</v>
      </c>
      <c r="X120" s="220">
        <v>-1.1119702500000002</v>
      </c>
      <c r="Y120" s="219">
        <v>-1.0832351250000003</v>
      </c>
      <c r="Z120" s="220">
        <v>-1.0545000000000002</v>
      </c>
      <c r="AA120" s="219">
        <v>-1.0272500000000002</v>
      </c>
      <c r="AB120" s="221">
        <v>-1</v>
      </c>
      <c r="AC120" s="219">
        <v>-0.8</v>
      </c>
      <c r="AD120" s="221">
        <v>-0.6</v>
      </c>
      <c r="AE120" s="219">
        <v>-0.4</v>
      </c>
      <c r="AF120" s="219">
        <v>-0.2</v>
      </c>
      <c r="AG120" s="150">
        <v>0</v>
      </c>
      <c r="AH120" s="150">
        <v>0.2</v>
      </c>
      <c r="AI120" s="150">
        <v>0.4</v>
      </c>
      <c r="AJ120" s="150">
        <v>0.6</v>
      </c>
      <c r="AK120" s="150">
        <v>0.8</v>
      </c>
      <c r="AL120" s="150">
        <v>1</v>
      </c>
      <c r="AM120" s="150">
        <v>1.2</v>
      </c>
      <c r="AN120" s="150">
        <v>1.4</v>
      </c>
      <c r="AO120" s="150">
        <v>1.6</v>
      </c>
      <c r="AP120" s="150">
        <v>1.8</v>
      </c>
      <c r="AQ120" s="150">
        <v>2</v>
      </c>
      <c r="AR120" s="150">
        <v>2.2000000000000002</v>
      </c>
      <c r="AS120" s="150">
        <v>2.4</v>
      </c>
      <c r="AT120" s="150">
        <v>2.6</v>
      </c>
      <c r="AU120" s="150">
        <v>2.8</v>
      </c>
      <c r="AV120" s="150">
        <v>3</v>
      </c>
      <c r="AW120" s="150">
        <v>3.2</v>
      </c>
      <c r="AX120" s="150">
        <v>3.4</v>
      </c>
      <c r="AY120" s="150">
        <v>3.6</v>
      </c>
      <c r="AZ120" s="150">
        <v>3.8</v>
      </c>
      <c r="BA120" s="150">
        <v>4</v>
      </c>
      <c r="BB120" s="150">
        <v>4.2</v>
      </c>
      <c r="BC120" s="150">
        <v>4.4000000000000004</v>
      </c>
      <c r="BD120" s="150">
        <v>4.5999999999999996</v>
      </c>
      <c r="BE120" s="150">
        <v>4.8</v>
      </c>
      <c r="BF120" s="150">
        <v>5</v>
      </c>
      <c r="BG120" s="150">
        <v>5.2</v>
      </c>
      <c r="BH120" s="150">
        <v>5.4</v>
      </c>
      <c r="BI120" s="150">
        <v>5.6</v>
      </c>
      <c r="BJ120" s="150">
        <v>5.8</v>
      </c>
      <c r="BK120" s="150">
        <v>6</v>
      </c>
      <c r="BL120" s="150">
        <v>6.2</v>
      </c>
      <c r="BM120" s="150">
        <v>6.4</v>
      </c>
      <c r="BN120" s="150">
        <v>6.6</v>
      </c>
      <c r="BO120" s="150">
        <v>6.8</v>
      </c>
      <c r="BP120" s="150">
        <v>7</v>
      </c>
      <c r="BQ120" s="150">
        <v>7.2</v>
      </c>
      <c r="BR120" s="150">
        <v>7.4</v>
      </c>
      <c r="BS120" s="150">
        <v>7.6</v>
      </c>
      <c r="BT120" s="150">
        <v>7.8</v>
      </c>
      <c r="BU120" s="150">
        <v>8</v>
      </c>
      <c r="BV120" s="150">
        <v>8.1999999999999993</v>
      </c>
      <c r="BW120" s="150">
        <v>8.4</v>
      </c>
      <c r="BX120" s="150">
        <v>8.6</v>
      </c>
      <c r="BY120" s="150">
        <v>8.7999999999999936</v>
      </c>
      <c r="BZ120" s="150">
        <v>9</v>
      </c>
      <c r="CA120" s="150">
        <v>9.1999999999999922</v>
      </c>
      <c r="CB120" s="150">
        <v>9.4</v>
      </c>
      <c r="CC120" s="150">
        <v>9.5999999999999908</v>
      </c>
      <c r="CD120" s="150">
        <v>9.8000000000000007</v>
      </c>
      <c r="CE120" s="150">
        <v>9.9999999999999893</v>
      </c>
      <c r="CF120" s="150">
        <v>10.199999999999999</v>
      </c>
      <c r="CG120" s="150">
        <v>10.4</v>
      </c>
      <c r="CH120" s="150">
        <v>10.6</v>
      </c>
      <c r="CI120" s="150">
        <v>10.8</v>
      </c>
      <c r="CJ120" s="150">
        <v>11</v>
      </c>
      <c r="CK120" s="150">
        <v>11.2</v>
      </c>
      <c r="CL120" s="150">
        <v>11.4</v>
      </c>
      <c r="CM120" s="150">
        <v>11.6</v>
      </c>
      <c r="CN120" s="150">
        <v>11.8</v>
      </c>
      <c r="CO120" s="150">
        <v>12</v>
      </c>
      <c r="CP120" s="150">
        <v>12.2</v>
      </c>
      <c r="CQ120" s="150">
        <v>12.4</v>
      </c>
      <c r="CR120" s="150">
        <v>12.6</v>
      </c>
      <c r="CS120" s="150">
        <v>12.8</v>
      </c>
      <c r="CT120" s="150">
        <v>13</v>
      </c>
      <c r="CU120" s="150">
        <v>13.2</v>
      </c>
      <c r="CV120" s="150">
        <v>13.4</v>
      </c>
      <c r="CW120" s="150">
        <v>13.6</v>
      </c>
      <c r="CX120" s="150">
        <v>13.8</v>
      </c>
      <c r="CY120" s="150">
        <v>14</v>
      </c>
      <c r="CZ120" s="150">
        <v>14.2</v>
      </c>
      <c r="DA120" s="150">
        <v>14.4</v>
      </c>
      <c r="DB120" s="150">
        <v>14.6</v>
      </c>
      <c r="DC120" s="150">
        <v>14.8</v>
      </c>
      <c r="DD120" s="150">
        <v>15</v>
      </c>
      <c r="DE120" s="150">
        <v>15.2</v>
      </c>
      <c r="DF120" s="150">
        <v>15.4</v>
      </c>
      <c r="DG120" s="150">
        <v>15.6</v>
      </c>
      <c r="DH120" s="150">
        <v>15.8</v>
      </c>
      <c r="DI120" s="150">
        <v>16</v>
      </c>
      <c r="DJ120" s="150">
        <v>16.2</v>
      </c>
      <c r="DK120" s="150">
        <v>16.399999999999999</v>
      </c>
      <c r="DL120" s="150">
        <v>16.600000000000001</v>
      </c>
      <c r="DM120" s="150">
        <v>16.8</v>
      </c>
      <c r="DN120" s="150">
        <v>17</v>
      </c>
      <c r="DO120" s="150">
        <v>17.2</v>
      </c>
      <c r="DP120" s="150">
        <v>17.399999999999999</v>
      </c>
      <c r="DQ120" s="150">
        <v>17.600000000000001</v>
      </c>
      <c r="DR120" s="150">
        <v>17.8</v>
      </c>
      <c r="DS120" s="150">
        <v>18</v>
      </c>
      <c r="DT120" s="150">
        <v>18.2</v>
      </c>
      <c r="DU120" s="150">
        <v>18.399999999999999</v>
      </c>
      <c r="DV120" s="150">
        <v>18.600000000000001</v>
      </c>
      <c r="DW120" s="150">
        <v>18.8</v>
      </c>
      <c r="DX120" s="150">
        <v>19</v>
      </c>
      <c r="DY120" s="150">
        <v>19.2</v>
      </c>
      <c r="DZ120" s="150">
        <v>19.399999999999999</v>
      </c>
      <c r="EA120" s="150">
        <v>19.600000000000001</v>
      </c>
      <c r="EB120" s="150">
        <v>19.8</v>
      </c>
      <c r="EC120" s="150">
        <v>20</v>
      </c>
      <c r="ED120" s="150">
        <v>20.2</v>
      </c>
      <c r="EE120" s="150">
        <v>20.399999999999999</v>
      </c>
      <c r="EF120" s="150">
        <v>20.6</v>
      </c>
      <c r="EG120" s="150">
        <v>20.799999999999951</v>
      </c>
      <c r="EH120" s="150">
        <v>21</v>
      </c>
      <c r="EI120" s="150">
        <v>21.19999999999995</v>
      </c>
      <c r="EJ120" s="150">
        <v>21.4</v>
      </c>
      <c r="EK120" s="150">
        <v>21.599999999999948</v>
      </c>
    </row>
    <row r="121" spans="1:141" ht="13.2" x14ac:dyDescent="0.25">
      <c r="A121" s="149">
        <v>40330</v>
      </c>
      <c r="B121" s="219">
        <v>-1.7785964148750009</v>
      </c>
      <c r="C121" s="219">
        <v>-1.7482952255625008</v>
      </c>
      <c r="D121" s="219">
        <v>-1.7179940362500008</v>
      </c>
      <c r="E121" s="219">
        <v>-1.6876928469375008</v>
      </c>
      <c r="F121" s="219">
        <v>-1.6573916576250007</v>
      </c>
      <c r="G121" s="219">
        <v>-1.6270904683125007</v>
      </c>
      <c r="H121" s="219">
        <v>-1.5967892790000007</v>
      </c>
      <c r="I121" s="219">
        <v>-1.5664880896875006</v>
      </c>
      <c r="J121" s="219">
        <v>-1.5361869003750006</v>
      </c>
      <c r="K121" s="219">
        <v>-1.5058857110625006</v>
      </c>
      <c r="L121" s="219">
        <v>-1.4755845217500005</v>
      </c>
      <c r="M121" s="219">
        <v>-1.4452833324375005</v>
      </c>
      <c r="N121" s="219">
        <v>-1.4149821431250005</v>
      </c>
      <c r="O121" s="219">
        <v>-1.3846809538125004</v>
      </c>
      <c r="P121" s="219">
        <v>-1.3543797645000004</v>
      </c>
      <c r="Q121" s="219">
        <v>-1.3240785751875004</v>
      </c>
      <c r="R121" s="219">
        <v>-1.2937773858750004</v>
      </c>
      <c r="S121" s="219">
        <v>-1.2634761965625003</v>
      </c>
      <c r="T121" s="219">
        <v>-1.2331750072500003</v>
      </c>
      <c r="U121" s="219">
        <v>-1.2028738179375003</v>
      </c>
      <c r="V121" s="220">
        <v>-1.1725726286250002</v>
      </c>
      <c r="W121" s="219">
        <v>-1.1422714393125002</v>
      </c>
      <c r="X121" s="220">
        <v>-1.1119702500000002</v>
      </c>
      <c r="Y121" s="219">
        <v>-1.0832351250000003</v>
      </c>
      <c r="Z121" s="220">
        <v>-1.0545000000000002</v>
      </c>
      <c r="AA121" s="219">
        <v>-1.0272500000000002</v>
      </c>
      <c r="AB121" s="221">
        <v>-1</v>
      </c>
      <c r="AC121" s="219">
        <v>-0.8</v>
      </c>
      <c r="AD121" s="221">
        <v>-0.6</v>
      </c>
      <c r="AE121" s="219">
        <v>-0.4</v>
      </c>
      <c r="AF121" s="219">
        <v>-0.2</v>
      </c>
      <c r="AG121" s="150">
        <v>0</v>
      </c>
      <c r="AH121" s="150">
        <v>0.2</v>
      </c>
      <c r="AI121" s="150">
        <v>0.4</v>
      </c>
      <c r="AJ121" s="150">
        <v>0.6</v>
      </c>
      <c r="AK121" s="150">
        <v>0.8</v>
      </c>
      <c r="AL121" s="150">
        <v>1</v>
      </c>
      <c r="AM121" s="150">
        <v>1.2</v>
      </c>
      <c r="AN121" s="150">
        <v>1.4</v>
      </c>
      <c r="AO121" s="150">
        <v>1.6</v>
      </c>
      <c r="AP121" s="150">
        <v>1.8</v>
      </c>
      <c r="AQ121" s="150">
        <v>2</v>
      </c>
      <c r="AR121" s="150">
        <v>2.2000000000000002</v>
      </c>
      <c r="AS121" s="150">
        <v>2.4</v>
      </c>
      <c r="AT121" s="150">
        <v>2.6</v>
      </c>
      <c r="AU121" s="150">
        <v>2.8</v>
      </c>
      <c r="AV121" s="150">
        <v>3</v>
      </c>
      <c r="AW121" s="150">
        <v>3.2</v>
      </c>
      <c r="AX121" s="150">
        <v>3.4</v>
      </c>
      <c r="AY121" s="150">
        <v>3.6</v>
      </c>
      <c r="AZ121" s="150">
        <v>3.8</v>
      </c>
      <c r="BA121" s="150">
        <v>4</v>
      </c>
      <c r="BB121" s="150">
        <v>4.2</v>
      </c>
      <c r="BC121" s="150">
        <v>4.4000000000000004</v>
      </c>
      <c r="BD121" s="150">
        <v>4.5999999999999996</v>
      </c>
      <c r="BE121" s="150">
        <v>4.8</v>
      </c>
      <c r="BF121" s="150">
        <v>5</v>
      </c>
      <c r="BG121" s="150">
        <v>5.2</v>
      </c>
      <c r="BH121" s="150">
        <v>5.4</v>
      </c>
      <c r="BI121" s="150">
        <v>5.6</v>
      </c>
      <c r="BJ121" s="150">
        <v>5.8</v>
      </c>
      <c r="BK121" s="150">
        <v>6</v>
      </c>
      <c r="BL121" s="150">
        <v>6.2</v>
      </c>
      <c r="BM121" s="150">
        <v>6.4</v>
      </c>
      <c r="BN121" s="150">
        <v>6.6</v>
      </c>
      <c r="BO121" s="150">
        <v>6.8</v>
      </c>
      <c r="BP121" s="150">
        <v>7</v>
      </c>
      <c r="BQ121" s="150">
        <v>7.2</v>
      </c>
      <c r="BR121" s="150">
        <v>7.4</v>
      </c>
      <c r="BS121" s="150">
        <v>7.6</v>
      </c>
      <c r="BT121" s="150">
        <v>7.8</v>
      </c>
      <c r="BU121" s="150">
        <v>8</v>
      </c>
      <c r="BV121" s="150">
        <v>8.1999999999999993</v>
      </c>
      <c r="BW121" s="150">
        <v>8.4</v>
      </c>
      <c r="BX121" s="150">
        <v>8.6</v>
      </c>
      <c r="BY121" s="150">
        <v>8.7999999999999936</v>
      </c>
      <c r="BZ121" s="150">
        <v>9</v>
      </c>
      <c r="CA121" s="150">
        <v>9.1999999999999922</v>
      </c>
      <c r="CB121" s="150">
        <v>9.4</v>
      </c>
      <c r="CC121" s="150">
        <v>9.5999999999999908</v>
      </c>
      <c r="CD121" s="150">
        <v>9.8000000000000007</v>
      </c>
      <c r="CE121" s="150">
        <v>9.9999999999999893</v>
      </c>
      <c r="CF121" s="150">
        <v>10.199999999999999</v>
      </c>
      <c r="CG121" s="150">
        <v>10.4</v>
      </c>
      <c r="CH121" s="150">
        <v>10.6</v>
      </c>
      <c r="CI121" s="150">
        <v>10.8</v>
      </c>
      <c r="CJ121" s="150">
        <v>11</v>
      </c>
      <c r="CK121" s="150">
        <v>11.2</v>
      </c>
      <c r="CL121" s="150">
        <v>11.4</v>
      </c>
      <c r="CM121" s="150">
        <v>11.6</v>
      </c>
      <c r="CN121" s="150">
        <v>11.8</v>
      </c>
      <c r="CO121" s="150">
        <v>12</v>
      </c>
      <c r="CP121" s="150">
        <v>12.2</v>
      </c>
      <c r="CQ121" s="150">
        <v>12.4</v>
      </c>
      <c r="CR121" s="150">
        <v>12.6</v>
      </c>
      <c r="CS121" s="150">
        <v>12.8</v>
      </c>
      <c r="CT121" s="150">
        <v>13</v>
      </c>
      <c r="CU121" s="150">
        <v>13.2</v>
      </c>
      <c r="CV121" s="150">
        <v>13.4</v>
      </c>
      <c r="CW121" s="150">
        <v>13.6</v>
      </c>
      <c r="CX121" s="150">
        <v>13.8</v>
      </c>
      <c r="CY121" s="150">
        <v>14</v>
      </c>
      <c r="CZ121" s="150">
        <v>14.2</v>
      </c>
      <c r="DA121" s="150">
        <v>14.4</v>
      </c>
      <c r="DB121" s="150">
        <v>14.6</v>
      </c>
      <c r="DC121" s="150">
        <v>14.8</v>
      </c>
      <c r="DD121" s="150">
        <v>15</v>
      </c>
      <c r="DE121" s="150">
        <v>15.2</v>
      </c>
      <c r="DF121" s="150">
        <v>15.4</v>
      </c>
      <c r="DG121" s="150">
        <v>15.6</v>
      </c>
      <c r="DH121" s="150">
        <v>15.8</v>
      </c>
      <c r="DI121" s="150">
        <v>16</v>
      </c>
      <c r="DJ121" s="150">
        <v>16.2</v>
      </c>
      <c r="DK121" s="150">
        <v>16.399999999999999</v>
      </c>
      <c r="DL121" s="150">
        <v>16.600000000000001</v>
      </c>
      <c r="DM121" s="150">
        <v>16.8</v>
      </c>
      <c r="DN121" s="150">
        <v>17</v>
      </c>
      <c r="DO121" s="150">
        <v>17.2</v>
      </c>
      <c r="DP121" s="150">
        <v>17.399999999999999</v>
      </c>
      <c r="DQ121" s="150">
        <v>17.600000000000001</v>
      </c>
      <c r="DR121" s="150">
        <v>17.8</v>
      </c>
      <c r="DS121" s="150">
        <v>18</v>
      </c>
      <c r="DT121" s="150">
        <v>18.2</v>
      </c>
      <c r="DU121" s="150">
        <v>18.399999999999999</v>
      </c>
      <c r="DV121" s="150">
        <v>18.600000000000001</v>
      </c>
      <c r="DW121" s="150">
        <v>18.8</v>
      </c>
      <c r="DX121" s="150">
        <v>19</v>
      </c>
      <c r="DY121" s="150">
        <v>19.2</v>
      </c>
      <c r="DZ121" s="150">
        <v>19.399999999999999</v>
      </c>
      <c r="EA121" s="150">
        <v>19.600000000000001</v>
      </c>
      <c r="EB121" s="150">
        <v>19.8</v>
      </c>
      <c r="EC121" s="150">
        <v>20</v>
      </c>
      <c r="ED121" s="150">
        <v>20.2</v>
      </c>
      <c r="EE121" s="150">
        <v>20.399999999999999</v>
      </c>
      <c r="EF121" s="150">
        <v>20.6</v>
      </c>
      <c r="EG121" s="150">
        <v>20.799999999999951</v>
      </c>
      <c r="EH121" s="150">
        <v>21</v>
      </c>
      <c r="EI121" s="150">
        <v>21.19999999999995</v>
      </c>
      <c r="EJ121" s="150">
        <v>21.4</v>
      </c>
      <c r="EK121" s="150">
        <v>21.599999999999948</v>
      </c>
    </row>
    <row r="122" spans="1:141" ht="13.2" x14ac:dyDescent="0.25">
      <c r="A122" s="149">
        <v>40360</v>
      </c>
      <c r="B122" s="219">
        <v>-1.7785964148750009</v>
      </c>
      <c r="C122" s="219">
        <v>-1.7482952255625008</v>
      </c>
      <c r="D122" s="219">
        <v>-1.7179940362500008</v>
      </c>
      <c r="E122" s="219">
        <v>-1.6876928469375008</v>
      </c>
      <c r="F122" s="219">
        <v>-1.6573916576250007</v>
      </c>
      <c r="G122" s="219">
        <v>-1.6270904683125007</v>
      </c>
      <c r="H122" s="219">
        <v>-1.5967892790000007</v>
      </c>
      <c r="I122" s="219">
        <v>-1.5664880896875006</v>
      </c>
      <c r="J122" s="219">
        <v>-1.5361869003750006</v>
      </c>
      <c r="K122" s="219">
        <v>-1.5058857110625006</v>
      </c>
      <c r="L122" s="219">
        <v>-1.4755845217500005</v>
      </c>
      <c r="M122" s="219">
        <v>-1.4452833324375005</v>
      </c>
      <c r="N122" s="219">
        <v>-1.4149821431250005</v>
      </c>
      <c r="O122" s="219">
        <v>-1.3846809538125004</v>
      </c>
      <c r="P122" s="219">
        <v>-1.3543797645000004</v>
      </c>
      <c r="Q122" s="219">
        <v>-1.3240785751875004</v>
      </c>
      <c r="R122" s="219">
        <v>-1.2937773858750004</v>
      </c>
      <c r="S122" s="219">
        <v>-1.2634761965625003</v>
      </c>
      <c r="T122" s="219">
        <v>-1.2331750072500003</v>
      </c>
      <c r="U122" s="219">
        <v>-1.2028738179375003</v>
      </c>
      <c r="V122" s="220">
        <v>-1.1725726286250002</v>
      </c>
      <c r="W122" s="219">
        <v>-1.1422714393125002</v>
      </c>
      <c r="X122" s="220">
        <v>-1.1119702500000002</v>
      </c>
      <c r="Y122" s="219">
        <v>-1.0832351250000003</v>
      </c>
      <c r="Z122" s="220">
        <v>-1.0545000000000002</v>
      </c>
      <c r="AA122" s="219">
        <v>-1.0272500000000002</v>
      </c>
      <c r="AB122" s="221">
        <v>-1</v>
      </c>
      <c r="AC122" s="219">
        <v>-0.8</v>
      </c>
      <c r="AD122" s="221">
        <v>-0.6</v>
      </c>
      <c r="AE122" s="219">
        <v>-0.4</v>
      </c>
      <c r="AF122" s="219">
        <v>-0.2</v>
      </c>
      <c r="AG122" s="150">
        <v>0</v>
      </c>
      <c r="AH122" s="150">
        <v>0.2</v>
      </c>
      <c r="AI122" s="150">
        <v>0.4</v>
      </c>
      <c r="AJ122" s="150">
        <v>0.6</v>
      </c>
      <c r="AK122" s="150">
        <v>0.8</v>
      </c>
      <c r="AL122" s="150">
        <v>1</v>
      </c>
      <c r="AM122" s="150">
        <v>1.2</v>
      </c>
      <c r="AN122" s="150">
        <v>1.4</v>
      </c>
      <c r="AO122" s="150">
        <v>1.6</v>
      </c>
      <c r="AP122" s="150">
        <v>1.8</v>
      </c>
      <c r="AQ122" s="150">
        <v>2</v>
      </c>
      <c r="AR122" s="150">
        <v>2.2000000000000002</v>
      </c>
      <c r="AS122" s="150">
        <v>2.4</v>
      </c>
      <c r="AT122" s="150">
        <v>2.6</v>
      </c>
      <c r="AU122" s="150">
        <v>2.8</v>
      </c>
      <c r="AV122" s="150">
        <v>3</v>
      </c>
      <c r="AW122" s="150">
        <v>3.2</v>
      </c>
      <c r="AX122" s="150">
        <v>3.4</v>
      </c>
      <c r="AY122" s="150">
        <v>3.6</v>
      </c>
      <c r="AZ122" s="150">
        <v>3.8</v>
      </c>
      <c r="BA122" s="150">
        <v>4</v>
      </c>
      <c r="BB122" s="150">
        <v>4.2</v>
      </c>
      <c r="BC122" s="150">
        <v>4.4000000000000004</v>
      </c>
      <c r="BD122" s="150">
        <v>4.5999999999999996</v>
      </c>
      <c r="BE122" s="150">
        <v>4.8</v>
      </c>
      <c r="BF122" s="150">
        <v>5</v>
      </c>
      <c r="BG122" s="150">
        <v>5.2</v>
      </c>
      <c r="BH122" s="150">
        <v>5.4</v>
      </c>
      <c r="BI122" s="150">
        <v>5.6</v>
      </c>
      <c r="BJ122" s="150">
        <v>5.8</v>
      </c>
      <c r="BK122" s="150">
        <v>6</v>
      </c>
      <c r="BL122" s="150">
        <v>6.2</v>
      </c>
      <c r="BM122" s="150">
        <v>6.4</v>
      </c>
      <c r="BN122" s="150">
        <v>6.6</v>
      </c>
      <c r="BO122" s="150">
        <v>6.8</v>
      </c>
      <c r="BP122" s="150">
        <v>7</v>
      </c>
      <c r="BQ122" s="150">
        <v>7.2</v>
      </c>
      <c r="BR122" s="150">
        <v>7.4</v>
      </c>
      <c r="BS122" s="150">
        <v>7.6</v>
      </c>
      <c r="BT122" s="150">
        <v>7.8</v>
      </c>
      <c r="BU122" s="150">
        <v>8</v>
      </c>
      <c r="BV122" s="150">
        <v>8.1999999999999993</v>
      </c>
      <c r="BW122" s="150">
        <v>8.4</v>
      </c>
      <c r="BX122" s="150">
        <v>8.6</v>
      </c>
      <c r="BY122" s="150">
        <v>8.7999999999999936</v>
      </c>
      <c r="BZ122" s="150">
        <v>9</v>
      </c>
      <c r="CA122" s="150">
        <v>9.1999999999999922</v>
      </c>
      <c r="CB122" s="150">
        <v>9.4</v>
      </c>
      <c r="CC122" s="150">
        <v>9.5999999999999908</v>
      </c>
      <c r="CD122" s="150">
        <v>9.8000000000000007</v>
      </c>
      <c r="CE122" s="150">
        <v>9.9999999999999893</v>
      </c>
      <c r="CF122" s="150">
        <v>10.199999999999999</v>
      </c>
      <c r="CG122" s="150">
        <v>10.4</v>
      </c>
      <c r="CH122" s="150">
        <v>10.6</v>
      </c>
      <c r="CI122" s="150">
        <v>10.8</v>
      </c>
      <c r="CJ122" s="150">
        <v>11</v>
      </c>
      <c r="CK122" s="150">
        <v>11.2</v>
      </c>
      <c r="CL122" s="150">
        <v>11.4</v>
      </c>
      <c r="CM122" s="150">
        <v>11.6</v>
      </c>
      <c r="CN122" s="150">
        <v>11.8</v>
      </c>
      <c r="CO122" s="150">
        <v>12</v>
      </c>
      <c r="CP122" s="150">
        <v>12.2</v>
      </c>
      <c r="CQ122" s="150">
        <v>12.4</v>
      </c>
      <c r="CR122" s="150">
        <v>12.6</v>
      </c>
      <c r="CS122" s="150">
        <v>12.8</v>
      </c>
      <c r="CT122" s="150">
        <v>13</v>
      </c>
      <c r="CU122" s="150">
        <v>13.2</v>
      </c>
      <c r="CV122" s="150">
        <v>13.4</v>
      </c>
      <c r="CW122" s="150">
        <v>13.6</v>
      </c>
      <c r="CX122" s="150">
        <v>13.8</v>
      </c>
      <c r="CY122" s="150">
        <v>14</v>
      </c>
      <c r="CZ122" s="150">
        <v>14.2</v>
      </c>
      <c r="DA122" s="150">
        <v>14.4</v>
      </c>
      <c r="DB122" s="150">
        <v>14.6</v>
      </c>
      <c r="DC122" s="150">
        <v>14.8</v>
      </c>
      <c r="DD122" s="150">
        <v>15</v>
      </c>
      <c r="DE122" s="150">
        <v>15.2</v>
      </c>
      <c r="DF122" s="150">
        <v>15.4</v>
      </c>
      <c r="DG122" s="150">
        <v>15.6</v>
      </c>
      <c r="DH122" s="150">
        <v>15.8</v>
      </c>
      <c r="DI122" s="150">
        <v>16</v>
      </c>
      <c r="DJ122" s="150">
        <v>16.2</v>
      </c>
      <c r="DK122" s="150">
        <v>16.399999999999999</v>
      </c>
      <c r="DL122" s="150">
        <v>16.600000000000001</v>
      </c>
      <c r="DM122" s="150">
        <v>16.8</v>
      </c>
      <c r="DN122" s="150">
        <v>17</v>
      </c>
      <c r="DO122" s="150">
        <v>17.2</v>
      </c>
      <c r="DP122" s="150">
        <v>17.399999999999999</v>
      </c>
      <c r="DQ122" s="150">
        <v>17.600000000000001</v>
      </c>
      <c r="DR122" s="150">
        <v>17.8</v>
      </c>
      <c r="DS122" s="150">
        <v>18</v>
      </c>
      <c r="DT122" s="150">
        <v>18.2</v>
      </c>
      <c r="DU122" s="150">
        <v>18.399999999999999</v>
      </c>
      <c r="DV122" s="150">
        <v>18.600000000000001</v>
      </c>
      <c r="DW122" s="150">
        <v>18.8</v>
      </c>
      <c r="DX122" s="150">
        <v>19</v>
      </c>
      <c r="DY122" s="150">
        <v>19.2</v>
      </c>
      <c r="DZ122" s="150">
        <v>19.399999999999999</v>
      </c>
      <c r="EA122" s="150">
        <v>19.600000000000001</v>
      </c>
      <c r="EB122" s="150">
        <v>19.8</v>
      </c>
      <c r="EC122" s="150">
        <v>20</v>
      </c>
      <c r="ED122" s="150">
        <v>20.2</v>
      </c>
      <c r="EE122" s="150">
        <v>20.399999999999999</v>
      </c>
      <c r="EF122" s="150">
        <v>20.6</v>
      </c>
      <c r="EG122" s="150">
        <v>20.799999999999951</v>
      </c>
      <c r="EH122" s="150">
        <v>21</v>
      </c>
      <c r="EI122" s="150">
        <v>21.19999999999995</v>
      </c>
      <c r="EJ122" s="150">
        <v>21.4</v>
      </c>
      <c r="EK122" s="150">
        <v>21.599999999999948</v>
      </c>
    </row>
    <row r="123" spans="1:141" ht="13.2" x14ac:dyDescent="0.25">
      <c r="A123" s="149">
        <v>40391</v>
      </c>
      <c r="B123" s="219">
        <v>-1.7785964148750009</v>
      </c>
      <c r="C123" s="219">
        <v>-1.7482952255625008</v>
      </c>
      <c r="D123" s="219">
        <v>-1.7179940362500008</v>
      </c>
      <c r="E123" s="219">
        <v>-1.6876928469375008</v>
      </c>
      <c r="F123" s="219">
        <v>-1.6573916576250007</v>
      </c>
      <c r="G123" s="219">
        <v>-1.6270904683125007</v>
      </c>
      <c r="H123" s="219">
        <v>-1.5967892790000007</v>
      </c>
      <c r="I123" s="219">
        <v>-1.5664880896875006</v>
      </c>
      <c r="J123" s="219">
        <v>-1.5361869003750006</v>
      </c>
      <c r="K123" s="219">
        <v>-1.5058857110625006</v>
      </c>
      <c r="L123" s="219">
        <v>-1.4755845217500005</v>
      </c>
      <c r="M123" s="219">
        <v>-1.4452833324375005</v>
      </c>
      <c r="N123" s="219">
        <v>-1.4149821431250005</v>
      </c>
      <c r="O123" s="219">
        <v>-1.3846809538125004</v>
      </c>
      <c r="P123" s="219">
        <v>-1.3543797645000004</v>
      </c>
      <c r="Q123" s="219">
        <v>-1.3240785751875004</v>
      </c>
      <c r="R123" s="219">
        <v>-1.2937773858750004</v>
      </c>
      <c r="S123" s="219">
        <v>-1.2634761965625003</v>
      </c>
      <c r="T123" s="219">
        <v>-1.2331750072500003</v>
      </c>
      <c r="U123" s="219">
        <v>-1.2028738179375003</v>
      </c>
      <c r="V123" s="220">
        <v>-1.1725726286250002</v>
      </c>
      <c r="W123" s="219">
        <v>-1.1422714393125002</v>
      </c>
      <c r="X123" s="220">
        <v>-1.1119702500000002</v>
      </c>
      <c r="Y123" s="219">
        <v>-1.0832351250000003</v>
      </c>
      <c r="Z123" s="220">
        <v>-1.0545000000000002</v>
      </c>
      <c r="AA123" s="219">
        <v>-1.0272500000000002</v>
      </c>
      <c r="AB123" s="221">
        <v>-1</v>
      </c>
      <c r="AC123" s="219">
        <v>-0.8</v>
      </c>
      <c r="AD123" s="221">
        <v>-0.6</v>
      </c>
      <c r="AE123" s="219">
        <v>-0.4</v>
      </c>
      <c r="AF123" s="219">
        <v>-0.2</v>
      </c>
      <c r="AG123" s="150">
        <v>0</v>
      </c>
      <c r="AH123" s="150">
        <v>0.2</v>
      </c>
      <c r="AI123" s="150">
        <v>0.4</v>
      </c>
      <c r="AJ123" s="150">
        <v>0.6</v>
      </c>
      <c r="AK123" s="150">
        <v>0.8</v>
      </c>
      <c r="AL123" s="150">
        <v>1</v>
      </c>
      <c r="AM123" s="150">
        <v>1.2</v>
      </c>
      <c r="AN123" s="150">
        <v>1.4</v>
      </c>
      <c r="AO123" s="150">
        <v>1.6</v>
      </c>
      <c r="AP123" s="150">
        <v>1.8</v>
      </c>
      <c r="AQ123" s="150">
        <v>2</v>
      </c>
      <c r="AR123" s="150">
        <v>2.2000000000000002</v>
      </c>
      <c r="AS123" s="150">
        <v>2.4</v>
      </c>
      <c r="AT123" s="150">
        <v>2.6</v>
      </c>
      <c r="AU123" s="150">
        <v>2.8</v>
      </c>
      <c r="AV123" s="150">
        <v>3</v>
      </c>
      <c r="AW123" s="150">
        <v>3.2</v>
      </c>
      <c r="AX123" s="150">
        <v>3.4</v>
      </c>
      <c r="AY123" s="150">
        <v>3.6</v>
      </c>
      <c r="AZ123" s="150">
        <v>3.8</v>
      </c>
      <c r="BA123" s="150">
        <v>4</v>
      </c>
      <c r="BB123" s="150">
        <v>4.2</v>
      </c>
      <c r="BC123" s="150">
        <v>4.4000000000000004</v>
      </c>
      <c r="BD123" s="150">
        <v>4.5999999999999996</v>
      </c>
      <c r="BE123" s="150">
        <v>4.8</v>
      </c>
      <c r="BF123" s="150">
        <v>5</v>
      </c>
      <c r="BG123" s="150">
        <v>5.2</v>
      </c>
      <c r="BH123" s="150">
        <v>5.4</v>
      </c>
      <c r="BI123" s="150">
        <v>5.6</v>
      </c>
      <c r="BJ123" s="150">
        <v>5.8</v>
      </c>
      <c r="BK123" s="150">
        <v>6</v>
      </c>
      <c r="BL123" s="150">
        <v>6.2</v>
      </c>
      <c r="BM123" s="150">
        <v>6.4</v>
      </c>
      <c r="BN123" s="150">
        <v>6.6</v>
      </c>
      <c r="BO123" s="150">
        <v>6.8</v>
      </c>
      <c r="BP123" s="150">
        <v>7</v>
      </c>
      <c r="BQ123" s="150">
        <v>7.2</v>
      </c>
      <c r="BR123" s="150">
        <v>7.4</v>
      </c>
      <c r="BS123" s="150">
        <v>7.6</v>
      </c>
      <c r="BT123" s="150">
        <v>7.8</v>
      </c>
      <c r="BU123" s="150">
        <v>8</v>
      </c>
      <c r="BV123" s="150">
        <v>8.1999999999999993</v>
      </c>
      <c r="BW123" s="150">
        <v>8.4</v>
      </c>
      <c r="BX123" s="150">
        <v>8.6</v>
      </c>
      <c r="BY123" s="150">
        <v>8.7999999999999936</v>
      </c>
      <c r="BZ123" s="150">
        <v>9</v>
      </c>
      <c r="CA123" s="150">
        <v>9.1999999999999922</v>
      </c>
      <c r="CB123" s="150">
        <v>9.4</v>
      </c>
      <c r="CC123" s="150">
        <v>9.5999999999999908</v>
      </c>
      <c r="CD123" s="150">
        <v>9.8000000000000007</v>
      </c>
      <c r="CE123" s="150">
        <v>9.9999999999999893</v>
      </c>
      <c r="CF123" s="150">
        <v>10.199999999999999</v>
      </c>
      <c r="CG123" s="150">
        <v>10.4</v>
      </c>
      <c r="CH123" s="150">
        <v>10.6</v>
      </c>
      <c r="CI123" s="150">
        <v>10.8</v>
      </c>
      <c r="CJ123" s="150">
        <v>11</v>
      </c>
      <c r="CK123" s="150">
        <v>11.2</v>
      </c>
      <c r="CL123" s="150">
        <v>11.4</v>
      </c>
      <c r="CM123" s="150">
        <v>11.6</v>
      </c>
      <c r="CN123" s="150">
        <v>11.8</v>
      </c>
      <c r="CO123" s="150">
        <v>12</v>
      </c>
      <c r="CP123" s="150">
        <v>12.2</v>
      </c>
      <c r="CQ123" s="150">
        <v>12.4</v>
      </c>
      <c r="CR123" s="150">
        <v>12.6</v>
      </c>
      <c r="CS123" s="150">
        <v>12.8</v>
      </c>
      <c r="CT123" s="150">
        <v>13</v>
      </c>
      <c r="CU123" s="150">
        <v>13.2</v>
      </c>
      <c r="CV123" s="150">
        <v>13.4</v>
      </c>
      <c r="CW123" s="150">
        <v>13.6</v>
      </c>
      <c r="CX123" s="150">
        <v>13.8</v>
      </c>
      <c r="CY123" s="150">
        <v>14</v>
      </c>
      <c r="CZ123" s="150">
        <v>14.2</v>
      </c>
      <c r="DA123" s="150">
        <v>14.4</v>
      </c>
      <c r="DB123" s="150">
        <v>14.6</v>
      </c>
      <c r="DC123" s="150">
        <v>14.8</v>
      </c>
      <c r="DD123" s="150">
        <v>15</v>
      </c>
      <c r="DE123" s="150">
        <v>15.2</v>
      </c>
      <c r="DF123" s="150">
        <v>15.4</v>
      </c>
      <c r="DG123" s="150">
        <v>15.6</v>
      </c>
      <c r="DH123" s="150">
        <v>15.8</v>
      </c>
      <c r="DI123" s="150">
        <v>16</v>
      </c>
      <c r="DJ123" s="150">
        <v>16.2</v>
      </c>
      <c r="DK123" s="150">
        <v>16.399999999999999</v>
      </c>
      <c r="DL123" s="150">
        <v>16.600000000000001</v>
      </c>
      <c r="DM123" s="150">
        <v>16.8</v>
      </c>
      <c r="DN123" s="150">
        <v>17</v>
      </c>
      <c r="DO123" s="150">
        <v>17.2</v>
      </c>
      <c r="DP123" s="150">
        <v>17.399999999999999</v>
      </c>
      <c r="DQ123" s="150">
        <v>17.600000000000001</v>
      </c>
      <c r="DR123" s="150">
        <v>17.8</v>
      </c>
      <c r="DS123" s="150">
        <v>18</v>
      </c>
      <c r="DT123" s="150">
        <v>18.2</v>
      </c>
      <c r="DU123" s="150">
        <v>18.399999999999999</v>
      </c>
      <c r="DV123" s="150">
        <v>18.600000000000001</v>
      </c>
      <c r="DW123" s="150">
        <v>18.8</v>
      </c>
      <c r="DX123" s="150">
        <v>19</v>
      </c>
      <c r="DY123" s="150">
        <v>19.2</v>
      </c>
      <c r="DZ123" s="150">
        <v>19.399999999999999</v>
      </c>
      <c r="EA123" s="150">
        <v>19.600000000000001</v>
      </c>
      <c r="EB123" s="150">
        <v>19.8</v>
      </c>
      <c r="EC123" s="150">
        <v>20</v>
      </c>
      <c r="ED123" s="150">
        <v>20.2</v>
      </c>
      <c r="EE123" s="150">
        <v>20.399999999999999</v>
      </c>
      <c r="EF123" s="150">
        <v>20.6</v>
      </c>
      <c r="EG123" s="150">
        <v>20.799999999999951</v>
      </c>
      <c r="EH123" s="150">
        <v>21</v>
      </c>
      <c r="EI123" s="150">
        <v>21.19999999999995</v>
      </c>
      <c r="EJ123" s="150">
        <v>21.4</v>
      </c>
      <c r="EK123" s="150">
        <v>21.599999999999948</v>
      </c>
    </row>
    <row r="124" spans="1:141" ht="13.2" x14ac:dyDescent="0.25">
      <c r="A124" s="149">
        <v>40422</v>
      </c>
      <c r="B124" s="219">
        <v>-1.7785964148750009</v>
      </c>
      <c r="C124" s="219">
        <v>-1.7482952255625008</v>
      </c>
      <c r="D124" s="219">
        <v>-1.7179940362500008</v>
      </c>
      <c r="E124" s="219">
        <v>-1.6876928469375008</v>
      </c>
      <c r="F124" s="219">
        <v>-1.6573916576250007</v>
      </c>
      <c r="G124" s="219">
        <v>-1.6270904683125007</v>
      </c>
      <c r="H124" s="219">
        <v>-1.5967892790000007</v>
      </c>
      <c r="I124" s="219">
        <v>-1.5664880896875006</v>
      </c>
      <c r="J124" s="219">
        <v>-1.5361869003750006</v>
      </c>
      <c r="K124" s="219">
        <v>-1.5058857110625006</v>
      </c>
      <c r="L124" s="219">
        <v>-1.4755845217500005</v>
      </c>
      <c r="M124" s="219">
        <v>-1.4452833324375005</v>
      </c>
      <c r="N124" s="219">
        <v>-1.4149821431250005</v>
      </c>
      <c r="O124" s="219">
        <v>-1.3846809538125004</v>
      </c>
      <c r="P124" s="219">
        <v>-1.3543797645000004</v>
      </c>
      <c r="Q124" s="219">
        <v>-1.3240785751875004</v>
      </c>
      <c r="R124" s="219">
        <v>-1.2937773858750004</v>
      </c>
      <c r="S124" s="219">
        <v>-1.2634761965625003</v>
      </c>
      <c r="T124" s="219">
        <v>-1.2331750072500003</v>
      </c>
      <c r="U124" s="219">
        <v>-1.2028738179375003</v>
      </c>
      <c r="V124" s="220">
        <v>-1.1725726286250002</v>
      </c>
      <c r="W124" s="219">
        <v>-1.1422714393125002</v>
      </c>
      <c r="X124" s="220">
        <v>-1.1119702500000002</v>
      </c>
      <c r="Y124" s="219">
        <v>-1.0832351250000003</v>
      </c>
      <c r="Z124" s="220">
        <v>-1.0545000000000002</v>
      </c>
      <c r="AA124" s="219">
        <v>-1.0272500000000002</v>
      </c>
      <c r="AB124" s="221">
        <v>-1</v>
      </c>
      <c r="AC124" s="219">
        <v>-0.8</v>
      </c>
      <c r="AD124" s="221">
        <v>-0.6</v>
      </c>
      <c r="AE124" s="219">
        <v>-0.4</v>
      </c>
      <c r="AF124" s="219">
        <v>-0.2</v>
      </c>
      <c r="AG124" s="150">
        <v>0</v>
      </c>
      <c r="AH124" s="150">
        <v>0.2</v>
      </c>
      <c r="AI124" s="150">
        <v>0.4</v>
      </c>
      <c r="AJ124" s="150">
        <v>0.6</v>
      </c>
      <c r="AK124" s="150">
        <v>0.8</v>
      </c>
      <c r="AL124" s="150">
        <v>1</v>
      </c>
      <c r="AM124" s="150">
        <v>1.2</v>
      </c>
      <c r="AN124" s="150">
        <v>1.4</v>
      </c>
      <c r="AO124" s="150">
        <v>1.6</v>
      </c>
      <c r="AP124" s="150">
        <v>1.8</v>
      </c>
      <c r="AQ124" s="150">
        <v>2</v>
      </c>
      <c r="AR124" s="150">
        <v>2.2000000000000002</v>
      </c>
      <c r="AS124" s="150">
        <v>2.4</v>
      </c>
      <c r="AT124" s="150">
        <v>2.6</v>
      </c>
      <c r="AU124" s="150">
        <v>2.8</v>
      </c>
      <c r="AV124" s="150">
        <v>3</v>
      </c>
      <c r="AW124" s="150">
        <v>3.2</v>
      </c>
      <c r="AX124" s="150">
        <v>3.4</v>
      </c>
      <c r="AY124" s="150">
        <v>3.6</v>
      </c>
      <c r="AZ124" s="150">
        <v>3.8</v>
      </c>
      <c r="BA124" s="150">
        <v>4</v>
      </c>
      <c r="BB124" s="150">
        <v>4.2</v>
      </c>
      <c r="BC124" s="150">
        <v>4.4000000000000004</v>
      </c>
      <c r="BD124" s="150">
        <v>4.5999999999999996</v>
      </c>
      <c r="BE124" s="150">
        <v>4.8</v>
      </c>
      <c r="BF124" s="150">
        <v>5</v>
      </c>
      <c r="BG124" s="150">
        <v>5.2</v>
      </c>
      <c r="BH124" s="150">
        <v>5.4</v>
      </c>
      <c r="BI124" s="150">
        <v>5.6</v>
      </c>
      <c r="BJ124" s="150">
        <v>5.8</v>
      </c>
      <c r="BK124" s="150">
        <v>6</v>
      </c>
      <c r="BL124" s="150">
        <v>6.2</v>
      </c>
      <c r="BM124" s="150">
        <v>6.4</v>
      </c>
      <c r="BN124" s="150">
        <v>6.6</v>
      </c>
      <c r="BO124" s="150">
        <v>6.8</v>
      </c>
      <c r="BP124" s="150">
        <v>7</v>
      </c>
      <c r="BQ124" s="150">
        <v>7.2</v>
      </c>
      <c r="BR124" s="150">
        <v>7.4</v>
      </c>
      <c r="BS124" s="150">
        <v>7.6</v>
      </c>
      <c r="BT124" s="150">
        <v>7.8</v>
      </c>
      <c r="BU124" s="150">
        <v>8</v>
      </c>
      <c r="BV124" s="150">
        <v>8.1999999999999993</v>
      </c>
      <c r="BW124" s="150">
        <v>8.4</v>
      </c>
      <c r="BX124" s="150">
        <v>8.6</v>
      </c>
      <c r="BY124" s="150">
        <v>8.7999999999999936</v>
      </c>
      <c r="BZ124" s="150">
        <v>9</v>
      </c>
      <c r="CA124" s="150">
        <v>9.1999999999999922</v>
      </c>
      <c r="CB124" s="150">
        <v>9.4</v>
      </c>
      <c r="CC124" s="150">
        <v>9.5999999999999908</v>
      </c>
      <c r="CD124" s="150">
        <v>9.8000000000000007</v>
      </c>
      <c r="CE124" s="150">
        <v>9.9999999999999893</v>
      </c>
      <c r="CF124" s="150">
        <v>10.199999999999999</v>
      </c>
      <c r="CG124" s="150">
        <v>10.4</v>
      </c>
      <c r="CH124" s="150">
        <v>10.6</v>
      </c>
      <c r="CI124" s="150">
        <v>10.8</v>
      </c>
      <c r="CJ124" s="150">
        <v>11</v>
      </c>
      <c r="CK124" s="150">
        <v>11.2</v>
      </c>
      <c r="CL124" s="150">
        <v>11.4</v>
      </c>
      <c r="CM124" s="150">
        <v>11.6</v>
      </c>
      <c r="CN124" s="150">
        <v>11.8</v>
      </c>
      <c r="CO124" s="150">
        <v>12</v>
      </c>
      <c r="CP124" s="150">
        <v>12.2</v>
      </c>
      <c r="CQ124" s="150">
        <v>12.4</v>
      </c>
      <c r="CR124" s="150">
        <v>12.6</v>
      </c>
      <c r="CS124" s="150">
        <v>12.8</v>
      </c>
      <c r="CT124" s="150">
        <v>13</v>
      </c>
      <c r="CU124" s="150">
        <v>13.2</v>
      </c>
      <c r="CV124" s="150">
        <v>13.4</v>
      </c>
      <c r="CW124" s="150">
        <v>13.6</v>
      </c>
      <c r="CX124" s="150">
        <v>13.8</v>
      </c>
      <c r="CY124" s="150">
        <v>14</v>
      </c>
      <c r="CZ124" s="150">
        <v>14.2</v>
      </c>
      <c r="DA124" s="150">
        <v>14.4</v>
      </c>
      <c r="DB124" s="150">
        <v>14.6</v>
      </c>
      <c r="DC124" s="150">
        <v>14.8</v>
      </c>
      <c r="DD124" s="150">
        <v>15</v>
      </c>
      <c r="DE124" s="150">
        <v>15.2</v>
      </c>
      <c r="DF124" s="150">
        <v>15.4</v>
      </c>
      <c r="DG124" s="150">
        <v>15.6</v>
      </c>
      <c r="DH124" s="150">
        <v>15.8</v>
      </c>
      <c r="DI124" s="150">
        <v>16</v>
      </c>
      <c r="DJ124" s="150">
        <v>16.2</v>
      </c>
      <c r="DK124" s="150">
        <v>16.399999999999999</v>
      </c>
      <c r="DL124" s="150">
        <v>16.600000000000001</v>
      </c>
      <c r="DM124" s="150">
        <v>16.8</v>
      </c>
      <c r="DN124" s="150">
        <v>17</v>
      </c>
      <c r="DO124" s="150">
        <v>17.2</v>
      </c>
      <c r="DP124" s="150">
        <v>17.399999999999999</v>
      </c>
      <c r="DQ124" s="150">
        <v>17.600000000000001</v>
      </c>
      <c r="DR124" s="150">
        <v>17.8</v>
      </c>
      <c r="DS124" s="150">
        <v>18</v>
      </c>
      <c r="DT124" s="150">
        <v>18.2</v>
      </c>
      <c r="DU124" s="150">
        <v>18.399999999999999</v>
      </c>
      <c r="DV124" s="150">
        <v>18.600000000000001</v>
      </c>
      <c r="DW124" s="150">
        <v>18.8</v>
      </c>
      <c r="DX124" s="150">
        <v>19</v>
      </c>
      <c r="DY124" s="150">
        <v>19.2</v>
      </c>
      <c r="DZ124" s="150">
        <v>19.399999999999999</v>
      </c>
      <c r="EA124" s="150">
        <v>19.600000000000001</v>
      </c>
      <c r="EB124" s="150">
        <v>19.8</v>
      </c>
      <c r="EC124" s="150">
        <v>20</v>
      </c>
      <c r="ED124" s="150">
        <v>20.2</v>
      </c>
      <c r="EE124" s="150">
        <v>20.399999999999999</v>
      </c>
      <c r="EF124" s="150">
        <v>20.6</v>
      </c>
      <c r="EG124" s="150">
        <v>20.799999999999951</v>
      </c>
      <c r="EH124" s="150">
        <v>21</v>
      </c>
      <c r="EI124" s="150">
        <v>21.19999999999995</v>
      </c>
      <c r="EJ124" s="150">
        <v>21.4</v>
      </c>
      <c r="EK124" s="150">
        <v>21.599999999999948</v>
      </c>
    </row>
    <row r="125" spans="1:141" ht="13.2" x14ac:dyDescent="0.25">
      <c r="A125" s="149">
        <v>40452</v>
      </c>
      <c r="B125" s="219">
        <v>-1.7785964148750009</v>
      </c>
      <c r="C125" s="219">
        <v>-1.7482952255625008</v>
      </c>
      <c r="D125" s="219">
        <v>-1.7179940362500008</v>
      </c>
      <c r="E125" s="219">
        <v>-1.6876928469375008</v>
      </c>
      <c r="F125" s="219">
        <v>-1.6573916576250007</v>
      </c>
      <c r="G125" s="219">
        <v>-1.6270904683125007</v>
      </c>
      <c r="H125" s="219">
        <v>-1.5967892790000007</v>
      </c>
      <c r="I125" s="219">
        <v>-1.5664880896875006</v>
      </c>
      <c r="J125" s="219">
        <v>-1.5361869003750006</v>
      </c>
      <c r="K125" s="219">
        <v>-1.5058857110625006</v>
      </c>
      <c r="L125" s="219">
        <v>-1.4755845217500005</v>
      </c>
      <c r="M125" s="219">
        <v>-1.4452833324375005</v>
      </c>
      <c r="N125" s="219">
        <v>-1.4149821431250005</v>
      </c>
      <c r="O125" s="219">
        <v>-1.3846809538125004</v>
      </c>
      <c r="P125" s="219">
        <v>-1.3543797645000004</v>
      </c>
      <c r="Q125" s="219">
        <v>-1.3240785751875004</v>
      </c>
      <c r="R125" s="219">
        <v>-1.2937773858750004</v>
      </c>
      <c r="S125" s="219">
        <v>-1.2634761965625003</v>
      </c>
      <c r="T125" s="219">
        <v>-1.2331750072500003</v>
      </c>
      <c r="U125" s="219">
        <v>-1.2028738179375003</v>
      </c>
      <c r="V125" s="220">
        <v>-1.1725726286250002</v>
      </c>
      <c r="W125" s="219">
        <v>-1.1422714393125002</v>
      </c>
      <c r="X125" s="220">
        <v>-1.1119702500000002</v>
      </c>
      <c r="Y125" s="219">
        <v>-1.0832351250000003</v>
      </c>
      <c r="Z125" s="220">
        <v>-1.0545000000000002</v>
      </c>
      <c r="AA125" s="219">
        <v>-1.0272500000000002</v>
      </c>
      <c r="AB125" s="221">
        <v>-1</v>
      </c>
      <c r="AC125" s="219">
        <v>-0.8</v>
      </c>
      <c r="AD125" s="221">
        <v>-0.6</v>
      </c>
      <c r="AE125" s="219">
        <v>-0.4</v>
      </c>
      <c r="AF125" s="219">
        <v>-0.2</v>
      </c>
      <c r="AG125" s="150">
        <v>0</v>
      </c>
      <c r="AH125" s="150">
        <v>0.2</v>
      </c>
      <c r="AI125" s="150">
        <v>0.4</v>
      </c>
      <c r="AJ125" s="150">
        <v>0.6</v>
      </c>
      <c r="AK125" s="150">
        <v>0.8</v>
      </c>
      <c r="AL125" s="150">
        <v>1</v>
      </c>
      <c r="AM125" s="150">
        <v>1.2</v>
      </c>
      <c r="AN125" s="150">
        <v>1.4</v>
      </c>
      <c r="AO125" s="150">
        <v>1.6</v>
      </c>
      <c r="AP125" s="150">
        <v>1.8</v>
      </c>
      <c r="AQ125" s="150">
        <v>2</v>
      </c>
      <c r="AR125" s="150">
        <v>2.2000000000000002</v>
      </c>
      <c r="AS125" s="150">
        <v>2.4</v>
      </c>
      <c r="AT125" s="150">
        <v>2.6</v>
      </c>
      <c r="AU125" s="150">
        <v>2.8</v>
      </c>
      <c r="AV125" s="150">
        <v>3</v>
      </c>
      <c r="AW125" s="150">
        <v>3.2</v>
      </c>
      <c r="AX125" s="150">
        <v>3.4</v>
      </c>
      <c r="AY125" s="150">
        <v>3.6</v>
      </c>
      <c r="AZ125" s="150">
        <v>3.8</v>
      </c>
      <c r="BA125" s="150">
        <v>4</v>
      </c>
      <c r="BB125" s="150">
        <v>4.2</v>
      </c>
      <c r="BC125" s="150">
        <v>4.4000000000000004</v>
      </c>
      <c r="BD125" s="150">
        <v>4.5999999999999996</v>
      </c>
      <c r="BE125" s="150">
        <v>4.8</v>
      </c>
      <c r="BF125" s="150">
        <v>5</v>
      </c>
      <c r="BG125" s="150">
        <v>5.2</v>
      </c>
      <c r="BH125" s="150">
        <v>5.4</v>
      </c>
      <c r="BI125" s="150">
        <v>5.6</v>
      </c>
      <c r="BJ125" s="150">
        <v>5.8</v>
      </c>
      <c r="BK125" s="150">
        <v>6</v>
      </c>
      <c r="BL125" s="150">
        <v>6.2</v>
      </c>
      <c r="BM125" s="150">
        <v>6.4</v>
      </c>
      <c r="BN125" s="150">
        <v>6.6</v>
      </c>
      <c r="BO125" s="150">
        <v>6.8</v>
      </c>
      <c r="BP125" s="150">
        <v>7</v>
      </c>
      <c r="BQ125" s="150">
        <v>7.2</v>
      </c>
      <c r="BR125" s="150">
        <v>7.4</v>
      </c>
      <c r="BS125" s="150">
        <v>7.6</v>
      </c>
      <c r="BT125" s="150">
        <v>7.8</v>
      </c>
      <c r="BU125" s="150">
        <v>8</v>
      </c>
      <c r="BV125" s="150">
        <v>8.1999999999999993</v>
      </c>
      <c r="BW125" s="150">
        <v>8.4</v>
      </c>
      <c r="BX125" s="150">
        <v>8.6</v>
      </c>
      <c r="BY125" s="150">
        <v>8.7999999999999936</v>
      </c>
      <c r="BZ125" s="150">
        <v>9</v>
      </c>
      <c r="CA125" s="150">
        <v>9.1999999999999922</v>
      </c>
      <c r="CB125" s="150">
        <v>9.4</v>
      </c>
      <c r="CC125" s="150">
        <v>9.5999999999999908</v>
      </c>
      <c r="CD125" s="150">
        <v>9.8000000000000007</v>
      </c>
      <c r="CE125" s="150">
        <v>9.9999999999999893</v>
      </c>
      <c r="CF125" s="150">
        <v>10.199999999999999</v>
      </c>
      <c r="CG125" s="150">
        <v>10.4</v>
      </c>
      <c r="CH125" s="150">
        <v>10.6</v>
      </c>
      <c r="CI125" s="150">
        <v>10.8</v>
      </c>
      <c r="CJ125" s="150">
        <v>11</v>
      </c>
      <c r="CK125" s="150">
        <v>11.2</v>
      </c>
      <c r="CL125" s="150">
        <v>11.4</v>
      </c>
      <c r="CM125" s="150">
        <v>11.6</v>
      </c>
      <c r="CN125" s="150">
        <v>11.8</v>
      </c>
      <c r="CO125" s="150">
        <v>12</v>
      </c>
      <c r="CP125" s="150">
        <v>12.2</v>
      </c>
      <c r="CQ125" s="150">
        <v>12.4</v>
      </c>
      <c r="CR125" s="150">
        <v>12.6</v>
      </c>
      <c r="CS125" s="150">
        <v>12.8</v>
      </c>
      <c r="CT125" s="150">
        <v>13</v>
      </c>
      <c r="CU125" s="150">
        <v>13.2</v>
      </c>
      <c r="CV125" s="150">
        <v>13.4</v>
      </c>
      <c r="CW125" s="150">
        <v>13.6</v>
      </c>
      <c r="CX125" s="150">
        <v>13.8</v>
      </c>
      <c r="CY125" s="150">
        <v>14</v>
      </c>
      <c r="CZ125" s="150">
        <v>14.2</v>
      </c>
      <c r="DA125" s="150">
        <v>14.4</v>
      </c>
      <c r="DB125" s="150">
        <v>14.6</v>
      </c>
      <c r="DC125" s="150">
        <v>14.8</v>
      </c>
      <c r="DD125" s="150">
        <v>15</v>
      </c>
      <c r="DE125" s="150">
        <v>15.2</v>
      </c>
      <c r="DF125" s="150">
        <v>15.4</v>
      </c>
      <c r="DG125" s="150">
        <v>15.6</v>
      </c>
      <c r="DH125" s="150">
        <v>15.8</v>
      </c>
      <c r="DI125" s="150">
        <v>16</v>
      </c>
      <c r="DJ125" s="150">
        <v>16.2</v>
      </c>
      <c r="DK125" s="150">
        <v>16.399999999999999</v>
      </c>
      <c r="DL125" s="150">
        <v>16.600000000000001</v>
      </c>
      <c r="DM125" s="150">
        <v>16.8</v>
      </c>
      <c r="DN125" s="150">
        <v>17</v>
      </c>
      <c r="DO125" s="150">
        <v>17.2</v>
      </c>
      <c r="DP125" s="150">
        <v>17.399999999999999</v>
      </c>
      <c r="DQ125" s="150">
        <v>17.600000000000001</v>
      </c>
      <c r="DR125" s="150">
        <v>17.8</v>
      </c>
      <c r="DS125" s="150">
        <v>18</v>
      </c>
      <c r="DT125" s="150">
        <v>18.2</v>
      </c>
      <c r="DU125" s="150">
        <v>18.399999999999999</v>
      </c>
      <c r="DV125" s="150">
        <v>18.600000000000001</v>
      </c>
      <c r="DW125" s="150">
        <v>18.8</v>
      </c>
      <c r="DX125" s="150">
        <v>19</v>
      </c>
      <c r="DY125" s="150">
        <v>19.2</v>
      </c>
      <c r="DZ125" s="150">
        <v>19.399999999999999</v>
      </c>
      <c r="EA125" s="150">
        <v>19.600000000000001</v>
      </c>
      <c r="EB125" s="150">
        <v>19.8</v>
      </c>
      <c r="EC125" s="150">
        <v>20</v>
      </c>
      <c r="ED125" s="150">
        <v>20.2</v>
      </c>
      <c r="EE125" s="150">
        <v>20.399999999999999</v>
      </c>
      <c r="EF125" s="150">
        <v>20.6</v>
      </c>
      <c r="EG125" s="150">
        <v>20.799999999999951</v>
      </c>
      <c r="EH125" s="150">
        <v>21</v>
      </c>
      <c r="EI125" s="150">
        <v>21.19999999999995</v>
      </c>
      <c r="EJ125" s="150">
        <v>21.4</v>
      </c>
      <c r="EK125" s="150">
        <v>21.599999999999948</v>
      </c>
    </row>
    <row r="126" spans="1:141" ht="13.2" x14ac:dyDescent="0.25">
      <c r="A126" s="149">
        <v>40483</v>
      </c>
      <c r="B126" s="219">
        <v>-1.7785964148750009</v>
      </c>
      <c r="C126" s="219">
        <v>-1.7482952255625008</v>
      </c>
      <c r="D126" s="219">
        <v>-1.7179940362500008</v>
      </c>
      <c r="E126" s="219">
        <v>-1.6876928469375008</v>
      </c>
      <c r="F126" s="219">
        <v>-1.6573916576250007</v>
      </c>
      <c r="G126" s="219">
        <v>-1.6270904683125007</v>
      </c>
      <c r="H126" s="219">
        <v>-1.5967892790000007</v>
      </c>
      <c r="I126" s="219">
        <v>-1.5664880896875006</v>
      </c>
      <c r="J126" s="219">
        <v>-1.5361869003750006</v>
      </c>
      <c r="K126" s="219">
        <v>-1.5058857110625006</v>
      </c>
      <c r="L126" s="219">
        <v>-1.4755845217500005</v>
      </c>
      <c r="M126" s="219">
        <v>-1.4452833324375005</v>
      </c>
      <c r="N126" s="219">
        <v>-1.4149821431250005</v>
      </c>
      <c r="O126" s="219">
        <v>-1.3846809538125004</v>
      </c>
      <c r="P126" s="219">
        <v>-1.3543797645000004</v>
      </c>
      <c r="Q126" s="219">
        <v>-1.3240785751875004</v>
      </c>
      <c r="R126" s="219">
        <v>-1.2937773858750004</v>
      </c>
      <c r="S126" s="219">
        <v>-1.2634761965625003</v>
      </c>
      <c r="T126" s="219">
        <v>-1.2331750072500003</v>
      </c>
      <c r="U126" s="219">
        <v>-1.2028738179375003</v>
      </c>
      <c r="V126" s="220">
        <v>-1.1725726286250002</v>
      </c>
      <c r="W126" s="219">
        <v>-1.1422714393125002</v>
      </c>
      <c r="X126" s="220">
        <v>-1.1119702500000002</v>
      </c>
      <c r="Y126" s="219">
        <v>-1.0832351250000003</v>
      </c>
      <c r="Z126" s="220">
        <v>-1.0545000000000002</v>
      </c>
      <c r="AA126" s="219">
        <v>-1.0272500000000002</v>
      </c>
      <c r="AB126" s="221">
        <v>-1</v>
      </c>
      <c r="AC126" s="219">
        <v>-0.8</v>
      </c>
      <c r="AD126" s="221">
        <v>-0.6</v>
      </c>
      <c r="AE126" s="219">
        <v>-0.4</v>
      </c>
      <c r="AF126" s="219">
        <v>-0.2</v>
      </c>
      <c r="AG126" s="150">
        <v>0</v>
      </c>
      <c r="AH126" s="150">
        <v>0.2</v>
      </c>
      <c r="AI126" s="150">
        <v>0.4</v>
      </c>
      <c r="AJ126" s="150">
        <v>0.6</v>
      </c>
      <c r="AK126" s="150">
        <v>0.8</v>
      </c>
      <c r="AL126" s="150">
        <v>1</v>
      </c>
      <c r="AM126" s="150">
        <v>1.2</v>
      </c>
      <c r="AN126" s="150">
        <v>1.4</v>
      </c>
      <c r="AO126" s="150">
        <v>1.6</v>
      </c>
      <c r="AP126" s="150">
        <v>1.8</v>
      </c>
      <c r="AQ126" s="150">
        <v>2</v>
      </c>
      <c r="AR126" s="150">
        <v>2.2000000000000002</v>
      </c>
      <c r="AS126" s="150">
        <v>2.4</v>
      </c>
      <c r="AT126" s="150">
        <v>2.6</v>
      </c>
      <c r="AU126" s="150">
        <v>2.8</v>
      </c>
      <c r="AV126" s="150">
        <v>3</v>
      </c>
      <c r="AW126" s="150">
        <v>3.2</v>
      </c>
      <c r="AX126" s="150">
        <v>3.4</v>
      </c>
      <c r="AY126" s="150">
        <v>3.6</v>
      </c>
      <c r="AZ126" s="150">
        <v>3.8</v>
      </c>
      <c r="BA126" s="150">
        <v>4</v>
      </c>
      <c r="BB126" s="150">
        <v>4.2</v>
      </c>
      <c r="BC126" s="150">
        <v>4.4000000000000004</v>
      </c>
      <c r="BD126" s="150">
        <v>4.5999999999999996</v>
      </c>
      <c r="BE126" s="150">
        <v>4.8</v>
      </c>
      <c r="BF126" s="150">
        <v>5</v>
      </c>
      <c r="BG126" s="150">
        <v>5.2</v>
      </c>
      <c r="BH126" s="150">
        <v>5.4</v>
      </c>
      <c r="BI126" s="150">
        <v>5.6</v>
      </c>
      <c r="BJ126" s="150">
        <v>5.8</v>
      </c>
      <c r="BK126" s="150">
        <v>6</v>
      </c>
      <c r="BL126" s="150">
        <v>6.2</v>
      </c>
      <c r="BM126" s="150">
        <v>6.4</v>
      </c>
      <c r="BN126" s="150">
        <v>6.6</v>
      </c>
      <c r="BO126" s="150">
        <v>6.8</v>
      </c>
      <c r="BP126" s="150">
        <v>7</v>
      </c>
      <c r="BQ126" s="150">
        <v>7.2</v>
      </c>
      <c r="BR126" s="150">
        <v>7.4</v>
      </c>
      <c r="BS126" s="150">
        <v>7.6</v>
      </c>
      <c r="BT126" s="150">
        <v>7.8</v>
      </c>
      <c r="BU126" s="150">
        <v>8</v>
      </c>
      <c r="BV126" s="150">
        <v>8.1999999999999993</v>
      </c>
      <c r="BW126" s="150">
        <v>8.4</v>
      </c>
      <c r="BX126" s="150">
        <v>8.6</v>
      </c>
      <c r="BY126" s="150">
        <v>8.7999999999999936</v>
      </c>
      <c r="BZ126" s="150">
        <v>9</v>
      </c>
      <c r="CA126" s="150">
        <v>9.1999999999999922</v>
      </c>
      <c r="CB126" s="150">
        <v>9.4</v>
      </c>
      <c r="CC126" s="150">
        <v>9.5999999999999908</v>
      </c>
      <c r="CD126" s="150">
        <v>9.8000000000000007</v>
      </c>
      <c r="CE126" s="150">
        <v>9.9999999999999893</v>
      </c>
      <c r="CF126" s="150">
        <v>10.199999999999999</v>
      </c>
      <c r="CG126" s="150">
        <v>10.4</v>
      </c>
      <c r="CH126" s="150">
        <v>10.6</v>
      </c>
      <c r="CI126" s="150">
        <v>10.8</v>
      </c>
      <c r="CJ126" s="150">
        <v>11</v>
      </c>
      <c r="CK126" s="150">
        <v>11.2</v>
      </c>
      <c r="CL126" s="150">
        <v>11.4</v>
      </c>
      <c r="CM126" s="150">
        <v>11.6</v>
      </c>
      <c r="CN126" s="150">
        <v>11.8</v>
      </c>
      <c r="CO126" s="150">
        <v>12</v>
      </c>
      <c r="CP126" s="150">
        <v>12.2</v>
      </c>
      <c r="CQ126" s="150">
        <v>12.4</v>
      </c>
      <c r="CR126" s="150">
        <v>12.6</v>
      </c>
      <c r="CS126" s="150">
        <v>12.8</v>
      </c>
      <c r="CT126" s="150">
        <v>13</v>
      </c>
      <c r="CU126" s="150">
        <v>13.2</v>
      </c>
      <c r="CV126" s="150">
        <v>13.4</v>
      </c>
      <c r="CW126" s="150">
        <v>13.6</v>
      </c>
      <c r="CX126" s="150">
        <v>13.8</v>
      </c>
      <c r="CY126" s="150">
        <v>14</v>
      </c>
      <c r="CZ126" s="150">
        <v>14.2</v>
      </c>
      <c r="DA126" s="150">
        <v>14.4</v>
      </c>
      <c r="DB126" s="150">
        <v>14.6</v>
      </c>
      <c r="DC126" s="150">
        <v>14.8</v>
      </c>
      <c r="DD126" s="150">
        <v>15</v>
      </c>
      <c r="DE126" s="150">
        <v>15.2</v>
      </c>
      <c r="DF126" s="150">
        <v>15.4</v>
      </c>
      <c r="DG126" s="150">
        <v>15.6</v>
      </c>
      <c r="DH126" s="150">
        <v>15.8</v>
      </c>
      <c r="DI126" s="150">
        <v>16</v>
      </c>
      <c r="DJ126" s="150">
        <v>16.2</v>
      </c>
      <c r="DK126" s="150">
        <v>16.399999999999999</v>
      </c>
      <c r="DL126" s="150">
        <v>16.600000000000001</v>
      </c>
      <c r="DM126" s="150">
        <v>16.8</v>
      </c>
      <c r="DN126" s="150">
        <v>17</v>
      </c>
      <c r="DO126" s="150">
        <v>17.2</v>
      </c>
      <c r="DP126" s="150">
        <v>17.399999999999999</v>
      </c>
      <c r="DQ126" s="150">
        <v>17.600000000000001</v>
      </c>
      <c r="DR126" s="150">
        <v>17.8</v>
      </c>
      <c r="DS126" s="150">
        <v>18</v>
      </c>
      <c r="DT126" s="150">
        <v>18.2</v>
      </c>
      <c r="DU126" s="150">
        <v>18.399999999999999</v>
      </c>
      <c r="DV126" s="150">
        <v>18.600000000000001</v>
      </c>
      <c r="DW126" s="150">
        <v>18.8</v>
      </c>
      <c r="DX126" s="150">
        <v>19</v>
      </c>
      <c r="DY126" s="150">
        <v>19.2</v>
      </c>
      <c r="DZ126" s="150">
        <v>19.399999999999999</v>
      </c>
      <c r="EA126" s="150">
        <v>19.600000000000001</v>
      </c>
      <c r="EB126" s="150">
        <v>19.8</v>
      </c>
      <c r="EC126" s="150">
        <v>20</v>
      </c>
      <c r="ED126" s="150">
        <v>20.2</v>
      </c>
      <c r="EE126" s="150">
        <v>20.399999999999999</v>
      </c>
      <c r="EF126" s="150">
        <v>20.6</v>
      </c>
      <c r="EG126" s="150">
        <v>20.799999999999951</v>
      </c>
      <c r="EH126" s="150">
        <v>21</v>
      </c>
      <c r="EI126" s="150">
        <v>21.19999999999995</v>
      </c>
      <c r="EJ126" s="150">
        <v>21.4</v>
      </c>
      <c r="EK126" s="150">
        <v>21.599999999999948</v>
      </c>
    </row>
    <row r="127" spans="1:141" ht="13.2" x14ac:dyDescent="0.25">
      <c r="A127" s="149">
        <v>40513</v>
      </c>
      <c r="B127" s="219">
        <v>-1.7785964148750009</v>
      </c>
      <c r="C127" s="219">
        <v>-1.7482952255625008</v>
      </c>
      <c r="D127" s="219">
        <v>-1.7179940362500008</v>
      </c>
      <c r="E127" s="219">
        <v>-1.6876928469375008</v>
      </c>
      <c r="F127" s="219">
        <v>-1.6573916576250007</v>
      </c>
      <c r="G127" s="219">
        <v>-1.6270904683125007</v>
      </c>
      <c r="H127" s="219">
        <v>-1.5967892790000007</v>
      </c>
      <c r="I127" s="219">
        <v>-1.5664880896875006</v>
      </c>
      <c r="J127" s="219">
        <v>-1.5361869003750006</v>
      </c>
      <c r="K127" s="219">
        <v>-1.5058857110625006</v>
      </c>
      <c r="L127" s="219">
        <v>-1.4755845217500005</v>
      </c>
      <c r="M127" s="219">
        <v>-1.4452833324375005</v>
      </c>
      <c r="N127" s="219">
        <v>-1.4149821431250005</v>
      </c>
      <c r="O127" s="219">
        <v>-1.3846809538125004</v>
      </c>
      <c r="P127" s="219">
        <v>-1.3543797645000004</v>
      </c>
      <c r="Q127" s="219">
        <v>-1.3240785751875004</v>
      </c>
      <c r="R127" s="219">
        <v>-1.2937773858750004</v>
      </c>
      <c r="S127" s="219">
        <v>-1.2634761965625003</v>
      </c>
      <c r="T127" s="219">
        <v>-1.2331750072500003</v>
      </c>
      <c r="U127" s="219">
        <v>-1.2028738179375003</v>
      </c>
      <c r="V127" s="220">
        <v>-1.1725726286250002</v>
      </c>
      <c r="W127" s="219">
        <v>-1.1422714393125002</v>
      </c>
      <c r="X127" s="220">
        <v>-1.1119702500000002</v>
      </c>
      <c r="Y127" s="219">
        <v>-1.0832351250000003</v>
      </c>
      <c r="Z127" s="220">
        <v>-1.0545000000000002</v>
      </c>
      <c r="AA127" s="219">
        <v>-1.0272500000000002</v>
      </c>
      <c r="AB127" s="221">
        <v>-1</v>
      </c>
      <c r="AC127" s="219">
        <v>-0.8</v>
      </c>
      <c r="AD127" s="221">
        <v>-0.6</v>
      </c>
      <c r="AE127" s="219">
        <v>-0.4</v>
      </c>
      <c r="AF127" s="219">
        <v>-0.2</v>
      </c>
      <c r="AG127" s="150">
        <v>0</v>
      </c>
      <c r="AH127" s="150">
        <v>0.2</v>
      </c>
      <c r="AI127" s="150">
        <v>0.4</v>
      </c>
      <c r="AJ127" s="150">
        <v>0.6</v>
      </c>
      <c r="AK127" s="150">
        <v>0.8</v>
      </c>
      <c r="AL127" s="150">
        <v>1</v>
      </c>
      <c r="AM127" s="150">
        <v>1.2</v>
      </c>
      <c r="AN127" s="150">
        <v>1.4</v>
      </c>
      <c r="AO127" s="150">
        <v>1.6</v>
      </c>
      <c r="AP127" s="150">
        <v>1.8</v>
      </c>
      <c r="AQ127" s="150">
        <v>2</v>
      </c>
      <c r="AR127" s="150">
        <v>2.2000000000000002</v>
      </c>
      <c r="AS127" s="150">
        <v>2.4</v>
      </c>
      <c r="AT127" s="150">
        <v>2.6</v>
      </c>
      <c r="AU127" s="150">
        <v>2.8</v>
      </c>
      <c r="AV127" s="150">
        <v>3</v>
      </c>
      <c r="AW127" s="150">
        <v>3.2</v>
      </c>
      <c r="AX127" s="150">
        <v>3.4</v>
      </c>
      <c r="AY127" s="150">
        <v>3.6</v>
      </c>
      <c r="AZ127" s="150">
        <v>3.8</v>
      </c>
      <c r="BA127" s="150">
        <v>4</v>
      </c>
      <c r="BB127" s="150">
        <v>4.2</v>
      </c>
      <c r="BC127" s="150">
        <v>4.4000000000000004</v>
      </c>
      <c r="BD127" s="150">
        <v>4.5999999999999996</v>
      </c>
      <c r="BE127" s="150">
        <v>4.8</v>
      </c>
      <c r="BF127" s="150">
        <v>5</v>
      </c>
      <c r="BG127" s="150">
        <v>5.2</v>
      </c>
      <c r="BH127" s="150">
        <v>5.4</v>
      </c>
      <c r="BI127" s="150">
        <v>5.6</v>
      </c>
      <c r="BJ127" s="150">
        <v>5.8</v>
      </c>
      <c r="BK127" s="150">
        <v>6</v>
      </c>
      <c r="BL127" s="150">
        <v>6.2</v>
      </c>
      <c r="BM127" s="150">
        <v>6.4</v>
      </c>
      <c r="BN127" s="150">
        <v>6.6</v>
      </c>
      <c r="BO127" s="150">
        <v>6.8</v>
      </c>
      <c r="BP127" s="150">
        <v>7</v>
      </c>
      <c r="BQ127" s="150">
        <v>7.2</v>
      </c>
      <c r="BR127" s="150">
        <v>7.4</v>
      </c>
      <c r="BS127" s="150">
        <v>7.6</v>
      </c>
      <c r="BT127" s="150">
        <v>7.8</v>
      </c>
      <c r="BU127" s="150">
        <v>8</v>
      </c>
      <c r="BV127" s="150">
        <v>8.1999999999999993</v>
      </c>
      <c r="BW127" s="150">
        <v>8.4</v>
      </c>
      <c r="BX127" s="150">
        <v>8.6</v>
      </c>
      <c r="BY127" s="150">
        <v>8.7999999999999936</v>
      </c>
      <c r="BZ127" s="150">
        <v>9</v>
      </c>
      <c r="CA127" s="150">
        <v>9.1999999999999922</v>
      </c>
      <c r="CB127" s="150">
        <v>9.4</v>
      </c>
      <c r="CC127" s="150">
        <v>9.5999999999999908</v>
      </c>
      <c r="CD127" s="150">
        <v>9.8000000000000007</v>
      </c>
      <c r="CE127" s="150">
        <v>9.9999999999999893</v>
      </c>
      <c r="CF127" s="150">
        <v>10.199999999999999</v>
      </c>
      <c r="CG127" s="150">
        <v>10.4</v>
      </c>
      <c r="CH127" s="150">
        <v>10.6</v>
      </c>
      <c r="CI127" s="150">
        <v>10.8</v>
      </c>
      <c r="CJ127" s="150">
        <v>11</v>
      </c>
      <c r="CK127" s="150">
        <v>11.2</v>
      </c>
      <c r="CL127" s="150">
        <v>11.4</v>
      </c>
      <c r="CM127" s="150">
        <v>11.6</v>
      </c>
      <c r="CN127" s="150">
        <v>11.8</v>
      </c>
      <c r="CO127" s="150">
        <v>12</v>
      </c>
      <c r="CP127" s="150">
        <v>12.2</v>
      </c>
      <c r="CQ127" s="150">
        <v>12.4</v>
      </c>
      <c r="CR127" s="150">
        <v>12.6</v>
      </c>
      <c r="CS127" s="150">
        <v>12.8</v>
      </c>
      <c r="CT127" s="150">
        <v>13</v>
      </c>
      <c r="CU127" s="150">
        <v>13.2</v>
      </c>
      <c r="CV127" s="150">
        <v>13.4</v>
      </c>
      <c r="CW127" s="150">
        <v>13.6</v>
      </c>
      <c r="CX127" s="150">
        <v>13.8</v>
      </c>
      <c r="CY127" s="150">
        <v>14</v>
      </c>
      <c r="CZ127" s="150">
        <v>14.2</v>
      </c>
      <c r="DA127" s="150">
        <v>14.4</v>
      </c>
      <c r="DB127" s="150">
        <v>14.6</v>
      </c>
      <c r="DC127" s="150">
        <v>14.8</v>
      </c>
      <c r="DD127" s="150">
        <v>15</v>
      </c>
      <c r="DE127" s="150">
        <v>15.2</v>
      </c>
      <c r="DF127" s="150">
        <v>15.4</v>
      </c>
      <c r="DG127" s="150">
        <v>15.6</v>
      </c>
      <c r="DH127" s="150">
        <v>15.8</v>
      </c>
      <c r="DI127" s="150">
        <v>16</v>
      </c>
      <c r="DJ127" s="150">
        <v>16.2</v>
      </c>
      <c r="DK127" s="150">
        <v>16.399999999999999</v>
      </c>
      <c r="DL127" s="150">
        <v>16.600000000000001</v>
      </c>
      <c r="DM127" s="150">
        <v>16.8</v>
      </c>
      <c r="DN127" s="150">
        <v>17</v>
      </c>
      <c r="DO127" s="150">
        <v>17.2</v>
      </c>
      <c r="DP127" s="150">
        <v>17.399999999999999</v>
      </c>
      <c r="DQ127" s="150">
        <v>17.600000000000001</v>
      </c>
      <c r="DR127" s="150">
        <v>17.8</v>
      </c>
      <c r="DS127" s="150">
        <v>18</v>
      </c>
      <c r="DT127" s="150">
        <v>18.2</v>
      </c>
      <c r="DU127" s="150">
        <v>18.399999999999999</v>
      </c>
      <c r="DV127" s="150">
        <v>18.600000000000001</v>
      </c>
      <c r="DW127" s="150">
        <v>18.8</v>
      </c>
      <c r="DX127" s="150">
        <v>19</v>
      </c>
      <c r="DY127" s="150">
        <v>19.2</v>
      </c>
      <c r="DZ127" s="150">
        <v>19.399999999999999</v>
      </c>
      <c r="EA127" s="150">
        <v>19.600000000000001</v>
      </c>
      <c r="EB127" s="150">
        <v>19.8</v>
      </c>
      <c r="EC127" s="150">
        <v>20</v>
      </c>
      <c r="ED127" s="150">
        <v>20.2</v>
      </c>
      <c r="EE127" s="150">
        <v>20.399999999999999</v>
      </c>
      <c r="EF127" s="150">
        <v>20.6</v>
      </c>
      <c r="EG127" s="150">
        <v>20.799999999999951</v>
      </c>
      <c r="EH127" s="150">
        <v>21</v>
      </c>
      <c r="EI127" s="150">
        <v>21.19999999999995</v>
      </c>
      <c r="EJ127" s="150">
        <v>21.4</v>
      </c>
      <c r="EK127" s="150">
        <v>21.599999999999948</v>
      </c>
    </row>
    <row r="128" spans="1:141" ht="13.2" x14ac:dyDescent="0.25">
      <c r="A128" s="149">
        <v>40544</v>
      </c>
      <c r="B128" s="219">
        <v>-1.7785964148750009</v>
      </c>
      <c r="C128" s="219">
        <v>-1.7482952255625008</v>
      </c>
      <c r="D128" s="219">
        <v>-1.7179940362500008</v>
      </c>
      <c r="E128" s="219">
        <v>-1.6876928469375008</v>
      </c>
      <c r="F128" s="219">
        <v>-1.6573916576250007</v>
      </c>
      <c r="G128" s="219">
        <v>-1.6270904683125007</v>
      </c>
      <c r="H128" s="219">
        <v>-1.5967892790000007</v>
      </c>
      <c r="I128" s="219">
        <v>-1.5664880896875006</v>
      </c>
      <c r="J128" s="219">
        <v>-1.5361869003750006</v>
      </c>
      <c r="K128" s="219">
        <v>-1.5058857110625006</v>
      </c>
      <c r="L128" s="219">
        <v>-1.4755845217500005</v>
      </c>
      <c r="M128" s="219">
        <v>-1.4452833324375005</v>
      </c>
      <c r="N128" s="219">
        <v>-1.4149821431250005</v>
      </c>
      <c r="O128" s="219">
        <v>-1.3846809538125004</v>
      </c>
      <c r="P128" s="219">
        <v>-1.3543797645000004</v>
      </c>
      <c r="Q128" s="219">
        <v>-1.3240785751875004</v>
      </c>
      <c r="R128" s="219">
        <v>-1.2937773858750004</v>
      </c>
      <c r="S128" s="219">
        <v>-1.2634761965625003</v>
      </c>
      <c r="T128" s="219">
        <v>-1.2331750072500003</v>
      </c>
      <c r="U128" s="219">
        <v>-1.2028738179375003</v>
      </c>
      <c r="V128" s="220">
        <v>-1.1725726286250002</v>
      </c>
      <c r="W128" s="219">
        <v>-1.1422714393125002</v>
      </c>
      <c r="X128" s="220">
        <v>-1.1119702500000002</v>
      </c>
      <c r="Y128" s="219">
        <v>-1.0832351250000003</v>
      </c>
      <c r="Z128" s="220">
        <v>-1.0545000000000002</v>
      </c>
      <c r="AA128" s="219">
        <v>-1.0272500000000002</v>
      </c>
      <c r="AB128" s="221">
        <v>-1</v>
      </c>
      <c r="AC128" s="219">
        <v>-0.8</v>
      </c>
      <c r="AD128" s="221">
        <v>-0.6</v>
      </c>
      <c r="AE128" s="219">
        <v>-0.4</v>
      </c>
      <c r="AF128" s="219">
        <v>-0.2</v>
      </c>
      <c r="AG128" s="150">
        <v>0</v>
      </c>
      <c r="AH128" s="150">
        <v>0.2</v>
      </c>
      <c r="AI128" s="150">
        <v>0.4</v>
      </c>
      <c r="AJ128" s="150">
        <v>0.6</v>
      </c>
      <c r="AK128" s="150">
        <v>0.8</v>
      </c>
      <c r="AL128" s="150">
        <v>1</v>
      </c>
      <c r="AM128" s="150">
        <v>1.2</v>
      </c>
      <c r="AN128" s="150">
        <v>1.4</v>
      </c>
      <c r="AO128" s="150">
        <v>1.6</v>
      </c>
      <c r="AP128" s="150">
        <v>1.8</v>
      </c>
      <c r="AQ128" s="150">
        <v>2</v>
      </c>
      <c r="AR128" s="150">
        <v>2.2000000000000002</v>
      </c>
      <c r="AS128" s="150">
        <v>2.4</v>
      </c>
      <c r="AT128" s="150">
        <v>2.6</v>
      </c>
      <c r="AU128" s="150">
        <v>2.8</v>
      </c>
      <c r="AV128" s="150">
        <v>3</v>
      </c>
      <c r="AW128" s="150">
        <v>3.2</v>
      </c>
      <c r="AX128" s="150">
        <v>3.4</v>
      </c>
      <c r="AY128" s="150">
        <v>3.6</v>
      </c>
      <c r="AZ128" s="150">
        <v>3.8</v>
      </c>
      <c r="BA128" s="150">
        <v>4</v>
      </c>
      <c r="BB128" s="150">
        <v>4.2</v>
      </c>
      <c r="BC128" s="150">
        <v>4.4000000000000004</v>
      </c>
      <c r="BD128" s="150">
        <v>4.5999999999999996</v>
      </c>
      <c r="BE128" s="150">
        <v>4.8</v>
      </c>
      <c r="BF128" s="150">
        <v>5</v>
      </c>
      <c r="BG128" s="150">
        <v>5.2</v>
      </c>
      <c r="BH128" s="150">
        <v>5.4</v>
      </c>
      <c r="BI128" s="150">
        <v>5.6</v>
      </c>
      <c r="BJ128" s="150">
        <v>5.8</v>
      </c>
      <c r="BK128" s="150">
        <v>6</v>
      </c>
      <c r="BL128" s="150">
        <v>6.2</v>
      </c>
      <c r="BM128" s="150">
        <v>6.4</v>
      </c>
      <c r="BN128" s="150">
        <v>6.6</v>
      </c>
      <c r="BO128" s="150">
        <v>6.8</v>
      </c>
      <c r="BP128" s="150">
        <v>7</v>
      </c>
      <c r="BQ128" s="150">
        <v>7.2</v>
      </c>
      <c r="BR128" s="150">
        <v>7.4</v>
      </c>
      <c r="BS128" s="150">
        <v>7.6</v>
      </c>
      <c r="BT128" s="150">
        <v>7.8</v>
      </c>
      <c r="BU128" s="150">
        <v>8</v>
      </c>
      <c r="BV128" s="150">
        <v>8.1999999999999993</v>
      </c>
      <c r="BW128" s="150">
        <v>8.4</v>
      </c>
      <c r="BX128" s="150">
        <v>8.6</v>
      </c>
      <c r="BY128" s="150">
        <v>8.7999999999999936</v>
      </c>
      <c r="BZ128" s="150">
        <v>9</v>
      </c>
      <c r="CA128" s="150">
        <v>9.1999999999999922</v>
      </c>
      <c r="CB128" s="150">
        <v>9.4</v>
      </c>
      <c r="CC128" s="150">
        <v>9.5999999999999908</v>
      </c>
      <c r="CD128" s="150">
        <v>9.8000000000000007</v>
      </c>
      <c r="CE128" s="150">
        <v>9.9999999999999893</v>
      </c>
      <c r="CF128" s="150">
        <v>10.199999999999999</v>
      </c>
      <c r="CG128" s="150">
        <v>10.4</v>
      </c>
      <c r="CH128" s="150">
        <v>10.6</v>
      </c>
      <c r="CI128" s="150">
        <v>10.8</v>
      </c>
      <c r="CJ128" s="150">
        <v>11</v>
      </c>
      <c r="CK128" s="150">
        <v>11.2</v>
      </c>
      <c r="CL128" s="150">
        <v>11.4</v>
      </c>
      <c r="CM128" s="150">
        <v>11.6</v>
      </c>
      <c r="CN128" s="150">
        <v>11.8</v>
      </c>
      <c r="CO128" s="150">
        <v>12</v>
      </c>
      <c r="CP128" s="150">
        <v>12.2</v>
      </c>
      <c r="CQ128" s="150">
        <v>12.4</v>
      </c>
      <c r="CR128" s="150">
        <v>12.6</v>
      </c>
      <c r="CS128" s="150">
        <v>12.8</v>
      </c>
      <c r="CT128" s="150">
        <v>13</v>
      </c>
      <c r="CU128" s="150">
        <v>13.2</v>
      </c>
      <c r="CV128" s="150">
        <v>13.4</v>
      </c>
      <c r="CW128" s="150">
        <v>13.6</v>
      </c>
      <c r="CX128" s="150">
        <v>13.8</v>
      </c>
      <c r="CY128" s="150">
        <v>14</v>
      </c>
      <c r="CZ128" s="150">
        <v>14.2</v>
      </c>
      <c r="DA128" s="150">
        <v>14.4</v>
      </c>
      <c r="DB128" s="150">
        <v>14.6</v>
      </c>
      <c r="DC128" s="150">
        <v>14.8</v>
      </c>
      <c r="DD128" s="150">
        <v>15</v>
      </c>
      <c r="DE128" s="150">
        <v>15.2</v>
      </c>
      <c r="DF128" s="150">
        <v>15.4</v>
      </c>
      <c r="DG128" s="150">
        <v>15.6</v>
      </c>
      <c r="DH128" s="150">
        <v>15.8</v>
      </c>
      <c r="DI128" s="150">
        <v>16</v>
      </c>
      <c r="DJ128" s="150">
        <v>16.2</v>
      </c>
      <c r="DK128" s="150">
        <v>16.399999999999999</v>
      </c>
      <c r="DL128" s="150">
        <v>16.600000000000001</v>
      </c>
      <c r="DM128" s="150">
        <v>16.8</v>
      </c>
      <c r="DN128" s="150">
        <v>17</v>
      </c>
      <c r="DO128" s="150">
        <v>17.2</v>
      </c>
      <c r="DP128" s="150">
        <v>17.399999999999999</v>
      </c>
      <c r="DQ128" s="150">
        <v>17.600000000000001</v>
      </c>
      <c r="DR128" s="150">
        <v>17.8</v>
      </c>
      <c r="DS128" s="150">
        <v>18</v>
      </c>
      <c r="DT128" s="150">
        <v>18.2</v>
      </c>
      <c r="DU128" s="150">
        <v>18.399999999999999</v>
      </c>
      <c r="DV128" s="150">
        <v>18.600000000000001</v>
      </c>
      <c r="DW128" s="150">
        <v>18.8</v>
      </c>
      <c r="DX128" s="150">
        <v>19</v>
      </c>
      <c r="DY128" s="150">
        <v>19.2</v>
      </c>
      <c r="DZ128" s="150">
        <v>19.399999999999999</v>
      </c>
      <c r="EA128" s="150">
        <v>19.600000000000001</v>
      </c>
      <c r="EB128" s="150">
        <v>19.8</v>
      </c>
      <c r="EC128" s="150">
        <v>20</v>
      </c>
      <c r="ED128" s="150">
        <v>20.2</v>
      </c>
      <c r="EE128" s="150">
        <v>20.399999999999999</v>
      </c>
      <c r="EF128" s="150">
        <v>20.6</v>
      </c>
      <c r="EG128" s="150">
        <v>20.799999999999951</v>
      </c>
      <c r="EH128" s="150">
        <v>21</v>
      </c>
      <c r="EI128" s="150">
        <v>21.19999999999995</v>
      </c>
      <c r="EJ128" s="150">
        <v>21.4</v>
      </c>
      <c r="EK128" s="150">
        <v>21.599999999999948</v>
      </c>
    </row>
    <row r="129" spans="1:141" ht="13.2" x14ac:dyDescent="0.25">
      <c r="A129" s="149">
        <v>40575</v>
      </c>
      <c r="B129" s="219">
        <v>-1.7785964148750009</v>
      </c>
      <c r="C129" s="219">
        <v>-1.7482952255625008</v>
      </c>
      <c r="D129" s="219">
        <v>-1.7179940362500008</v>
      </c>
      <c r="E129" s="219">
        <v>-1.6876928469375008</v>
      </c>
      <c r="F129" s="219">
        <v>-1.6573916576250007</v>
      </c>
      <c r="G129" s="219">
        <v>-1.6270904683125007</v>
      </c>
      <c r="H129" s="219">
        <v>-1.5967892790000007</v>
      </c>
      <c r="I129" s="219">
        <v>-1.5664880896875006</v>
      </c>
      <c r="J129" s="219">
        <v>-1.5361869003750006</v>
      </c>
      <c r="K129" s="219">
        <v>-1.5058857110625006</v>
      </c>
      <c r="L129" s="219">
        <v>-1.4755845217500005</v>
      </c>
      <c r="M129" s="219">
        <v>-1.4452833324375005</v>
      </c>
      <c r="N129" s="219">
        <v>-1.4149821431250005</v>
      </c>
      <c r="O129" s="219">
        <v>-1.3846809538125004</v>
      </c>
      <c r="P129" s="219">
        <v>-1.3543797645000004</v>
      </c>
      <c r="Q129" s="219">
        <v>-1.3240785751875004</v>
      </c>
      <c r="R129" s="219">
        <v>-1.2937773858750004</v>
      </c>
      <c r="S129" s="219">
        <v>-1.2634761965625003</v>
      </c>
      <c r="T129" s="219">
        <v>-1.2331750072500003</v>
      </c>
      <c r="U129" s="219">
        <v>-1.2028738179375003</v>
      </c>
      <c r="V129" s="220">
        <v>-1.1725726286250002</v>
      </c>
      <c r="W129" s="219">
        <v>-1.1422714393125002</v>
      </c>
      <c r="X129" s="220">
        <v>-1.1119702500000002</v>
      </c>
      <c r="Y129" s="219">
        <v>-1.0832351250000003</v>
      </c>
      <c r="Z129" s="220">
        <v>-1.0545000000000002</v>
      </c>
      <c r="AA129" s="219">
        <v>-1.0272500000000002</v>
      </c>
      <c r="AB129" s="221">
        <v>-1</v>
      </c>
      <c r="AC129" s="219">
        <v>-0.8</v>
      </c>
      <c r="AD129" s="221">
        <v>-0.6</v>
      </c>
      <c r="AE129" s="219">
        <v>-0.4</v>
      </c>
      <c r="AF129" s="219">
        <v>-0.2</v>
      </c>
      <c r="AG129" s="150">
        <v>0</v>
      </c>
      <c r="AH129" s="150">
        <v>0.2</v>
      </c>
      <c r="AI129" s="150">
        <v>0.4</v>
      </c>
      <c r="AJ129" s="150">
        <v>0.6</v>
      </c>
      <c r="AK129" s="150">
        <v>0.8</v>
      </c>
      <c r="AL129" s="150">
        <v>1</v>
      </c>
      <c r="AM129" s="150">
        <v>1.2</v>
      </c>
      <c r="AN129" s="150">
        <v>1.4</v>
      </c>
      <c r="AO129" s="150">
        <v>1.6</v>
      </c>
      <c r="AP129" s="150">
        <v>1.8</v>
      </c>
      <c r="AQ129" s="150">
        <v>2</v>
      </c>
      <c r="AR129" s="150">
        <v>2.2000000000000002</v>
      </c>
      <c r="AS129" s="150">
        <v>2.4</v>
      </c>
      <c r="AT129" s="150">
        <v>2.6</v>
      </c>
      <c r="AU129" s="150">
        <v>2.8</v>
      </c>
      <c r="AV129" s="150">
        <v>3</v>
      </c>
      <c r="AW129" s="150">
        <v>3.2</v>
      </c>
      <c r="AX129" s="150">
        <v>3.4</v>
      </c>
      <c r="AY129" s="150">
        <v>3.6</v>
      </c>
      <c r="AZ129" s="150">
        <v>3.8</v>
      </c>
      <c r="BA129" s="150">
        <v>4</v>
      </c>
      <c r="BB129" s="150">
        <v>4.2</v>
      </c>
      <c r="BC129" s="150">
        <v>4.4000000000000004</v>
      </c>
      <c r="BD129" s="150">
        <v>4.5999999999999996</v>
      </c>
      <c r="BE129" s="150">
        <v>4.8</v>
      </c>
      <c r="BF129" s="150">
        <v>5</v>
      </c>
      <c r="BG129" s="150">
        <v>5.2</v>
      </c>
      <c r="BH129" s="150">
        <v>5.4</v>
      </c>
      <c r="BI129" s="150">
        <v>5.6</v>
      </c>
      <c r="BJ129" s="150">
        <v>5.8</v>
      </c>
      <c r="BK129" s="150">
        <v>6</v>
      </c>
      <c r="BL129" s="150">
        <v>6.2</v>
      </c>
      <c r="BM129" s="150">
        <v>6.4</v>
      </c>
      <c r="BN129" s="150">
        <v>6.6</v>
      </c>
      <c r="BO129" s="150">
        <v>6.8</v>
      </c>
      <c r="BP129" s="150">
        <v>7</v>
      </c>
      <c r="BQ129" s="150">
        <v>7.2</v>
      </c>
      <c r="BR129" s="150">
        <v>7.4</v>
      </c>
      <c r="BS129" s="150">
        <v>7.6</v>
      </c>
      <c r="BT129" s="150">
        <v>7.8</v>
      </c>
      <c r="BU129" s="150">
        <v>8</v>
      </c>
      <c r="BV129" s="150">
        <v>8.1999999999999993</v>
      </c>
      <c r="BW129" s="150">
        <v>8.4</v>
      </c>
      <c r="BX129" s="150">
        <v>8.6</v>
      </c>
      <c r="BY129" s="150">
        <v>8.7999999999999936</v>
      </c>
      <c r="BZ129" s="150">
        <v>9</v>
      </c>
      <c r="CA129" s="150">
        <v>9.1999999999999922</v>
      </c>
      <c r="CB129" s="150">
        <v>9.4</v>
      </c>
      <c r="CC129" s="150">
        <v>9.5999999999999908</v>
      </c>
      <c r="CD129" s="150">
        <v>9.8000000000000007</v>
      </c>
      <c r="CE129" s="150">
        <v>9.9999999999999893</v>
      </c>
      <c r="CF129" s="150">
        <v>10.199999999999999</v>
      </c>
      <c r="CG129" s="150">
        <v>10.4</v>
      </c>
      <c r="CH129" s="150">
        <v>10.6</v>
      </c>
      <c r="CI129" s="150">
        <v>10.8</v>
      </c>
      <c r="CJ129" s="150">
        <v>11</v>
      </c>
      <c r="CK129" s="150">
        <v>11.2</v>
      </c>
      <c r="CL129" s="150">
        <v>11.4</v>
      </c>
      <c r="CM129" s="150">
        <v>11.6</v>
      </c>
      <c r="CN129" s="150">
        <v>11.8</v>
      </c>
      <c r="CO129" s="150">
        <v>12</v>
      </c>
      <c r="CP129" s="150">
        <v>12.2</v>
      </c>
      <c r="CQ129" s="150">
        <v>12.4</v>
      </c>
      <c r="CR129" s="150">
        <v>12.6</v>
      </c>
      <c r="CS129" s="150">
        <v>12.8</v>
      </c>
      <c r="CT129" s="150">
        <v>13</v>
      </c>
      <c r="CU129" s="150">
        <v>13.2</v>
      </c>
      <c r="CV129" s="150">
        <v>13.4</v>
      </c>
      <c r="CW129" s="150">
        <v>13.6</v>
      </c>
      <c r="CX129" s="150">
        <v>13.8</v>
      </c>
      <c r="CY129" s="150">
        <v>14</v>
      </c>
      <c r="CZ129" s="150">
        <v>14.2</v>
      </c>
      <c r="DA129" s="150">
        <v>14.4</v>
      </c>
      <c r="DB129" s="150">
        <v>14.6</v>
      </c>
      <c r="DC129" s="150">
        <v>14.8</v>
      </c>
      <c r="DD129" s="150">
        <v>15</v>
      </c>
      <c r="DE129" s="150">
        <v>15.2</v>
      </c>
      <c r="DF129" s="150">
        <v>15.4</v>
      </c>
      <c r="DG129" s="150">
        <v>15.6</v>
      </c>
      <c r="DH129" s="150">
        <v>15.8</v>
      </c>
      <c r="DI129" s="150">
        <v>16</v>
      </c>
      <c r="DJ129" s="150">
        <v>16.2</v>
      </c>
      <c r="DK129" s="150">
        <v>16.399999999999999</v>
      </c>
      <c r="DL129" s="150">
        <v>16.600000000000001</v>
      </c>
      <c r="DM129" s="150">
        <v>16.8</v>
      </c>
      <c r="DN129" s="150">
        <v>17</v>
      </c>
      <c r="DO129" s="150">
        <v>17.2</v>
      </c>
      <c r="DP129" s="150">
        <v>17.399999999999999</v>
      </c>
      <c r="DQ129" s="150">
        <v>17.600000000000001</v>
      </c>
      <c r="DR129" s="150">
        <v>17.8</v>
      </c>
      <c r="DS129" s="150">
        <v>18</v>
      </c>
      <c r="DT129" s="150">
        <v>18.2</v>
      </c>
      <c r="DU129" s="150">
        <v>18.399999999999999</v>
      </c>
      <c r="DV129" s="150">
        <v>18.600000000000001</v>
      </c>
      <c r="DW129" s="150">
        <v>18.8</v>
      </c>
      <c r="DX129" s="150">
        <v>19</v>
      </c>
      <c r="DY129" s="150">
        <v>19.2</v>
      </c>
      <c r="DZ129" s="150">
        <v>19.399999999999999</v>
      </c>
      <c r="EA129" s="150">
        <v>19.600000000000001</v>
      </c>
      <c r="EB129" s="150">
        <v>19.8</v>
      </c>
      <c r="EC129" s="150">
        <v>20</v>
      </c>
      <c r="ED129" s="150">
        <v>20.2</v>
      </c>
      <c r="EE129" s="150">
        <v>20.399999999999999</v>
      </c>
      <c r="EF129" s="150">
        <v>20.6</v>
      </c>
      <c r="EG129" s="150">
        <v>20.799999999999951</v>
      </c>
      <c r="EH129" s="150">
        <v>21</v>
      </c>
      <c r="EI129" s="150">
        <v>21.19999999999995</v>
      </c>
      <c r="EJ129" s="150">
        <v>21.4</v>
      </c>
      <c r="EK129" s="150">
        <v>21.599999999999948</v>
      </c>
    </row>
    <row r="130" spans="1:141" ht="13.2" x14ac:dyDescent="0.25">
      <c r="A130" s="149">
        <v>40603</v>
      </c>
      <c r="B130" s="219">
        <v>-1.7785964148750009</v>
      </c>
      <c r="C130" s="219">
        <v>-1.7482952255625008</v>
      </c>
      <c r="D130" s="219">
        <v>-1.7179940362500008</v>
      </c>
      <c r="E130" s="219">
        <v>-1.6876928469375008</v>
      </c>
      <c r="F130" s="219">
        <v>-1.6573916576250007</v>
      </c>
      <c r="G130" s="219">
        <v>-1.6270904683125007</v>
      </c>
      <c r="H130" s="219">
        <v>-1.5967892790000007</v>
      </c>
      <c r="I130" s="219">
        <v>-1.5664880896875006</v>
      </c>
      <c r="J130" s="219">
        <v>-1.5361869003750006</v>
      </c>
      <c r="K130" s="219">
        <v>-1.5058857110625006</v>
      </c>
      <c r="L130" s="219">
        <v>-1.4755845217500005</v>
      </c>
      <c r="M130" s="219">
        <v>-1.4452833324375005</v>
      </c>
      <c r="N130" s="219">
        <v>-1.4149821431250005</v>
      </c>
      <c r="O130" s="219">
        <v>-1.3846809538125004</v>
      </c>
      <c r="P130" s="219">
        <v>-1.3543797645000004</v>
      </c>
      <c r="Q130" s="219">
        <v>-1.3240785751875004</v>
      </c>
      <c r="R130" s="219">
        <v>-1.2937773858750004</v>
      </c>
      <c r="S130" s="219">
        <v>-1.2634761965625003</v>
      </c>
      <c r="T130" s="219">
        <v>-1.2331750072500003</v>
      </c>
      <c r="U130" s="219">
        <v>-1.2028738179375003</v>
      </c>
      <c r="V130" s="220">
        <v>-1.1725726286250002</v>
      </c>
      <c r="W130" s="219">
        <v>-1.1422714393125002</v>
      </c>
      <c r="X130" s="220">
        <v>-1.1119702500000002</v>
      </c>
      <c r="Y130" s="219">
        <v>-1.0832351250000003</v>
      </c>
      <c r="Z130" s="220">
        <v>-1.0545000000000002</v>
      </c>
      <c r="AA130" s="219">
        <v>-1.0272500000000002</v>
      </c>
      <c r="AB130" s="221">
        <v>-1</v>
      </c>
      <c r="AC130" s="219">
        <v>-0.8</v>
      </c>
      <c r="AD130" s="221">
        <v>-0.6</v>
      </c>
      <c r="AE130" s="219">
        <v>-0.4</v>
      </c>
      <c r="AF130" s="219">
        <v>-0.2</v>
      </c>
      <c r="AG130" s="150">
        <v>0</v>
      </c>
      <c r="AH130" s="150">
        <v>0.2</v>
      </c>
      <c r="AI130" s="150">
        <v>0.4</v>
      </c>
      <c r="AJ130" s="150">
        <v>0.6</v>
      </c>
      <c r="AK130" s="150">
        <v>0.8</v>
      </c>
      <c r="AL130" s="150">
        <v>1</v>
      </c>
      <c r="AM130" s="150">
        <v>1.2</v>
      </c>
      <c r="AN130" s="150">
        <v>1.4</v>
      </c>
      <c r="AO130" s="150">
        <v>1.6</v>
      </c>
      <c r="AP130" s="150">
        <v>1.8</v>
      </c>
      <c r="AQ130" s="150">
        <v>2</v>
      </c>
      <c r="AR130" s="150">
        <v>2.2000000000000002</v>
      </c>
      <c r="AS130" s="150">
        <v>2.4</v>
      </c>
      <c r="AT130" s="150">
        <v>2.6</v>
      </c>
      <c r="AU130" s="150">
        <v>2.8</v>
      </c>
      <c r="AV130" s="150">
        <v>3</v>
      </c>
      <c r="AW130" s="150">
        <v>3.2</v>
      </c>
      <c r="AX130" s="150">
        <v>3.4</v>
      </c>
      <c r="AY130" s="150">
        <v>3.6</v>
      </c>
      <c r="AZ130" s="150">
        <v>3.8</v>
      </c>
      <c r="BA130" s="150">
        <v>4</v>
      </c>
      <c r="BB130" s="150">
        <v>4.2</v>
      </c>
      <c r="BC130" s="150">
        <v>4.4000000000000004</v>
      </c>
      <c r="BD130" s="150">
        <v>4.5999999999999996</v>
      </c>
      <c r="BE130" s="150">
        <v>4.8</v>
      </c>
      <c r="BF130" s="150">
        <v>5</v>
      </c>
      <c r="BG130" s="150">
        <v>5.2</v>
      </c>
      <c r="BH130" s="150">
        <v>5.4</v>
      </c>
      <c r="BI130" s="150">
        <v>5.6</v>
      </c>
      <c r="BJ130" s="150">
        <v>5.8</v>
      </c>
      <c r="BK130" s="150">
        <v>6</v>
      </c>
      <c r="BL130" s="150">
        <v>6.2</v>
      </c>
      <c r="BM130" s="150">
        <v>6.4</v>
      </c>
      <c r="BN130" s="150">
        <v>6.6</v>
      </c>
      <c r="BO130" s="150">
        <v>6.8</v>
      </c>
      <c r="BP130" s="150">
        <v>7</v>
      </c>
      <c r="BQ130" s="150">
        <v>7.2</v>
      </c>
      <c r="BR130" s="150">
        <v>7.4</v>
      </c>
      <c r="BS130" s="150">
        <v>7.6</v>
      </c>
      <c r="BT130" s="150">
        <v>7.8</v>
      </c>
      <c r="BU130" s="150">
        <v>8</v>
      </c>
      <c r="BV130" s="150">
        <v>8.1999999999999993</v>
      </c>
      <c r="BW130" s="150">
        <v>8.4</v>
      </c>
      <c r="BX130" s="150">
        <v>8.6</v>
      </c>
      <c r="BY130" s="150">
        <v>8.7999999999999936</v>
      </c>
      <c r="BZ130" s="150">
        <v>9</v>
      </c>
      <c r="CA130" s="150">
        <v>9.1999999999999922</v>
      </c>
      <c r="CB130" s="150">
        <v>9.4</v>
      </c>
      <c r="CC130" s="150">
        <v>9.5999999999999908</v>
      </c>
      <c r="CD130" s="150">
        <v>9.8000000000000007</v>
      </c>
      <c r="CE130" s="150">
        <v>9.9999999999999893</v>
      </c>
      <c r="CF130" s="150">
        <v>10.199999999999999</v>
      </c>
      <c r="CG130" s="150">
        <v>10.4</v>
      </c>
      <c r="CH130" s="150">
        <v>10.6</v>
      </c>
      <c r="CI130" s="150">
        <v>10.8</v>
      </c>
      <c r="CJ130" s="150">
        <v>11</v>
      </c>
      <c r="CK130" s="150">
        <v>11.2</v>
      </c>
      <c r="CL130" s="150">
        <v>11.4</v>
      </c>
      <c r="CM130" s="150">
        <v>11.6</v>
      </c>
      <c r="CN130" s="150">
        <v>11.8</v>
      </c>
      <c r="CO130" s="150">
        <v>12</v>
      </c>
      <c r="CP130" s="150">
        <v>12.2</v>
      </c>
      <c r="CQ130" s="150">
        <v>12.4</v>
      </c>
      <c r="CR130" s="150">
        <v>12.6</v>
      </c>
      <c r="CS130" s="150">
        <v>12.8</v>
      </c>
      <c r="CT130" s="150">
        <v>13</v>
      </c>
      <c r="CU130" s="150">
        <v>13.2</v>
      </c>
      <c r="CV130" s="150">
        <v>13.4</v>
      </c>
      <c r="CW130" s="150">
        <v>13.6</v>
      </c>
      <c r="CX130" s="150">
        <v>13.8</v>
      </c>
      <c r="CY130" s="150">
        <v>14</v>
      </c>
      <c r="CZ130" s="150">
        <v>14.2</v>
      </c>
      <c r="DA130" s="150">
        <v>14.4</v>
      </c>
      <c r="DB130" s="150">
        <v>14.6</v>
      </c>
      <c r="DC130" s="150">
        <v>14.8</v>
      </c>
      <c r="DD130" s="150">
        <v>15</v>
      </c>
      <c r="DE130" s="150">
        <v>15.2</v>
      </c>
      <c r="DF130" s="150">
        <v>15.4</v>
      </c>
      <c r="DG130" s="150">
        <v>15.6</v>
      </c>
      <c r="DH130" s="150">
        <v>15.8</v>
      </c>
      <c r="DI130" s="150">
        <v>16</v>
      </c>
      <c r="DJ130" s="150">
        <v>16.2</v>
      </c>
      <c r="DK130" s="150">
        <v>16.399999999999999</v>
      </c>
      <c r="DL130" s="150">
        <v>16.600000000000001</v>
      </c>
      <c r="DM130" s="150">
        <v>16.8</v>
      </c>
      <c r="DN130" s="150">
        <v>17</v>
      </c>
      <c r="DO130" s="150">
        <v>17.2</v>
      </c>
      <c r="DP130" s="150">
        <v>17.399999999999999</v>
      </c>
      <c r="DQ130" s="150">
        <v>17.600000000000001</v>
      </c>
      <c r="DR130" s="150">
        <v>17.8</v>
      </c>
      <c r="DS130" s="150">
        <v>18</v>
      </c>
      <c r="DT130" s="150">
        <v>18.2</v>
      </c>
      <c r="DU130" s="150">
        <v>18.399999999999999</v>
      </c>
      <c r="DV130" s="150">
        <v>18.600000000000001</v>
      </c>
      <c r="DW130" s="150">
        <v>18.8</v>
      </c>
      <c r="DX130" s="150">
        <v>19</v>
      </c>
      <c r="DY130" s="150">
        <v>19.2</v>
      </c>
      <c r="DZ130" s="150">
        <v>19.399999999999999</v>
      </c>
      <c r="EA130" s="150">
        <v>19.600000000000001</v>
      </c>
      <c r="EB130" s="150">
        <v>19.8</v>
      </c>
      <c r="EC130" s="150">
        <v>20</v>
      </c>
      <c r="ED130" s="150">
        <v>20.2</v>
      </c>
      <c r="EE130" s="150">
        <v>20.399999999999999</v>
      </c>
      <c r="EF130" s="150">
        <v>20.6</v>
      </c>
      <c r="EG130" s="150">
        <v>20.799999999999951</v>
      </c>
      <c r="EH130" s="150">
        <v>21</v>
      </c>
      <c r="EI130" s="150">
        <v>21.19999999999995</v>
      </c>
      <c r="EJ130" s="150">
        <v>21.4</v>
      </c>
      <c r="EK130" s="150">
        <v>21.599999999999948</v>
      </c>
    </row>
    <row r="131" spans="1:141" ht="13.2" x14ac:dyDescent="0.25">
      <c r="A131" s="149">
        <v>40634</v>
      </c>
      <c r="B131" s="219">
        <v>-1.7785964148750009</v>
      </c>
      <c r="C131" s="219">
        <v>-1.7482952255625008</v>
      </c>
      <c r="D131" s="219">
        <v>-1.7179940362500008</v>
      </c>
      <c r="E131" s="219">
        <v>-1.6876928469375008</v>
      </c>
      <c r="F131" s="219">
        <v>-1.6573916576250007</v>
      </c>
      <c r="G131" s="219">
        <v>-1.6270904683125007</v>
      </c>
      <c r="H131" s="219">
        <v>-1.5967892790000007</v>
      </c>
      <c r="I131" s="219">
        <v>-1.5664880896875006</v>
      </c>
      <c r="J131" s="219">
        <v>-1.5361869003750006</v>
      </c>
      <c r="K131" s="219">
        <v>-1.5058857110625006</v>
      </c>
      <c r="L131" s="219">
        <v>-1.4755845217500005</v>
      </c>
      <c r="M131" s="219">
        <v>-1.4452833324375005</v>
      </c>
      <c r="N131" s="219">
        <v>-1.4149821431250005</v>
      </c>
      <c r="O131" s="219">
        <v>-1.3846809538125004</v>
      </c>
      <c r="P131" s="219">
        <v>-1.3543797645000004</v>
      </c>
      <c r="Q131" s="219">
        <v>-1.3240785751875004</v>
      </c>
      <c r="R131" s="219">
        <v>-1.2937773858750004</v>
      </c>
      <c r="S131" s="219">
        <v>-1.2634761965625003</v>
      </c>
      <c r="T131" s="219">
        <v>-1.2331750072500003</v>
      </c>
      <c r="U131" s="219">
        <v>-1.2028738179375003</v>
      </c>
      <c r="V131" s="220">
        <v>-1.1725726286250002</v>
      </c>
      <c r="W131" s="219">
        <v>-1.1422714393125002</v>
      </c>
      <c r="X131" s="220">
        <v>-1.1119702500000002</v>
      </c>
      <c r="Y131" s="219">
        <v>-1.0832351250000003</v>
      </c>
      <c r="Z131" s="220">
        <v>-1.0545000000000002</v>
      </c>
      <c r="AA131" s="219">
        <v>-1.0272500000000002</v>
      </c>
      <c r="AB131" s="221">
        <v>-1</v>
      </c>
      <c r="AC131" s="219">
        <v>-0.8</v>
      </c>
      <c r="AD131" s="221">
        <v>-0.6</v>
      </c>
      <c r="AE131" s="219">
        <v>-0.4</v>
      </c>
      <c r="AF131" s="219">
        <v>-0.2</v>
      </c>
      <c r="AG131" s="150">
        <v>0</v>
      </c>
      <c r="AH131" s="150">
        <v>0.2</v>
      </c>
      <c r="AI131" s="150">
        <v>0.4</v>
      </c>
      <c r="AJ131" s="150">
        <v>0.6</v>
      </c>
      <c r="AK131" s="150">
        <v>0.8</v>
      </c>
      <c r="AL131" s="150">
        <v>1</v>
      </c>
      <c r="AM131" s="150">
        <v>1.2</v>
      </c>
      <c r="AN131" s="150">
        <v>1.4</v>
      </c>
      <c r="AO131" s="150">
        <v>1.6</v>
      </c>
      <c r="AP131" s="150">
        <v>1.8</v>
      </c>
      <c r="AQ131" s="150">
        <v>2</v>
      </c>
      <c r="AR131" s="150">
        <v>2.2000000000000002</v>
      </c>
      <c r="AS131" s="150">
        <v>2.4</v>
      </c>
      <c r="AT131" s="150">
        <v>2.6</v>
      </c>
      <c r="AU131" s="150">
        <v>2.8</v>
      </c>
      <c r="AV131" s="150">
        <v>3</v>
      </c>
      <c r="AW131" s="150">
        <v>3.2</v>
      </c>
      <c r="AX131" s="150">
        <v>3.4</v>
      </c>
      <c r="AY131" s="150">
        <v>3.6</v>
      </c>
      <c r="AZ131" s="150">
        <v>3.8</v>
      </c>
      <c r="BA131" s="150">
        <v>4</v>
      </c>
      <c r="BB131" s="150">
        <v>4.2</v>
      </c>
      <c r="BC131" s="150">
        <v>4.4000000000000004</v>
      </c>
      <c r="BD131" s="150">
        <v>4.5999999999999996</v>
      </c>
      <c r="BE131" s="150">
        <v>4.8</v>
      </c>
      <c r="BF131" s="150">
        <v>5</v>
      </c>
      <c r="BG131" s="150">
        <v>5.2</v>
      </c>
      <c r="BH131" s="150">
        <v>5.4</v>
      </c>
      <c r="BI131" s="150">
        <v>5.6</v>
      </c>
      <c r="BJ131" s="150">
        <v>5.8</v>
      </c>
      <c r="BK131" s="150">
        <v>6</v>
      </c>
      <c r="BL131" s="150">
        <v>6.2</v>
      </c>
      <c r="BM131" s="150">
        <v>6.4</v>
      </c>
      <c r="BN131" s="150">
        <v>6.6</v>
      </c>
      <c r="BO131" s="150">
        <v>6.8</v>
      </c>
      <c r="BP131" s="150">
        <v>7</v>
      </c>
      <c r="BQ131" s="150">
        <v>7.2</v>
      </c>
      <c r="BR131" s="150">
        <v>7.4</v>
      </c>
      <c r="BS131" s="150">
        <v>7.6</v>
      </c>
      <c r="BT131" s="150">
        <v>7.8</v>
      </c>
      <c r="BU131" s="150">
        <v>8</v>
      </c>
      <c r="BV131" s="150">
        <v>8.1999999999999993</v>
      </c>
      <c r="BW131" s="150">
        <v>8.4</v>
      </c>
      <c r="BX131" s="150">
        <v>8.6</v>
      </c>
      <c r="BY131" s="150">
        <v>8.7999999999999936</v>
      </c>
      <c r="BZ131" s="150">
        <v>9</v>
      </c>
      <c r="CA131" s="150">
        <v>9.1999999999999922</v>
      </c>
      <c r="CB131" s="150">
        <v>9.4</v>
      </c>
      <c r="CC131" s="150">
        <v>9.5999999999999908</v>
      </c>
      <c r="CD131" s="150">
        <v>9.8000000000000007</v>
      </c>
      <c r="CE131" s="150">
        <v>9.9999999999999893</v>
      </c>
      <c r="CF131" s="150">
        <v>10.199999999999999</v>
      </c>
      <c r="CG131" s="150">
        <v>10.4</v>
      </c>
      <c r="CH131" s="150">
        <v>10.6</v>
      </c>
      <c r="CI131" s="150">
        <v>10.8</v>
      </c>
      <c r="CJ131" s="150">
        <v>11</v>
      </c>
      <c r="CK131" s="150">
        <v>11.2</v>
      </c>
      <c r="CL131" s="150">
        <v>11.4</v>
      </c>
      <c r="CM131" s="150">
        <v>11.6</v>
      </c>
      <c r="CN131" s="150">
        <v>11.8</v>
      </c>
      <c r="CO131" s="150">
        <v>12</v>
      </c>
      <c r="CP131" s="150">
        <v>12.2</v>
      </c>
      <c r="CQ131" s="150">
        <v>12.4</v>
      </c>
      <c r="CR131" s="150">
        <v>12.6</v>
      </c>
      <c r="CS131" s="150">
        <v>12.8</v>
      </c>
      <c r="CT131" s="150">
        <v>13</v>
      </c>
      <c r="CU131" s="150">
        <v>13.2</v>
      </c>
      <c r="CV131" s="150">
        <v>13.4</v>
      </c>
      <c r="CW131" s="150">
        <v>13.6</v>
      </c>
      <c r="CX131" s="150">
        <v>13.8</v>
      </c>
      <c r="CY131" s="150">
        <v>14</v>
      </c>
      <c r="CZ131" s="150">
        <v>14.2</v>
      </c>
      <c r="DA131" s="150">
        <v>14.4</v>
      </c>
      <c r="DB131" s="150">
        <v>14.6</v>
      </c>
      <c r="DC131" s="150">
        <v>14.8</v>
      </c>
      <c r="DD131" s="150">
        <v>15</v>
      </c>
      <c r="DE131" s="150">
        <v>15.2</v>
      </c>
      <c r="DF131" s="150">
        <v>15.4</v>
      </c>
      <c r="DG131" s="150">
        <v>15.6</v>
      </c>
      <c r="DH131" s="150">
        <v>15.8</v>
      </c>
      <c r="DI131" s="150">
        <v>16</v>
      </c>
      <c r="DJ131" s="150">
        <v>16.2</v>
      </c>
      <c r="DK131" s="150">
        <v>16.399999999999999</v>
      </c>
      <c r="DL131" s="150">
        <v>16.600000000000001</v>
      </c>
      <c r="DM131" s="150">
        <v>16.8</v>
      </c>
      <c r="DN131" s="150">
        <v>17</v>
      </c>
      <c r="DO131" s="150">
        <v>17.2</v>
      </c>
      <c r="DP131" s="150">
        <v>17.399999999999999</v>
      </c>
      <c r="DQ131" s="150">
        <v>17.600000000000001</v>
      </c>
      <c r="DR131" s="150">
        <v>17.8</v>
      </c>
      <c r="DS131" s="150">
        <v>18</v>
      </c>
      <c r="DT131" s="150">
        <v>18.2</v>
      </c>
      <c r="DU131" s="150">
        <v>18.399999999999999</v>
      </c>
      <c r="DV131" s="150">
        <v>18.600000000000001</v>
      </c>
      <c r="DW131" s="150">
        <v>18.8</v>
      </c>
      <c r="DX131" s="150">
        <v>19</v>
      </c>
      <c r="DY131" s="150">
        <v>19.2</v>
      </c>
      <c r="DZ131" s="150">
        <v>19.399999999999999</v>
      </c>
      <c r="EA131" s="150">
        <v>19.600000000000001</v>
      </c>
      <c r="EB131" s="150">
        <v>19.8</v>
      </c>
      <c r="EC131" s="150">
        <v>20</v>
      </c>
      <c r="ED131" s="150">
        <v>20.2</v>
      </c>
      <c r="EE131" s="150">
        <v>20.399999999999999</v>
      </c>
      <c r="EF131" s="150">
        <v>20.6</v>
      </c>
      <c r="EG131" s="150">
        <v>20.799999999999951</v>
      </c>
      <c r="EH131" s="150">
        <v>21</v>
      </c>
      <c r="EI131" s="150">
        <v>21.19999999999995</v>
      </c>
      <c r="EJ131" s="150">
        <v>21.4</v>
      </c>
      <c r="EK131" s="150">
        <v>21.599999999999948</v>
      </c>
    </row>
    <row r="132" spans="1:141" ht="13.2" x14ac:dyDescent="0.25">
      <c r="A132" s="149">
        <v>40664</v>
      </c>
      <c r="B132" s="219">
        <v>-1.7785964148750009</v>
      </c>
      <c r="C132" s="219">
        <v>-1.7482952255625008</v>
      </c>
      <c r="D132" s="219">
        <v>-1.7179940362500008</v>
      </c>
      <c r="E132" s="219">
        <v>-1.6876928469375008</v>
      </c>
      <c r="F132" s="219">
        <v>-1.6573916576250007</v>
      </c>
      <c r="G132" s="219">
        <v>-1.6270904683125007</v>
      </c>
      <c r="H132" s="219">
        <v>-1.5967892790000007</v>
      </c>
      <c r="I132" s="219">
        <v>-1.5664880896875006</v>
      </c>
      <c r="J132" s="219">
        <v>-1.5361869003750006</v>
      </c>
      <c r="K132" s="219">
        <v>-1.5058857110625006</v>
      </c>
      <c r="L132" s="219">
        <v>-1.4755845217500005</v>
      </c>
      <c r="M132" s="219">
        <v>-1.4452833324375005</v>
      </c>
      <c r="N132" s="219">
        <v>-1.4149821431250005</v>
      </c>
      <c r="O132" s="219">
        <v>-1.3846809538125004</v>
      </c>
      <c r="P132" s="219">
        <v>-1.3543797645000004</v>
      </c>
      <c r="Q132" s="219">
        <v>-1.3240785751875004</v>
      </c>
      <c r="R132" s="219">
        <v>-1.2937773858750004</v>
      </c>
      <c r="S132" s="219">
        <v>-1.2634761965625003</v>
      </c>
      <c r="T132" s="219">
        <v>-1.2331750072500003</v>
      </c>
      <c r="U132" s="219">
        <v>-1.2028738179375003</v>
      </c>
      <c r="V132" s="220">
        <v>-1.1725726286250002</v>
      </c>
      <c r="W132" s="219">
        <v>-1.1422714393125002</v>
      </c>
      <c r="X132" s="220">
        <v>-1.1119702500000002</v>
      </c>
      <c r="Y132" s="219">
        <v>-1.0832351250000003</v>
      </c>
      <c r="Z132" s="220">
        <v>-1.0545000000000002</v>
      </c>
      <c r="AA132" s="219">
        <v>-1.0272500000000002</v>
      </c>
      <c r="AB132" s="221">
        <v>-1</v>
      </c>
      <c r="AC132" s="219">
        <v>-0.8</v>
      </c>
      <c r="AD132" s="221">
        <v>-0.6</v>
      </c>
      <c r="AE132" s="219">
        <v>-0.4</v>
      </c>
      <c r="AF132" s="219">
        <v>-0.2</v>
      </c>
      <c r="AG132" s="150">
        <v>0</v>
      </c>
      <c r="AH132" s="150">
        <v>0.2</v>
      </c>
      <c r="AI132" s="150">
        <v>0.4</v>
      </c>
      <c r="AJ132" s="150">
        <v>0.6</v>
      </c>
      <c r="AK132" s="150">
        <v>0.8</v>
      </c>
      <c r="AL132" s="150">
        <v>1</v>
      </c>
      <c r="AM132" s="150">
        <v>1.2</v>
      </c>
      <c r="AN132" s="150">
        <v>1.4</v>
      </c>
      <c r="AO132" s="150">
        <v>1.6</v>
      </c>
      <c r="AP132" s="150">
        <v>1.8</v>
      </c>
      <c r="AQ132" s="150">
        <v>2</v>
      </c>
      <c r="AR132" s="150">
        <v>2.2000000000000002</v>
      </c>
      <c r="AS132" s="150">
        <v>2.4</v>
      </c>
      <c r="AT132" s="150">
        <v>2.6</v>
      </c>
      <c r="AU132" s="150">
        <v>2.8</v>
      </c>
      <c r="AV132" s="150">
        <v>3</v>
      </c>
      <c r="AW132" s="150">
        <v>3.2</v>
      </c>
      <c r="AX132" s="150">
        <v>3.4</v>
      </c>
      <c r="AY132" s="150">
        <v>3.6</v>
      </c>
      <c r="AZ132" s="150">
        <v>3.8</v>
      </c>
      <c r="BA132" s="150">
        <v>4</v>
      </c>
      <c r="BB132" s="150">
        <v>4.2</v>
      </c>
      <c r="BC132" s="150">
        <v>4.4000000000000004</v>
      </c>
      <c r="BD132" s="150">
        <v>4.5999999999999996</v>
      </c>
      <c r="BE132" s="150">
        <v>4.8</v>
      </c>
      <c r="BF132" s="150">
        <v>5</v>
      </c>
      <c r="BG132" s="150">
        <v>5.2</v>
      </c>
      <c r="BH132" s="150">
        <v>5.4</v>
      </c>
      <c r="BI132" s="150">
        <v>5.6</v>
      </c>
      <c r="BJ132" s="150">
        <v>5.8</v>
      </c>
      <c r="BK132" s="150">
        <v>6</v>
      </c>
      <c r="BL132" s="150">
        <v>6.2</v>
      </c>
      <c r="BM132" s="150">
        <v>6.4</v>
      </c>
      <c r="BN132" s="150">
        <v>6.6</v>
      </c>
      <c r="BO132" s="150">
        <v>6.8</v>
      </c>
      <c r="BP132" s="150">
        <v>7</v>
      </c>
      <c r="BQ132" s="150">
        <v>7.2</v>
      </c>
      <c r="BR132" s="150">
        <v>7.4</v>
      </c>
      <c r="BS132" s="150">
        <v>7.6</v>
      </c>
      <c r="BT132" s="150">
        <v>7.8</v>
      </c>
      <c r="BU132" s="150">
        <v>8</v>
      </c>
      <c r="BV132" s="150">
        <v>8.1999999999999993</v>
      </c>
      <c r="BW132" s="150">
        <v>8.4</v>
      </c>
      <c r="BX132" s="150">
        <v>8.6</v>
      </c>
      <c r="BY132" s="150">
        <v>8.7999999999999936</v>
      </c>
      <c r="BZ132" s="150">
        <v>9</v>
      </c>
      <c r="CA132" s="150">
        <v>9.1999999999999922</v>
      </c>
      <c r="CB132" s="150">
        <v>9.4</v>
      </c>
      <c r="CC132" s="150">
        <v>9.5999999999999908</v>
      </c>
      <c r="CD132" s="150">
        <v>9.8000000000000007</v>
      </c>
      <c r="CE132" s="150">
        <v>9.9999999999999893</v>
      </c>
      <c r="CF132" s="150">
        <v>10.199999999999999</v>
      </c>
      <c r="CG132" s="150">
        <v>10.4</v>
      </c>
      <c r="CH132" s="150">
        <v>10.6</v>
      </c>
      <c r="CI132" s="150">
        <v>10.8</v>
      </c>
      <c r="CJ132" s="150">
        <v>11</v>
      </c>
      <c r="CK132" s="150">
        <v>11.2</v>
      </c>
      <c r="CL132" s="150">
        <v>11.4</v>
      </c>
      <c r="CM132" s="150">
        <v>11.6</v>
      </c>
      <c r="CN132" s="150">
        <v>11.8</v>
      </c>
      <c r="CO132" s="150">
        <v>12</v>
      </c>
      <c r="CP132" s="150">
        <v>12.2</v>
      </c>
      <c r="CQ132" s="150">
        <v>12.4</v>
      </c>
      <c r="CR132" s="150">
        <v>12.6</v>
      </c>
      <c r="CS132" s="150">
        <v>12.8</v>
      </c>
      <c r="CT132" s="150">
        <v>13</v>
      </c>
      <c r="CU132" s="150">
        <v>13.2</v>
      </c>
      <c r="CV132" s="150">
        <v>13.4</v>
      </c>
      <c r="CW132" s="150">
        <v>13.6</v>
      </c>
      <c r="CX132" s="150">
        <v>13.8</v>
      </c>
      <c r="CY132" s="150">
        <v>14</v>
      </c>
      <c r="CZ132" s="150">
        <v>14.2</v>
      </c>
      <c r="DA132" s="150">
        <v>14.4</v>
      </c>
      <c r="DB132" s="150">
        <v>14.6</v>
      </c>
      <c r="DC132" s="150">
        <v>14.8</v>
      </c>
      <c r="DD132" s="150">
        <v>15</v>
      </c>
      <c r="DE132" s="150">
        <v>15.2</v>
      </c>
      <c r="DF132" s="150">
        <v>15.4</v>
      </c>
      <c r="DG132" s="150">
        <v>15.6</v>
      </c>
      <c r="DH132" s="150">
        <v>15.8</v>
      </c>
      <c r="DI132" s="150">
        <v>16</v>
      </c>
      <c r="DJ132" s="150">
        <v>16.2</v>
      </c>
      <c r="DK132" s="150">
        <v>16.399999999999999</v>
      </c>
      <c r="DL132" s="150">
        <v>16.600000000000001</v>
      </c>
      <c r="DM132" s="150">
        <v>16.8</v>
      </c>
      <c r="DN132" s="150">
        <v>17</v>
      </c>
      <c r="DO132" s="150">
        <v>17.2</v>
      </c>
      <c r="DP132" s="150">
        <v>17.399999999999999</v>
      </c>
      <c r="DQ132" s="150">
        <v>17.600000000000001</v>
      </c>
      <c r="DR132" s="150">
        <v>17.8</v>
      </c>
      <c r="DS132" s="150">
        <v>18</v>
      </c>
      <c r="DT132" s="150">
        <v>18.2</v>
      </c>
      <c r="DU132" s="150">
        <v>18.399999999999999</v>
      </c>
      <c r="DV132" s="150">
        <v>18.600000000000001</v>
      </c>
      <c r="DW132" s="150">
        <v>18.8</v>
      </c>
      <c r="DX132" s="150">
        <v>19</v>
      </c>
      <c r="DY132" s="150">
        <v>19.2</v>
      </c>
      <c r="DZ132" s="150">
        <v>19.399999999999999</v>
      </c>
      <c r="EA132" s="150">
        <v>19.600000000000001</v>
      </c>
      <c r="EB132" s="150">
        <v>19.8</v>
      </c>
      <c r="EC132" s="150">
        <v>20</v>
      </c>
      <c r="ED132" s="150">
        <v>20.2</v>
      </c>
      <c r="EE132" s="150">
        <v>20.399999999999999</v>
      </c>
      <c r="EF132" s="150">
        <v>20.6</v>
      </c>
      <c r="EG132" s="150">
        <v>20.799999999999951</v>
      </c>
      <c r="EH132" s="150">
        <v>21</v>
      </c>
      <c r="EI132" s="150">
        <v>21.19999999999995</v>
      </c>
      <c r="EJ132" s="150">
        <v>21.4</v>
      </c>
      <c r="EK132" s="150">
        <v>21.599999999999948</v>
      </c>
    </row>
    <row r="133" spans="1:141" ht="13.2" x14ac:dyDescent="0.25">
      <c r="A133" s="149">
        <v>40695</v>
      </c>
      <c r="B133" s="219">
        <v>-1.7785964148750009</v>
      </c>
      <c r="C133" s="219">
        <v>-1.7482952255625008</v>
      </c>
      <c r="D133" s="219">
        <v>-1.7179940362500008</v>
      </c>
      <c r="E133" s="219">
        <v>-1.6876928469375008</v>
      </c>
      <c r="F133" s="219">
        <v>-1.6573916576250007</v>
      </c>
      <c r="G133" s="219">
        <v>-1.6270904683125007</v>
      </c>
      <c r="H133" s="219">
        <v>-1.5967892790000007</v>
      </c>
      <c r="I133" s="219">
        <v>-1.5664880896875006</v>
      </c>
      <c r="J133" s="219">
        <v>-1.5361869003750006</v>
      </c>
      <c r="K133" s="219">
        <v>-1.5058857110625006</v>
      </c>
      <c r="L133" s="219">
        <v>-1.4755845217500005</v>
      </c>
      <c r="M133" s="219">
        <v>-1.4452833324375005</v>
      </c>
      <c r="N133" s="219">
        <v>-1.4149821431250005</v>
      </c>
      <c r="O133" s="219">
        <v>-1.3846809538125004</v>
      </c>
      <c r="P133" s="219">
        <v>-1.3543797645000004</v>
      </c>
      <c r="Q133" s="219">
        <v>-1.3240785751875004</v>
      </c>
      <c r="R133" s="219">
        <v>-1.2937773858750004</v>
      </c>
      <c r="S133" s="219">
        <v>-1.2634761965625003</v>
      </c>
      <c r="T133" s="219">
        <v>-1.2331750072500003</v>
      </c>
      <c r="U133" s="219">
        <v>-1.2028738179375003</v>
      </c>
      <c r="V133" s="220">
        <v>-1.1725726286250002</v>
      </c>
      <c r="W133" s="219">
        <v>-1.1422714393125002</v>
      </c>
      <c r="X133" s="220">
        <v>-1.1119702500000002</v>
      </c>
      <c r="Y133" s="219">
        <v>-1.0832351250000003</v>
      </c>
      <c r="Z133" s="220">
        <v>-1.0545000000000002</v>
      </c>
      <c r="AA133" s="219">
        <v>-1.0272500000000002</v>
      </c>
      <c r="AB133" s="221">
        <v>-1</v>
      </c>
      <c r="AC133" s="219">
        <v>-0.8</v>
      </c>
      <c r="AD133" s="221">
        <v>-0.6</v>
      </c>
      <c r="AE133" s="219">
        <v>-0.4</v>
      </c>
      <c r="AF133" s="219">
        <v>-0.2</v>
      </c>
      <c r="AG133" s="150">
        <v>0</v>
      </c>
      <c r="AH133" s="150">
        <v>0.2</v>
      </c>
      <c r="AI133" s="150">
        <v>0.4</v>
      </c>
      <c r="AJ133" s="150">
        <v>0.6</v>
      </c>
      <c r="AK133" s="150">
        <v>0.8</v>
      </c>
      <c r="AL133" s="150">
        <v>1</v>
      </c>
      <c r="AM133" s="150">
        <v>1.2</v>
      </c>
      <c r="AN133" s="150">
        <v>1.4</v>
      </c>
      <c r="AO133" s="150">
        <v>1.6</v>
      </c>
      <c r="AP133" s="150">
        <v>1.8</v>
      </c>
      <c r="AQ133" s="150">
        <v>2</v>
      </c>
      <c r="AR133" s="150">
        <v>2.2000000000000002</v>
      </c>
      <c r="AS133" s="150">
        <v>2.4</v>
      </c>
      <c r="AT133" s="150">
        <v>2.6</v>
      </c>
      <c r="AU133" s="150">
        <v>2.8</v>
      </c>
      <c r="AV133" s="150">
        <v>3</v>
      </c>
      <c r="AW133" s="150">
        <v>3.2</v>
      </c>
      <c r="AX133" s="150">
        <v>3.4</v>
      </c>
      <c r="AY133" s="150">
        <v>3.6</v>
      </c>
      <c r="AZ133" s="150">
        <v>3.8</v>
      </c>
      <c r="BA133" s="150">
        <v>4</v>
      </c>
      <c r="BB133" s="150">
        <v>4.2</v>
      </c>
      <c r="BC133" s="150">
        <v>4.4000000000000004</v>
      </c>
      <c r="BD133" s="150">
        <v>4.5999999999999996</v>
      </c>
      <c r="BE133" s="150">
        <v>4.8</v>
      </c>
      <c r="BF133" s="150">
        <v>5</v>
      </c>
      <c r="BG133" s="150">
        <v>5.2</v>
      </c>
      <c r="BH133" s="150">
        <v>5.4</v>
      </c>
      <c r="BI133" s="150">
        <v>5.6</v>
      </c>
      <c r="BJ133" s="150">
        <v>5.8</v>
      </c>
      <c r="BK133" s="150">
        <v>6</v>
      </c>
      <c r="BL133" s="150">
        <v>6.2</v>
      </c>
      <c r="BM133" s="150">
        <v>6.4</v>
      </c>
      <c r="BN133" s="150">
        <v>6.6</v>
      </c>
      <c r="BO133" s="150">
        <v>6.8</v>
      </c>
      <c r="BP133" s="150">
        <v>7</v>
      </c>
      <c r="BQ133" s="150">
        <v>7.2</v>
      </c>
      <c r="BR133" s="150">
        <v>7.4</v>
      </c>
      <c r="BS133" s="150">
        <v>7.6</v>
      </c>
      <c r="BT133" s="150">
        <v>7.8</v>
      </c>
      <c r="BU133" s="150">
        <v>8</v>
      </c>
      <c r="BV133" s="150">
        <v>8.1999999999999993</v>
      </c>
      <c r="BW133" s="150">
        <v>8.4</v>
      </c>
      <c r="BX133" s="150">
        <v>8.6</v>
      </c>
      <c r="BY133" s="150">
        <v>8.7999999999999936</v>
      </c>
      <c r="BZ133" s="150">
        <v>9</v>
      </c>
      <c r="CA133" s="150">
        <v>9.1999999999999922</v>
      </c>
      <c r="CB133" s="150">
        <v>9.4</v>
      </c>
      <c r="CC133" s="150">
        <v>9.5999999999999908</v>
      </c>
      <c r="CD133" s="150">
        <v>9.8000000000000007</v>
      </c>
      <c r="CE133" s="150">
        <v>9.9999999999999893</v>
      </c>
      <c r="CF133" s="150">
        <v>10.199999999999999</v>
      </c>
      <c r="CG133" s="150">
        <v>10.4</v>
      </c>
      <c r="CH133" s="150">
        <v>10.6</v>
      </c>
      <c r="CI133" s="150">
        <v>10.8</v>
      </c>
      <c r="CJ133" s="150">
        <v>11</v>
      </c>
      <c r="CK133" s="150">
        <v>11.2</v>
      </c>
      <c r="CL133" s="150">
        <v>11.4</v>
      </c>
      <c r="CM133" s="150">
        <v>11.6</v>
      </c>
      <c r="CN133" s="150">
        <v>11.8</v>
      </c>
      <c r="CO133" s="150">
        <v>12</v>
      </c>
      <c r="CP133" s="150">
        <v>12.2</v>
      </c>
      <c r="CQ133" s="150">
        <v>12.4</v>
      </c>
      <c r="CR133" s="150">
        <v>12.6</v>
      </c>
      <c r="CS133" s="150">
        <v>12.8</v>
      </c>
      <c r="CT133" s="150">
        <v>13</v>
      </c>
      <c r="CU133" s="150">
        <v>13.2</v>
      </c>
      <c r="CV133" s="150">
        <v>13.4</v>
      </c>
      <c r="CW133" s="150">
        <v>13.6</v>
      </c>
      <c r="CX133" s="150">
        <v>13.8</v>
      </c>
      <c r="CY133" s="150">
        <v>14</v>
      </c>
      <c r="CZ133" s="150">
        <v>14.2</v>
      </c>
      <c r="DA133" s="150">
        <v>14.4</v>
      </c>
      <c r="DB133" s="150">
        <v>14.6</v>
      </c>
      <c r="DC133" s="150">
        <v>14.8</v>
      </c>
      <c r="DD133" s="150">
        <v>15</v>
      </c>
      <c r="DE133" s="150">
        <v>15.2</v>
      </c>
      <c r="DF133" s="150">
        <v>15.4</v>
      </c>
      <c r="DG133" s="150">
        <v>15.6</v>
      </c>
      <c r="DH133" s="150">
        <v>15.8</v>
      </c>
      <c r="DI133" s="150">
        <v>16</v>
      </c>
      <c r="DJ133" s="150">
        <v>16.2</v>
      </c>
      <c r="DK133" s="150">
        <v>16.399999999999999</v>
      </c>
      <c r="DL133" s="150">
        <v>16.600000000000001</v>
      </c>
      <c r="DM133" s="150">
        <v>16.8</v>
      </c>
      <c r="DN133" s="150">
        <v>17</v>
      </c>
      <c r="DO133" s="150">
        <v>17.2</v>
      </c>
      <c r="DP133" s="150">
        <v>17.399999999999999</v>
      </c>
      <c r="DQ133" s="150">
        <v>17.600000000000001</v>
      </c>
      <c r="DR133" s="150">
        <v>17.8</v>
      </c>
      <c r="DS133" s="150">
        <v>18</v>
      </c>
      <c r="DT133" s="150">
        <v>18.2</v>
      </c>
      <c r="DU133" s="150">
        <v>18.399999999999999</v>
      </c>
      <c r="DV133" s="150">
        <v>18.600000000000001</v>
      </c>
      <c r="DW133" s="150">
        <v>18.8</v>
      </c>
      <c r="DX133" s="150">
        <v>19</v>
      </c>
      <c r="DY133" s="150">
        <v>19.2</v>
      </c>
      <c r="DZ133" s="150">
        <v>19.399999999999999</v>
      </c>
      <c r="EA133" s="150">
        <v>19.600000000000001</v>
      </c>
      <c r="EB133" s="150">
        <v>19.8</v>
      </c>
      <c r="EC133" s="150">
        <v>20</v>
      </c>
      <c r="ED133" s="150">
        <v>20.2</v>
      </c>
      <c r="EE133" s="150">
        <v>20.399999999999999</v>
      </c>
      <c r="EF133" s="150">
        <v>20.6</v>
      </c>
      <c r="EG133" s="150">
        <v>20.799999999999951</v>
      </c>
      <c r="EH133" s="150">
        <v>21</v>
      </c>
      <c r="EI133" s="150">
        <v>21.19999999999995</v>
      </c>
      <c r="EJ133" s="150">
        <v>21.4</v>
      </c>
      <c r="EK133" s="150">
        <v>21.599999999999948</v>
      </c>
    </row>
    <row r="134" spans="1:141" ht="13.2" x14ac:dyDescent="0.25">
      <c r="A134" s="149">
        <v>40725</v>
      </c>
      <c r="B134" s="219">
        <v>-1.7785964148750009</v>
      </c>
      <c r="C134" s="219">
        <v>-1.7482952255625008</v>
      </c>
      <c r="D134" s="219">
        <v>-1.7179940362500008</v>
      </c>
      <c r="E134" s="219">
        <v>-1.6876928469375008</v>
      </c>
      <c r="F134" s="219">
        <v>-1.6573916576250007</v>
      </c>
      <c r="G134" s="219">
        <v>-1.6270904683125007</v>
      </c>
      <c r="H134" s="219">
        <v>-1.5967892790000007</v>
      </c>
      <c r="I134" s="219">
        <v>-1.5664880896875006</v>
      </c>
      <c r="J134" s="219">
        <v>-1.5361869003750006</v>
      </c>
      <c r="K134" s="219">
        <v>-1.5058857110625006</v>
      </c>
      <c r="L134" s="219">
        <v>-1.4755845217500005</v>
      </c>
      <c r="M134" s="219">
        <v>-1.4452833324375005</v>
      </c>
      <c r="N134" s="219">
        <v>-1.4149821431250005</v>
      </c>
      <c r="O134" s="219">
        <v>-1.3846809538125004</v>
      </c>
      <c r="P134" s="219">
        <v>-1.3543797645000004</v>
      </c>
      <c r="Q134" s="219">
        <v>-1.3240785751875004</v>
      </c>
      <c r="R134" s="219">
        <v>-1.2937773858750004</v>
      </c>
      <c r="S134" s="219">
        <v>-1.2634761965625003</v>
      </c>
      <c r="T134" s="219">
        <v>-1.2331750072500003</v>
      </c>
      <c r="U134" s="219">
        <v>-1.2028738179375003</v>
      </c>
      <c r="V134" s="220">
        <v>-1.1725726286250002</v>
      </c>
      <c r="W134" s="219">
        <v>-1.1422714393125002</v>
      </c>
      <c r="X134" s="220">
        <v>-1.1119702500000002</v>
      </c>
      <c r="Y134" s="219">
        <v>-1.0832351250000003</v>
      </c>
      <c r="Z134" s="220">
        <v>-1.0545000000000002</v>
      </c>
      <c r="AA134" s="219">
        <v>-1.0272500000000002</v>
      </c>
      <c r="AB134" s="221">
        <v>-1</v>
      </c>
      <c r="AC134" s="219">
        <v>-0.8</v>
      </c>
      <c r="AD134" s="221">
        <v>-0.6</v>
      </c>
      <c r="AE134" s="219">
        <v>-0.4</v>
      </c>
      <c r="AF134" s="219">
        <v>-0.2</v>
      </c>
      <c r="AG134" s="150">
        <v>0</v>
      </c>
      <c r="AH134" s="150">
        <v>0.2</v>
      </c>
      <c r="AI134" s="150">
        <v>0.4</v>
      </c>
      <c r="AJ134" s="150">
        <v>0.6</v>
      </c>
      <c r="AK134" s="150">
        <v>0.8</v>
      </c>
      <c r="AL134" s="150">
        <v>1</v>
      </c>
      <c r="AM134" s="150">
        <v>1.2</v>
      </c>
      <c r="AN134" s="150">
        <v>1.4</v>
      </c>
      <c r="AO134" s="150">
        <v>1.6</v>
      </c>
      <c r="AP134" s="150">
        <v>1.8</v>
      </c>
      <c r="AQ134" s="150">
        <v>2</v>
      </c>
      <c r="AR134" s="150">
        <v>2.2000000000000002</v>
      </c>
      <c r="AS134" s="150">
        <v>2.4</v>
      </c>
      <c r="AT134" s="150">
        <v>2.6</v>
      </c>
      <c r="AU134" s="150">
        <v>2.8</v>
      </c>
      <c r="AV134" s="150">
        <v>3</v>
      </c>
      <c r="AW134" s="150">
        <v>3.2</v>
      </c>
      <c r="AX134" s="150">
        <v>3.4</v>
      </c>
      <c r="AY134" s="150">
        <v>3.6</v>
      </c>
      <c r="AZ134" s="150">
        <v>3.8</v>
      </c>
      <c r="BA134" s="150">
        <v>4</v>
      </c>
      <c r="BB134" s="150">
        <v>4.2</v>
      </c>
      <c r="BC134" s="150">
        <v>4.4000000000000004</v>
      </c>
      <c r="BD134" s="150">
        <v>4.5999999999999996</v>
      </c>
      <c r="BE134" s="150">
        <v>4.8</v>
      </c>
      <c r="BF134" s="150">
        <v>5</v>
      </c>
      <c r="BG134" s="150">
        <v>5.2</v>
      </c>
      <c r="BH134" s="150">
        <v>5.4</v>
      </c>
      <c r="BI134" s="150">
        <v>5.6</v>
      </c>
      <c r="BJ134" s="150">
        <v>5.8</v>
      </c>
      <c r="BK134" s="150">
        <v>6</v>
      </c>
      <c r="BL134" s="150">
        <v>6.2</v>
      </c>
      <c r="BM134" s="150">
        <v>6.4</v>
      </c>
      <c r="BN134" s="150">
        <v>6.6</v>
      </c>
      <c r="BO134" s="150">
        <v>6.8</v>
      </c>
      <c r="BP134" s="150">
        <v>7</v>
      </c>
      <c r="BQ134" s="150">
        <v>7.2</v>
      </c>
      <c r="BR134" s="150">
        <v>7.4</v>
      </c>
      <c r="BS134" s="150">
        <v>7.6</v>
      </c>
      <c r="BT134" s="150">
        <v>7.8</v>
      </c>
      <c r="BU134" s="150">
        <v>8</v>
      </c>
      <c r="BV134" s="150">
        <v>8.1999999999999993</v>
      </c>
      <c r="BW134" s="150">
        <v>8.4</v>
      </c>
      <c r="BX134" s="150">
        <v>8.6</v>
      </c>
      <c r="BY134" s="150">
        <v>8.7999999999999936</v>
      </c>
      <c r="BZ134" s="150">
        <v>9</v>
      </c>
      <c r="CA134" s="150">
        <v>9.1999999999999922</v>
      </c>
      <c r="CB134" s="150">
        <v>9.4</v>
      </c>
      <c r="CC134" s="150">
        <v>9.5999999999999908</v>
      </c>
      <c r="CD134" s="150">
        <v>9.8000000000000007</v>
      </c>
      <c r="CE134" s="150">
        <v>9.9999999999999893</v>
      </c>
      <c r="CF134" s="150">
        <v>10.199999999999999</v>
      </c>
      <c r="CG134" s="150">
        <v>10.4</v>
      </c>
      <c r="CH134" s="150">
        <v>10.6</v>
      </c>
      <c r="CI134" s="150">
        <v>10.8</v>
      </c>
      <c r="CJ134" s="150">
        <v>11</v>
      </c>
      <c r="CK134" s="150">
        <v>11.2</v>
      </c>
      <c r="CL134" s="150">
        <v>11.4</v>
      </c>
      <c r="CM134" s="150">
        <v>11.6</v>
      </c>
      <c r="CN134" s="150">
        <v>11.8</v>
      </c>
      <c r="CO134" s="150">
        <v>12</v>
      </c>
      <c r="CP134" s="150">
        <v>12.2</v>
      </c>
      <c r="CQ134" s="150">
        <v>12.4</v>
      </c>
      <c r="CR134" s="150">
        <v>12.6</v>
      </c>
      <c r="CS134" s="150">
        <v>12.8</v>
      </c>
      <c r="CT134" s="150">
        <v>13</v>
      </c>
      <c r="CU134" s="150">
        <v>13.2</v>
      </c>
      <c r="CV134" s="150">
        <v>13.4</v>
      </c>
      <c r="CW134" s="150">
        <v>13.6</v>
      </c>
      <c r="CX134" s="150">
        <v>13.8</v>
      </c>
      <c r="CY134" s="150">
        <v>14</v>
      </c>
      <c r="CZ134" s="150">
        <v>14.2</v>
      </c>
      <c r="DA134" s="150">
        <v>14.4</v>
      </c>
      <c r="DB134" s="150">
        <v>14.6</v>
      </c>
      <c r="DC134" s="150">
        <v>14.8</v>
      </c>
      <c r="DD134" s="150">
        <v>15</v>
      </c>
      <c r="DE134" s="150">
        <v>15.2</v>
      </c>
      <c r="DF134" s="150">
        <v>15.4</v>
      </c>
      <c r="DG134" s="150">
        <v>15.6</v>
      </c>
      <c r="DH134" s="150">
        <v>15.8</v>
      </c>
      <c r="DI134" s="150">
        <v>16</v>
      </c>
      <c r="DJ134" s="150">
        <v>16.2</v>
      </c>
      <c r="DK134" s="150">
        <v>16.399999999999999</v>
      </c>
      <c r="DL134" s="150">
        <v>16.600000000000001</v>
      </c>
      <c r="DM134" s="150">
        <v>16.8</v>
      </c>
      <c r="DN134" s="150">
        <v>17</v>
      </c>
      <c r="DO134" s="150">
        <v>17.2</v>
      </c>
      <c r="DP134" s="150">
        <v>17.399999999999999</v>
      </c>
      <c r="DQ134" s="150">
        <v>17.600000000000001</v>
      </c>
      <c r="DR134" s="150">
        <v>17.8</v>
      </c>
      <c r="DS134" s="150">
        <v>18</v>
      </c>
      <c r="DT134" s="150">
        <v>18.2</v>
      </c>
      <c r="DU134" s="150">
        <v>18.399999999999999</v>
      </c>
      <c r="DV134" s="150">
        <v>18.600000000000001</v>
      </c>
      <c r="DW134" s="150">
        <v>18.8</v>
      </c>
      <c r="DX134" s="150">
        <v>19</v>
      </c>
      <c r="DY134" s="150">
        <v>19.2</v>
      </c>
      <c r="DZ134" s="150">
        <v>19.399999999999999</v>
      </c>
      <c r="EA134" s="150">
        <v>19.600000000000001</v>
      </c>
      <c r="EB134" s="150">
        <v>19.8</v>
      </c>
      <c r="EC134" s="150">
        <v>20</v>
      </c>
      <c r="ED134" s="150">
        <v>20.2</v>
      </c>
      <c r="EE134" s="150">
        <v>20.399999999999999</v>
      </c>
      <c r="EF134" s="150">
        <v>20.6</v>
      </c>
      <c r="EG134" s="150">
        <v>20.799999999999951</v>
      </c>
      <c r="EH134" s="150">
        <v>21</v>
      </c>
      <c r="EI134" s="150">
        <v>21.19999999999995</v>
      </c>
      <c r="EJ134" s="150">
        <v>21.4</v>
      </c>
      <c r="EK134" s="150">
        <v>21.599999999999948</v>
      </c>
    </row>
    <row r="135" spans="1:141" ht="13.2" x14ac:dyDescent="0.25">
      <c r="A135" s="149">
        <v>40756</v>
      </c>
      <c r="B135" s="219">
        <v>-1.7785964148750009</v>
      </c>
      <c r="C135" s="219">
        <v>-1.7482952255625008</v>
      </c>
      <c r="D135" s="219">
        <v>-1.7179940362500008</v>
      </c>
      <c r="E135" s="219">
        <v>-1.6876928469375008</v>
      </c>
      <c r="F135" s="219">
        <v>-1.6573916576250007</v>
      </c>
      <c r="G135" s="219">
        <v>-1.6270904683125007</v>
      </c>
      <c r="H135" s="219">
        <v>-1.5967892790000007</v>
      </c>
      <c r="I135" s="219">
        <v>-1.5664880896875006</v>
      </c>
      <c r="J135" s="219">
        <v>-1.5361869003750006</v>
      </c>
      <c r="K135" s="219">
        <v>-1.5058857110625006</v>
      </c>
      <c r="L135" s="219">
        <v>-1.4755845217500005</v>
      </c>
      <c r="M135" s="219">
        <v>-1.4452833324375005</v>
      </c>
      <c r="N135" s="219">
        <v>-1.4149821431250005</v>
      </c>
      <c r="O135" s="219">
        <v>-1.3846809538125004</v>
      </c>
      <c r="P135" s="219">
        <v>-1.3543797645000004</v>
      </c>
      <c r="Q135" s="219">
        <v>-1.3240785751875004</v>
      </c>
      <c r="R135" s="219">
        <v>-1.2937773858750004</v>
      </c>
      <c r="S135" s="219">
        <v>-1.2634761965625003</v>
      </c>
      <c r="T135" s="219">
        <v>-1.2331750072500003</v>
      </c>
      <c r="U135" s="219">
        <v>-1.2028738179375003</v>
      </c>
      <c r="V135" s="220">
        <v>-1.1725726286250002</v>
      </c>
      <c r="W135" s="219">
        <v>-1.1422714393125002</v>
      </c>
      <c r="X135" s="220">
        <v>-1.1119702500000002</v>
      </c>
      <c r="Y135" s="219">
        <v>-1.0832351250000003</v>
      </c>
      <c r="Z135" s="220">
        <v>-1.0545000000000002</v>
      </c>
      <c r="AA135" s="219">
        <v>-1.0272500000000002</v>
      </c>
      <c r="AB135" s="221">
        <v>-1</v>
      </c>
      <c r="AC135" s="219">
        <v>-0.8</v>
      </c>
      <c r="AD135" s="221">
        <v>-0.6</v>
      </c>
      <c r="AE135" s="219">
        <v>-0.4</v>
      </c>
      <c r="AF135" s="219">
        <v>-0.2</v>
      </c>
      <c r="AG135" s="150">
        <v>0</v>
      </c>
      <c r="AH135" s="150">
        <v>0.2</v>
      </c>
      <c r="AI135" s="150">
        <v>0.4</v>
      </c>
      <c r="AJ135" s="150">
        <v>0.6</v>
      </c>
      <c r="AK135" s="150">
        <v>0.8</v>
      </c>
      <c r="AL135" s="150">
        <v>1</v>
      </c>
      <c r="AM135" s="150">
        <v>1.2</v>
      </c>
      <c r="AN135" s="150">
        <v>1.4</v>
      </c>
      <c r="AO135" s="150">
        <v>1.6</v>
      </c>
      <c r="AP135" s="150">
        <v>1.8</v>
      </c>
      <c r="AQ135" s="150">
        <v>2</v>
      </c>
      <c r="AR135" s="150">
        <v>2.2000000000000002</v>
      </c>
      <c r="AS135" s="150">
        <v>2.4</v>
      </c>
      <c r="AT135" s="150">
        <v>2.6</v>
      </c>
      <c r="AU135" s="150">
        <v>2.8</v>
      </c>
      <c r="AV135" s="150">
        <v>3</v>
      </c>
      <c r="AW135" s="150">
        <v>3.2</v>
      </c>
      <c r="AX135" s="150">
        <v>3.4</v>
      </c>
      <c r="AY135" s="150">
        <v>3.6</v>
      </c>
      <c r="AZ135" s="150">
        <v>3.8</v>
      </c>
      <c r="BA135" s="150">
        <v>4</v>
      </c>
      <c r="BB135" s="150">
        <v>4.2</v>
      </c>
      <c r="BC135" s="150">
        <v>4.4000000000000004</v>
      </c>
      <c r="BD135" s="150">
        <v>4.5999999999999996</v>
      </c>
      <c r="BE135" s="150">
        <v>4.8</v>
      </c>
      <c r="BF135" s="150">
        <v>5</v>
      </c>
      <c r="BG135" s="150">
        <v>5.2</v>
      </c>
      <c r="BH135" s="150">
        <v>5.4</v>
      </c>
      <c r="BI135" s="150">
        <v>5.6</v>
      </c>
      <c r="BJ135" s="150">
        <v>5.8</v>
      </c>
      <c r="BK135" s="150">
        <v>6</v>
      </c>
      <c r="BL135" s="150">
        <v>6.2</v>
      </c>
      <c r="BM135" s="150">
        <v>6.4</v>
      </c>
      <c r="BN135" s="150">
        <v>6.6</v>
      </c>
      <c r="BO135" s="150">
        <v>6.8</v>
      </c>
      <c r="BP135" s="150">
        <v>7</v>
      </c>
      <c r="BQ135" s="150">
        <v>7.2</v>
      </c>
      <c r="BR135" s="150">
        <v>7.4</v>
      </c>
      <c r="BS135" s="150">
        <v>7.6</v>
      </c>
      <c r="BT135" s="150">
        <v>7.8</v>
      </c>
      <c r="BU135" s="150">
        <v>8</v>
      </c>
      <c r="BV135" s="150">
        <v>8.1999999999999993</v>
      </c>
      <c r="BW135" s="150">
        <v>8.4</v>
      </c>
      <c r="BX135" s="150">
        <v>8.6</v>
      </c>
      <c r="BY135" s="150">
        <v>8.7999999999999936</v>
      </c>
      <c r="BZ135" s="150">
        <v>9</v>
      </c>
      <c r="CA135" s="150">
        <v>9.1999999999999922</v>
      </c>
      <c r="CB135" s="150">
        <v>9.4</v>
      </c>
      <c r="CC135" s="150">
        <v>9.5999999999999908</v>
      </c>
      <c r="CD135" s="150">
        <v>9.8000000000000007</v>
      </c>
      <c r="CE135" s="150">
        <v>9.9999999999999893</v>
      </c>
      <c r="CF135" s="150">
        <v>10.199999999999999</v>
      </c>
      <c r="CG135" s="150">
        <v>10.4</v>
      </c>
      <c r="CH135" s="150">
        <v>10.6</v>
      </c>
      <c r="CI135" s="150">
        <v>10.8</v>
      </c>
      <c r="CJ135" s="150">
        <v>11</v>
      </c>
      <c r="CK135" s="150">
        <v>11.2</v>
      </c>
      <c r="CL135" s="150">
        <v>11.4</v>
      </c>
      <c r="CM135" s="150">
        <v>11.6</v>
      </c>
      <c r="CN135" s="150">
        <v>11.8</v>
      </c>
      <c r="CO135" s="150">
        <v>12</v>
      </c>
      <c r="CP135" s="150">
        <v>12.2</v>
      </c>
      <c r="CQ135" s="150">
        <v>12.4</v>
      </c>
      <c r="CR135" s="150">
        <v>12.6</v>
      </c>
      <c r="CS135" s="150">
        <v>12.8</v>
      </c>
      <c r="CT135" s="150">
        <v>13</v>
      </c>
      <c r="CU135" s="150">
        <v>13.2</v>
      </c>
      <c r="CV135" s="150">
        <v>13.4</v>
      </c>
      <c r="CW135" s="150">
        <v>13.6</v>
      </c>
      <c r="CX135" s="150">
        <v>13.8</v>
      </c>
      <c r="CY135" s="150">
        <v>14</v>
      </c>
      <c r="CZ135" s="150">
        <v>14.2</v>
      </c>
      <c r="DA135" s="150">
        <v>14.4</v>
      </c>
      <c r="DB135" s="150">
        <v>14.6</v>
      </c>
      <c r="DC135" s="150">
        <v>14.8</v>
      </c>
      <c r="DD135" s="150">
        <v>15</v>
      </c>
      <c r="DE135" s="150">
        <v>15.2</v>
      </c>
      <c r="DF135" s="150">
        <v>15.4</v>
      </c>
      <c r="DG135" s="150">
        <v>15.6</v>
      </c>
      <c r="DH135" s="150">
        <v>15.8</v>
      </c>
      <c r="DI135" s="150">
        <v>16</v>
      </c>
      <c r="DJ135" s="150">
        <v>16.2</v>
      </c>
      <c r="DK135" s="150">
        <v>16.399999999999999</v>
      </c>
      <c r="DL135" s="150">
        <v>16.600000000000001</v>
      </c>
      <c r="DM135" s="150">
        <v>16.8</v>
      </c>
      <c r="DN135" s="150">
        <v>17</v>
      </c>
      <c r="DO135" s="150">
        <v>17.2</v>
      </c>
      <c r="DP135" s="150">
        <v>17.399999999999999</v>
      </c>
      <c r="DQ135" s="150">
        <v>17.600000000000001</v>
      </c>
      <c r="DR135" s="150">
        <v>17.8</v>
      </c>
      <c r="DS135" s="150">
        <v>18</v>
      </c>
      <c r="DT135" s="150">
        <v>18.2</v>
      </c>
      <c r="DU135" s="150">
        <v>18.399999999999999</v>
      </c>
      <c r="DV135" s="150">
        <v>18.600000000000001</v>
      </c>
      <c r="DW135" s="150">
        <v>18.8</v>
      </c>
      <c r="DX135" s="150">
        <v>19</v>
      </c>
      <c r="DY135" s="150">
        <v>19.2</v>
      </c>
      <c r="DZ135" s="150">
        <v>19.399999999999999</v>
      </c>
      <c r="EA135" s="150">
        <v>19.600000000000001</v>
      </c>
      <c r="EB135" s="150">
        <v>19.8</v>
      </c>
      <c r="EC135" s="150">
        <v>20</v>
      </c>
      <c r="ED135" s="150">
        <v>20.2</v>
      </c>
      <c r="EE135" s="150">
        <v>20.399999999999999</v>
      </c>
      <c r="EF135" s="150">
        <v>20.6</v>
      </c>
      <c r="EG135" s="150">
        <v>20.799999999999951</v>
      </c>
      <c r="EH135" s="150">
        <v>21</v>
      </c>
      <c r="EI135" s="150">
        <v>21.19999999999995</v>
      </c>
      <c r="EJ135" s="150">
        <v>21.4</v>
      </c>
      <c r="EK135" s="150">
        <v>21.599999999999948</v>
      </c>
    </row>
    <row r="136" spans="1:141" ht="13.2" x14ac:dyDescent="0.25">
      <c r="A136" s="149">
        <v>40787</v>
      </c>
      <c r="B136" s="219">
        <v>-1.7785964148750009</v>
      </c>
      <c r="C136" s="219">
        <v>-1.7482952255625008</v>
      </c>
      <c r="D136" s="219">
        <v>-1.7179940362500008</v>
      </c>
      <c r="E136" s="219">
        <v>-1.6876928469375008</v>
      </c>
      <c r="F136" s="219">
        <v>-1.6573916576250007</v>
      </c>
      <c r="G136" s="219">
        <v>-1.6270904683125007</v>
      </c>
      <c r="H136" s="219">
        <v>-1.5967892790000007</v>
      </c>
      <c r="I136" s="219">
        <v>-1.5664880896875006</v>
      </c>
      <c r="J136" s="219">
        <v>-1.5361869003750006</v>
      </c>
      <c r="K136" s="219">
        <v>-1.5058857110625006</v>
      </c>
      <c r="L136" s="219">
        <v>-1.4755845217500005</v>
      </c>
      <c r="M136" s="219">
        <v>-1.4452833324375005</v>
      </c>
      <c r="N136" s="219">
        <v>-1.4149821431250005</v>
      </c>
      <c r="O136" s="219">
        <v>-1.3846809538125004</v>
      </c>
      <c r="P136" s="219">
        <v>-1.3543797645000004</v>
      </c>
      <c r="Q136" s="219">
        <v>-1.3240785751875004</v>
      </c>
      <c r="R136" s="219">
        <v>-1.2937773858750004</v>
      </c>
      <c r="S136" s="219">
        <v>-1.2634761965625003</v>
      </c>
      <c r="T136" s="219">
        <v>-1.2331750072500003</v>
      </c>
      <c r="U136" s="219">
        <v>-1.2028738179375003</v>
      </c>
      <c r="V136" s="220">
        <v>-1.1725726286250002</v>
      </c>
      <c r="W136" s="219">
        <v>-1.1422714393125002</v>
      </c>
      <c r="X136" s="220">
        <v>-1.1119702500000002</v>
      </c>
      <c r="Y136" s="219">
        <v>-1.0832351250000003</v>
      </c>
      <c r="Z136" s="220">
        <v>-1.0545000000000002</v>
      </c>
      <c r="AA136" s="219">
        <v>-1.0272500000000002</v>
      </c>
      <c r="AB136" s="221">
        <v>-1</v>
      </c>
      <c r="AC136" s="219">
        <v>-0.8</v>
      </c>
      <c r="AD136" s="221">
        <v>-0.6</v>
      </c>
      <c r="AE136" s="219">
        <v>-0.4</v>
      </c>
      <c r="AF136" s="219">
        <v>-0.2</v>
      </c>
      <c r="AG136" s="150">
        <v>0</v>
      </c>
      <c r="AH136" s="150">
        <v>0.2</v>
      </c>
      <c r="AI136" s="150">
        <v>0.4</v>
      </c>
      <c r="AJ136" s="150">
        <v>0.6</v>
      </c>
      <c r="AK136" s="150">
        <v>0.8</v>
      </c>
      <c r="AL136" s="150">
        <v>1</v>
      </c>
      <c r="AM136" s="150">
        <v>1.2</v>
      </c>
      <c r="AN136" s="150">
        <v>1.4</v>
      </c>
      <c r="AO136" s="150">
        <v>1.6</v>
      </c>
      <c r="AP136" s="150">
        <v>1.8</v>
      </c>
      <c r="AQ136" s="150">
        <v>2</v>
      </c>
      <c r="AR136" s="150">
        <v>2.2000000000000002</v>
      </c>
      <c r="AS136" s="150">
        <v>2.4</v>
      </c>
      <c r="AT136" s="150">
        <v>2.6</v>
      </c>
      <c r="AU136" s="150">
        <v>2.8</v>
      </c>
      <c r="AV136" s="150">
        <v>3</v>
      </c>
      <c r="AW136" s="150">
        <v>3.2</v>
      </c>
      <c r="AX136" s="150">
        <v>3.4</v>
      </c>
      <c r="AY136" s="150">
        <v>3.6</v>
      </c>
      <c r="AZ136" s="150">
        <v>3.8</v>
      </c>
      <c r="BA136" s="150">
        <v>4</v>
      </c>
      <c r="BB136" s="150">
        <v>4.2</v>
      </c>
      <c r="BC136" s="150">
        <v>4.4000000000000004</v>
      </c>
      <c r="BD136" s="150">
        <v>4.5999999999999996</v>
      </c>
      <c r="BE136" s="150">
        <v>4.8</v>
      </c>
      <c r="BF136" s="150">
        <v>5</v>
      </c>
      <c r="BG136" s="150">
        <v>5.2</v>
      </c>
      <c r="BH136" s="150">
        <v>5.4</v>
      </c>
      <c r="BI136" s="150">
        <v>5.6</v>
      </c>
      <c r="BJ136" s="150">
        <v>5.8</v>
      </c>
      <c r="BK136" s="150">
        <v>6</v>
      </c>
      <c r="BL136" s="150">
        <v>6.2</v>
      </c>
      <c r="BM136" s="150">
        <v>6.4</v>
      </c>
      <c r="BN136" s="150">
        <v>6.6</v>
      </c>
      <c r="BO136" s="150">
        <v>6.8</v>
      </c>
      <c r="BP136" s="150">
        <v>7</v>
      </c>
      <c r="BQ136" s="150">
        <v>7.2</v>
      </c>
      <c r="BR136" s="150">
        <v>7.4</v>
      </c>
      <c r="BS136" s="150">
        <v>7.6</v>
      </c>
      <c r="BT136" s="150">
        <v>7.8</v>
      </c>
      <c r="BU136" s="150">
        <v>8</v>
      </c>
      <c r="BV136" s="150">
        <v>8.1999999999999993</v>
      </c>
      <c r="BW136" s="150">
        <v>8.4</v>
      </c>
      <c r="BX136" s="150">
        <v>8.6</v>
      </c>
      <c r="BY136" s="150">
        <v>8.7999999999999936</v>
      </c>
      <c r="BZ136" s="150">
        <v>9</v>
      </c>
      <c r="CA136" s="150">
        <v>9.1999999999999922</v>
      </c>
      <c r="CB136" s="150">
        <v>9.4</v>
      </c>
      <c r="CC136" s="150">
        <v>9.5999999999999908</v>
      </c>
      <c r="CD136" s="150">
        <v>9.8000000000000007</v>
      </c>
      <c r="CE136" s="150">
        <v>9.9999999999999893</v>
      </c>
      <c r="CF136" s="150">
        <v>10.199999999999999</v>
      </c>
      <c r="CG136" s="150">
        <v>10.4</v>
      </c>
      <c r="CH136" s="150">
        <v>10.6</v>
      </c>
      <c r="CI136" s="150">
        <v>10.8</v>
      </c>
      <c r="CJ136" s="150">
        <v>11</v>
      </c>
      <c r="CK136" s="150">
        <v>11.2</v>
      </c>
      <c r="CL136" s="150">
        <v>11.4</v>
      </c>
      <c r="CM136" s="150">
        <v>11.6</v>
      </c>
      <c r="CN136" s="150">
        <v>11.8</v>
      </c>
      <c r="CO136" s="150">
        <v>12</v>
      </c>
      <c r="CP136" s="150">
        <v>12.2</v>
      </c>
      <c r="CQ136" s="150">
        <v>12.4</v>
      </c>
      <c r="CR136" s="150">
        <v>12.6</v>
      </c>
      <c r="CS136" s="150">
        <v>12.8</v>
      </c>
      <c r="CT136" s="150">
        <v>13</v>
      </c>
      <c r="CU136" s="150">
        <v>13.2</v>
      </c>
      <c r="CV136" s="150">
        <v>13.4</v>
      </c>
      <c r="CW136" s="150">
        <v>13.6</v>
      </c>
      <c r="CX136" s="150">
        <v>13.8</v>
      </c>
      <c r="CY136" s="150">
        <v>14</v>
      </c>
      <c r="CZ136" s="150">
        <v>14.2</v>
      </c>
      <c r="DA136" s="150">
        <v>14.4</v>
      </c>
      <c r="DB136" s="150">
        <v>14.6</v>
      </c>
      <c r="DC136" s="150">
        <v>14.8</v>
      </c>
      <c r="DD136" s="150">
        <v>15</v>
      </c>
      <c r="DE136" s="150">
        <v>15.2</v>
      </c>
      <c r="DF136" s="150">
        <v>15.4</v>
      </c>
      <c r="DG136" s="150">
        <v>15.6</v>
      </c>
      <c r="DH136" s="150">
        <v>15.8</v>
      </c>
      <c r="DI136" s="150">
        <v>16</v>
      </c>
      <c r="DJ136" s="150">
        <v>16.2</v>
      </c>
      <c r="DK136" s="150">
        <v>16.399999999999999</v>
      </c>
      <c r="DL136" s="150">
        <v>16.600000000000001</v>
      </c>
      <c r="DM136" s="150">
        <v>16.8</v>
      </c>
      <c r="DN136" s="150">
        <v>17</v>
      </c>
      <c r="DO136" s="150">
        <v>17.2</v>
      </c>
      <c r="DP136" s="150">
        <v>17.399999999999999</v>
      </c>
      <c r="DQ136" s="150">
        <v>17.600000000000001</v>
      </c>
      <c r="DR136" s="150">
        <v>17.8</v>
      </c>
      <c r="DS136" s="150">
        <v>18</v>
      </c>
      <c r="DT136" s="150">
        <v>18.2</v>
      </c>
      <c r="DU136" s="150">
        <v>18.399999999999999</v>
      </c>
      <c r="DV136" s="150">
        <v>18.600000000000001</v>
      </c>
      <c r="DW136" s="150">
        <v>18.8</v>
      </c>
      <c r="DX136" s="150">
        <v>19</v>
      </c>
      <c r="DY136" s="150">
        <v>19.2</v>
      </c>
      <c r="DZ136" s="150">
        <v>19.399999999999999</v>
      </c>
      <c r="EA136" s="150">
        <v>19.600000000000001</v>
      </c>
      <c r="EB136" s="150">
        <v>19.8</v>
      </c>
      <c r="EC136" s="150">
        <v>20</v>
      </c>
      <c r="ED136" s="150">
        <v>20.2</v>
      </c>
      <c r="EE136" s="150">
        <v>20.399999999999999</v>
      </c>
      <c r="EF136" s="150">
        <v>20.6</v>
      </c>
      <c r="EG136" s="150">
        <v>20.799999999999951</v>
      </c>
      <c r="EH136" s="150">
        <v>21</v>
      </c>
      <c r="EI136" s="150">
        <v>21.19999999999995</v>
      </c>
      <c r="EJ136" s="150">
        <v>21.4</v>
      </c>
      <c r="EK136" s="150">
        <v>21.599999999999948</v>
      </c>
    </row>
    <row r="137" spans="1:141" ht="13.2" x14ac:dyDescent="0.25">
      <c r="A137" s="149">
        <v>40817</v>
      </c>
      <c r="B137" s="219">
        <v>-1.7785964148750009</v>
      </c>
      <c r="C137" s="219">
        <v>-1.7482952255625008</v>
      </c>
      <c r="D137" s="219">
        <v>-1.7179940362500008</v>
      </c>
      <c r="E137" s="219">
        <v>-1.6876928469375008</v>
      </c>
      <c r="F137" s="219">
        <v>-1.6573916576250007</v>
      </c>
      <c r="G137" s="219">
        <v>-1.6270904683125007</v>
      </c>
      <c r="H137" s="219">
        <v>-1.5967892790000007</v>
      </c>
      <c r="I137" s="219">
        <v>-1.5664880896875006</v>
      </c>
      <c r="J137" s="219">
        <v>-1.5361869003750006</v>
      </c>
      <c r="K137" s="219">
        <v>-1.5058857110625006</v>
      </c>
      <c r="L137" s="219">
        <v>-1.4755845217500005</v>
      </c>
      <c r="M137" s="219">
        <v>-1.4452833324375005</v>
      </c>
      <c r="N137" s="219">
        <v>-1.4149821431250005</v>
      </c>
      <c r="O137" s="219">
        <v>-1.3846809538125004</v>
      </c>
      <c r="P137" s="219">
        <v>-1.3543797645000004</v>
      </c>
      <c r="Q137" s="219">
        <v>-1.3240785751875004</v>
      </c>
      <c r="R137" s="219">
        <v>-1.2937773858750004</v>
      </c>
      <c r="S137" s="219">
        <v>-1.2634761965625003</v>
      </c>
      <c r="T137" s="219">
        <v>-1.2331750072500003</v>
      </c>
      <c r="U137" s="219">
        <v>-1.2028738179375003</v>
      </c>
      <c r="V137" s="220">
        <v>-1.1725726286250002</v>
      </c>
      <c r="W137" s="219">
        <v>-1.1422714393125002</v>
      </c>
      <c r="X137" s="220">
        <v>-1.1119702500000002</v>
      </c>
      <c r="Y137" s="219">
        <v>-1.0832351250000003</v>
      </c>
      <c r="Z137" s="220">
        <v>-1.0545000000000002</v>
      </c>
      <c r="AA137" s="219">
        <v>-1.0272500000000002</v>
      </c>
      <c r="AB137" s="221">
        <v>-1</v>
      </c>
      <c r="AC137" s="219">
        <v>-0.8</v>
      </c>
      <c r="AD137" s="221">
        <v>-0.6</v>
      </c>
      <c r="AE137" s="219">
        <v>-0.4</v>
      </c>
      <c r="AF137" s="219">
        <v>-0.2</v>
      </c>
      <c r="AG137" s="150">
        <v>0</v>
      </c>
      <c r="AH137" s="150">
        <v>0.2</v>
      </c>
      <c r="AI137" s="150">
        <v>0.4</v>
      </c>
      <c r="AJ137" s="150">
        <v>0.6</v>
      </c>
      <c r="AK137" s="150">
        <v>0.8</v>
      </c>
      <c r="AL137" s="150">
        <v>1</v>
      </c>
      <c r="AM137" s="150">
        <v>1.2</v>
      </c>
      <c r="AN137" s="150">
        <v>1.4</v>
      </c>
      <c r="AO137" s="150">
        <v>1.6</v>
      </c>
      <c r="AP137" s="150">
        <v>1.8</v>
      </c>
      <c r="AQ137" s="150">
        <v>2</v>
      </c>
      <c r="AR137" s="150">
        <v>2.2000000000000002</v>
      </c>
      <c r="AS137" s="150">
        <v>2.4</v>
      </c>
      <c r="AT137" s="150">
        <v>2.6</v>
      </c>
      <c r="AU137" s="150">
        <v>2.8</v>
      </c>
      <c r="AV137" s="150">
        <v>3</v>
      </c>
      <c r="AW137" s="150">
        <v>3.2</v>
      </c>
      <c r="AX137" s="150">
        <v>3.4</v>
      </c>
      <c r="AY137" s="150">
        <v>3.6</v>
      </c>
      <c r="AZ137" s="150">
        <v>3.8</v>
      </c>
      <c r="BA137" s="150">
        <v>4</v>
      </c>
      <c r="BB137" s="150">
        <v>4.2</v>
      </c>
      <c r="BC137" s="150">
        <v>4.4000000000000004</v>
      </c>
      <c r="BD137" s="150">
        <v>4.5999999999999996</v>
      </c>
      <c r="BE137" s="150">
        <v>4.8</v>
      </c>
      <c r="BF137" s="150">
        <v>5</v>
      </c>
      <c r="BG137" s="150">
        <v>5.2</v>
      </c>
      <c r="BH137" s="150">
        <v>5.4</v>
      </c>
      <c r="BI137" s="150">
        <v>5.6</v>
      </c>
      <c r="BJ137" s="150">
        <v>5.8</v>
      </c>
      <c r="BK137" s="150">
        <v>6</v>
      </c>
      <c r="BL137" s="150">
        <v>6.2</v>
      </c>
      <c r="BM137" s="150">
        <v>6.4</v>
      </c>
      <c r="BN137" s="150">
        <v>6.6</v>
      </c>
      <c r="BO137" s="150">
        <v>6.8</v>
      </c>
      <c r="BP137" s="150">
        <v>7</v>
      </c>
      <c r="BQ137" s="150">
        <v>7.2</v>
      </c>
      <c r="BR137" s="150">
        <v>7.4</v>
      </c>
      <c r="BS137" s="150">
        <v>7.6</v>
      </c>
      <c r="BT137" s="150">
        <v>7.8</v>
      </c>
      <c r="BU137" s="150">
        <v>8</v>
      </c>
      <c r="BV137" s="150">
        <v>8.1999999999999993</v>
      </c>
      <c r="BW137" s="150">
        <v>8.4</v>
      </c>
      <c r="BX137" s="150">
        <v>8.6</v>
      </c>
      <c r="BY137" s="150">
        <v>8.7999999999999936</v>
      </c>
      <c r="BZ137" s="150">
        <v>9</v>
      </c>
      <c r="CA137" s="150">
        <v>9.1999999999999922</v>
      </c>
      <c r="CB137" s="150">
        <v>9.4</v>
      </c>
      <c r="CC137" s="150">
        <v>9.5999999999999908</v>
      </c>
      <c r="CD137" s="150">
        <v>9.8000000000000007</v>
      </c>
      <c r="CE137" s="150">
        <v>9.9999999999999893</v>
      </c>
      <c r="CF137" s="150">
        <v>10.199999999999999</v>
      </c>
      <c r="CG137" s="150">
        <v>10.4</v>
      </c>
      <c r="CH137" s="150">
        <v>10.6</v>
      </c>
      <c r="CI137" s="150">
        <v>10.8</v>
      </c>
      <c r="CJ137" s="150">
        <v>11</v>
      </c>
      <c r="CK137" s="150">
        <v>11.2</v>
      </c>
      <c r="CL137" s="150">
        <v>11.4</v>
      </c>
      <c r="CM137" s="150">
        <v>11.6</v>
      </c>
      <c r="CN137" s="150">
        <v>11.8</v>
      </c>
      <c r="CO137" s="150">
        <v>12</v>
      </c>
      <c r="CP137" s="150">
        <v>12.2</v>
      </c>
      <c r="CQ137" s="150">
        <v>12.4</v>
      </c>
      <c r="CR137" s="150">
        <v>12.6</v>
      </c>
      <c r="CS137" s="150">
        <v>12.8</v>
      </c>
      <c r="CT137" s="150">
        <v>13</v>
      </c>
      <c r="CU137" s="150">
        <v>13.2</v>
      </c>
      <c r="CV137" s="150">
        <v>13.4</v>
      </c>
      <c r="CW137" s="150">
        <v>13.6</v>
      </c>
      <c r="CX137" s="150">
        <v>13.8</v>
      </c>
      <c r="CY137" s="150">
        <v>14</v>
      </c>
      <c r="CZ137" s="150">
        <v>14.2</v>
      </c>
      <c r="DA137" s="150">
        <v>14.4</v>
      </c>
      <c r="DB137" s="150">
        <v>14.6</v>
      </c>
      <c r="DC137" s="150">
        <v>14.8</v>
      </c>
      <c r="DD137" s="150">
        <v>15</v>
      </c>
      <c r="DE137" s="150">
        <v>15.2</v>
      </c>
      <c r="DF137" s="150">
        <v>15.4</v>
      </c>
      <c r="DG137" s="150">
        <v>15.6</v>
      </c>
      <c r="DH137" s="150">
        <v>15.8</v>
      </c>
      <c r="DI137" s="150">
        <v>16</v>
      </c>
      <c r="DJ137" s="150">
        <v>16.2</v>
      </c>
      <c r="DK137" s="150">
        <v>16.399999999999999</v>
      </c>
      <c r="DL137" s="150">
        <v>16.600000000000001</v>
      </c>
      <c r="DM137" s="150">
        <v>16.8</v>
      </c>
      <c r="DN137" s="150">
        <v>17</v>
      </c>
      <c r="DO137" s="150">
        <v>17.2</v>
      </c>
      <c r="DP137" s="150">
        <v>17.399999999999999</v>
      </c>
      <c r="DQ137" s="150">
        <v>17.600000000000001</v>
      </c>
      <c r="DR137" s="150">
        <v>17.8</v>
      </c>
      <c r="DS137" s="150">
        <v>18</v>
      </c>
      <c r="DT137" s="150">
        <v>18.2</v>
      </c>
      <c r="DU137" s="150">
        <v>18.399999999999999</v>
      </c>
      <c r="DV137" s="150">
        <v>18.600000000000001</v>
      </c>
      <c r="DW137" s="150">
        <v>18.8</v>
      </c>
      <c r="DX137" s="150">
        <v>19</v>
      </c>
      <c r="DY137" s="150">
        <v>19.2</v>
      </c>
      <c r="DZ137" s="150">
        <v>19.399999999999999</v>
      </c>
      <c r="EA137" s="150">
        <v>19.600000000000001</v>
      </c>
      <c r="EB137" s="150">
        <v>19.8</v>
      </c>
      <c r="EC137" s="150">
        <v>20</v>
      </c>
      <c r="ED137" s="150">
        <v>20.2</v>
      </c>
      <c r="EE137" s="150">
        <v>20.399999999999999</v>
      </c>
      <c r="EF137" s="150">
        <v>20.6</v>
      </c>
      <c r="EG137" s="150">
        <v>20.799999999999951</v>
      </c>
      <c r="EH137" s="150">
        <v>21</v>
      </c>
      <c r="EI137" s="150">
        <v>21.19999999999995</v>
      </c>
      <c r="EJ137" s="150">
        <v>21.4</v>
      </c>
      <c r="EK137" s="150">
        <v>21.599999999999948</v>
      </c>
    </row>
    <row r="138" spans="1:141" ht="13.2" x14ac:dyDescent="0.25">
      <c r="A138" s="149">
        <v>40848</v>
      </c>
      <c r="B138" s="219">
        <v>-1.7785964148750009</v>
      </c>
      <c r="C138" s="219">
        <v>-1.7482952255625008</v>
      </c>
      <c r="D138" s="219">
        <v>-1.7179940362500008</v>
      </c>
      <c r="E138" s="219">
        <v>-1.6876928469375008</v>
      </c>
      <c r="F138" s="219">
        <v>-1.6573916576250007</v>
      </c>
      <c r="G138" s="219">
        <v>-1.6270904683125007</v>
      </c>
      <c r="H138" s="219">
        <v>-1.5967892790000007</v>
      </c>
      <c r="I138" s="219">
        <v>-1.5664880896875006</v>
      </c>
      <c r="J138" s="219">
        <v>-1.5361869003750006</v>
      </c>
      <c r="K138" s="219">
        <v>-1.5058857110625006</v>
      </c>
      <c r="L138" s="219">
        <v>-1.4755845217500005</v>
      </c>
      <c r="M138" s="219">
        <v>-1.4452833324375005</v>
      </c>
      <c r="N138" s="219">
        <v>-1.4149821431250005</v>
      </c>
      <c r="O138" s="219">
        <v>-1.3846809538125004</v>
      </c>
      <c r="P138" s="219">
        <v>-1.3543797645000004</v>
      </c>
      <c r="Q138" s="219">
        <v>-1.3240785751875004</v>
      </c>
      <c r="R138" s="219">
        <v>-1.2937773858750004</v>
      </c>
      <c r="S138" s="219">
        <v>-1.2634761965625003</v>
      </c>
      <c r="T138" s="219">
        <v>-1.2331750072500003</v>
      </c>
      <c r="U138" s="219">
        <v>-1.2028738179375003</v>
      </c>
      <c r="V138" s="220">
        <v>-1.1725726286250002</v>
      </c>
      <c r="W138" s="219">
        <v>-1.1422714393125002</v>
      </c>
      <c r="X138" s="220">
        <v>-1.1119702500000002</v>
      </c>
      <c r="Y138" s="219">
        <v>-1.0832351250000003</v>
      </c>
      <c r="Z138" s="220">
        <v>-1.0545000000000002</v>
      </c>
      <c r="AA138" s="219">
        <v>-1.0272500000000002</v>
      </c>
      <c r="AB138" s="221">
        <v>-1</v>
      </c>
      <c r="AC138" s="219">
        <v>-0.8</v>
      </c>
      <c r="AD138" s="221">
        <v>-0.6</v>
      </c>
      <c r="AE138" s="219">
        <v>-0.4</v>
      </c>
      <c r="AF138" s="219">
        <v>-0.2</v>
      </c>
      <c r="AG138" s="150">
        <v>0</v>
      </c>
      <c r="AH138" s="150">
        <v>0.2</v>
      </c>
      <c r="AI138" s="150">
        <v>0.4</v>
      </c>
      <c r="AJ138" s="150">
        <v>0.6</v>
      </c>
      <c r="AK138" s="150">
        <v>0.8</v>
      </c>
      <c r="AL138" s="150">
        <v>1</v>
      </c>
      <c r="AM138" s="150">
        <v>1.2</v>
      </c>
      <c r="AN138" s="150">
        <v>1.4</v>
      </c>
      <c r="AO138" s="150">
        <v>1.6</v>
      </c>
      <c r="AP138" s="150">
        <v>1.8</v>
      </c>
      <c r="AQ138" s="150">
        <v>2</v>
      </c>
      <c r="AR138" s="150">
        <v>2.2000000000000002</v>
      </c>
      <c r="AS138" s="150">
        <v>2.4</v>
      </c>
      <c r="AT138" s="150">
        <v>2.6</v>
      </c>
      <c r="AU138" s="150">
        <v>2.8</v>
      </c>
      <c r="AV138" s="150">
        <v>3</v>
      </c>
      <c r="AW138" s="150">
        <v>3.2</v>
      </c>
      <c r="AX138" s="150">
        <v>3.4</v>
      </c>
      <c r="AY138" s="150">
        <v>3.6</v>
      </c>
      <c r="AZ138" s="150">
        <v>3.8</v>
      </c>
      <c r="BA138" s="150">
        <v>4</v>
      </c>
      <c r="BB138" s="150">
        <v>4.2</v>
      </c>
      <c r="BC138" s="150">
        <v>4.4000000000000004</v>
      </c>
      <c r="BD138" s="150">
        <v>4.5999999999999996</v>
      </c>
      <c r="BE138" s="150">
        <v>4.8</v>
      </c>
      <c r="BF138" s="150">
        <v>5</v>
      </c>
      <c r="BG138" s="150">
        <v>5.2</v>
      </c>
      <c r="BH138" s="150">
        <v>5.4</v>
      </c>
      <c r="BI138" s="150">
        <v>5.6</v>
      </c>
      <c r="BJ138" s="150">
        <v>5.8</v>
      </c>
      <c r="BK138" s="150">
        <v>6</v>
      </c>
      <c r="BL138" s="150">
        <v>6.2</v>
      </c>
      <c r="BM138" s="150">
        <v>6.4</v>
      </c>
      <c r="BN138" s="150">
        <v>6.6</v>
      </c>
      <c r="BO138" s="150">
        <v>6.8</v>
      </c>
      <c r="BP138" s="150">
        <v>7</v>
      </c>
      <c r="BQ138" s="150">
        <v>7.2</v>
      </c>
      <c r="BR138" s="150">
        <v>7.4</v>
      </c>
      <c r="BS138" s="150">
        <v>7.6</v>
      </c>
      <c r="BT138" s="150">
        <v>7.8</v>
      </c>
      <c r="BU138" s="150">
        <v>8</v>
      </c>
      <c r="BV138" s="150">
        <v>8.1999999999999993</v>
      </c>
      <c r="BW138" s="150">
        <v>8.4</v>
      </c>
      <c r="BX138" s="150">
        <v>8.6</v>
      </c>
      <c r="BY138" s="150">
        <v>8.7999999999999936</v>
      </c>
      <c r="BZ138" s="150">
        <v>9</v>
      </c>
      <c r="CA138" s="150">
        <v>9.1999999999999922</v>
      </c>
      <c r="CB138" s="150">
        <v>9.4</v>
      </c>
      <c r="CC138" s="150">
        <v>9.5999999999999908</v>
      </c>
      <c r="CD138" s="150">
        <v>9.8000000000000007</v>
      </c>
      <c r="CE138" s="150">
        <v>9.9999999999999893</v>
      </c>
      <c r="CF138" s="150">
        <v>10.199999999999999</v>
      </c>
      <c r="CG138" s="150">
        <v>10.4</v>
      </c>
      <c r="CH138" s="150">
        <v>10.6</v>
      </c>
      <c r="CI138" s="150">
        <v>10.8</v>
      </c>
      <c r="CJ138" s="150">
        <v>11</v>
      </c>
      <c r="CK138" s="150">
        <v>11.2</v>
      </c>
      <c r="CL138" s="150">
        <v>11.4</v>
      </c>
      <c r="CM138" s="150">
        <v>11.6</v>
      </c>
      <c r="CN138" s="150">
        <v>11.8</v>
      </c>
      <c r="CO138" s="150">
        <v>12</v>
      </c>
      <c r="CP138" s="150">
        <v>12.2</v>
      </c>
      <c r="CQ138" s="150">
        <v>12.4</v>
      </c>
      <c r="CR138" s="150">
        <v>12.6</v>
      </c>
      <c r="CS138" s="150">
        <v>12.8</v>
      </c>
      <c r="CT138" s="150">
        <v>13</v>
      </c>
      <c r="CU138" s="150">
        <v>13.2</v>
      </c>
      <c r="CV138" s="150">
        <v>13.4</v>
      </c>
      <c r="CW138" s="150">
        <v>13.6</v>
      </c>
      <c r="CX138" s="150">
        <v>13.8</v>
      </c>
      <c r="CY138" s="150">
        <v>14</v>
      </c>
      <c r="CZ138" s="150">
        <v>14.2</v>
      </c>
      <c r="DA138" s="150">
        <v>14.4</v>
      </c>
      <c r="DB138" s="150">
        <v>14.6</v>
      </c>
      <c r="DC138" s="150">
        <v>14.8</v>
      </c>
      <c r="DD138" s="150">
        <v>15</v>
      </c>
      <c r="DE138" s="150">
        <v>15.2</v>
      </c>
      <c r="DF138" s="150">
        <v>15.4</v>
      </c>
      <c r="DG138" s="150">
        <v>15.6</v>
      </c>
      <c r="DH138" s="150">
        <v>15.8</v>
      </c>
      <c r="DI138" s="150">
        <v>16</v>
      </c>
      <c r="DJ138" s="150">
        <v>16.2</v>
      </c>
      <c r="DK138" s="150">
        <v>16.399999999999999</v>
      </c>
      <c r="DL138" s="150">
        <v>16.600000000000001</v>
      </c>
      <c r="DM138" s="150">
        <v>16.8</v>
      </c>
      <c r="DN138" s="150">
        <v>17</v>
      </c>
      <c r="DO138" s="150">
        <v>17.2</v>
      </c>
      <c r="DP138" s="150">
        <v>17.399999999999999</v>
      </c>
      <c r="DQ138" s="150">
        <v>17.600000000000001</v>
      </c>
      <c r="DR138" s="150">
        <v>17.8</v>
      </c>
      <c r="DS138" s="150">
        <v>18</v>
      </c>
      <c r="DT138" s="150">
        <v>18.2</v>
      </c>
      <c r="DU138" s="150">
        <v>18.399999999999999</v>
      </c>
      <c r="DV138" s="150">
        <v>18.600000000000001</v>
      </c>
      <c r="DW138" s="150">
        <v>18.8</v>
      </c>
      <c r="DX138" s="150">
        <v>19</v>
      </c>
      <c r="DY138" s="150">
        <v>19.2</v>
      </c>
      <c r="DZ138" s="150">
        <v>19.399999999999999</v>
      </c>
      <c r="EA138" s="150">
        <v>19.600000000000001</v>
      </c>
      <c r="EB138" s="150">
        <v>19.8</v>
      </c>
      <c r="EC138" s="150">
        <v>20</v>
      </c>
      <c r="ED138" s="150">
        <v>20.2</v>
      </c>
      <c r="EE138" s="150">
        <v>20.399999999999999</v>
      </c>
      <c r="EF138" s="150">
        <v>20.6</v>
      </c>
      <c r="EG138" s="150">
        <v>20.799999999999951</v>
      </c>
      <c r="EH138" s="150">
        <v>21</v>
      </c>
      <c r="EI138" s="150">
        <v>21.19999999999995</v>
      </c>
      <c r="EJ138" s="150">
        <v>21.4</v>
      </c>
      <c r="EK138" s="150">
        <v>21.599999999999948</v>
      </c>
    </row>
    <row r="139" spans="1:141" ht="13.2" x14ac:dyDescent="0.25">
      <c r="A139" s="149">
        <v>40878</v>
      </c>
      <c r="B139" s="219">
        <v>-1.7785964148750009</v>
      </c>
      <c r="C139" s="219">
        <v>-1.7482952255625008</v>
      </c>
      <c r="D139" s="219">
        <v>-1.7179940362500008</v>
      </c>
      <c r="E139" s="219">
        <v>-1.6876928469375008</v>
      </c>
      <c r="F139" s="219">
        <v>-1.6573916576250007</v>
      </c>
      <c r="G139" s="219">
        <v>-1.6270904683125007</v>
      </c>
      <c r="H139" s="219">
        <v>-1.5967892790000007</v>
      </c>
      <c r="I139" s="219">
        <v>-1.5664880896875006</v>
      </c>
      <c r="J139" s="219">
        <v>-1.5361869003750006</v>
      </c>
      <c r="K139" s="219">
        <v>-1.5058857110625006</v>
      </c>
      <c r="L139" s="219">
        <v>-1.4755845217500005</v>
      </c>
      <c r="M139" s="219">
        <v>-1.4452833324375005</v>
      </c>
      <c r="N139" s="219">
        <v>-1.4149821431250005</v>
      </c>
      <c r="O139" s="219">
        <v>-1.3846809538125004</v>
      </c>
      <c r="P139" s="219">
        <v>-1.3543797645000004</v>
      </c>
      <c r="Q139" s="219">
        <v>-1.3240785751875004</v>
      </c>
      <c r="R139" s="219">
        <v>-1.2937773858750004</v>
      </c>
      <c r="S139" s="219">
        <v>-1.2634761965625003</v>
      </c>
      <c r="T139" s="219">
        <v>-1.2331750072500003</v>
      </c>
      <c r="U139" s="219">
        <v>-1.2028738179375003</v>
      </c>
      <c r="V139" s="220">
        <v>-1.1725726286250002</v>
      </c>
      <c r="W139" s="219">
        <v>-1.1422714393125002</v>
      </c>
      <c r="X139" s="220">
        <v>-1.1119702500000002</v>
      </c>
      <c r="Y139" s="219">
        <v>-1.0832351250000003</v>
      </c>
      <c r="Z139" s="220">
        <v>-1.0545000000000002</v>
      </c>
      <c r="AA139" s="219">
        <v>-1.0272500000000002</v>
      </c>
      <c r="AB139" s="221">
        <v>-1</v>
      </c>
      <c r="AC139" s="219">
        <v>-0.8</v>
      </c>
      <c r="AD139" s="221">
        <v>-0.6</v>
      </c>
      <c r="AE139" s="219">
        <v>-0.4</v>
      </c>
      <c r="AF139" s="219">
        <v>-0.2</v>
      </c>
      <c r="AG139" s="150">
        <v>0</v>
      </c>
      <c r="AH139" s="150">
        <v>0.2</v>
      </c>
      <c r="AI139" s="150">
        <v>0.4</v>
      </c>
      <c r="AJ139" s="150">
        <v>0.6</v>
      </c>
      <c r="AK139" s="150">
        <v>0.8</v>
      </c>
      <c r="AL139" s="150">
        <v>1</v>
      </c>
      <c r="AM139" s="150">
        <v>1.2</v>
      </c>
      <c r="AN139" s="150">
        <v>1.4</v>
      </c>
      <c r="AO139" s="150">
        <v>1.6</v>
      </c>
      <c r="AP139" s="150">
        <v>1.8</v>
      </c>
      <c r="AQ139" s="150">
        <v>2</v>
      </c>
      <c r="AR139" s="150">
        <v>2.2000000000000002</v>
      </c>
      <c r="AS139" s="150">
        <v>2.4</v>
      </c>
      <c r="AT139" s="150">
        <v>2.6</v>
      </c>
      <c r="AU139" s="150">
        <v>2.8</v>
      </c>
      <c r="AV139" s="150">
        <v>3</v>
      </c>
      <c r="AW139" s="150">
        <v>3.2</v>
      </c>
      <c r="AX139" s="150">
        <v>3.4</v>
      </c>
      <c r="AY139" s="150">
        <v>3.6</v>
      </c>
      <c r="AZ139" s="150">
        <v>3.8</v>
      </c>
      <c r="BA139" s="150">
        <v>4</v>
      </c>
      <c r="BB139" s="150">
        <v>4.2</v>
      </c>
      <c r="BC139" s="150">
        <v>4.4000000000000004</v>
      </c>
      <c r="BD139" s="150">
        <v>4.5999999999999996</v>
      </c>
      <c r="BE139" s="150">
        <v>4.8</v>
      </c>
      <c r="BF139" s="150">
        <v>5</v>
      </c>
      <c r="BG139" s="150">
        <v>5.2</v>
      </c>
      <c r="BH139" s="150">
        <v>5.4</v>
      </c>
      <c r="BI139" s="150">
        <v>5.6</v>
      </c>
      <c r="BJ139" s="150">
        <v>5.8</v>
      </c>
      <c r="BK139" s="150">
        <v>6</v>
      </c>
      <c r="BL139" s="150">
        <v>6.2</v>
      </c>
      <c r="BM139" s="150">
        <v>6.4</v>
      </c>
      <c r="BN139" s="150">
        <v>6.6</v>
      </c>
      <c r="BO139" s="150">
        <v>6.8</v>
      </c>
      <c r="BP139" s="150">
        <v>7</v>
      </c>
      <c r="BQ139" s="150">
        <v>7.2</v>
      </c>
      <c r="BR139" s="150">
        <v>7.4</v>
      </c>
      <c r="BS139" s="150">
        <v>7.6</v>
      </c>
      <c r="BT139" s="150">
        <v>7.8</v>
      </c>
      <c r="BU139" s="150">
        <v>8</v>
      </c>
      <c r="BV139" s="150">
        <v>8.1999999999999993</v>
      </c>
      <c r="BW139" s="150">
        <v>8.4</v>
      </c>
      <c r="BX139" s="150">
        <v>8.6</v>
      </c>
      <c r="BY139" s="150">
        <v>8.7999999999999936</v>
      </c>
      <c r="BZ139" s="150">
        <v>9</v>
      </c>
      <c r="CA139" s="150">
        <v>9.1999999999999922</v>
      </c>
      <c r="CB139" s="150">
        <v>9.4</v>
      </c>
      <c r="CC139" s="150">
        <v>9.5999999999999908</v>
      </c>
      <c r="CD139" s="150">
        <v>9.8000000000000007</v>
      </c>
      <c r="CE139" s="150">
        <v>9.9999999999999893</v>
      </c>
      <c r="CF139" s="150">
        <v>10.199999999999999</v>
      </c>
      <c r="CG139" s="150">
        <v>10.4</v>
      </c>
      <c r="CH139" s="150">
        <v>10.6</v>
      </c>
      <c r="CI139" s="150">
        <v>10.8</v>
      </c>
      <c r="CJ139" s="150">
        <v>11</v>
      </c>
      <c r="CK139" s="150">
        <v>11.2</v>
      </c>
      <c r="CL139" s="150">
        <v>11.4</v>
      </c>
      <c r="CM139" s="150">
        <v>11.6</v>
      </c>
      <c r="CN139" s="150">
        <v>11.8</v>
      </c>
      <c r="CO139" s="150">
        <v>12</v>
      </c>
      <c r="CP139" s="150">
        <v>12.2</v>
      </c>
      <c r="CQ139" s="150">
        <v>12.4</v>
      </c>
      <c r="CR139" s="150">
        <v>12.6</v>
      </c>
      <c r="CS139" s="150">
        <v>12.8</v>
      </c>
      <c r="CT139" s="150">
        <v>13</v>
      </c>
      <c r="CU139" s="150">
        <v>13.2</v>
      </c>
      <c r="CV139" s="150">
        <v>13.4</v>
      </c>
      <c r="CW139" s="150">
        <v>13.6</v>
      </c>
      <c r="CX139" s="150">
        <v>13.8</v>
      </c>
      <c r="CY139" s="150">
        <v>14</v>
      </c>
      <c r="CZ139" s="150">
        <v>14.2</v>
      </c>
      <c r="DA139" s="150">
        <v>14.4</v>
      </c>
      <c r="DB139" s="150">
        <v>14.6</v>
      </c>
      <c r="DC139" s="150">
        <v>14.8</v>
      </c>
      <c r="DD139" s="150">
        <v>15</v>
      </c>
      <c r="DE139" s="150">
        <v>15.2</v>
      </c>
      <c r="DF139" s="150">
        <v>15.4</v>
      </c>
      <c r="DG139" s="150">
        <v>15.6</v>
      </c>
      <c r="DH139" s="150">
        <v>15.8</v>
      </c>
      <c r="DI139" s="150">
        <v>16</v>
      </c>
      <c r="DJ139" s="150">
        <v>16.2</v>
      </c>
      <c r="DK139" s="150">
        <v>16.399999999999999</v>
      </c>
      <c r="DL139" s="150">
        <v>16.600000000000001</v>
      </c>
      <c r="DM139" s="150">
        <v>16.8</v>
      </c>
      <c r="DN139" s="150">
        <v>17</v>
      </c>
      <c r="DO139" s="150">
        <v>17.2</v>
      </c>
      <c r="DP139" s="150">
        <v>17.399999999999999</v>
      </c>
      <c r="DQ139" s="150">
        <v>17.600000000000001</v>
      </c>
      <c r="DR139" s="150">
        <v>17.8</v>
      </c>
      <c r="DS139" s="150">
        <v>18</v>
      </c>
      <c r="DT139" s="150">
        <v>18.2</v>
      </c>
      <c r="DU139" s="150">
        <v>18.399999999999999</v>
      </c>
      <c r="DV139" s="150">
        <v>18.600000000000001</v>
      </c>
      <c r="DW139" s="150">
        <v>18.8</v>
      </c>
      <c r="DX139" s="150">
        <v>19</v>
      </c>
      <c r="DY139" s="150">
        <v>19.2</v>
      </c>
      <c r="DZ139" s="150">
        <v>19.399999999999999</v>
      </c>
      <c r="EA139" s="150">
        <v>19.600000000000001</v>
      </c>
      <c r="EB139" s="150">
        <v>19.8</v>
      </c>
      <c r="EC139" s="150">
        <v>20</v>
      </c>
      <c r="ED139" s="150">
        <v>20.2</v>
      </c>
      <c r="EE139" s="150">
        <v>20.399999999999999</v>
      </c>
      <c r="EF139" s="150">
        <v>20.6</v>
      </c>
      <c r="EG139" s="150">
        <v>20.799999999999951</v>
      </c>
      <c r="EH139" s="150">
        <v>21</v>
      </c>
      <c r="EI139" s="150">
        <v>21.19999999999995</v>
      </c>
      <c r="EJ139" s="150">
        <v>21.4</v>
      </c>
      <c r="EK139" s="150">
        <v>21.599999999999948</v>
      </c>
    </row>
    <row r="140" spans="1:141" ht="13.2" x14ac:dyDescent="0.25">
      <c r="A140" s="149">
        <v>40909</v>
      </c>
      <c r="B140" s="219">
        <v>-1.7785964148750009</v>
      </c>
      <c r="C140" s="219">
        <v>-1.7482952255625008</v>
      </c>
      <c r="D140" s="219">
        <v>-1.7179940362500008</v>
      </c>
      <c r="E140" s="219">
        <v>-1.6876928469375008</v>
      </c>
      <c r="F140" s="219">
        <v>-1.6573916576250007</v>
      </c>
      <c r="G140" s="219">
        <v>-1.6270904683125007</v>
      </c>
      <c r="H140" s="219">
        <v>-1.5967892790000007</v>
      </c>
      <c r="I140" s="219">
        <v>-1.5664880896875006</v>
      </c>
      <c r="J140" s="219">
        <v>-1.5361869003750006</v>
      </c>
      <c r="K140" s="219">
        <v>-1.5058857110625006</v>
      </c>
      <c r="L140" s="219">
        <v>-1.4755845217500005</v>
      </c>
      <c r="M140" s="219">
        <v>-1.4452833324375005</v>
      </c>
      <c r="N140" s="219">
        <v>-1.4149821431250005</v>
      </c>
      <c r="O140" s="219">
        <v>-1.3846809538125004</v>
      </c>
      <c r="P140" s="219">
        <v>-1.3543797645000004</v>
      </c>
      <c r="Q140" s="219">
        <v>-1.3240785751875004</v>
      </c>
      <c r="R140" s="219">
        <v>-1.2937773858750004</v>
      </c>
      <c r="S140" s="219">
        <v>-1.2634761965625003</v>
      </c>
      <c r="T140" s="219">
        <v>-1.2331750072500003</v>
      </c>
      <c r="U140" s="219">
        <v>-1.2028738179375003</v>
      </c>
      <c r="V140" s="220">
        <v>-1.1725726286250002</v>
      </c>
      <c r="W140" s="219">
        <v>-1.1422714393125002</v>
      </c>
      <c r="X140" s="220">
        <v>-1.1119702500000002</v>
      </c>
      <c r="Y140" s="219">
        <v>-1.0832351250000003</v>
      </c>
      <c r="Z140" s="220">
        <v>-1.0545000000000002</v>
      </c>
      <c r="AA140" s="219">
        <v>-1.0272500000000002</v>
      </c>
      <c r="AB140" s="221">
        <v>-1</v>
      </c>
      <c r="AC140" s="219">
        <v>-0.8</v>
      </c>
      <c r="AD140" s="221">
        <v>-0.6</v>
      </c>
      <c r="AE140" s="219">
        <v>-0.4</v>
      </c>
      <c r="AF140" s="219">
        <v>-0.2</v>
      </c>
      <c r="AG140" s="150">
        <v>0</v>
      </c>
      <c r="AH140" s="150">
        <v>0.2</v>
      </c>
      <c r="AI140" s="150">
        <v>0.4</v>
      </c>
      <c r="AJ140" s="150">
        <v>0.6</v>
      </c>
      <c r="AK140" s="150">
        <v>0.8</v>
      </c>
      <c r="AL140" s="150">
        <v>1</v>
      </c>
      <c r="AM140" s="150">
        <v>1.2</v>
      </c>
      <c r="AN140" s="150">
        <v>1.4</v>
      </c>
      <c r="AO140" s="150">
        <v>1.6</v>
      </c>
      <c r="AP140" s="150">
        <v>1.8</v>
      </c>
      <c r="AQ140" s="150">
        <v>2</v>
      </c>
      <c r="AR140" s="150">
        <v>2.2000000000000002</v>
      </c>
      <c r="AS140" s="150">
        <v>2.4</v>
      </c>
      <c r="AT140" s="150">
        <v>2.6</v>
      </c>
      <c r="AU140" s="150">
        <v>2.8</v>
      </c>
      <c r="AV140" s="150">
        <v>3</v>
      </c>
      <c r="AW140" s="150">
        <v>3.2</v>
      </c>
      <c r="AX140" s="150">
        <v>3.4</v>
      </c>
      <c r="AY140" s="150">
        <v>3.6</v>
      </c>
      <c r="AZ140" s="150">
        <v>3.8</v>
      </c>
      <c r="BA140" s="150">
        <v>4</v>
      </c>
      <c r="BB140" s="150">
        <v>4.2</v>
      </c>
      <c r="BC140" s="150">
        <v>4.4000000000000004</v>
      </c>
      <c r="BD140" s="150">
        <v>4.5999999999999996</v>
      </c>
      <c r="BE140" s="150">
        <v>4.8</v>
      </c>
      <c r="BF140" s="150">
        <v>5</v>
      </c>
      <c r="BG140" s="150">
        <v>5.2</v>
      </c>
      <c r="BH140" s="150">
        <v>5.4</v>
      </c>
      <c r="BI140" s="150">
        <v>5.6</v>
      </c>
      <c r="BJ140" s="150">
        <v>5.8</v>
      </c>
      <c r="BK140" s="150">
        <v>6</v>
      </c>
      <c r="BL140" s="150">
        <v>6.2</v>
      </c>
      <c r="BM140" s="150">
        <v>6.4</v>
      </c>
      <c r="BN140" s="150">
        <v>6.6</v>
      </c>
      <c r="BO140" s="150">
        <v>6.8</v>
      </c>
      <c r="BP140" s="150">
        <v>7</v>
      </c>
      <c r="BQ140" s="150">
        <v>7.2</v>
      </c>
      <c r="BR140" s="150">
        <v>7.4</v>
      </c>
      <c r="BS140" s="150">
        <v>7.6</v>
      </c>
      <c r="BT140" s="150">
        <v>7.8</v>
      </c>
      <c r="BU140" s="150">
        <v>8</v>
      </c>
      <c r="BV140" s="150">
        <v>8.1999999999999993</v>
      </c>
      <c r="BW140" s="150">
        <v>8.4</v>
      </c>
      <c r="BX140" s="150">
        <v>8.6</v>
      </c>
      <c r="BY140" s="150">
        <v>8.7999999999999936</v>
      </c>
      <c r="BZ140" s="150">
        <v>9</v>
      </c>
      <c r="CA140" s="150">
        <v>9.1999999999999922</v>
      </c>
      <c r="CB140" s="150">
        <v>9.4</v>
      </c>
      <c r="CC140" s="150">
        <v>9.5999999999999908</v>
      </c>
      <c r="CD140" s="150">
        <v>9.8000000000000007</v>
      </c>
      <c r="CE140" s="150">
        <v>9.9999999999999893</v>
      </c>
      <c r="CF140" s="150">
        <v>10.199999999999999</v>
      </c>
      <c r="CG140" s="150">
        <v>10.4</v>
      </c>
      <c r="CH140" s="150">
        <v>10.6</v>
      </c>
      <c r="CI140" s="150">
        <v>10.8</v>
      </c>
      <c r="CJ140" s="150">
        <v>11</v>
      </c>
      <c r="CK140" s="150">
        <v>11.2</v>
      </c>
      <c r="CL140" s="150">
        <v>11.4</v>
      </c>
      <c r="CM140" s="150">
        <v>11.6</v>
      </c>
      <c r="CN140" s="150">
        <v>11.8</v>
      </c>
      <c r="CO140" s="150">
        <v>12</v>
      </c>
      <c r="CP140" s="150">
        <v>12.2</v>
      </c>
      <c r="CQ140" s="150">
        <v>12.4</v>
      </c>
      <c r="CR140" s="150">
        <v>12.6</v>
      </c>
      <c r="CS140" s="150">
        <v>12.8</v>
      </c>
      <c r="CT140" s="150">
        <v>13</v>
      </c>
      <c r="CU140" s="150">
        <v>13.2</v>
      </c>
      <c r="CV140" s="150">
        <v>13.4</v>
      </c>
      <c r="CW140" s="150">
        <v>13.6</v>
      </c>
      <c r="CX140" s="150">
        <v>13.8</v>
      </c>
      <c r="CY140" s="150">
        <v>14</v>
      </c>
      <c r="CZ140" s="150">
        <v>14.2</v>
      </c>
      <c r="DA140" s="150">
        <v>14.4</v>
      </c>
      <c r="DB140" s="150">
        <v>14.6</v>
      </c>
      <c r="DC140" s="150">
        <v>14.8</v>
      </c>
      <c r="DD140" s="150">
        <v>15</v>
      </c>
      <c r="DE140" s="150">
        <v>15.2</v>
      </c>
      <c r="DF140" s="150">
        <v>15.4</v>
      </c>
      <c r="DG140" s="150">
        <v>15.6</v>
      </c>
      <c r="DH140" s="150">
        <v>15.8</v>
      </c>
      <c r="DI140" s="150">
        <v>16</v>
      </c>
      <c r="DJ140" s="150">
        <v>16.2</v>
      </c>
      <c r="DK140" s="150">
        <v>16.399999999999999</v>
      </c>
      <c r="DL140" s="150">
        <v>16.600000000000001</v>
      </c>
      <c r="DM140" s="150">
        <v>16.8</v>
      </c>
      <c r="DN140" s="150">
        <v>17</v>
      </c>
      <c r="DO140" s="150">
        <v>17.2</v>
      </c>
      <c r="DP140" s="150">
        <v>17.399999999999999</v>
      </c>
      <c r="DQ140" s="150">
        <v>17.600000000000001</v>
      </c>
      <c r="DR140" s="150">
        <v>17.8</v>
      </c>
      <c r="DS140" s="150">
        <v>18</v>
      </c>
      <c r="DT140" s="150">
        <v>18.2</v>
      </c>
      <c r="DU140" s="150">
        <v>18.399999999999999</v>
      </c>
      <c r="DV140" s="150">
        <v>18.600000000000001</v>
      </c>
      <c r="DW140" s="150">
        <v>18.8</v>
      </c>
      <c r="DX140" s="150">
        <v>19</v>
      </c>
      <c r="DY140" s="150">
        <v>19.2</v>
      </c>
      <c r="DZ140" s="150">
        <v>19.399999999999999</v>
      </c>
      <c r="EA140" s="150">
        <v>19.600000000000001</v>
      </c>
      <c r="EB140" s="150">
        <v>19.8</v>
      </c>
      <c r="EC140" s="150">
        <v>20</v>
      </c>
      <c r="ED140" s="150">
        <v>20.2</v>
      </c>
      <c r="EE140" s="150">
        <v>20.399999999999999</v>
      </c>
      <c r="EF140" s="150">
        <v>20.6</v>
      </c>
      <c r="EG140" s="150">
        <v>20.799999999999951</v>
      </c>
      <c r="EH140" s="150">
        <v>21</v>
      </c>
      <c r="EI140" s="150">
        <v>21.19999999999995</v>
      </c>
      <c r="EJ140" s="150">
        <v>21.4</v>
      </c>
      <c r="EK140" s="150">
        <v>21.599999999999948</v>
      </c>
    </row>
    <row r="141" spans="1:141" ht="13.2" x14ac:dyDescent="0.25">
      <c r="A141" s="149">
        <v>40940</v>
      </c>
      <c r="B141" s="219">
        <v>-1.7785964148750009</v>
      </c>
      <c r="C141" s="219">
        <v>-1.7482952255625008</v>
      </c>
      <c r="D141" s="219">
        <v>-1.7179940362500008</v>
      </c>
      <c r="E141" s="219">
        <v>-1.6876928469375008</v>
      </c>
      <c r="F141" s="219">
        <v>-1.6573916576250007</v>
      </c>
      <c r="G141" s="219">
        <v>-1.6270904683125007</v>
      </c>
      <c r="H141" s="219">
        <v>-1.5967892790000007</v>
      </c>
      <c r="I141" s="219">
        <v>-1.5664880896875006</v>
      </c>
      <c r="J141" s="219">
        <v>-1.5361869003750006</v>
      </c>
      <c r="K141" s="219">
        <v>-1.5058857110625006</v>
      </c>
      <c r="L141" s="219">
        <v>-1.4755845217500005</v>
      </c>
      <c r="M141" s="219">
        <v>-1.4452833324375005</v>
      </c>
      <c r="N141" s="219">
        <v>-1.4149821431250005</v>
      </c>
      <c r="O141" s="219">
        <v>-1.3846809538125004</v>
      </c>
      <c r="P141" s="219">
        <v>-1.3543797645000004</v>
      </c>
      <c r="Q141" s="219">
        <v>-1.3240785751875004</v>
      </c>
      <c r="R141" s="219">
        <v>-1.2937773858750004</v>
      </c>
      <c r="S141" s="219">
        <v>-1.2634761965625003</v>
      </c>
      <c r="T141" s="219">
        <v>-1.2331750072500003</v>
      </c>
      <c r="U141" s="219">
        <v>-1.2028738179375003</v>
      </c>
      <c r="V141" s="220">
        <v>-1.1725726286250002</v>
      </c>
      <c r="W141" s="219">
        <v>-1.1422714393125002</v>
      </c>
      <c r="X141" s="220">
        <v>-1.1119702500000002</v>
      </c>
      <c r="Y141" s="219">
        <v>-1.0832351250000003</v>
      </c>
      <c r="Z141" s="220">
        <v>-1.0545000000000002</v>
      </c>
      <c r="AA141" s="219">
        <v>-1.0272500000000002</v>
      </c>
      <c r="AB141" s="221">
        <v>-1</v>
      </c>
      <c r="AC141" s="219">
        <v>-0.8</v>
      </c>
      <c r="AD141" s="221">
        <v>-0.6</v>
      </c>
      <c r="AE141" s="219">
        <v>-0.4</v>
      </c>
      <c r="AF141" s="219">
        <v>-0.2</v>
      </c>
      <c r="AG141" s="150">
        <v>0</v>
      </c>
      <c r="AH141" s="150">
        <v>0.2</v>
      </c>
      <c r="AI141" s="150">
        <v>0.4</v>
      </c>
      <c r="AJ141" s="150">
        <v>0.6</v>
      </c>
      <c r="AK141" s="150">
        <v>0.8</v>
      </c>
      <c r="AL141" s="150">
        <v>1</v>
      </c>
      <c r="AM141" s="150">
        <v>1.2</v>
      </c>
      <c r="AN141" s="150">
        <v>1.4</v>
      </c>
      <c r="AO141" s="150">
        <v>1.6</v>
      </c>
      <c r="AP141" s="150">
        <v>1.8</v>
      </c>
      <c r="AQ141" s="150">
        <v>2</v>
      </c>
      <c r="AR141" s="150">
        <v>2.2000000000000002</v>
      </c>
      <c r="AS141" s="150">
        <v>2.4</v>
      </c>
      <c r="AT141" s="150">
        <v>2.6</v>
      </c>
      <c r="AU141" s="150">
        <v>2.8</v>
      </c>
      <c r="AV141" s="150">
        <v>3</v>
      </c>
      <c r="AW141" s="150">
        <v>3.2</v>
      </c>
      <c r="AX141" s="150">
        <v>3.4</v>
      </c>
      <c r="AY141" s="150">
        <v>3.6</v>
      </c>
      <c r="AZ141" s="150">
        <v>3.8</v>
      </c>
      <c r="BA141" s="150">
        <v>4</v>
      </c>
      <c r="BB141" s="150">
        <v>4.2</v>
      </c>
      <c r="BC141" s="150">
        <v>4.4000000000000004</v>
      </c>
      <c r="BD141" s="150">
        <v>4.5999999999999996</v>
      </c>
      <c r="BE141" s="150">
        <v>4.8</v>
      </c>
      <c r="BF141" s="150">
        <v>5</v>
      </c>
      <c r="BG141" s="150">
        <v>5.2</v>
      </c>
      <c r="BH141" s="150">
        <v>5.4</v>
      </c>
      <c r="BI141" s="150">
        <v>5.6</v>
      </c>
      <c r="BJ141" s="150">
        <v>5.8</v>
      </c>
      <c r="BK141" s="150">
        <v>6</v>
      </c>
      <c r="BL141" s="150">
        <v>6.2</v>
      </c>
      <c r="BM141" s="150">
        <v>6.4</v>
      </c>
      <c r="BN141" s="150">
        <v>6.6</v>
      </c>
      <c r="BO141" s="150">
        <v>6.8</v>
      </c>
      <c r="BP141" s="150">
        <v>7</v>
      </c>
      <c r="BQ141" s="150">
        <v>7.2</v>
      </c>
      <c r="BR141" s="150">
        <v>7.4</v>
      </c>
      <c r="BS141" s="150">
        <v>7.6</v>
      </c>
      <c r="BT141" s="150">
        <v>7.8</v>
      </c>
      <c r="BU141" s="150">
        <v>8</v>
      </c>
      <c r="BV141" s="150">
        <v>8.1999999999999993</v>
      </c>
      <c r="BW141" s="150">
        <v>8.4</v>
      </c>
      <c r="BX141" s="150">
        <v>8.6</v>
      </c>
      <c r="BY141" s="150">
        <v>8.7999999999999936</v>
      </c>
      <c r="BZ141" s="150">
        <v>9</v>
      </c>
      <c r="CA141" s="150">
        <v>9.1999999999999922</v>
      </c>
      <c r="CB141" s="150">
        <v>9.4</v>
      </c>
      <c r="CC141" s="150">
        <v>9.5999999999999908</v>
      </c>
      <c r="CD141" s="150">
        <v>9.8000000000000007</v>
      </c>
      <c r="CE141" s="150">
        <v>9.9999999999999893</v>
      </c>
      <c r="CF141" s="150">
        <v>10.199999999999999</v>
      </c>
      <c r="CG141" s="150">
        <v>10.4</v>
      </c>
      <c r="CH141" s="150">
        <v>10.6</v>
      </c>
      <c r="CI141" s="150">
        <v>10.8</v>
      </c>
      <c r="CJ141" s="150">
        <v>11</v>
      </c>
      <c r="CK141" s="150">
        <v>11.2</v>
      </c>
      <c r="CL141" s="150">
        <v>11.4</v>
      </c>
      <c r="CM141" s="150">
        <v>11.6</v>
      </c>
      <c r="CN141" s="150">
        <v>11.8</v>
      </c>
      <c r="CO141" s="150">
        <v>12</v>
      </c>
      <c r="CP141" s="150">
        <v>12.2</v>
      </c>
      <c r="CQ141" s="150">
        <v>12.4</v>
      </c>
      <c r="CR141" s="150">
        <v>12.6</v>
      </c>
      <c r="CS141" s="150">
        <v>12.8</v>
      </c>
      <c r="CT141" s="150">
        <v>13</v>
      </c>
      <c r="CU141" s="150">
        <v>13.2</v>
      </c>
      <c r="CV141" s="150">
        <v>13.4</v>
      </c>
      <c r="CW141" s="150">
        <v>13.6</v>
      </c>
      <c r="CX141" s="150">
        <v>13.8</v>
      </c>
      <c r="CY141" s="150">
        <v>14</v>
      </c>
      <c r="CZ141" s="150">
        <v>14.2</v>
      </c>
      <c r="DA141" s="150">
        <v>14.4</v>
      </c>
      <c r="DB141" s="150">
        <v>14.6</v>
      </c>
      <c r="DC141" s="150">
        <v>14.8</v>
      </c>
      <c r="DD141" s="150">
        <v>15</v>
      </c>
      <c r="DE141" s="150">
        <v>15.2</v>
      </c>
      <c r="DF141" s="150">
        <v>15.4</v>
      </c>
      <c r="DG141" s="150">
        <v>15.6</v>
      </c>
      <c r="DH141" s="150">
        <v>15.8</v>
      </c>
      <c r="DI141" s="150">
        <v>16</v>
      </c>
      <c r="DJ141" s="150">
        <v>16.2</v>
      </c>
      <c r="DK141" s="150">
        <v>16.399999999999999</v>
      </c>
      <c r="DL141" s="150">
        <v>16.600000000000001</v>
      </c>
      <c r="DM141" s="150">
        <v>16.8</v>
      </c>
      <c r="DN141" s="150">
        <v>17</v>
      </c>
      <c r="DO141" s="150">
        <v>17.2</v>
      </c>
      <c r="DP141" s="150">
        <v>17.399999999999999</v>
      </c>
      <c r="DQ141" s="150">
        <v>17.600000000000001</v>
      </c>
      <c r="DR141" s="150">
        <v>17.8</v>
      </c>
      <c r="DS141" s="150">
        <v>18</v>
      </c>
      <c r="DT141" s="150">
        <v>18.2</v>
      </c>
      <c r="DU141" s="150">
        <v>18.399999999999999</v>
      </c>
      <c r="DV141" s="150">
        <v>18.600000000000001</v>
      </c>
      <c r="DW141" s="150">
        <v>18.8</v>
      </c>
      <c r="DX141" s="150">
        <v>19</v>
      </c>
      <c r="DY141" s="150">
        <v>19.2</v>
      </c>
      <c r="DZ141" s="150">
        <v>19.399999999999999</v>
      </c>
      <c r="EA141" s="150">
        <v>19.600000000000001</v>
      </c>
      <c r="EB141" s="150">
        <v>19.8</v>
      </c>
      <c r="EC141" s="150">
        <v>20</v>
      </c>
      <c r="ED141" s="150">
        <v>20.2</v>
      </c>
      <c r="EE141" s="150">
        <v>20.399999999999999</v>
      </c>
      <c r="EF141" s="150">
        <v>20.6</v>
      </c>
      <c r="EG141" s="150">
        <v>20.799999999999951</v>
      </c>
      <c r="EH141" s="150">
        <v>21</v>
      </c>
      <c r="EI141" s="150">
        <v>21.19999999999995</v>
      </c>
      <c r="EJ141" s="150">
        <v>21.4</v>
      </c>
      <c r="EK141" s="150">
        <v>21.599999999999948</v>
      </c>
    </row>
    <row r="142" spans="1:141" ht="13.2" x14ac:dyDescent="0.25">
      <c r="A142" s="149">
        <v>40969</v>
      </c>
      <c r="B142" s="219">
        <v>-1.7785964148750009</v>
      </c>
      <c r="C142" s="219">
        <v>-1.7482952255625008</v>
      </c>
      <c r="D142" s="219">
        <v>-1.7179940362500008</v>
      </c>
      <c r="E142" s="219">
        <v>-1.6876928469375008</v>
      </c>
      <c r="F142" s="219">
        <v>-1.6573916576250007</v>
      </c>
      <c r="G142" s="219">
        <v>-1.6270904683125007</v>
      </c>
      <c r="H142" s="219">
        <v>-1.5967892790000007</v>
      </c>
      <c r="I142" s="219">
        <v>-1.5664880896875006</v>
      </c>
      <c r="J142" s="219">
        <v>-1.5361869003750006</v>
      </c>
      <c r="K142" s="219">
        <v>-1.5058857110625006</v>
      </c>
      <c r="L142" s="219">
        <v>-1.4755845217500005</v>
      </c>
      <c r="M142" s="219">
        <v>-1.4452833324375005</v>
      </c>
      <c r="N142" s="219">
        <v>-1.4149821431250005</v>
      </c>
      <c r="O142" s="219">
        <v>-1.3846809538125004</v>
      </c>
      <c r="P142" s="219">
        <v>-1.3543797645000004</v>
      </c>
      <c r="Q142" s="219">
        <v>-1.3240785751875004</v>
      </c>
      <c r="R142" s="219">
        <v>-1.2937773858750004</v>
      </c>
      <c r="S142" s="219">
        <v>-1.2634761965625003</v>
      </c>
      <c r="T142" s="219">
        <v>-1.2331750072500003</v>
      </c>
      <c r="U142" s="219">
        <v>-1.2028738179375003</v>
      </c>
      <c r="V142" s="220">
        <v>-1.1725726286250002</v>
      </c>
      <c r="W142" s="219">
        <v>-1.1422714393125002</v>
      </c>
      <c r="X142" s="220">
        <v>-1.1119702500000002</v>
      </c>
      <c r="Y142" s="219">
        <v>-1.0832351250000003</v>
      </c>
      <c r="Z142" s="220">
        <v>-1.0545000000000002</v>
      </c>
      <c r="AA142" s="219">
        <v>-1.0272500000000002</v>
      </c>
      <c r="AB142" s="221">
        <v>-1</v>
      </c>
      <c r="AC142" s="219">
        <v>-0.8</v>
      </c>
      <c r="AD142" s="221">
        <v>-0.6</v>
      </c>
      <c r="AE142" s="219">
        <v>-0.4</v>
      </c>
      <c r="AF142" s="219">
        <v>-0.2</v>
      </c>
      <c r="AG142" s="150">
        <v>0</v>
      </c>
      <c r="AH142" s="150">
        <v>0.2</v>
      </c>
      <c r="AI142" s="150">
        <v>0.4</v>
      </c>
      <c r="AJ142" s="150">
        <v>0.6</v>
      </c>
      <c r="AK142" s="150">
        <v>0.8</v>
      </c>
      <c r="AL142" s="150">
        <v>1</v>
      </c>
      <c r="AM142" s="150">
        <v>1.2</v>
      </c>
      <c r="AN142" s="150">
        <v>1.4</v>
      </c>
      <c r="AO142" s="150">
        <v>1.6</v>
      </c>
      <c r="AP142" s="150">
        <v>1.8</v>
      </c>
      <c r="AQ142" s="150">
        <v>2</v>
      </c>
      <c r="AR142" s="150">
        <v>2.2000000000000002</v>
      </c>
      <c r="AS142" s="150">
        <v>2.4</v>
      </c>
      <c r="AT142" s="150">
        <v>2.6</v>
      </c>
      <c r="AU142" s="150">
        <v>2.8</v>
      </c>
      <c r="AV142" s="150">
        <v>3</v>
      </c>
      <c r="AW142" s="150">
        <v>3.2</v>
      </c>
      <c r="AX142" s="150">
        <v>3.4</v>
      </c>
      <c r="AY142" s="150">
        <v>3.6</v>
      </c>
      <c r="AZ142" s="150">
        <v>3.8</v>
      </c>
      <c r="BA142" s="150">
        <v>4</v>
      </c>
      <c r="BB142" s="150">
        <v>4.2</v>
      </c>
      <c r="BC142" s="150">
        <v>4.4000000000000004</v>
      </c>
      <c r="BD142" s="150">
        <v>4.5999999999999996</v>
      </c>
      <c r="BE142" s="150">
        <v>4.8</v>
      </c>
      <c r="BF142" s="150">
        <v>5</v>
      </c>
      <c r="BG142" s="150">
        <v>5.2</v>
      </c>
      <c r="BH142" s="150">
        <v>5.4</v>
      </c>
      <c r="BI142" s="150">
        <v>5.6</v>
      </c>
      <c r="BJ142" s="150">
        <v>5.8</v>
      </c>
      <c r="BK142" s="150">
        <v>6</v>
      </c>
      <c r="BL142" s="150">
        <v>6.2</v>
      </c>
      <c r="BM142" s="150">
        <v>6.4</v>
      </c>
      <c r="BN142" s="150">
        <v>6.6</v>
      </c>
      <c r="BO142" s="150">
        <v>6.8</v>
      </c>
      <c r="BP142" s="150">
        <v>7</v>
      </c>
      <c r="BQ142" s="150">
        <v>7.2</v>
      </c>
      <c r="BR142" s="150">
        <v>7.4</v>
      </c>
      <c r="BS142" s="150">
        <v>7.6</v>
      </c>
      <c r="BT142" s="150">
        <v>7.8</v>
      </c>
      <c r="BU142" s="150">
        <v>8</v>
      </c>
      <c r="BV142" s="150">
        <v>8.1999999999999993</v>
      </c>
      <c r="BW142" s="150">
        <v>8.4</v>
      </c>
      <c r="BX142" s="150">
        <v>8.6</v>
      </c>
      <c r="BY142" s="150">
        <v>8.7999999999999936</v>
      </c>
      <c r="BZ142" s="150">
        <v>9</v>
      </c>
      <c r="CA142" s="150">
        <v>9.1999999999999922</v>
      </c>
      <c r="CB142" s="150">
        <v>9.4</v>
      </c>
      <c r="CC142" s="150">
        <v>9.5999999999999908</v>
      </c>
      <c r="CD142" s="150">
        <v>9.8000000000000007</v>
      </c>
      <c r="CE142" s="150">
        <v>9.9999999999999893</v>
      </c>
      <c r="CF142" s="150">
        <v>10.199999999999999</v>
      </c>
      <c r="CG142" s="150">
        <v>10.4</v>
      </c>
      <c r="CH142" s="150">
        <v>10.6</v>
      </c>
      <c r="CI142" s="150">
        <v>10.8</v>
      </c>
      <c r="CJ142" s="150">
        <v>11</v>
      </c>
      <c r="CK142" s="150">
        <v>11.2</v>
      </c>
      <c r="CL142" s="150">
        <v>11.4</v>
      </c>
      <c r="CM142" s="150">
        <v>11.6</v>
      </c>
      <c r="CN142" s="150">
        <v>11.8</v>
      </c>
      <c r="CO142" s="150">
        <v>12</v>
      </c>
      <c r="CP142" s="150">
        <v>12.2</v>
      </c>
      <c r="CQ142" s="150">
        <v>12.4</v>
      </c>
      <c r="CR142" s="150">
        <v>12.6</v>
      </c>
      <c r="CS142" s="150">
        <v>12.8</v>
      </c>
      <c r="CT142" s="150">
        <v>13</v>
      </c>
      <c r="CU142" s="150">
        <v>13.2</v>
      </c>
      <c r="CV142" s="150">
        <v>13.4</v>
      </c>
      <c r="CW142" s="150">
        <v>13.6</v>
      </c>
      <c r="CX142" s="150">
        <v>13.8</v>
      </c>
      <c r="CY142" s="150">
        <v>14</v>
      </c>
      <c r="CZ142" s="150">
        <v>14.2</v>
      </c>
      <c r="DA142" s="150">
        <v>14.4</v>
      </c>
      <c r="DB142" s="150">
        <v>14.6</v>
      </c>
      <c r="DC142" s="150">
        <v>14.8</v>
      </c>
      <c r="DD142" s="150">
        <v>15</v>
      </c>
      <c r="DE142" s="150">
        <v>15.2</v>
      </c>
      <c r="DF142" s="150">
        <v>15.4</v>
      </c>
      <c r="DG142" s="150">
        <v>15.6</v>
      </c>
      <c r="DH142" s="150">
        <v>15.8</v>
      </c>
      <c r="DI142" s="150">
        <v>16</v>
      </c>
      <c r="DJ142" s="150">
        <v>16.2</v>
      </c>
      <c r="DK142" s="150">
        <v>16.399999999999999</v>
      </c>
      <c r="DL142" s="150">
        <v>16.600000000000001</v>
      </c>
      <c r="DM142" s="150">
        <v>16.8</v>
      </c>
      <c r="DN142" s="150">
        <v>17</v>
      </c>
      <c r="DO142" s="150">
        <v>17.2</v>
      </c>
      <c r="DP142" s="150">
        <v>17.399999999999999</v>
      </c>
      <c r="DQ142" s="150">
        <v>17.600000000000001</v>
      </c>
      <c r="DR142" s="150">
        <v>17.8</v>
      </c>
      <c r="DS142" s="150">
        <v>18</v>
      </c>
      <c r="DT142" s="150">
        <v>18.2</v>
      </c>
      <c r="DU142" s="150">
        <v>18.399999999999999</v>
      </c>
      <c r="DV142" s="150">
        <v>18.600000000000001</v>
      </c>
      <c r="DW142" s="150">
        <v>18.8</v>
      </c>
      <c r="DX142" s="150">
        <v>19</v>
      </c>
      <c r="DY142" s="150">
        <v>19.2</v>
      </c>
      <c r="DZ142" s="150">
        <v>19.399999999999999</v>
      </c>
      <c r="EA142" s="150">
        <v>19.600000000000001</v>
      </c>
      <c r="EB142" s="150">
        <v>19.8</v>
      </c>
      <c r="EC142" s="150">
        <v>20</v>
      </c>
      <c r="ED142" s="150">
        <v>20.2</v>
      </c>
      <c r="EE142" s="150">
        <v>20.399999999999999</v>
      </c>
      <c r="EF142" s="150">
        <v>20.6</v>
      </c>
      <c r="EG142" s="150">
        <v>20.799999999999951</v>
      </c>
      <c r="EH142" s="150">
        <v>21</v>
      </c>
      <c r="EI142" s="150">
        <v>21.19999999999995</v>
      </c>
      <c r="EJ142" s="150">
        <v>21.4</v>
      </c>
      <c r="EK142" s="150">
        <v>21.599999999999948</v>
      </c>
    </row>
    <row r="143" spans="1:141" ht="13.2" x14ac:dyDescent="0.25">
      <c r="A143" s="149">
        <v>41000</v>
      </c>
      <c r="B143" s="219">
        <v>-1.7785964148750009</v>
      </c>
      <c r="C143" s="219">
        <v>-1.7482952255625008</v>
      </c>
      <c r="D143" s="219">
        <v>-1.7179940362500008</v>
      </c>
      <c r="E143" s="219">
        <v>-1.6876928469375008</v>
      </c>
      <c r="F143" s="219">
        <v>-1.6573916576250007</v>
      </c>
      <c r="G143" s="219">
        <v>-1.6270904683125007</v>
      </c>
      <c r="H143" s="219">
        <v>-1.5967892790000007</v>
      </c>
      <c r="I143" s="219">
        <v>-1.5664880896875006</v>
      </c>
      <c r="J143" s="219">
        <v>-1.5361869003750006</v>
      </c>
      <c r="K143" s="219">
        <v>-1.5058857110625006</v>
      </c>
      <c r="L143" s="219">
        <v>-1.4755845217500005</v>
      </c>
      <c r="M143" s="219">
        <v>-1.4452833324375005</v>
      </c>
      <c r="N143" s="219">
        <v>-1.4149821431250005</v>
      </c>
      <c r="O143" s="219">
        <v>-1.3846809538125004</v>
      </c>
      <c r="P143" s="219">
        <v>-1.3543797645000004</v>
      </c>
      <c r="Q143" s="219">
        <v>-1.3240785751875004</v>
      </c>
      <c r="R143" s="219">
        <v>-1.2937773858750004</v>
      </c>
      <c r="S143" s="219">
        <v>-1.2634761965625003</v>
      </c>
      <c r="T143" s="219">
        <v>-1.2331750072500003</v>
      </c>
      <c r="U143" s="219">
        <v>-1.2028738179375003</v>
      </c>
      <c r="V143" s="220">
        <v>-1.1725726286250002</v>
      </c>
      <c r="W143" s="219">
        <v>-1.1422714393125002</v>
      </c>
      <c r="X143" s="220">
        <v>-1.1119702500000002</v>
      </c>
      <c r="Y143" s="219">
        <v>-1.0832351250000003</v>
      </c>
      <c r="Z143" s="220">
        <v>-1.0545000000000002</v>
      </c>
      <c r="AA143" s="219">
        <v>-1.0272500000000002</v>
      </c>
      <c r="AB143" s="221">
        <v>-1</v>
      </c>
      <c r="AC143" s="219">
        <v>-0.8</v>
      </c>
      <c r="AD143" s="221">
        <v>-0.6</v>
      </c>
      <c r="AE143" s="219">
        <v>-0.4</v>
      </c>
      <c r="AF143" s="219">
        <v>-0.2</v>
      </c>
      <c r="AG143" s="150">
        <v>0</v>
      </c>
      <c r="AH143" s="150">
        <v>0.2</v>
      </c>
      <c r="AI143" s="150">
        <v>0.4</v>
      </c>
      <c r="AJ143" s="150">
        <v>0.6</v>
      </c>
      <c r="AK143" s="150">
        <v>0.8</v>
      </c>
      <c r="AL143" s="150">
        <v>1</v>
      </c>
      <c r="AM143" s="150">
        <v>1.2</v>
      </c>
      <c r="AN143" s="150">
        <v>1.4</v>
      </c>
      <c r="AO143" s="150">
        <v>1.6</v>
      </c>
      <c r="AP143" s="150">
        <v>1.8</v>
      </c>
      <c r="AQ143" s="150">
        <v>2</v>
      </c>
      <c r="AR143" s="150">
        <v>2.2000000000000002</v>
      </c>
      <c r="AS143" s="150">
        <v>2.4</v>
      </c>
      <c r="AT143" s="150">
        <v>2.6</v>
      </c>
      <c r="AU143" s="150">
        <v>2.8</v>
      </c>
      <c r="AV143" s="150">
        <v>3</v>
      </c>
      <c r="AW143" s="150">
        <v>3.2</v>
      </c>
      <c r="AX143" s="150">
        <v>3.4</v>
      </c>
      <c r="AY143" s="150">
        <v>3.6</v>
      </c>
      <c r="AZ143" s="150">
        <v>3.8</v>
      </c>
      <c r="BA143" s="150">
        <v>4</v>
      </c>
      <c r="BB143" s="150">
        <v>4.2</v>
      </c>
      <c r="BC143" s="150">
        <v>4.4000000000000004</v>
      </c>
      <c r="BD143" s="150">
        <v>4.5999999999999996</v>
      </c>
      <c r="BE143" s="150">
        <v>4.8</v>
      </c>
      <c r="BF143" s="150">
        <v>5</v>
      </c>
      <c r="BG143" s="150">
        <v>5.2</v>
      </c>
      <c r="BH143" s="150">
        <v>5.4</v>
      </c>
      <c r="BI143" s="150">
        <v>5.6</v>
      </c>
      <c r="BJ143" s="150">
        <v>5.8</v>
      </c>
      <c r="BK143" s="150">
        <v>6</v>
      </c>
      <c r="BL143" s="150">
        <v>6.2</v>
      </c>
      <c r="BM143" s="150">
        <v>6.4</v>
      </c>
      <c r="BN143" s="150">
        <v>6.6</v>
      </c>
      <c r="BO143" s="150">
        <v>6.8</v>
      </c>
      <c r="BP143" s="150">
        <v>7</v>
      </c>
      <c r="BQ143" s="150">
        <v>7.2</v>
      </c>
      <c r="BR143" s="150">
        <v>7.4</v>
      </c>
      <c r="BS143" s="150">
        <v>7.6</v>
      </c>
      <c r="BT143" s="150">
        <v>7.8</v>
      </c>
      <c r="BU143" s="150">
        <v>8</v>
      </c>
      <c r="BV143" s="150">
        <v>8.1999999999999993</v>
      </c>
      <c r="BW143" s="150">
        <v>8.4</v>
      </c>
      <c r="BX143" s="150">
        <v>8.6</v>
      </c>
      <c r="BY143" s="150">
        <v>8.7999999999999936</v>
      </c>
      <c r="BZ143" s="150">
        <v>9</v>
      </c>
      <c r="CA143" s="150">
        <v>9.1999999999999922</v>
      </c>
      <c r="CB143" s="150">
        <v>9.4</v>
      </c>
      <c r="CC143" s="150">
        <v>9.5999999999999908</v>
      </c>
      <c r="CD143" s="150">
        <v>9.8000000000000007</v>
      </c>
      <c r="CE143" s="150">
        <v>9.9999999999999893</v>
      </c>
      <c r="CF143" s="150">
        <v>10.199999999999999</v>
      </c>
      <c r="CG143" s="150">
        <v>10.4</v>
      </c>
      <c r="CH143" s="150">
        <v>10.6</v>
      </c>
      <c r="CI143" s="150">
        <v>10.8</v>
      </c>
      <c r="CJ143" s="150">
        <v>11</v>
      </c>
      <c r="CK143" s="150">
        <v>11.2</v>
      </c>
      <c r="CL143" s="150">
        <v>11.4</v>
      </c>
      <c r="CM143" s="150">
        <v>11.6</v>
      </c>
      <c r="CN143" s="150">
        <v>11.8</v>
      </c>
      <c r="CO143" s="150">
        <v>12</v>
      </c>
      <c r="CP143" s="150">
        <v>12.2</v>
      </c>
      <c r="CQ143" s="150">
        <v>12.4</v>
      </c>
      <c r="CR143" s="150">
        <v>12.6</v>
      </c>
      <c r="CS143" s="150">
        <v>12.8</v>
      </c>
      <c r="CT143" s="150">
        <v>13</v>
      </c>
      <c r="CU143" s="150">
        <v>13.2</v>
      </c>
      <c r="CV143" s="150">
        <v>13.4</v>
      </c>
      <c r="CW143" s="150">
        <v>13.6</v>
      </c>
      <c r="CX143" s="150">
        <v>13.8</v>
      </c>
      <c r="CY143" s="150">
        <v>14</v>
      </c>
      <c r="CZ143" s="150">
        <v>14.2</v>
      </c>
      <c r="DA143" s="150">
        <v>14.4</v>
      </c>
      <c r="DB143" s="150">
        <v>14.6</v>
      </c>
      <c r="DC143" s="150">
        <v>14.8</v>
      </c>
      <c r="DD143" s="150">
        <v>15</v>
      </c>
      <c r="DE143" s="150">
        <v>15.2</v>
      </c>
      <c r="DF143" s="150">
        <v>15.4</v>
      </c>
      <c r="DG143" s="150">
        <v>15.6</v>
      </c>
      <c r="DH143" s="150">
        <v>15.8</v>
      </c>
      <c r="DI143" s="150">
        <v>16</v>
      </c>
      <c r="DJ143" s="150">
        <v>16.2</v>
      </c>
      <c r="DK143" s="150">
        <v>16.399999999999999</v>
      </c>
      <c r="DL143" s="150">
        <v>16.600000000000001</v>
      </c>
      <c r="DM143" s="150">
        <v>16.8</v>
      </c>
      <c r="DN143" s="150">
        <v>17</v>
      </c>
      <c r="DO143" s="150">
        <v>17.2</v>
      </c>
      <c r="DP143" s="150">
        <v>17.399999999999999</v>
      </c>
      <c r="DQ143" s="150">
        <v>17.600000000000001</v>
      </c>
      <c r="DR143" s="150">
        <v>17.8</v>
      </c>
      <c r="DS143" s="150">
        <v>18</v>
      </c>
      <c r="DT143" s="150">
        <v>18.2</v>
      </c>
      <c r="DU143" s="150">
        <v>18.399999999999999</v>
      </c>
      <c r="DV143" s="150">
        <v>18.600000000000001</v>
      </c>
      <c r="DW143" s="150">
        <v>18.8</v>
      </c>
      <c r="DX143" s="150">
        <v>19</v>
      </c>
      <c r="DY143" s="150">
        <v>19.2</v>
      </c>
      <c r="DZ143" s="150">
        <v>19.399999999999999</v>
      </c>
      <c r="EA143" s="150">
        <v>19.600000000000001</v>
      </c>
      <c r="EB143" s="150">
        <v>19.8</v>
      </c>
      <c r="EC143" s="150">
        <v>20</v>
      </c>
      <c r="ED143" s="150">
        <v>20.2</v>
      </c>
      <c r="EE143" s="150">
        <v>20.399999999999999</v>
      </c>
      <c r="EF143" s="150">
        <v>20.6</v>
      </c>
      <c r="EG143" s="150">
        <v>20.799999999999951</v>
      </c>
      <c r="EH143" s="150">
        <v>21</v>
      </c>
      <c r="EI143" s="150">
        <v>21.19999999999995</v>
      </c>
      <c r="EJ143" s="150">
        <v>21.4</v>
      </c>
      <c r="EK143" s="150">
        <v>21.599999999999948</v>
      </c>
    </row>
    <row r="144" spans="1:141" ht="13.2" x14ac:dyDescent="0.25">
      <c r="A144" s="149">
        <v>41030</v>
      </c>
      <c r="B144" s="219">
        <v>-1.7785964148750009</v>
      </c>
      <c r="C144" s="219">
        <v>-1.7482952255625008</v>
      </c>
      <c r="D144" s="219">
        <v>-1.7179940362500008</v>
      </c>
      <c r="E144" s="219">
        <v>-1.6876928469375008</v>
      </c>
      <c r="F144" s="219">
        <v>-1.6573916576250007</v>
      </c>
      <c r="G144" s="219">
        <v>-1.6270904683125007</v>
      </c>
      <c r="H144" s="219">
        <v>-1.5967892790000007</v>
      </c>
      <c r="I144" s="219">
        <v>-1.5664880896875006</v>
      </c>
      <c r="J144" s="219">
        <v>-1.5361869003750006</v>
      </c>
      <c r="K144" s="219">
        <v>-1.5058857110625006</v>
      </c>
      <c r="L144" s="219">
        <v>-1.4755845217500005</v>
      </c>
      <c r="M144" s="219">
        <v>-1.4452833324375005</v>
      </c>
      <c r="N144" s="219">
        <v>-1.4149821431250005</v>
      </c>
      <c r="O144" s="219">
        <v>-1.3846809538125004</v>
      </c>
      <c r="P144" s="219">
        <v>-1.3543797645000004</v>
      </c>
      <c r="Q144" s="219">
        <v>-1.3240785751875004</v>
      </c>
      <c r="R144" s="219">
        <v>-1.2937773858750004</v>
      </c>
      <c r="S144" s="219">
        <v>-1.2634761965625003</v>
      </c>
      <c r="T144" s="219">
        <v>-1.2331750072500003</v>
      </c>
      <c r="U144" s="219">
        <v>-1.2028738179375003</v>
      </c>
      <c r="V144" s="220">
        <v>-1.1725726286250002</v>
      </c>
      <c r="W144" s="219">
        <v>-1.1422714393125002</v>
      </c>
      <c r="X144" s="220">
        <v>-1.1119702500000002</v>
      </c>
      <c r="Y144" s="219">
        <v>-1.0832351250000003</v>
      </c>
      <c r="Z144" s="220">
        <v>-1.0545000000000002</v>
      </c>
      <c r="AA144" s="219">
        <v>-1.0272500000000002</v>
      </c>
      <c r="AB144" s="221">
        <v>-1</v>
      </c>
      <c r="AC144" s="219">
        <v>-0.8</v>
      </c>
      <c r="AD144" s="221">
        <v>-0.6</v>
      </c>
      <c r="AE144" s="219">
        <v>-0.4</v>
      </c>
      <c r="AF144" s="219">
        <v>-0.2</v>
      </c>
      <c r="AG144" s="150">
        <v>0</v>
      </c>
      <c r="AH144" s="150">
        <v>0.2</v>
      </c>
      <c r="AI144" s="150">
        <v>0.4</v>
      </c>
      <c r="AJ144" s="150">
        <v>0.6</v>
      </c>
      <c r="AK144" s="150">
        <v>0.8</v>
      </c>
      <c r="AL144" s="150">
        <v>1</v>
      </c>
      <c r="AM144" s="150">
        <v>1.2</v>
      </c>
      <c r="AN144" s="150">
        <v>1.4</v>
      </c>
      <c r="AO144" s="150">
        <v>1.6</v>
      </c>
      <c r="AP144" s="150">
        <v>1.8</v>
      </c>
      <c r="AQ144" s="150">
        <v>2</v>
      </c>
      <c r="AR144" s="150">
        <v>2.2000000000000002</v>
      </c>
      <c r="AS144" s="150">
        <v>2.4</v>
      </c>
      <c r="AT144" s="150">
        <v>2.6</v>
      </c>
      <c r="AU144" s="150">
        <v>2.8</v>
      </c>
      <c r="AV144" s="150">
        <v>3</v>
      </c>
      <c r="AW144" s="150">
        <v>3.2</v>
      </c>
      <c r="AX144" s="150">
        <v>3.4</v>
      </c>
      <c r="AY144" s="150">
        <v>3.6</v>
      </c>
      <c r="AZ144" s="150">
        <v>3.8</v>
      </c>
      <c r="BA144" s="150">
        <v>4</v>
      </c>
      <c r="BB144" s="150">
        <v>4.2</v>
      </c>
      <c r="BC144" s="150">
        <v>4.4000000000000004</v>
      </c>
      <c r="BD144" s="150">
        <v>4.5999999999999996</v>
      </c>
      <c r="BE144" s="150">
        <v>4.8</v>
      </c>
      <c r="BF144" s="150">
        <v>5</v>
      </c>
      <c r="BG144" s="150">
        <v>5.2</v>
      </c>
      <c r="BH144" s="150">
        <v>5.4</v>
      </c>
      <c r="BI144" s="150">
        <v>5.6</v>
      </c>
      <c r="BJ144" s="150">
        <v>5.8</v>
      </c>
      <c r="BK144" s="150">
        <v>6</v>
      </c>
      <c r="BL144" s="150">
        <v>6.2</v>
      </c>
      <c r="BM144" s="150">
        <v>6.4</v>
      </c>
      <c r="BN144" s="150">
        <v>6.6</v>
      </c>
      <c r="BO144" s="150">
        <v>6.8</v>
      </c>
      <c r="BP144" s="150">
        <v>7</v>
      </c>
      <c r="BQ144" s="150">
        <v>7.2</v>
      </c>
      <c r="BR144" s="150">
        <v>7.4</v>
      </c>
      <c r="BS144" s="150">
        <v>7.6</v>
      </c>
      <c r="BT144" s="150">
        <v>7.8</v>
      </c>
      <c r="BU144" s="150">
        <v>8</v>
      </c>
      <c r="BV144" s="150">
        <v>8.1999999999999993</v>
      </c>
      <c r="BW144" s="150">
        <v>8.4</v>
      </c>
      <c r="BX144" s="150">
        <v>8.6</v>
      </c>
      <c r="BY144" s="150">
        <v>8.7999999999999936</v>
      </c>
      <c r="BZ144" s="150">
        <v>9</v>
      </c>
      <c r="CA144" s="150">
        <v>9.1999999999999922</v>
      </c>
      <c r="CB144" s="150">
        <v>9.4</v>
      </c>
      <c r="CC144" s="150">
        <v>9.5999999999999908</v>
      </c>
      <c r="CD144" s="150">
        <v>9.8000000000000007</v>
      </c>
      <c r="CE144" s="150">
        <v>9.9999999999999893</v>
      </c>
      <c r="CF144" s="150">
        <v>10.199999999999999</v>
      </c>
      <c r="CG144" s="150">
        <v>10.4</v>
      </c>
      <c r="CH144" s="150">
        <v>10.6</v>
      </c>
      <c r="CI144" s="150">
        <v>10.8</v>
      </c>
      <c r="CJ144" s="150">
        <v>11</v>
      </c>
      <c r="CK144" s="150">
        <v>11.2</v>
      </c>
      <c r="CL144" s="150">
        <v>11.4</v>
      </c>
      <c r="CM144" s="150">
        <v>11.6</v>
      </c>
      <c r="CN144" s="150">
        <v>11.8</v>
      </c>
      <c r="CO144" s="150">
        <v>12</v>
      </c>
      <c r="CP144" s="150">
        <v>12.2</v>
      </c>
      <c r="CQ144" s="150">
        <v>12.4</v>
      </c>
      <c r="CR144" s="150">
        <v>12.6</v>
      </c>
      <c r="CS144" s="150">
        <v>12.8</v>
      </c>
      <c r="CT144" s="150">
        <v>13</v>
      </c>
      <c r="CU144" s="150">
        <v>13.2</v>
      </c>
      <c r="CV144" s="150">
        <v>13.4</v>
      </c>
      <c r="CW144" s="150">
        <v>13.6</v>
      </c>
      <c r="CX144" s="150">
        <v>13.8</v>
      </c>
      <c r="CY144" s="150">
        <v>14</v>
      </c>
      <c r="CZ144" s="150">
        <v>14.2</v>
      </c>
      <c r="DA144" s="150">
        <v>14.4</v>
      </c>
      <c r="DB144" s="150">
        <v>14.6</v>
      </c>
      <c r="DC144" s="150">
        <v>14.8</v>
      </c>
      <c r="DD144" s="150">
        <v>15</v>
      </c>
      <c r="DE144" s="150">
        <v>15.2</v>
      </c>
      <c r="DF144" s="150">
        <v>15.4</v>
      </c>
      <c r="DG144" s="150">
        <v>15.6</v>
      </c>
      <c r="DH144" s="150">
        <v>15.8</v>
      </c>
      <c r="DI144" s="150">
        <v>16</v>
      </c>
      <c r="DJ144" s="150">
        <v>16.2</v>
      </c>
      <c r="DK144" s="150">
        <v>16.399999999999999</v>
      </c>
      <c r="DL144" s="150">
        <v>16.600000000000001</v>
      </c>
      <c r="DM144" s="150">
        <v>16.8</v>
      </c>
      <c r="DN144" s="150">
        <v>17</v>
      </c>
      <c r="DO144" s="150">
        <v>17.2</v>
      </c>
      <c r="DP144" s="150">
        <v>17.399999999999999</v>
      </c>
      <c r="DQ144" s="150">
        <v>17.600000000000001</v>
      </c>
      <c r="DR144" s="150">
        <v>17.8</v>
      </c>
      <c r="DS144" s="150">
        <v>18</v>
      </c>
      <c r="DT144" s="150">
        <v>18.2</v>
      </c>
      <c r="DU144" s="150">
        <v>18.399999999999999</v>
      </c>
      <c r="DV144" s="150">
        <v>18.600000000000001</v>
      </c>
      <c r="DW144" s="150">
        <v>18.8</v>
      </c>
      <c r="DX144" s="150">
        <v>19</v>
      </c>
      <c r="DY144" s="150">
        <v>19.2</v>
      </c>
      <c r="DZ144" s="150">
        <v>19.399999999999999</v>
      </c>
      <c r="EA144" s="150">
        <v>19.600000000000001</v>
      </c>
      <c r="EB144" s="150">
        <v>19.8</v>
      </c>
      <c r="EC144" s="150">
        <v>20</v>
      </c>
      <c r="ED144" s="150">
        <v>20.2</v>
      </c>
      <c r="EE144" s="150">
        <v>20.399999999999999</v>
      </c>
      <c r="EF144" s="150">
        <v>20.6</v>
      </c>
      <c r="EG144" s="150">
        <v>20.799999999999951</v>
      </c>
      <c r="EH144" s="150">
        <v>21</v>
      </c>
      <c r="EI144" s="150">
        <v>21.19999999999995</v>
      </c>
      <c r="EJ144" s="150">
        <v>21.4</v>
      </c>
      <c r="EK144" s="150">
        <v>21.599999999999948</v>
      </c>
    </row>
    <row r="145" spans="1:141" ht="13.2" x14ac:dyDescent="0.25">
      <c r="A145" s="149">
        <v>41061</v>
      </c>
      <c r="B145" s="219">
        <v>-1.7785964148750009</v>
      </c>
      <c r="C145" s="219">
        <v>-1.7482952255625008</v>
      </c>
      <c r="D145" s="219">
        <v>-1.7179940362500008</v>
      </c>
      <c r="E145" s="219">
        <v>-1.6876928469375008</v>
      </c>
      <c r="F145" s="219">
        <v>-1.6573916576250007</v>
      </c>
      <c r="G145" s="219">
        <v>-1.6270904683125007</v>
      </c>
      <c r="H145" s="219">
        <v>-1.5967892790000007</v>
      </c>
      <c r="I145" s="219">
        <v>-1.5664880896875006</v>
      </c>
      <c r="J145" s="219">
        <v>-1.5361869003750006</v>
      </c>
      <c r="K145" s="219">
        <v>-1.5058857110625006</v>
      </c>
      <c r="L145" s="219">
        <v>-1.4755845217500005</v>
      </c>
      <c r="M145" s="219">
        <v>-1.4452833324375005</v>
      </c>
      <c r="N145" s="219">
        <v>-1.4149821431250005</v>
      </c>
      <c r="O145" s="219">
        <v>-1.3846809538125004</v>
      </c>
      <c r="P145" s="219">
        <v>-1.3543797645000004</v>
      </c>
      <c r="Q145" s="219">
        <v>-1.3240785751875004</v>
      </c>
      <c r="R145" s="219">
        <v>-1.2937773858750004</v>
      </c>
      <c r="S145" s="219">
        <v>-1.2634761965625003</v>
      </c>
      <c r="T145" s="219">
        <v>-1.2331750072500003</v>
      </c>
      <c r="U145" s="219">
        <v>-1.2028738179375003</v>
      </c>
      <c r="V145" s="220">
        <v>-1.1725726286250002</v>
      </c>
      <c r="W145" s="219">
        <v>-1.1422714393125002</v>
      </c>
      <c r="X145" s="220">
        <v>-1.1119702500000002</v>
      </c>
      <c r="Y145" s="219">
        <v>-1.0832351250000003</v>
      </c>
      <c r="Z145" s="220">
        <v>-1.0545000000000002</v>
      </c>
      <c r="AA145" s="219">
        <v>-1.0272500000000002</v>
      </c>
      <c r="AB145" s="221">
        <v>-1</v>
      </c>
      <c r="AC145" s="219">
        <v>-0.8</v>
      </c>
      <c r="AD145" s="221">
        <v>-0.6</v>
      </c>
      <c r="AE145" s="219">
        <v>-0.4</v>
      </c>
      <c r="AF145" s="219">
        <v>-0.2</v>
      </c>
      <c r="AG145" s="150">
        <v>0</v>
      </c>
      <c r="AH145" s="150">
        <v>0.2</v>
      </c>
      <c r="AI145" s="150">
        <v>0.4</v>
      </c>
      <c r="AJ145" s="150">
        <v>0.6</v>
      </c>
      <c r="AK145" s="150">
        <v>0.8</v>
      </c>
      <c r="AL145" s="150">
        <v>1</v>
      </c>
      <c r="AM145" s="150">
        <v>1.2</v>
      </c>
      <c r="AN145" s="150">
        <v>1.4</v>
      </c>
      <c r="AO145" s="150">
        <v>1.6</v>
      </c>
      <c r="AP145" s="150">
        <v>1.8</v>
      </c>
      <c r="AQ145" s="150">
        <v>2</v>
      </c>
      <c r="AR145" s="150">
        <v>2.2000000000000002</v>
      </c>
      <c r="AS145" s="150">
        <v>2.4</v>
      </c>
      <c r="AT145" s="150">
        <v>2.6</v>
      </c>
      <c r="AU145" s="150">
        <v>2.8</v>
      </c>
      <c r="AV145" s="150">
        <v>3</v>
      </c>
      <c r="AW145" s="150">
        <v>3.2</v>
      </c>
      <c r="AX145" s="150">
        <v>3.4</v>
      </c>
      <c r="AY145" s="150">
        <v>3.6</v>
      </c>
      <c r="AZ145" s="150">
        <v>3.8</v>
      </c>
      <c r="BA145" s="150">
        <v>4</v>
      </c>
      <c r="BB145" s="150">
        <v>4.2</v>
      </c>
      <c r="BC145" s="150">
        <v>4.4000000000000004</v>
      </c>
      <c r="BD145" s="150">
        <v>4.5999999999999996</v>
      </c>
      <c r="BE145" s="150">
        <v>4.8</v>
      </c>
      <c r="BF145" s="150">
        <v>5</v>
      </c>
      <c r="BG145" s="150">
        <v>5.2</v>
      </c>
      <c r="BH145" s="150">
        <v>5.4</v>
      </c>
      <c r="BI145" s="150">
        <v>5.6</v>
      </c>
      <c r="BJ145" s="150">
        <v>5.8</v>
      </c>
      <c r="BK145" s="150">
        <v>6</v>
      </c>
      <c r="BL145" s="150">
        <v>6.2</v>
      </c>
      <c r="BM145" s="150">
        <v>6.4</v>
      </c>
      <c r="BN145" s="150">
        <v>6.6</v>
      </c>
      <c r="BO145" s="150">
        <v>6.8</v>
      </c>
      <c r="BP145" s="150">
        <v>7</v>
      </c>
      <c r="BQ145" s="150">
        <v>7.2</v>
      </c>
      <c r="BR145" s="150">
        <v>7.4</v>
      </c>
      <c r="BS145" s="150">
        <v>7.6</v>
      </c>
      <c r="BT145" s="150">
        <v>7.8</v>
      </c>
      <c r="BU145" s="150">
        <v>8</v>
      </c>
      <c r="BV145" s="150">
        <v>8.1999999999999993</v>
      </c>
      <c r="BW145" s="150">
        <v>8.4</v>
      </c>
      <c r="BX145" s="150">
        <v>8.6</v>
      </c>
      <c r="BY145" s="150">
        <v>8.7999999999999936</v>
      </c>
      <c r="BZ145" s="150">
        <v>9</v>
      </c>
      <c r="CA145" s="150">
        <v>9.1999999999999922</v>
      </c>
      <c r="CB145" s="150">
        <v>9.4</v>
      </c>
      <c r="CC145" s="150">
        <v>9.5999999999999908</v>
      </c>
      <c r="CD145" s="150">
        <v>9.8000000000000007</v>
      </c>
      <c r="CE145" s="150">
        <v>9.9999999999999893</v>
      </c>
      <c r="CF145" s="150">
        <v>10.199999999999999</v>
      </c>
      <c r="CG145" s="150">
        <v>10.4</v>
      </c>
      <c r="CH145" s="150">
        <v>10.6</v>
      </c>
      <c r="CI145" s="150">
        <v>10.8</v>
      </c>
      <c r="CJ145" s="150">
        <v>11</v>
      </c>
      <c r="CK145" s="150">
        <v>11.2</v>
      </c>
      <c r="CL145" s="150">
        <v>11.4</v>
      </c>
      <c r="CM145" s="150">
        <v>11.6</v>
      </c>
      <c r="CN145" s="150">
        <v>11.8</v>
      </c>
      <c r="CO145" s="150">
        <v>12</v>
      </c>
      <c r="CP145" s="150">
        <v>12.2</v>
      </c>
      <c r="CQ145" s="150">
        <v>12.4</v>
      </c>
      <c r="CR145" s="150">
        <v>12.6</v>
      </c>
      <c r="CS145" s="150">
        <v>12.8</v>
      </c>
      <c r="CT145" s="150">
        <v>13</v>
      </c>
      <c r="CU145" s="150">
        <v>13.2</v>
      </c>
      <c r="CV145" s="150">
        <v>13.4</v>
      </c>
      <c r="CW145" s="150">
        <v>13.6</v>
      </c>
      <c r="CX145" s="150">
        <v>13.8</v>
      </c>
      <c r="CY145" s="150">
        <v>14</v>
      </c>
      <c r="CZ145" s="150">
        <v>14.2</v>
      </c>
      <c r="DA145" s="150">
        <v>14.4</v>
      </c>
      <c r="DB145" s="150">
        <v>14.6</v>
      </c>
      <c r="DC145" s="150">
        <v>14.8</v>
      </c>
      <c r="DD145" s="150">
        <v>15</v>
      </c>
      <c r="DE145" s="150">
        <v>15.2</v>
      </c>
      <c r="DF145" s="150">
        <v>15.4</v>
      </c>
      <c r="DG145" s="150">
        <v>15.6</v>
      </c>
      <c r="DH145" s="150">
        <v>15.8</v>
      </c>
      <c r="DI145" s="150">
        <v>16</v>
      </c>
      <c r="DJ145" s="150">
        <v>16.2</v>
      </c>
      <c r="DK145" s="150">
        <v>16.399999999999999</v>
      </c>
      <c r="DL145" s="150">
        <v>16.600000000000001</v>
      </c>
      <c r="DM145" s="150">
        <v>16.8</v>
      </c>
      <c r="DN145" s="150">
        <v>17</v>
      </c>
      <c r="DO145" s="150">
        <v>17.2</v>
      </c>
      <c r="DP145" s="150">
        <v>17.399999999999999</v>
      </c>
      <c r="DQ145" s="150">
        <v>17.600000000000001</v>
      </c>
      <c r="DR145" s="150">
        <v>17.8</v>
      </c>
      <c r="DS145" s="150">
        <v>18</v>
      </c>
      <c r="DT145" s="150">
        <v>18.2</v>
      </c>
      <c r="DU145" s="150">
        <v>18.399999999999999</v>
      </c>
      <c r="DV145" s="150">
        <v>18.600000000000001</v>
      </c>
      <c r="DW145" s="150">
        <v>18.8</v>
      </c>
      <c r="DX145" s="150">
        <v>19</v>
      </c>
      <c r="DY145" s="150">
        <v>19.2</v>
      </c>
      <c r="DZ145" s="150">
        <v>19.399999999999999</v>
      </c>
      <c r="EA145" s="150">
        <v>19.600000000000001</v>
      </c>
      <c r="EB145" s="150">
        <v>19.8</v>
      </c>
      <c r="EC145" s="150">
        <v>20</v>
      </c>
      <c r="ED145" s="150">
        <v>20.2</v>
      </c>
      <c r="EE145" s="150">
        <v>20.399999999999999</v>
      </c>
      <c r="EF145" s="150">
        <v>20.6</v>
      </c>
      <c r="EG145" s="150">
        <v>20.799999999999951</v>
      </c>
      <c r="EH145" s="150">
        <v>21</v>
      </c>
      <c r="EI145" s="150">
        <v>21.19999999999995</v>
      </c>
      <c r="EJ145" s="150">
        <v>21.4</v>
      </c>
      <c r="EK145" s="150">
        <v>21.599999999999948</v>
      </c>
    </row>
    <row r="146" spans="1:141" ht="13.2" x14ac:dyDescent="0.25">
      <c r="A146" s="149">
        <v>41091</v>
      </c>
      <c r="B146" s="219">
        <v>-1.7785964148750009</v>
      </c>
      <c r="C146" s="219">
        <v>-1.7482952255625008</v>
      </c>
      <c r="D146" s="219">
        <v>-1.7179940362500008</v>
      </c>
      <c r="E146" s="219">
        <v>-1.6876928469375008</v>
      </c>
      <c r="F146" s="219">
        <v>-1.6573916576250007</v>
      </c>
      <c r="G146" s="219">
        <v>-1.6270904683125007</v>
      </c>
      <c r="H146" s="219">
        <v>-1.5967892790000007</v>
      </c>
      <c r="I146" s="219">
        <v>-1.5664880896875006</v>
      </c>
      <c r="J146" s="219">
        <v>-1.5361869003750006</v>
      </c>
      <c r="K146" s="219">
        <v>-1.5058857110625006</v>
      </c>
      <c r="L146" s="219">
        <v>-1.4755845217500005</v>
      </c>
      <c r="M146" s="219">
        <v>-1.4452833324375005</v>
      </c>
      <c r="N146" s="219">
        <v>-1.4149821431250005</v>
      </c>
      <c r="O146" s="219">
        <v>-1.3846809538125004</v>
      </c>
      <c r="P146" s="219">
        <v>-1.3543797645000004</v>
      </c>
      <c r="Q146" s="219">
        <v>-1.3240785751875004</v>
      </c>
      <c r="R146" s="219">
        <v>-1.2937773858750004</v>
      </c>
      <c r="S146" s="219">
        <v>-1.2634761965625003</v>
      </c>
      <c r="T146" s="219">
        <v>-1.2331750072500003</v>
      </c>
      <c r="U146" s="219">
        <v>-1.2028738179375003</v>
      </c>
      <c r="V146" s="220">
        <v>-1.1725726286250002</v>
      </c>
      <c r="W146" s="219">
        <v>-1.1422714393125002</v>
      </c>
      <c r="X146" s="220">
        <v>-1.1119702500000002</v>
      </c>
      <c r="Y146" s="219">
        <v>-1.0832351250000003</v>
      </c>
      <c r="Z146" s="220">
        <v>-1.0545000000000002</v>
      </c>
      <c r="AA146" s="219">
        <v>-1.0272500000000002</v>
      </c>
      <c r="AB146" s="221">
        <v>-1</v>
      </c>
      <c r="AC146" s="219">
        <v>-0.8</v>
      </c>
      <c r="AD146" s="221">
        <v>-0.6</v>
      </c>
      <c r="AE146" s="219">
        <v>-0.4</v>
      </c>
      <c r="AF146" s="219">
        <v>-0.2</v>
      </c>
      <c r="AG146" s="150">
        <v>0</v>
      </c>
      <c r="AH146" s="150">
        <v>0.2</v>
      </c>
      <c r="AI146" s="150">
        <v>0.4</v>
      </c>
      <c r="AJ146" s="150">
        <v>0.6</v>
      </c>
      <c r="AK146" s="150">
        <v>0.8</v>
      </c>
      <c r="AL146" s="150">
        <v>1</v>
      </c>
      <c r="AM146" s="150">
        <v>1.2</v>
      </c>
      <c r="AN146" s="150">
        <v>1.4</v>
      </c>
      <c r="AO146" s="150">
        <v>1.6</v>
      </c>
      <c r="AP146" s="150">
        <v>1.8</v>
      </c>
      <c r="AQ146" s="150">
        <v>2</v>
      </c>
      <c r="AR146" s="150">
        <v>2.2000000000000002</v>
      </c>
      <c r="AS146" s="150">
        <v>2.4</v>
      </c>
      <c r="AT146" s="150">
        <v>2.6</v>
      </c>
      <c r="AU146" s="150">
        <v>2.8</v>
      </c>
      <c r="AV146" s="150">
        <v>3</v>
      </c>
      <c r="AW146" s="150">
        <v>3.2</v>
      </c>
      <c r="AX146" s="150">
        <v>3.4</v>
      </c>
      <c r="AY146" s="150">
        <v>3.6</v>
      </c>
      <c r="AZ146" s="150">
        <v>3.8</v>
      </c>
      <c r="BA146" s="150">
        <v>4</v>
      </c>
      <c r="BB146" s="150">
        <v>4.2</v>
      </c>
      <c r="BC146" s="150">
        <v>4.4000000000000004</v>
      </c>
      <c r="BD146" s="150">
        <v>4.5999999999999996</v>
      </c>
      <c r="BE146" s="150">
        <v>4.8</v>
      </c>
      <c r="BF146" s="150">
        <v>5</v>
      </c>
      <c r="BG146" s="150">
        <v>5.2</v>
      </c>
      <c r="BH146" s="150">
        <v>5.4</v>
      </c>
      <c r="BI146" s="150">
        <v>5.6</v>
      </c>
      <c r="BJ146" s="150">
        <v>5.8</v>
      </c>
      <c r="BK146" s="150">
        <v>6</v>
      </c>
      <c r="BL146" s="150">
        <v>6.2</v>
      </c>
      <c r="BM146" s="150">
        <v>6.4</v>
      </c>
      <c r="BN146" s="150">
        <v>6.6</v>
      </c>
      <c r="BO146" s="150">
        <v>6.8</v>
      </c>
      <c r="BP146" s="150">
        <v>7</v>
      </c>
      <c r="BQ146" s="150">
        <v>7.2</v>
      </c>
      <c r="BR146" s="150">
        <v>7.4</v>
      </c>
      <c r="BS146" s="150">
        <v>7.6</v>
      </c>
      <c r="BT146" s="150">
        <v>7.8</v>
      </c>
      <c r="BU146" s="150">
        <v>8</v>
      </c>
      <c r="BV146" s="150">
        <v>8.1999999999999993</v>
      </c>
      <c r="BW146" s="150">
        <v>8.4</v>
      </c>
      <c r="BX146" s="150">
        <v>8.6</v>
      </c>
      <c r="BY146" s="150">
        <v>8.7999999999999936</v>
      </c>
      <c r="BZ146" s="150">
        <v>9</v>
      </c>
      <c r="CA146" s="150">
        <v>9.1999999999999922</v>
      </c>
      <c r="CB146" s="150">
        <v>9.4</v>
      </c>
      <c r="CC146" s="150">
        <v>9.5999999999999908</v>
      </c>
      <c r="CD146" s="150">
        <v>9.8000000000000007</v>
      </c>
      <c r="CE146" s="150">
        <v>9.9999999999999893</v>
      </c>
      <c r="CF146" s="150">
        <v>10.199999999999999</v>
      </c>
      <c r="CG146" s="150">
        <v>10.4</v>
      </c>
      <c r="CH146" s="150">
        <v>10.6</v>
      </c>
      <c r="CI146" s="150">
        <v>10.8</v>
      </c>
      <c r="CJ146" s="150">
        <v>11</v>
      </c>
      <c r="CK146" s="150">
        <v>11.2</v>
      </c>
      <c r="CL146" s="150">
        <v>11.4</v>
      </c>
      <c r="CM146" s="150">
        <v>11.6</v>
      </c>
      <c r="CN146" s="150">
        <v>11.8</v>
      </c>
      <c r="CO146" s="150">
        <v>12</v>
      </c>
      <c r="CP146" s="150">
        <v>12.2</v>
      </c>
      <c r="CQ146" s="150">
        <v>12.4</v>
      </c>
      <c r="CR146" s="150">
        <v>12.6</v>
      </c>
      <c r="CS146" s="150">
        <v>12.8</v>
      </c>
      <c r="CT146" s="150">
        <v>13</v>
      </c>
      <c r="CU146" s="150">
        <v>13.2</v>
      </c>
      <c r="CV146" s="150">
        <v>13.4</v>
      </c>
      <c r="CW146" s="150">
        <v>13.6</v>
      </c>
      <c r="CX146" s="150">
        <v>13.8</v>
      </c>
      <c r="CY146" s="150">
        <v>14</v>
      </c>
      <c r="CZ146" s="150">
        <v>14.2</v>
      </c>
      <c r="DA146" s="150">
        <v>14.4</v>
      </c>
      <c r="DB146" s="150">
        <v>14.6</v>
      </c>
      <c r="DC146" s="150">
        <v>14.8</v>
      </c>
      <c r="DD146" s="150">
        <v>15</v>
      </c>
      <c r="DE146" s="150">
        <v>15.2</v>
      </c>
      <c r="DF146" s="150">
        <v>15.4</v>
      </c>
      <c r="DG146" s="150">
        <v>15.6</v>
      </c>
      <c r="DH146" s="150">
        <v>15.8</v>
      </c>
      <c r="DI146" s="150">
        <v>16</v>
      </c>
      <c r="DJ146" s="150">
        <v>16.2</v>
      </c>
      <c r="DK146" s="150">
        <v>16.399999999999999</v>
      </c>
      <c r="DL146" s="150">
        <v>16.600000000000001</v>
      </c>
      <c r="DM146" s="150">
        <v>16.8</v>
      </c>
      <c r="DN146" s="150">
        <v>17</v>
      </c>
      <c r="DO146" s="150">
        <v>17.2</v>
      </c>
      <c r="DP146" s="150">
        <v>17.399999999999999</v>
      </c>
      <c r="DQ146" s="150">
        <v>17.600000000000001</v>
      </c>
      <c r="DR146" s="150">
        <v>17.8</v>
      </c>
      <c r="DS146" s="150">
        <v>18</v>
      </c>
      <c r="DT146" s="150">
        <v>18.2</v>
      </c>
      <c r="DU146" s="150">
        <v>18.399999999999999</v>
      </c>
      <c r="DV146" s="150">
        <v>18.600000000000001</v>
      </c>
      <c r="DW146" s="150">
        <v>18.8</v>
      </c>
      <c r="DX146" s="150">
        <v>19</v>
      </c>
      <c r="DY146" s="150">
        <v>19.2</v>
      </c>
      <c r="DZ146" s="150">
        <v>19.399999999999999</v>
      </c>
      <c r="EA146" s="150">
        <v>19.600000000000001</v>
      </c>
      <c r="EB146" s="150">
        <v>19.8</v>
      </c>
      <c r="EC146" s="150">
        <v>20</v>
      </c>
      <c r="ED146" s="150">
        <v>20.2</v>
      </c>
      <c r="EE146" s="150">
        <v>20.399999999999999</v>
      </c>
      <c r="EF146" s="150">
        <v>20.6</v>
      </c>
      <c r="EG146" s="150">
        <v>20.799999999999951</v>
      </c>
      <c r="EH146" s="150">
        <v>21</v>
      </c>
      <c r="EI146" s="150">
        <v>21.19999999999995</v>
      </c>
      <c r="EJ146" s="150">
        <v>21.4</v>
      </c>
      <c r="EK146" s="150">
        <v>21.599999999999948</v>
      </c>
    </row>
    <row r="147" spans="1:141" ht="13.2" x14ac:dyDescent="0.25">
      <c r="A147" s="149">
        <v>41122</v>
      </c>
      <c r="B147" s="219">
        <v>-1.7785964148750009</v>
      </c>
      <c r="C147" s="219">
        <v>-1.7482952255625008</v>
      </c>
      <c r="D147" s="219">
        <v>-1.7179940362500008</v>
      </c>
      <c r="E147" s="219">
        <v>-1.6876928469375008</v>
      </c>
      <c r="F147" s="219">
        <v>-1.6573916576250007</v>
      </c>
      <c r="G147" s="219">
        <v>-1.6270904683125007</v>
      </c>
      <c r="H147" s="219">
        <v>-1.5967892790000007</v>
      </c>
      <c r="I147" s="219">
        <v>-1.5664880896875006</v>
      </c>
      <c r="J147" s="219">
        <v>-1.5361869003750006</v>
      </c>
      <c r="K147" s="219">
        <v>-1.5058857110625006</v>
      </c>
      <c r="L147" s="219">
        <v>-1.4755845217500005</v>
      </c>
      <c r="M147" s="219">
        <v>-1.4452833324375005</v>
      </c>
      <c r="N147" s="219">
        <v>-1.4149821431250005</v>
      </c>
      <c r="O147" s="219">
        <v>-1.3846809538125004</v>
      </c>
      <c r="P147" s="219">
        <v>-1.3543797645000004</v>
      </c>
      <c r="Q147" s="219">
        <v>-1.3240785751875004</v>
      </c>
      <c r="R147" s="219">
        <v>-1.2937773858750004</v>
      </c>
      <c r="S147" s="219">
        <v>-1.2634761965625003</v>
      </c>
      <c r="T147" s="219">
        <v>-1.2331750072500003</v>
      </c>
      <c r="U147" s="219">
        <v>-1.2028738179375003</v>
      </c>
      <c r="V147" s="220">
        <v>-1.1725726286250002</v>
      </c>
      <c r="W147" s="219">
        <v>-1.1422714393125002</v>
      </c>
      <c r="X147" s="220">
        <v>-1.1119702500000002</v>
      </c>
      <c r="Y147" s="219">
        <v>-1.0832351250000003</v>
      </c>
      <c r="Z147" s="220">
        <v>-1.0545000000000002</v>
      </c>
      <c r="AA147" s="219">
        <v>-1.0272500000000002</v>
      </c>
      <c r="AB147" s="221">
        <v>-1</v>
      </c>
      <c r="AC147" s="219">
        <v>-0.8</v>
      </c>
      <c r="AD147" s="221">
        <v>-0.6</v>
      </c>
      <c r="AE147" s="219">
        <v>-0.4</v>
      </c>
      <c r="AF147" s="219">
        <v>-0.2</v>
      </c>
      <c r="AG147" s="150">
        <v>0</v>
      </c>
      <c r="AH147" s="150">
        <v>0.2</v>
      </c>
      <c r="AI147" s="150">
        <v>0.4</v>
      </c>
      <c r="AJ147" s="150">
        <v>0.6</v>
      </c>
      <c r="AK147" s="150">
        <v>0.8</v>
      </c>
      <c r="AL147" s="150">
        <v>1</v>
      </c>
      <c r="AM147" s="150">
        <v>1.2</v>
      </c>
      <c r="AN147" s="150">
        <v>1.4</v>
      </c>
      <c r="AO147" s="150">
        <v>1.6</v>
      </c>
      <c r="AP147" s="150">
        <v>1.8</v>
      </c>
      <c r="AQ147" s="150">
        <v>2</v>
      </c>
      <c r="AR147" s="150">
        <v>2.2000000000000002</v>
      </c>
      <c r="AS147" s="150">
        <v>2.4</v>
      </c>
      <c r="AT147" s="150">
        <v>2.6</v>
      </c>
      <c r="AU147" s="150">
        <v>2.8</v>
      </c>
      <c r="AV147" s="150">
        <v>3</v>
      </c>
      <c r="AW147" s="150">
        <v>3.2</v>
      </c>
      <c r="AX147" s="150">
        <v>3.4</v>
      </c>
      <c r="AY147" s="150">
        <v>3.6</v>
      </c>
      <c r="AZ147" s="150">
        <v>3.8</v>
      </c>
      <c r="BA147" s="150">
        <v>4</v>
      </c>
      <c r="BB147" s="150">
        <v>4.2</v>
      </c>
      <c r="BC147" s="150">
        <v>4.4000000000000004</v>
      </c>
      <c r="BD147" s="150">
        <v>4.5999999999999996</v>
      </c>
      <c r="BE147" s="150">
        <v>4.8</v>
      </c>
      <c r="BF147" s="150">
        <v>5</v>
      </c>
      <c r="BG147" s="150">
        <v>5.2</v>
      </c>
      <c r="BH147" s="150">
        <v>5.4</v>
      </c>
      <c r="BI147" s="150">
        <v>5.6</v>
      </c>
      <c r="BJ147" s="150">
        <v>5.8</v>
      </c>
      <c r="BK147" s="150">
        <v>6</v>
      </c>
      <c r="BL147" s="150">
        <v>6.2</v>
      </c>
      <c r="BM147" s="150">
        <v>6.4</v>
      </c>
      <c r="BN147" s="150">
        <v>6.6</v>
      </c>
      <c r="BO147" s="150">
        <v>6.8</v>
      </c>
      <c r="BP147" s="150">
        <v>7</v>
      </c>
      <c r="BQ147" s="150">
        <v>7.2</v>
      </c>
      <c r="BR147" s="150">
        <v>7.4</v>
      </c>
      <c r="BS147" s="150">
        <v>7.6</v>
      </c>
      <c r="BT147" s="150">
        <v>7.8</v>
      </c>
      <c r="BU147" s="150">
        <v>8</v>
      </c>
      <c r="BV147" s="150">
        <v>8.1999999999999993</v>
      </c>
      <c r="BW147" s="150">
        <v>8.4</v>
      </c>
      <c r="BX147" s="150">
        <v>8.6</v>
      </c>
      <c r="BY147" s="150">
        <v>8.7999999999999936</v>
      </c>
      <c r="BZ147" s="150">
        <v>9</v>
      </c>
      <c r="CA147" s="150">
        <v>9.1999999999999922</v>
      </c>
      <c r="CB147" s="150">
        <v>9.4</v>
      </c>
      <c r="CC147" s="150">
        <v>9.5999999999999908</v>
      </c>
      <c r="CD147" s="150">
        <v>9.8000000000000007</v>
      </c>
      <c r="CE147" s="150">
        <v>9.9999999999999893</v>
      </c>
      <c r="CF147" s="150">
        <v>10.199999999999999</v>
      </c>
      <c r="CG147" s="150">
        <v>10.4</v>
      </c>
      <c r="CH147" s="150">
        <v>10.6</v>
      </c>
      <c r="CI147" s="150">
        <v>10.8</v>
      </c>
      <c r="CJ147" s="150">
        <v>11</v>
      </c>
      <c r="CK147" s="150">
        <v>11.2</v>
      </c>
      <c r="CL147" s="150">
        <v>11.4</v>
      </c>
      <c r="CM147" s="150">
        <v>11.6</v>
      </c>
      <c r="CN147" s="150">
        <v>11.8</v>
      </c>
      <c r="CO147" s="150">
        <v>12</v>
      </c>
      <c r="CP147" s="150">
        <v>12.2</v>
      </c>
      <c r="CQ147" s="150">
        <v>12.4</v>
      </c>
      <c r="CR147" s="150">
        <v>12.6</v>
      </c>
      <c r="CS147" s="150">
        <v>12.8</v>
      </c>
      <c r="CT147" s="150">
        <v>13</v>
      </c>
      <c r="CU147" s="150">
        <v>13.2</v>
      </c>
      <c r="CV147" s="150">
        <v>13.4</v>
      </c>
      <c r="CW147" s="150">
        <v>13.6</v>
      </c>
      <c r="CX147" s="150">
        <v>13.8</v>
      </c>
      <c r="CY147" s="150">
        <v>14</v>
      </c>
      <c r="CZ147" s="150">
        <v>14.2</v>
      </c>
      <c r="DA147" s="150">
        <v>14.4</v>
      </c>
      <c r="DB147" s="150">
        <v>14.6</v>
      </c>
      <c r="DC147" s="150">
        <v>14.8</v>
      </c>
      <c r="DD147" s="150">
        <v>15</v>
      </c>
      <c r="DE147" s="150">
        <v>15.2</v>
      </c>
      <c r="DF147" s="150">
        <v>15.4</v>
      </c>
      <c r="DG147" s="150">
        <v>15.6</v>
      </c>
      <c r="DH147" s="150">
        <v>15.8</v>
      </c>
      <c r="DI147" s="150">
        <v>16</v>
      </c>
      <c r="DJ147" s="150">
        <v>16.2</v>
      </c>
      <c r="DK147" s="150">
        <v>16.399999999999999</v>
      </c>
      <c r="DL147" s="150">
        <v>16.600000000000001</v>
      </c>
      <c r="DM147" s="150">
        <v>16.8</v>
      </c>
      <c r="DN147" s="150">
        <v>17</v>
      </c>
      <c r="DO147" s="150">
        <v>17.2</v>
      </c>
      <c r="DP147" s="150">
        <v>17.399999999999999</v>
      </c>
      <c r="DQ147" s="150">
        <v>17.600000000000001</v>
      </c>
      <c r="DR147" s="150">
        <v>17.8</v>
      </c>
      <c r="DS147" s="150">
        <v>18</v>
      </c>
      <c r="DT147" s="150">
        <v>18.2</v>
      </c>
      <c r="DU147" s="150">
        <v>18.399999999999999</v>
      </c>
      <c r="DV147" s="150">
        <v>18.600000000000001</v>
      </c>
      <c r="DW147" s="150">
        <v>18.8</v>
      </c>
      <c r="DX147" s="150">
        <v>19</v>
      </c>
      <c r="DY147" s="150">
        <v>19.2</v>
      </c>
      <c r="DZ147" s="150">
        <v>19.399999999999999</v>
      </c>
      <c r="EA147" s="150">
        <v>19.600000000000001</v>
      </c>
      <c r="EB147" s="150">
        <v>19.8</v>
      </c>
      <c r="EC147" s="150">
        <v>20</v>
      </c>
      <c r="ED147" s="150">
        <v>20.2</v>
      </c>
      <c r="EE147" s="150">
        <v>20.399999999999999</v>
      </c>
      <c r="EF147" s="150">
        <v>20.6</v>
      </c>
      <c r="EG147" s="150">
        <v>20.799999999999951</v>
      </c>
      <c r="EH147" s="150">
        <v>21</v>
      </c>
      <c r="EI147" s="150">
        <v>21.19999999999995</v>
      </c>
      <c r="EJ147" s="150">
        <v>21.4</v>
      </c>
      <c r="EK147" s="150">
        <v>21.599999999999948</v>
      </c>
    </row>
    <row r="148" spans="1:141" ht="13.2" x14ac:dyDescent="0.25">
      <c r="A148" s="149">
        <v>41153</v>
      </c>
      <c r="B148" s="219">
        <v>-1.7785964148750009</v>
      </c>
      <c r="C148" s="219">
        <v>-1.7482952255625008</v>
      </c>
      <c r="D148" s="219">
        <v>-1.7179940362500008</v>
      </c>
      <c r="E148" s="219">
        <v>-1.6876928469375008</v>
      </c>
      <c r="F148" s="219">
        <v>-1.6573916576250007</v>
      </c>
      <c r="G148" s="219">
        <v>-1.6270904683125007</v>
      </c>
      <c r="H148" s="219">
        <v>-1.5967892790000007</v>
      </c>
      <c r="I148" s="219">
        <v>-1.5664880896875006</v>
      </c>
      <c r="J148" s="219">
        <v>-1.5361869003750006</v>
      </c>
      <c r="K148" s="219">
        <v>-1.5058857110625006</v>
      </c>
      <c r="L148" s="219">
        <v>-1.4755845217500005</v>
      </c>
      <c r="M148" s="219">
        <v>-1.4452833324375005</v>
      </c>
      <c r="N148" s="219">
        <v>-1.4149821431250005</v>
      </c>
      <c r="O148" s="219">
        <v>-1.3846809538125004</v>
      </c>
      <c r="P148" s="219">
        <v>-1.3543797645000004</v>
      </c>
      <c r="Q148" s="219">
        <v>-1.3240785751875004</v>
      </c>
      <c r="R148" s="219">
        <v>-1.2937773858750004</v>
      </c>
      <c r="S148" s="219">
        <v>-1.2634761965625003</v>
      </c>
      <c r="T148" s="219">
        <v>-1.2331750072500003</v>
      </c>
      <c r="U148" s="219">
        <v>-1.2028738179375003</v>
      </c>
      <c r="V148" s="220">
        <v>-1.1725726286250002</v>
      </c>
      <c r="W148" s="219">
        <v>-1.1422714393125002</v>
      </c>
      <c r="X148" s="220">
        <v>-1.1119702500000002</v>
      </c>
      <c r="Y148" s="219">
        <v>-1.0832351250000003</v>
      </c>
      <c r="Z148" s="220">
        <v>-1.0545000000000002</v>
      </c>
      <c r="AA148" s="219">
        <v>-1.0272500000000002</v>
      </c>
      <c r="AB148" s="221">
        <v>-1</v>
      </c>
      <c r="AC148" s="219">
        <v>-0.8</v>
      </c>
      <c r="AD148" s="221">
        <v>-0.6</v>
      </c>
      <c r="AE148" s="219">
        <v>-0.4</v>
      </c>
      <c r="AF148" s="219">
        <v>-0.2</v>
      </c>
      <c r="AG148" s="150">
        <v>0</v>
      </c>
      <c r="AH148" s="150">
        <v>0.2</v>
      </c>
      <c r="AI148" s="150">
        <v>0.4</v>
      </c>
      <c r="AJ148" s="150">
        <v>0.6</v>
      </c>
      <c r="AK148" s="150">
        <v>0.8</v>
      </c>
      <c r="AL148" s="150">
        <v>1</v>
      </c>
      <c r="AM148" s="150">
        <v>1.2</v>
      </c>
      <c r="AN148" s="150">
        <v>1.4</v>
      </c>
      <c r="AO148" s="150">
        <v>1.6</v>
      </c>
      <c r="AP148" s="150">
        <v>1.8</v>
      </c>
      <c r="AQ148" s="150">
        <v>2</v>
      </c>
      <c r="AR148" s="150">
        <v>2.2000000000000002</v>
      </c>
      <c r="AS148" s="150">
        <v>2.4</v>
      </c>
      <c r="AT148" s="150">
        <v>2.6</v>
      </c>
      <c r="AU148" s="150">
        <v>2.8</v>
      </c>
      <c r="AV148" s="150">
        <v>3</v>
      </c>
      <c r="AW148" s="150">
        <v>3.2</v>
      </c>
      <c r="AX148" s="150">
        <v>3.4</v>
      </c>
      <c r="AY148" s="150">
        <v>3.6</v>
      </c>
      <c r="AZ148" s="150">
        <v>3.8</v>
      </c>
      <c r="BA148" s="150">
        <v>4</v>
      </c>
      <c r="BB148" s="150">
        <v>4.2</v>
      </c>
      <c r="BC148" s="150">
        <v>4.4000000000000004</v>
      </c>
      <c r="BD148" s="150">
        <v>4.5999999999999996</v>
      </c>
      <c r="BE148" s="150">
        <v>4.8</v>
      </c>
      <c r="BF148" s="150">
        <v>5</v>
      </c>
      <c r="BG148" s="150">
        <v>5.2</v>
      </c>
      <c r="BH148" s="150">
        <v>5.4</v>
      </c>
      <c r="BI148" s="150">
        <v>5.6</v>
      </c>
      <c r="BJ148" s="150">
        <v>5.8</v>
      </c>
      <c r="BK148" s="150">
        <v>6</v>
      </c>
      <c r="BL148" s="150">
        <v>6.2</v>
      </c>
      <c r="BM148" s="150">
        <v>6.4</v>
      </c>
      <c r="BN148" s="150">
        <v>6.6</v>
      </c>
      <c r="BO148" s="150">
        <v>6.8</v>
      </c>
      <c r="BP148" s="150">
        <v>7</v>
      </c>
      <c r="BQ148" s="150">
        <v>7.2</v>
      </c>
      <c r="BR148" s="150">
        <v>7.4</v>
      </c>
      <c r="BS148" s="150">
        <v>7.6</v>
      </c>
      <c r="BT148" s="150">
        <v>7.8</v>
      </c>
      <c r="BU148" s="150">
        <v>8</v>
      </c>
      <c r="BV148" s="150">
        <v>8.1999999999999993</v>
      </c>
      <c r="BW148" s="150">
        <v>8.4</v>
      </c>
      <c r="BX148" s="150">
        <v>8.6</v>
      </c>
      <c r="BY148" s="150">
        <v>8.7999999999999936</v>
      </c>
      <c r="BZ148" s="150">
        <v>9</v>
      </c>
      <c r="CA148" s="150">
        <v>9.1999999999999922</v>
      </c>
      <c r="CB148" s="150">
        <v>9.4</v>
      </c>
      <c r="CC148" s="150">
        <v>9.5999999999999908</v>
      </c>
      <c r="CD148" s="150">
        <v>9.8000000000000007</v>
      </c>
      <c r="CE148" s="150">
        <v>9.9999999999999893</v>
      </c>
      <c r="CF148" s="150">
        <v>10.199999999999999</v>
      </c>
      <c r="CG148" s="150">
        <v>10.4</v>
      </c>
      <c r="CH148" s="150">
        <v>10.6</v>
      </c>
      <c r="CI148" s="150">
        <v>10.8</v>
      </c>
      <c r="CJ148" s="150">
        <v>11</v>
      </c>
      <c r="CK148" s="150">
        <v>11.2</v>
      </c>
      <c r="CL148" s="150">
        <v>11.4</v>
      </c>
      <c r="CM148" s="150">
        <v>11.6</v>
      </c>
      <c r="CN148" s="150">
        <v>11.8</v>
      </c>
      <c r="CO148" s="150">
        <v>12</v>
      </c>
      <c r="CP148" s="150">
        <v>12.2</v>
      </c>
      <c r="CQ148" s="150">
        <v>12.4</v>
      </c>
      <c r="CR148" s="150">
        <v>12.6</v>
      </c>
      <c r="CS148" s="150">
        <v>12.8</v>
      </c>
      <c r="CT148" s="150">
        <v>13</v>
      </c>
      <c r="CU148" s="150">
        <v>13.2</v>
      </c>
      <c r="CV148" s="150">
        <v>13.4</v>
      </c>
      <c r="CW148" s="150">
        <v>13.6</v>
      </c>
      <c r="CX148" s="150">
        <v>13.8</v>
      </c>
      <c r="CY148" s="150">
        <v>14</v>
      </c>
      <c r="CZ148" s="150">
        <v>14.2</v>
      </c>
      <c r="DA148" s="150">
        <v>14.4</v>
      </c>
      <c r="DB148" s="150">
        <v>14.6</v>
      </c>
      <c r="DC148" s="150">
        <v>14.8</v>
      </c>
      <c r="DD148" s="150">
        <v>15</v>
      </c>
      <c r="DE148" s="150">
        <v>15.2</v>
      </c>
      <c r="DF148" s="150">
        <v>15.4</v>
      </c>
      <c r="DG148" s="150">
        <v>15.6</v>
      </c>
      <c r="DH148" s="150">
        <v>15.8</v>
      </c>
      <c r="DI148" s="150">
        <v>16</v>
      </c>
      <c r="DJ148" s="150">
        <v>16.2</v>
      </c>
      <c r="DK148" s="150">
        <v>16.399999999999999</v>
      </c>
      <c r="DL148" s="150">
        <v>16.600000000000001</v>
      </c>
      <c r="DM148" s="150">
        <v>16.8</v>
      </c>
      <c r="DN148" s="150">
        <v>17</v>
      </c>
      <c r="DO148" s="150">
        <v>17.2</v>
      </c>
      <c r="DP148" s="150">
        <v>17.399999999999999</v>
      </c>
      <c r="DQ148" s="150">
        <v>17.600000000000001</v>
      </c>
      <c r="DR148" s="150">
        <v>17.8</v>
      </c>
      <c r="DS148" s="150">
        <v>18</v>
      </c>
      <c r="DT148" s="150">
        <v>18.2</v>
      </c>
      <c r="DU148" s="150">
        <v>18.399999999999999</v>
      </c>
      <c r="DV148" s="150">
        <v>18.600000000000001</v>
      </c>
      <c r="DW148" s="150">
        <v>18.8</v>
      </c>
      <c r="DX148" s="150">
        <v>19</v>
      </c>
      <c r="DY148" s="150">
        <v>19.2</v>
      </c>
      <c r="DZ148" s="150">
        <v>19.399999999999999</v>
      </c>
      <c r="EA148" s="150">
        <v>19.600000000000001</v>
      </c>
      <c r="EB148" s="150">
        <v>19.8</v>
      </c>
      <c r="EC148" s="150">
        <v>20</v>
      </c>
      <c r="ED148" s="150">
        <v>20.2</v>
      </c>
      <c r="EE148" s="150">
        <v>20.399999999999999</v>
      </c>
      <c r="EF148" s="150">
        <v>20.6</v>
      </c>
      <c r="EG148" s="150">
        <v>20.799999999999951</v>
      </c>
      <c r="EH148" s="150">
        <v>21</v>
      </c>
      <c r="EI148" s="150">
        <v>21.19999999999995</v>
      </c>
      <c r="EJ148" s="150">
        <v>21.4</v>
      </c>
      <c r="EK148" s="150">
        <v>21.599999999999948</v>
      </c>
    </row>
    <row r="149" spans="1:141" ht="13.2" x14ac:dyDescent="0.25">
      <c r="A149" s="149">
        <v>41183</v>
      </c>
      <c r="B149" s="219">
        <v>-1.7785964148750009</v>
      </c>
      <c r="C149" s="219">
        <v>-1.7482952255625008</v>
      </c>
      <c r="D149" s="219">
        <v>-1.7179940362500008</v>
      </c>
      <c r="E149" s="219">
        <v>-1.6876928469375008</v>
      </c>
      <c r="F149" s="219">
        <v>-1.6573916576250007</v>
      </c>
      <c r="G149" s="219">
        <v>-1.6270904683125007</v>
      </c>
      <c r="H149" s="219">
        <v>-1.5967892790000007</v>
      </c>
      <c r="I149" s="219">
        <v>-1.5664880896875006</v>
      </c>
      <c r="J149" s="219">
        <v>-1.5361869003750006</v>
      </c>
      <c r="K149" s="219">
        <v>-1.5058857110625006</v>
      </c>
      <c r="L149" s="219">
        <v>-1.4755845217500005</v>
      </c>
      <c r="M149" s="219">
        <v>-1.4452833324375005</v>
      </c>
      <c r="N149" s="219">
        <v>-1.4149821431250005</v>
      </c>
      <c r="O149" s="219">
        <v>-1.3846809538125004</v>
      </c>
      <c r="P149" s="219">
        <v>-1.3543797645000004</v>
      </c>
      <c r="Q149" s="219">
        <v>-1.3240785751875004</v>
      </c>
      <c r="R149" s="219">
        <v>-1.2937773858750004</v>
      </c>
      <c r="S149" s="219">
        <v>-1.2634761965625003</v>
      </c>
      <c r="T149" s="219">
        <v>-1.2331750072500003</v>
      </c>
      <c r="U149" s="219">
        <v>-1.2028738179375003</v>
      </c>
      <c r="V149" s="220">
        <v>-1.1725726286250002</v>
      </c>
      <c r="W149" s="219">
        <v>-1.1422714393125002</v>
      </c>
      <c r="X149" s="220">
        <v>-1.1119702500000002</v>
      </c>
      <c r="Y149" s="219">
        <v>-1.0832351250000003</v>
      </c>
      <c r="Z149" s="220">
        <v>-1.0545000000000002</v>
      </c>
      <c r="AA149" s="219">
        <v>-1.0272500000000002</v>
      </c>
      <c r="AB149" s="221">
        <v>-1</v>
      </c>
      <c r="AC149" s="219">
        <v>-0.8</v>
      </c>
      <c r="AD149" s="221">
        <v>-0.6</v>
      </c>
      <c r="AE149" s="219">
        <v>-0.4</v>
      </c>
      <c r="AF149" s="219">
        <v>-0.2</v>
      </c>
      <c r="AG149" s="150">
        <v>0</v>
      </c>
      <c r="AH149" s="150">
        <v>0.2</v>
      </c>
      <c r="AI149" s="150">
        <v>0.4</v>
      </c>
      <c r="AJ149" s="150">
        <v>0.6</v>
      </c>
      <c r="AK149" s="150">
        <v>0.8</v>
      </c>
      <c r="AL149" s="150">
        <v>1</v>
      </c>
      <c r="AM149" s="150">
        <v>1.2</v>
      </c>
      <c r="AN149" s="150">
        <v>1.4</v>
      </c>
      <c r="AO149" s="150">
        <v>1.6</v>
      </c>
      <c r="AP149" s="150">
        <v>1.8</v>
      </c>
      <c r="AQ149" s="150">
        <v>2</v>
      </c>
      <c r="AR149" s="150">
        <v>2.2000000000000002</v>
      </c>
      <c r="AS149" s="150">
        <v>2.4</v>
      </c>
      <c r="AT149" s="150">
        <v>2.6</v>
      </c>
      <c r="AU149" s="150">
        <v>2.8</v>
      </c>
      <c r="AV149" s="150">
        <v>3</v>
      </c>
      <c r="AW149" s="150">
        <v>3.2</v>
      </c>
      <c r="AX149" s="150">
        <v>3.4</v>
      </c>
      <c r="AY149" s="150">
        <v>3.6</v>
      </c>
      <c r="AZ149" s="150">
        <v>3.8</v>
      </c>
      <c r="BA149" s="150">
        <v>4</v>
      </c>
      <c r="BB149" s="150">
        <v>4.2</v>
      </c>
      <c r="BC149" s="150">
        <v>4.4000000000000004</v>
      </c>
      <c r="BD149" s="150">
        <v>4.5999999999999996</v>
      </c>
      <c r="BE149" s="150">
        <v>4.8</v>
      </c>
      <c r="BF149" s="150">
        <v>5</v>
      </c>
      <c r="BG149" s="150">
        <v>5.2</v>
      </c>
      <c r="BH149" s="150">
        <v>5.4</v>
      </c>
      <c r="BI149" s="150">
        <v>5.6</v>
      </c>
      <c r="BJ149" s="150">
        <v>5.8</v>
      </c>
      <c r="BK149" s="150">
        <v>6</v>
      </c>
      <c r="BL149" s="150">
        <v>6.2</v>
      </c>
      <c r="BM149" s="150">
        <v>6.4</v>
      </c>
      <c r="BN149" s="150">
        <v>6.6</v>
      </c>
      <c r="BO149" s="150">
        <v>6.8</v>
      </c>
      <c r="BP149" s="150">
        <v>7</v>
      </c>
      <c r="BQ149" s="150">
        <v>7.2</v>
      </c>
      <c r="BR149" s="150">
        <v>7.4</v>
      </c>
      <c r="BS149" s="150">
        <v>7.6</v>
      </c>
      <c r="BT149" s="150">
        <v>7.8</v>
      </c>
      <c r="BU149" s="150">
        <v>8</v>
      </c>
      <c r="BV149" s="150">
        <v>8.1999999999999993</v>
      </c>
      <c r="BW149" s="150">
        <v>8.4</v>
      </c>
      <c r="BX149" s="150">
        <v>8.6</v>
      </c>
      <c r="BY149" s="150">
        <v>8.7999999999999936</v>
      </c>
      <c r="BZ149" s="150">
        <v>9</v>
      </c>
      <c r="CA149" s="150">
        <v>9.1999999999999922</v>
      </c>
      <c r="CB149" s="150">
        <v>9.4</v>
      </c>
      <c r="CC149" s="150">
        <v>9.5999999999999908</v>
      </c>
      <c r="CD149" s="150">
        <v>9.8000000000000007</v>
      </c>
      <c r="CE149" s="150">
        <v>9.9999999999999893</v>
      </c>
      <c r="CF149" s="150">
        <v>10.199999999999999</v>
      </c>
      <c r="CG149" s="150">
        <v>10.4</v>
      </c>
      <c r="CH149" s="150">
        <v>10.6</v>
      </c>
      <c r="CI149" s="150">
        <v>10.8</v>
      </c>
      <c r="CJ149" s="150">
        <v>11</v>
      </c>
      <c r="CK149" s="150">
        <v>11.2</v>
      </c>
      <c r="CL149" s="150">
        <v>11.4</v>
      </c>
      <c r="CM149" s="150">
        <v>11.6</v>
      </c>
      <c r="CN149" s="150">
        <v>11.8</v>
      </c>
      <c r="CO149" s="150">
        <v>12</v>
      </c>
      <c r="CP149" s="150">
        <v>12.2</v>
      </c>
      <c r="CQ149" s="150">
        <v>12.4</v>
      </c>
      <c r="CR149" s="150">
        <v>12.6</v>
      </c>
      <c r="CS149" s="150">
        <v>12.8</v>
      </c>
      <c r="CT149" s="150">
        <v>13</v>
      </c>
      <c r="CU149" s="150">
        <v>13.2</v>
      </c>
      <c r="CV149" s="150">
        <v>13.4</v>
      </c>
      <c r="CW149" s="150">
        <v>13.6</v>
      </c>
      <c r="CX149" s="150">
        <v>13.8</v>
      </c>
      <c r="CY149" s="150">
        <v>14</v>
      </c>
      <c r="CZ149" s="150">
        <v>14.2</v>
      </c>
      <c r="DA149" s="150">
        <v>14.4</v>
      </c>
      <c r="DB149" s="150">
        <v>14.6</v>
      </c>
      <c r="DC149" s="150">
        <v>14.8</v>
      </c>
      <c r="DD149" s="150">
        <v>15</v>
      </c>
      <c r="DE149" s="150">
        <v>15.2</v>
      </c>
      <c r="DF149" s="150">
        <v>15.4</v>
      </c>
      <c r="DG149" s="150">
        <v>15.6</v>
      </c>
      <c r="DH149" s="150">
        <v>15.8</v>
      </c>
      <c r="DI149" s="150">
        <v>16</v>
      </c>
      <c r="DJ149" s="150">
        <v>16.2</v>
      </c>
      <c r="DK149" s="150">
        <v>16.399999999999999</v>
      </c>
      <c r="DL149" s="150">
        <v>16.600000000000001</v>
      </c>
      <c r="DM149" s="150">
        <v>16.8</v>
      </c>
      <c r="DN149" s="150">
        <v>17</v>
      </c>
      <c r="DO149" s="150">
        <v>17.2</v>
      </c>
      <c r="DP149" s="150">
        <v>17.399999999999999</v>
      </c>
      <c r="DQ149" s="150">
        <v>17.600000000000001</v>
      </c>
      <c r="DR149" s="150">
        <v>17.8</v>
      </c>
      <c r="DS149" s="150">
        <v>18</v>
      </c>
      <c r="DT149" s="150">
        <v>18.2</v>
      </c>
      <c r="DU149" s="150">
        <v>18.399999999999999</v>
      </c>
      <c r="DV149" s="150">
        <v>18.600000000000001</v>
      </c>
      <c r="DW149" s="150">
        <v>18.8</v>
      </c>
      <c r="DX149" s="150">
        <v>19</v>
      </c>
      <c r="DY149" s="150">
        <v>19.2</v>
      </c>
      <c r="DZ149" s="150">
        <v>19.399999999999999</v>
      </c>
      <c r="EA149" s="150">
        <v>19.600000000000001</v>
      </c>
      <c r="EB149" s="150">
        <v>19.8</v>
      </c>
      <c r="EC149" s="150">
        <v>20</v>
      </c>
      <c r="ED149" s="150">
        <v>20.2</v>
      </c>
      <c r="EE149" s="150">
        <v>20.399999999999999</v>
      </c>
      <c r="EF149" s="150">
        <v>20.6</v>
      </c>
      <c r="EG149" s="150">
        <v>20.799999999999951</v>
      </c>
      <c r="EH149" s="150">
        <v>21</v>
      </c>
      <c r="EI149" s="150">
        <v>21.19999999999995</v>
      </c>
      <c r="EJ149" s="150">
        <v>21.4</v>
      </c>
      <c r="EK149" s="150">
        <v>21.599999999999948</v>
      </c>
    </row>
    <row r="150" spans="1:141" ht="13.2" x14ac:dyDescent="0.25">
      <c r="A150" s="149">
        <v>41214</v>
      </c>
      <c r="B150" s="219">
        <v>-1.7785964148750009</v>
      </c>
      <c r="C150" s="219">
        <v>-1.7482952255625008</v>
      </c>
      <c r="D150" s="219">
        <v>-1.7179940362500008</v>
      </c>
      <c r="E150" s="219">
        <v>-1.6876928469375008</v>
      </c>
      <c r="F150" s="219">
        <v>-1.6573916576250007</v>
      </c>
      <c r="G150" s="219">
        <v>-1.6270904683125007</v>
      </c>
      <c r="H150" s="219">
        <v>-1.5967892790000007</v>
      </c>
      <c r="I150" s="219">
        <v>-1.5664880896875006</v>
      </c>
      <c r="J150" s="219">
        <v>-1.5361869003750006</v>
      </c>
      <c r="K150" s="219">
        <v>-1.5058857110625006</v>
      </c>
      <c r="L150" s="219">
        <v>-1.4755845217500005</v>
      </c>
      <c r="M150" s="219">
        <v>-1.4452833324375005</v>
      </c>
      <c r="N150" s="219">
        <v>-1.4149821431250005</v>
      </c>
      <c r="O150" s="219">
        <v>-1.3846809538125004</v>
      </c>
      <c r="P150" s="219">
        <v>-1.3543797645000004</v>
      </c>
      <c r="Q150" s="219">
        <v>-1.3240785751875004</v>
      </c>
      <c r="R150" s="219">
        <v>-1.2937773858750004</v>
      </c>
      <c r="S150" s="219">
        <v>-1.2634761965625003</v>
      </c>
      <c r="T150" s="219">
        <v>-1.2331750072500003</v>
      </c>
      <c r="U150" s="219">
        <v>-1.2028738179375003</v>
      </c>
      <c r="V150" s="220">
        <v>-1.1725726286250002</v>
      </c>
      <c r="W150" s="219">
        <v>-1.1422714393125002</v>
      </c>
      <c r="X150" s="220">
        <v>-1.1119702500000002</v>
      </c>
      <c r="Y150" s="219">
        <v>-1.0832351250000003</v>
      </c>
      <c r="Z150" s="220">
        <v>-1.0545000000000002</v>
      </c>
      <c r="AA150" s="219">
        <v>-1.0272500000000002</v>
      </c>
      <c r="AB150" s="221">
        <v>-1</v>
      </c>
      <c r="AC150" s="219">
        <v>-0.8</v>
      </c>
      <c r="AD150" s="221">
        <v>-0.6</v>
      </c>
      <c r="AE150" s="219">
        <v>-0.4</v>
      </c>
      <c r="AF150" s="219">
        <v>-0.2</v>
      </c>
      <c r="AG150" s="150">
        <v>0</v>
      </c>
      <c r="AH150" s="150">
        <v>0.2</v>
      </c>
      <c r="AI150" s="150">
        <v>0.4</v>
      </c>
      <c r="AJ150" s="150">
        <v>0.6</v>
      </c>
      <c r="AK150" s="150">
        <v>0.8</v>
      </c>
      <c r="AL150" s="150">
        <v>1</v>
      </c>
      <c r="AM150" s="150">
        <v>1.2</v>
      </c>
      <c r="AN150" s="150">
        <v>1.4</v>
      </c>
      <c r="AO150" s="150">
        <v>1.6</v>
      </c>
      <c r="AP150" s="150">
        <v>1.8</v>
      </c>
      <c r="AQ150" s="150">
        <v>2</v>
      </c>
      <c r="AR150" s="150">
        <v>2.2000000000000002</v>
      </c>
      <c r="AS150" s="150">
        <v>2.4</v>
      </c>
      <c r="AT150" s="150">
        <v>2.6</v>
      </c>
      <c r="AU150" s="150">
        <v>2.8</v>
      </c>
      <c r="AV150" s="150">
        <v>3</v>
      </c>
      <c r="AW150" s="150">
        <v>3.2</v>
      </c>
      <c r="AX150" s="150">
        <v>3.4</v>
      </c>
      <c r="AY150" s="150">
        <v>3.6</v>
      </c>
      <c r="AZ150" s="150">
        <v>3.8</v>
      </c>
      <c r="BA150" s="150">
        <v>4</v>
      </c>
      <c r="BB150" s="150">
        <v>4.2</v>
      </c>
      <c r="BC150" s="150">
        <v>4.4000000000000004</v>
      </c>
      <c r="BD150" s="150">
        <v>4.5999999999999996</v>
      </c>
      <c r="BE150" s="150">
        <v>4.8</v>
      </c>
      <c r="BF150" s="150">
        <v>5</v>
      </c>
      <c r="BG150" s="150">
        <v>5.2</v>
      </c>
      <c r="BH150" s="150">
        <v>5.4</v>
      </c>
      <c r="BI150" s="150">
        <v>5.6</v>
      </c>
      <c r="BJ150" s="150">
        <v>5.8</v>
      </c>
      <c r="BK150" s="150">
        <v>6</v>
      </c>
      <c r="BL150" s="150">
        <v>6.2</v>
      </c>
      <c r="BM150" s="150">
        <v>6.4</v>
      </c>
      <c r="BN150" s="150">
        <v>6.6</v>
      </c>
      <c r="BO150" s="150">
        <v>6.8</v>
      </c>
      <c r="BP150" s="150">
        <v>7</v>
      </c>
      <c r="BQ150" s="150">
        <v>7.2</v>
      </c>
      <c r="BR150" s="150">
        <v>7.4</v>
      </c>
      <c r="BS150" s="150">
        <v>7.6</v>
      </c>
      <c r="BT150" s="150">
        <v>7.8</v>
      </c>
      <c r="BU150" s="150">
        <v>8</v>
      </c>
      <c r="BV150" s="150">
        <v>8.1999999999999993</v>
      </c>
      <c r="BW150" s="150">
        <v>8.4</v>
      </c>
      <c r="BX150" s="150">
        <v>8.6</v>
      </c>
      <c r="BY150" s="150">
        <v>8.7999999999999936</v>
      </c>
      <c r="BZ150" s="150">
        <v>9</v>
      </c>
      <c r="CA150" s="150">
        <v>9.1999999999999922</v>
      </c>
      <c r="CB150" s="150">
        <v>9.4</v>
      </c>
      <c r="CC150" s="150">
        <v>9.5999999999999908</v>
      </c>
      <c r="CD150" s="150">
        <v>9.8000000000000007</v>
      </c>
      <c r="CE150" s="150">
        <v>9.9999999999999893</v>
      </c>
      <c r="CF150" s="150">
        <v>10.199999999999999</v>
      </c>
      <c r="CG150" s="150">
        <v>10.4</v>
      </c>
      <c r="CH150" s="150">
        <v>10.6</v>
      </c>
      <c r="CI150" s="150">
        <v>10.8</v>
      </c>
      <c r="CJ150" s="150">
        <v>11</v>
      </c>
      <c r="CK150" s="150">
        <v>11.2</v>
      </c>
      <c r="CL150" s="150">
        <v>11.4</v>
      </c>
      <c r="CM150" s="150">
        <v>11.6</v>
      </c>
      <c r="CN150" s="150">
        <v>11.8</v>
      </c>
      <c r="CO150" s="150">
        <v>12</v>
      </c>
      <c r="CP150" s="150">
        <v>12.2</v>
      </c>
      <c r="CQ150" s="150">
        <v>12.4</v>
      </c>
      <c r="CR150" s="150">
        <v>12.6</v>
      </c>
      <c r="CS150" s="150">
        <v>12.8</v>
      </c>
      <c r="CT150" s="150">
        <v>13</v>
      </c>
      <c r="CU150" s="150">
        <v>13.2</v>
      </c>
      <c r="CV150" s="150">
        <v>13.4</v>
      </c>
      <c r="CW150" s="150">
        <v>13.6</v>
      </c>
      <c r="CX150" s="150">
        <v>13.8</v>
      </c>
      <c r="CY150" s="150">
        <v>14</v>
      </c>
      <c r="CZ150" s="150">
        <v>14.2</v>
      </c>
      <c r="DA150" s="150">
        <v>14.4</v>
      </c>
      <c r="DB150" s="150">
        <v>14.6</v>
      </c>
      <c r="DC150" s="150">
        <v>14.8</v>
      </c>
      <c r="DD150" s="150">
        <v>15</v>
      </c>
      <c r="DE150" s="150">
        <v>15.2</v>
      </c>
      <c r="DF150" s="150">
        <v>15.4</v>
      </c>
      <c r="DG150" s="150">
        <v>15.6</v>
      </c>
      <c r="DH150" s="150">
        <v>15.8</v>
      </c>
      <c r="DI150" s="150">
        <v>16</v>
      </c>
      <c r="DJ150" s="150">
        <v>16.2</v>
      </c>
      <c r="DK150" s="150">
        <v>16.399999999999999</v>
      </c>
      <c r="DL150" s="150">
        <v>16.600000000000001</v>
      </c>
      <c r="DM150" s="150">
        <v>16.8</v>
      </c>
      <c r="DN150" s="150">
        <v>17</v>
      </c>
      <c r="DO150" s="150">
        <v>17.2</v>
      </c>
      <c r="DP150" s="150">
        <v>17.399999999999999</v>
      </c>
      <c r="DQ150" s="150">
        <v>17.600000000000001</v>
      </c>
      <c r="DR150" s="150">
        <v>17.8</v>
      </c>
      <c r="DS150" s="150">
        <v>18</v>
      </c>
      <c r="DT150" s="150">
        <v>18.2</v>
      </c>
      <c r="DU150" s="150">
        <v>18.399999999999999</v>
      </c>
      <c r="DV150" s="150">
        <v>18.600000000000001</v>
      </c>
      <c r="DW150" s="150">
        <v>18.8</v>
      </c>
      <c r="DX150" s="150">
        <v>19</v>
      </c>
      <c r="DY150" s="150">
        <v>19.2</v>
      </c>
      <c r="DZ150" s="150">
        <v>19.399999999999999</v>
      </c>
      <c r="EA150" s="150">
        <v>19.600000000000001</v>
      </c>
      <c r="EB150" s="150">
        <v>19.8</v>
      </c>
      <c r="EC150" s="150">
        <v>20</v>
      </c>
      <c r="ED150" s="150">
        <v>20.2</v>
      </c>
      <c r="EE150" s="150">
        <v>20.399999999999999</v>
      </c>
      <c r="EF150" s="150">
        <v>20.6</v>
      </c>
      <c r="EG150" s="150">
        <v>20.799999999999951</v>
      </c>
      <c r="EH150" s="150">
        <v>21</v>
      </c>
      <c r="EI150" s="150">
        <v>21.19999999999995</v>
      </c>
      <c r="EJ150" s="150">
        <v>21.4</v>
      </c>
      <c r="EK150" s="150">
        <v>21.599999999999948</v>
      </c>
    </row>
    <row r="151" spans="1:141" ht="13.2" x14ac:dyDescent="0.25">
      <c r="A151" s="149">
        <v>41244</v>
      </c>
      <c r="B151" s="219">
        <v>-1.7785964148750009</v>
      </c>
      <c r="C151" s="219">
        <v>-1.7482952255625008</v>
      </c>
      <c r="D151" s="219">
        <v>-1.7179940362500008</v>
      </c>
      <c r="E151" s="219">
        <v>-1.6876928469375008</v>
      </c>
      <c r="F151" s="219">
        <v>-1.6573916576250007</v>
      </c>
      <c r="G151" s="219">
        <v>-1.6270904683125007</v>
      </c>
      <c r="H151" s="219">
        <v>-1.5967892790000007</v>
      </c>
      <c r="I151" s="219">
        <v>-1.5664880896875006</v>
      </c>
      <c r="J151" s="219">
        <v>-1.5361869003750006</v>
      </c>
      <c r="K151" s="219">
        <v>-1.5058857110625006</v>
      </c>
      <c r="L151" s="219">
        <v>-1.4755845217500005</v>
      </c>
      <c r="M151" s="219">
        <v>-1.4452833324375005</v>
      </c>
      <c r="N151" s="219">
        <v>-1.4149821431250005</v>
      </c>
      <c r="O151" s="219">
        <v>-1.3846809538125004</v>
      </c>
      <c r="P151" s="219">
        <v>-1.3543797645000004</v>
      </c>
      <c r="Q151" s="219">
        <v>-1.3240785751875004</v>
      </c>
      <c r="R151" s="219">
        <v>-1.2937773858750004</v>
      </c>
      <c r="S151" s="219">
        <v>-1.2634761965625003</v>
      </c>
      <c r="T151" s="219">
        <v>-1.2331750072500003</v>
      </c>
      <c r="U151" s="219">
        <v>-1.2028738179375003</v>
      </c>
      <c r="V151" s="220">
        <v>-1.1725726286250002</v>
      </c>
      <c r="W151" s="219">
        <v>-1.1422714393125002</v>
      </c>
      <c r="X151" s="220">
        <v>-1.1119702500000002</v>
      </c>
      <c r="Y151" s="219">
        <v>-1.0832351250000003</v>
      </c>
      <c r="Z151" s="220">
        <v>-1.0545000000000002</v>
      </c>
      <c r="AA151" s="219">
        <v>-1.0272500000000002</v>
      </c>
      <c r="AB151" s="221">
        <v>-1</v>
      </c>
      <c r="AC151" s="219">
        <v>-0.8</v>
      </c>
      <c r="AD151" s="221">
        <v>-0.6</v>
      </c>
      <c r="AE151" s="219">
        <v>-0.4</v>
      </c>
      <c r="AF151" s="219">
        <v>-0.2</v>
      </c>
      <c r="AG151" s="150">
        <v>0</v>
      </c>
      <c r="AH151" s="150">
        <v>0.2</v>
      </c>
      <c r="AI151" s="150">
        <v>0.4</v>
      </c>
      <c r="AJ151" s="150">
        <v>0.6</v>
      </c>
      <c r="AK151" s="150">
        <v>0.8</v>
      </c>
      <c r="AL151" s="150">
        <v>1</v>
      </c>
      <c r="AM151" s="150">
        <v>1.2</v>
      </c>
      <c r="AN151" s="150">
        <v>1.4</v>
      </c>
      <c r="AO151" s="150">
        <v>1.6</v>
      </c>
      <c r="AP151" s="150">
        <v>1.8</v>
      </c>
      <c r="AQ151" s="150">
        <v>2</v>
      </c>
      <c r="AR151" s="150">
        <v>2.2000000000000002</v>
      </c>
      <c r="AS151" s="150">
        <v>2.4</v>
      </c>
      <c r="AT151" s="150">
        <v>2.6</v>
      </c>
      <c r="AU151" s="150">
        <v>2.8</v>
      </c>
      <c r="AV151" s="150">
        <v>3</v>
      </c>
      <c r="AW151" s="150">
        <v>3.2</v>
      </c>
      <c r="AX151" s="150">
        <v>3.4</v>
      </c>
      <c r="AY151" s="150">
        <v>3.6</v>
      </c>
      <c r="AZ151" s="150">
        <v>3.8</v>
      </c>
      <c r="BA151" s="150">
        <v>4</v>
      </c>
      <c r="BB151" s="150">
        <v>4.2</v>
      </c>
      <c r="BC151" s="150">
        <v>4.4000000000000004</v>
      </c>
      <c r="BD151" s="150">
        <v>4.5999999999999996</v>
      </c>
      <c r="BE151" s="150">
        <v>4.8</v>
      </c>
      <c r="BF151" s="150">
        <v>5</v>
      </c>
      <c r="BG151" s="150">
        <v>5.2</v>
      </c>
      <c r="BH151" s="150">
        <v>5.4</v>
      </c>
      <c r="BI151" s="150">
        <v>5.6</v>
      </c>
      <c r="BJ151" s="150">
        <v>5.8</v>
      </c>
      <c r="BK151" s="150">
        <v>6</v>
      </c>
      <c r="BL151" s="150">
        <v>6.2</v>
      </c>
      <c r="BM151" s="150">
        <v>6.4</v>
      </c>
      <c r="BN151" s="150">
        <v>6.6</v>
      </c>
      <c r="BO151" s="150">
        <v>6.8</v>
      </c>
      <c r="BP151" s="150">
        <v>7</v>
      </c>
      <c r="BQ151" s="150">
        <v>7.2</v>
      </c>
      <c r="BR151" s="150">
        <v>7.4</v>
      </c>
      <c r="BS151" s="150">
        <v>7.6</v>
      </c>
      <c r="BT151" s="150">
        <v>7.8</v>
      </c>
      <c r="BU151" s="150">
        <v>8</v>
      </c>
      <c r="BV151" s="150">
        <v>8.1999999999999993</v>
      </c>
      <c r="BW151" s="150">
        <v>8.4</v>
      </c>
      <c r="BX151" s="150">
        <v>8.6</v>
      </c>
      <c r="BY151" s="150">
        <v>8.7999999999999936</v>
      </c>
      <c r="BZ151" s="150">
        <v>9</v>
      </c>
      <c r="CA151" s="150">
        <v>9.1999999999999922</v>
      </c>
      <c r="CB151" s="150">
        <v>9.4</v>
      </c>
      <c r="CC151" s="150">
        <v>9.5999999999999908</v>
      </c>
      <c r="CD151" s="150">
        <v>9.8000000000000007</v>
      </c>
      <c r="CE151" s="150">
        <v>9.9999999999999893</v>
      </c>
      <c r="CF151" s="150">
        <v>10.199999999999999</v>
      </c>
      <c r="CG151" s="150">
        <v>10.4</v>
      </c>
      <c r="CH151" s="150">
        <v>10.6</v>
      </c>
      <c r="CI151" s="150">
        <v>10.8</v>
      </c>
      <c r="CJ151" s="150">
        <v>11</v>
      </c>
      <c r="CK151" s="150">
        <v>11.2</v>
      </c>
      <c r="CL151" s="150">
        <v>11.4</v>
      </c>
      <c r="CM151" s="150">
        <v>11.6</v>
      </c>
      <c r="CN151" s="150">
        <v>11.8</v>
      </c>
      <c r="CO151" s="150">
        <v>12</v>
      </c>
      <c r="CP151" s="150">
        <v>12.2</v>
      </c>
      <c r="CQ151" s="150">
        <v>12.4</v>
      </c>
      <c r="CR151" s="150">
        <v>12.6</v>
      </c>
      <c r="CS151" s="150">
        <v>12.8</v>
      </c>
      <c r="CT151" s="150">
        <v>13</v>
      </c>
      <c r="CU151" s="150">
        <v>13.2</v>
      </c>
      <c r="CV151" s="150">
        <v>13.4</v>
      </c>
      <c r="CW151" s="150">
        <v>13.6</v>
      </c>
      <c r="CX151" s="150">
        <v>13.8</v>
      </c>
      <c r="CY151" s="150">
        <v>14</v>
      </c>
      <c r="CZ151" s="150">
        <v>14.2</v>
      </c>
      <c r="DA151" s="150">
        <v>14.4</v>
      </c>
      <c r="DB151" s="150">
        <v>14.6</v>
      </c>
      <c r="DC151" s="150">
        <v>14.8</v>
      </c>
      <c r="DD151" s="150">
        <v>15</v>
      </c>
      <c r="DE151" s="150">
        <v>15.2</v>
      </c>
      <c r="DF151" s="150">
        <v>15.4</v>
      </c>
      <c r="DG151" s="150">
        <v>15.6</v>
      </c>
      <c r="DH151" s="150">
        <v>15.8</v>
      </c>
      <c r="DI151" s="150">
        <v>16</v>
      </c>
      <c r="DJ151" s="150">
        <v>16.2</v>
      </c>
      <c r="DK151" s="150">
        <v>16.399999999999999</v>
      </c>
      <c r="DL151" s="150">
        <v>16.600000000000001</v>
      </c>
      <c r="DM151" s="150">
        <v>16.8</v>
      </c>
      <c r="DN151" s="150">
        <v>17</v>
      </c>
      <c r="DO151" s="150">
        <v>17.2</v>
      </c>
      <c r="DP151" s="150">
        <v>17.399999999999999</v>
      </c>
      <c r="DQ151" s="150">
        <v>17.600000000000001</v>
      </c>
      <c r="DR151" s="150">
        <v>17.8</v>
      </c>
      <c r="DS151" s="150">
        <v>18</v>
      </c>
      <c r="DT151" s="150">
        <v>18.2</v>
      </c>
      <c r="DU151" s="150">
        <v>18.399999999999999</v>
      </c>
      <c r="DV151" s="150">
        <v>18.600000000000001</v>
      </c>
      <c r="DW151" s="150">
        <v>18.8</v>
      </c>
      <c r="DX151" s="150">
        <v>19</v>
      </c>
      <c r="DY151" s="150">
        <v>19.2</v>
      </c>
      <c r="DZ151" s="150">
        <v>19.399999999999999</v>
      </c>
      <c r="EA151" s="150">
        <v>19.600000000000001</v>
      </c>
      <c r="EB151" s="150">
        <v>19.8</v>
      </c>
      <c r="EC151" s="150">
        <v>20</v>
      </c>
      <c r="ED151" s="150">
        <v>20.2</v>
      </c>
      <c r="EE151" s="150">
        <v>20.399999999999999</v>
      </c>
      <c r="EF151" s="150">
        <v>20.6</v>
      </c>
      <c r="EG151" s="150">
        <v>20.799999999999951</v>
      </c>
      <c r="EH151" s="150">
        <v>21</v>
      </c>
      <c r="EI151" s="150">
        <v>21.19999999999995</v>
      </c>
      <c r="EJ151" s="150">
        <v>21.4</v>
      </c>
      <c r="EK151" s="150">
        <v>21.599999999999948</v>
      </c>
    </row>
    <row r="152" spans="1:141" ht="13.2" x14ac:dyDescent="0.25">
      <c r="A152" s="149">
        <v>41275</v>
      </c>
      <c r="B152" s="219">
        <v>-1.7785964148750009</v>
      </c>
      <c r="C152" s="219">
        <v>-1.7482952255625008</v>
      </c>
      <c r="D152" s="219">
        <v>-1.7179940362500008</v>
      </c>
      <c r="E152" s="219">
        <v>-1.6876928469375008</v>
      </c>
      <c r="F152" s="219">
        <v>-1.6573916576250007</v>
      </c>
      <c r="G152" s="219">
        <v>-1.6270904683125007</v>
      </c>
      <c r="H152" s="219">
        <v>-1.5967892790000007</v>
      </c>
      <c r="I152" s="219">
        <v>-1.5664880896875006</v>
      </c>
      <c r="J152" s="219">
        <v>-1.5361869003750006</v>
      </c>
      <c r="K152" s="219">
        <v>-1.5058857110625006</v>
      </c>
      <c r="L152" s="219">
        <v>-1.4755845217500005</v>
      </c>
      <c r="M152" s="219">
        <v>-1.4452833324375005</v>
      </c>
      <c r="N152" s="219">
        <v>-1.4149821431250005</v>
      </c>
      <c r="O152" s="219">
        <v>-1.3846809538125004</v>
      </c>
      <c r="P152" s="219">
        <v>-1.3543797645000004</v>
      </c>
      <c r="Q152" s="219">
        <v>-1.3240785751875004</v>
      </c>
      <c r="R152" s="219">
        <v>-1.2937773858750004</v>
      </c>
      <c r="S152" s="219">
        <v>-1.2634761965625003</v>
      </c>
      <c r="T152" s="219">
        <v>-1.2331750072500003</v>
      </c>
      <c r="U152" s="219">
        <v>-1.2028738179375003</v>
      </c>
      <c r="V152" s="220">
        <v>-1.1725726286250002</v>
      </c>
      <c r="W152" s="219">
        <v>-1.1422714393125002</v>
      </c>
      <c r="X152" s="220">
        <v>-1.1119702500000002</v>
      </c>
      <c r="Y152" s="219">
        <v>-1.0832351250000003</v>
      </c>
      <c r="Z152" s="220">
        <v>-1.0545000000000002</v>
      </c>
      <c r="AA152" s="219">
        <v>-1.0272500000000002</v>
      </c>
      <c r="AB152" s="221">
        <v>-1</v>
      </c>
      <c r="AC152" s="219">
        <v>-0.8</v>
      </c>
      <c r="AD152" s="221">
        <v>-0.6</v>
      </c>
      <c r="AE152" s="219">
        <v>-0.4</v>
      </c>
      <c r="AF152" s="219">
        <v>-0.2</v>
      </c>
      <c r="AG152" s="150">
        <v>0</v>
      </c>
      <c r="AH152" s="150">
        <v>0.2</v>
      </c>
      <c r="AI152" s="150">
        <v>0.4</v>
      </c>
      <c r="AJ152" s="150">
        <v>0.6</v>
      </c>
      <c r="AK152" s="150">
        <v>0.8</v>
      </c>
      <c r="AL152" s="150">
        <v>1</v>
      </c>
      <c r="AM152" s="150">
        <v>1.2</v>
      </c>
      <c r="AN152" s="150">
        <v>1.4</v>
      </c>
      <c r="AO152" s="150">
        <v>1.6</v>
      </c>
      <c r="AP152" s="150">
        <v>1.8</v>
      </c>
      <c r="AQ152" s="150">
        <v>2</v>
      </c>
      <c r="AR152" s="150">
        <v>2.2000000000000002</v>
      </c>
      <c r="AS152" s="150">
        <v>2.4</v>
      </c>
      <c r="AT152" s="150">
        <v>2.6</v>
      </c>
      <c r="AU152" s="150">
        <v>2.8</v>
      </c>
      <c r="AV152" s="150">
        <v>3</v>
      </c>
      <c r="AW152" s="150">
        <v>3.2</v>
      </c>
      <c r="AX152" s="150">
        <v>3.4</v>
      </c>
      <c r="AY152" s="150">
        <v>3.6</v>
      </c>
      <c r="AZ152" s="150">
        <v>3.8</v>
      </c>
      <c r="BA152" s="150">
        <v>4</v>
      </c>
      <c r="BB152" s="150">
        <v>4.2</v>
      </c>
      <c r="BC152" s="150">
        <v>4.4000000000000004</v>
      </c>
      <c r="BD152" s="150">
        <v>4.5999999999999996</v>
      </c>
      <c r="BE152" s="150">
        <v>4.8</v>
      </c>
      <c r="BF152" s="150">
        <v>5</v>
      </c>
      <c r="BG152" s="150">
        <v>5.2</v>
      </c>
      <c r="BH152" s="150">
        <v>5.4</v>
      </c>
      <c r="BI152" s="150">
        <v>5.6</v>
      </c>
      <c r="BJ152" s="150">
        <v>5.8</v>
      </c>
      <c r="BK152" s="150">
        <v>6</v>
      </c>
      <c r="BL152" s="150">
        <v>6.2</v>
      </c>
      <c r="BM152" s="150">
        <v>6.4</v>
      </c>
      <c r="BN152" s="150">
        <v>6.6</v>
      </c>
      <c r="BO152" s="150">
        <v>6.8</v>
      </c>
      <c r="BP152" s="150">
        <v>7</v>
      </c>
      <c r="BQ152" s="150">
        <v>7.2</v>
      </c>
      <c r="BR152" s="150">
        <v>7.4</v>
      </c>
      <c r="BS152" s="150">
        <v>7.6</v>
      </c>
      <c r="BT152" s="150">
        <v>7.8</v>
      </c>
      <c r="BU152" s="150">
        <v>8</v>
      </c>
      <c r="BV152" s="150">
        <v>8.1999999999999993</v>
      </c>
      <c r="BW152" s="150">
        <v>8.4</v>
      </c>
      <c r="BX152" s="150">
        <v>8.6</v>
      </c>
      <c r="BY152" s="150">
        <v>8.7999999999999936</v>
      </c>
      <c r="BZ152" s="150">
        <v>9</v>
      </c>
      <c r="CA152" s="150">
        <v>9.1999999999999922</v>
      </c>
      <c r="CB152" s="150">
        <v>9.4</v>
      </c>
      <c r="CC152" s="150">
        <v>9.5999999999999908</v>
      </c>
      <c r="CD152" s="150">
        <v>9.8000000000000007</v>
      </c>
      <c r="CE152" s="150">
        <v>9.9999999999999893</v>
      </c>
      <c r="CF152" s="150">
        <v>10.199999999999999</v>
      </c>
      <c r="CG152" s="150">
        <v>10.4</v>
      </c>
      <c r="CH152" s="150">
        <v>10.6</v>
      </c>
      <c r="CI152" s="150">
        <v>10.8</v>
      </c>
      <c r="CJ152" s="150">
        <v>11</v>
      </c>
      <c r="CK152" s="150">
        <v>11.2</v>
      </c>
      <c r="CL152" s="150">
        <v>11.4</v>
      </c>
      <c r="CM152" s="150">
        <v>11.6</v>
      </c>
      <c r="CN152" s="150">
        <v>11.8</v>
      </c>
      <c r="CO152" s="150">
        <v>12</v>
      </c>
      <c r="CP152" s="150">
        <v>12.2</v>
      </c>
      <c r="CQ152" s="150">
        <v>12.4</v>
      </c>
      <c r="CR152" s="150">
        <v>12.6</v>
      </c>
      <c r="CS152" s="150">
        <v>12.8</v>
      </c>
      <c r="CT152" s="150">
        <v>13</v>
      </c>
      <c r="CU152" s="150">
        <v>13.2</v>
      </c>
      <c r="CV152" s="150">
        <v>13.4</v>
      </c>
      <c r="CW152" s="150">
        <v>13.6</v>
      </c>
      <c r="CX152" s="150">
        <v>13.8</v>
      </c>
      <c r="CY152" s="150">
        <v>14</v>
      </c>
      <c r="CZ152" s="150">
        <v>14.2</v>
      </c>
      <c r="DA152" s="150">
        <v>14.4</v>
      </c>
      <c r="DB152" s="150">
        <v>14.6</v>
      </c>
      <c r="DC152" s="150">
        <v>14.8</v>
      </c>
      <c r="DD152" s="150">
        <v>15</v>
      </c>
      <c r="DE152" s="150">
        <v>15.2</v>
      </c>
      <c r="DF152" s="150">
        <v>15.4</v>
      </c>
      <c r="DG152" s="150">
        <v>15.6</v>
      </c>
      <c r="DH152" s="150">
        <v>15.8</v>
      </c>
      <c r="DI152" s="150">
        <v>16</v>
      </c>
      <c r="DJ152" s="150">
        <v>16.2</v>
      </c>
      <c r="DK152" s="150">
        <v>16.399999999999999</v>
      </c>
      <c r="DL152" s="150">
        <v>16.600000000000001</v>
      </c>
      <c r="DM152" s="150">
        <v>16.8</v>
      </c>
      <c r="DN152" s="150">
        <v>17</v>
      </c>
      <c r="DO152" s="150">
        <v>17.2</v>
      </c>
      <c r="DP152" s="150">
        <v>17.399999999999999</v>
      </c>
      <c r="DQ152" s="150">
        <v>17.600000000000001</v>
      </c>
      <c r="DR152" s="150">
        <v>17.8</v>
      </c>
      <c r="DS152" s="150">
        <v>18</v>
      </c>
      <c r="DT152" s="150">
        <v>18.2</v>
      </c>
      <c r="DU152" s="150">
        <v>18.399999999999999</v>
      </c>
      <c r="DV152" s="150">
        <v>18.600000000000001</v>
      </c>
      <c r="DW152" s="150">
        <v>18.8</v>
      </c>
      <c r="DX152" s="150">
        <v>19</v>
      </c>
      <c r="DY152" s="150">
        <v>19.2</v>
      </c>
      <c r="DZ152" s="150">
        <v>19.399999999999999</v>
      </c>
      <c r="EA152" s="150">
        <v>19.600000000000001</v>
      </c>
      <c r="EB152" s="150">
        <v>19.8</v>
      </c>
      <c r="EC152" s="150">
        <v>20</v>
      </c>
      <c r="ED152" s="150">
        <v>20.2</v>
      </c>
      <c r="EE152" s="150">
        <v>20.399999999999999</v>
      </c>
      <c r="EF152" s="150">
        <v>20.6</v>
      </c>
      <c r="EG152" s="150">
        <v>20.799999999999951</v>
      </c>
      <c r="EH152" s="150">
        <v>21</v>
      </c>
      <c r="EI152" s="150">
        <v>21.19999999999995</v>
      </c>
      <c r="EJ152" s="150">
        <v>21.4</v>
      </c>
      <c r="EK152" s="150">
        <v>21.599999999999948</v>
      </c>
    </row>
    <row r="153" spans="1:141" ht="13.2" x14ac:dyDescent="0.25">
      <c r="A153" s="149">
        <v>41306</v>
      </c>
      <c r="B153" s="219">
        <v>-1.7785964148750009</v>
      </c>
      <c r="C153" s="219">
        <v>-1.7482952255625008</v>
      </c>
      <c r="D153" s="219">
        <v>-1.7179940362500008</v>
      </c>
      <c r="E153" s="219">
        <v>-1.6876928469375008</v>
      </c>
      <c r="F153" s="219">
        <v>-1.6573916576250007</v>
      </c>
      <c r="G153" s="219">
        <v>-1.6270904683125007</v>
      </c>
      <c r="H153" s="219">
        <v>-1.5967892790000007</v>
      </c>
      <c r="I153" s="219">
        <v>-1.5664880896875006</v>
      </c>
      <c r="J153" s="219">
        <v>-1.5361869003750006</v>
      </c>
      <c r="K153" s="219">
        <v>-1.5058857110625006</v>
      </c>
      <c r="L153" s="219">
        <v>-1.4755845217500005</v>
      </c>
      <c r="M153" s="219">
        <v>-1.4452833324375005</v>
      </c>
      <c r="N153" s="219">
        <v>-1.4149821431250005</v>
      </c>
      <c r="O153" s="219">
        <v>-1.3846809538125004</v>
      </c>
      <c r="P153" s="219">
        <v>-1.3543797645000004</v>
      </c>
      <c r="Q153" s="219">
        <v>-1.3240785751875004</v>
      </c>
      <c r="R153" s="219">
        <v>-1.2937773858750004</v>
      </c>
      <c r="S153" s="219">
        <v>-1.2634761965625003</v>
      </c>
      <c r="T153" s="219">
        <v>-1.2331750072500003</v>
      </c>
      <c r="U153" s="219">
        <v>-1.2028738179375003</v>
      </c>
      <c r="V153" s="220">
        <v>-1.1725726286250002</v>
      </c>
      <c r="W153" s="219">
        <v>-1.1422714393125002</v>
      </c>
      <c r="X153" s="220">
        <v>-1.1119702500000002</v>
      </c>
      <c r="Y153" s="219">
        <v>-1.0832351250000003</v>
      </c>
      <c r="Z153" s="220">
        <v>-1.0545000000000002</v>
      </c>
      <c r="AA153" s="219">
        <v>-1.0272500000000002</v>
      </c>
      <c r="AB153" s="221">
        <v>-1</v>
      </c>
      <c r="AC153" s="219">
        <v>-0.8</v>
      </c>
      <c r="AD153" s="221">
        <v>-0.6</v>
      </c>
      <c r="AE153" s="219">
        <v>-0.4</v>
      </c>
      <c r="AF153" s="219">
        <v>-0.2</v>
      </c>
      <c r="AG153" s="150">
        <v>0</v>
      </c>
      <c r="AH153" s="150">
        <v>0.2</v>
      </c>
      <c r="AI153" s="150">
        <v>0.4</v>
      </c>
      <c r="AJ153" s="150">
        <v>0.6</v>
      </c>
      <c r="AK153" s="150">
        <v>0.8</v>
      </c>
      <c r="AL153" s="150">
        <v>1</v>
      </c>
      <c r="AM153" s="150">
        <v>1.2</v>
      </c>
      <c r="AN153" s="150">
        <v>1.4</v>
      </c>
      <c r="AO153" s="150">
        <v>1.6</v>
      </c>
      <c r="AP153" s="150">
        <v>1.8</v>
      </c>
      <c r="AQ153" s="150">
        <v>2</v>
      </c>
      <c r="AR153" s="150">
        <v>2.2000000000000002</v>
      </c>
      <c r="AS153" s="150">
        <v>2.4</v>
      </c>
      <c r="AT153" s="150">
        <v>2.6</v>
      </c>
      <c r="AU153" s="150">
        <v>2.8</v>
      </c>
      <c r="AV153" s="150">
        <v>3</v>
      </c>
      <c r="AW153" s="150">
        <v>3.2</v>
      </c>
      <c r="AX153" s="150">
        <v>3.4</v>
      </c>
      <c r="AY153" s="150">
        <v>3.6</v>
      </c>
      <c r="AZ153" s="150">
        <v>3.8</v>
      </c>
      <c r="BA153" s="150">
        <v>4</v>
      </c>
      <c r="BB153" s="150">
        <v>4.2</v>
      </c>
      <c r="BC153" s="150">
        <v>4.4000000000000004</v>
      </c>
      <c r="BD153" s="150">
        <v>4.5999999999999996</v>
      </c>
      <c r="BE153" s="150">
        <v>4.8</v>
      </c>
      <c r="BF153" s="150">
        <v>5</v>
      </c>
      <c r="BG153" s="150">
        <v>5.2</v>
      </c>
      <c r="BH153" s="150">
        <v>5.4</v>
      </c>
      <c r="BI153" s="150">
        <v>5.6</v>
      </c>
      <c r="BJ153" s="150">
        <v>5.8</v>
      </c>
      <c r="BK153" s="150">
        <v>6</v>
      </c>
      <c r="BL153" s="150">
        <v>6.2</v>
      </c>
      <c r="BM153" s="150">
        <v>6.4</v>
      </c>
      <c r="BN153" s="150">
        <v>6.6</v>
      </c>
      <c r="BO153" s="150">
        <v>6.8</v>
      </c>
      <c r="BP153" s="150">
        <v>7</v>
      </c>
      <c r="BQ153" s="150">
        <v>7.2</v>
      </c>
      <c r="BR153" s="150">
        <v>7.4</v>
      </c>
      <c r="BS153" s="150">
        <v>7.6</v>
      </c>
      <c r="BT153" s="150">
        <v>7.8</v>
      </c>
      <c r="BU153" s="150">
        <v>8</v>
      </c>
      <c r="BV153" s="150">
        <v>8.1999999999999993</v>
      </c>
      <c r="BW153" s="150">
        <v>8.4</v>
      </c>
      <c r="BX153" s="150">
        <v>8.6</v>
      </c>
      <c r="BY153" s="150">
        <v>8.7999999999999936</v>
      </c>
      <c r="BZ153" s="150">
        <v>9</v>
      </c>
      <c r="CA153" s="150">
        <v>9.1999999999999922</v>
      </c>
      <c r="CB153" s="150">
        <v>9.4</v>
      </c>
      <c r="CC153" s="150">
        <v>9.5999999999999908</v>
      </c>
      <c r="CD153" s="150">
        <v>9.8000000000000007</v>
      </c>
      <c r="CE153" s="150">
        <v>9.9999999999999893</v>
      </c>
      <c r="CF153" s="150">
        <v>10.199999999999999</v>
      </c>
      <c r="CG153" s="150">
        <v>10.4</v>
      </c>
      <c r="CH153" s="150">
        <v>10.6</v>
      </c>
      <c r="CI153" s="150">
        <v>10.8</v>
      </c>
      <c r="CJ153" s="150">
        <v>11</v>
      </c>
      <c r="CK153" s="150">
        <v>11.2</v>
      </c>
      <c r="CL153" s="150">
        <v>11.4</v>
      </c>
      <c r="CM153" s="150">
        <v>11.6</v>
      </c>
      <c r="CN153" s="150">
        <v>11.8</v>
      </c>
      <c r="CO153" s="150">
        <v>12</v>
      </c>
      <c r="CP153" s="150">
        <v>12.2</v>
      </c>
      <c r="CQ153" s="150">
        <v>12.4</v>
      </c>
      <c r="CR153" s="150">
        <v>12.6</v>
      </c>
      <c r="CS153" s="150">
        <v>12.8</v>
      </c>
      <c r="CT153" s="150">
        <v>13</v>
      </c>
      <c r="CU153" s="150">
        <v>13.2</v>
      </c>
      <c r="CV153" s="150">
        <v>13.4</v>
      </c>
      <c r="CW153" s="150">
        <v>13.6</v>
      </c>
      <c r="CX153" s="150">
        <v>13.8</v>
      </c>
      <c r="CY153" s="150">
        <v>14</v>
      </c>
      <c r="CZ153" s="150">
        <v>14.2</v>
      </c>
      <c r="DA153" s="150">
        <v>14.4</v>
      </c>
      <c r="DB153" s="150">
        <v>14.6</v>
      </c>
      <c r="DC153" s="150">
        <v>14.8</v>
      </c>
      <c r="DD153" s="150">
        <v>15</v>
      </c>
      <c r="DE153" s="150">
        <v>15.2</v>
      </c>
      <c r="DF153" s="150">
        <v>15.4</v>
      </c>
      <c r="DG153" s="150">
        <v>15.6</v>
      </c>
      <c r="DH153" s="150">
        <v>15.8</v>
      </c>
      <c r="DI153" s="150">
        <v>16</v>
      </c>
      <c r="DJ153" s="150">
        <v>16.2</v>
      </c>
      <c r="DK153" s="150">
        <v>16.399999999999999</v>
      </c>
      <c r="DL153" s="150">
        <v>16.600000000000001</v>
      </c>
      <c r="DM153" s="150">
        <v>16.8</v>
      </c>
      <c r="DN153" s="150">
        <v>17</v>
      </c>
      <c r="DO153" s="150">
        <v>17.2</v>
      </c>
      <c r="DP153" s="150">
        <v>17.399999999999999</v>
      </c>
      <c r="DQ153" s="150">
        <v>17.600000000000001</v>
      </c>
      <c r="DR153" s="150">
        <v>17.8</v>
      </c>
      <c r="DS153" s="150">
        <v>18</v>
      </c>
      <c r="DT153" s="150">
        <v>18.2</v>
      </c>
      <c r="DU153" s="150">
        <v>18.399999999999999</v>
      </c>
      <c r="DV153" s="150">
        <v>18.600000000000001</v>
      </c>
      <c r="DW153" s="150">
        <v>18.8</v>
      </c>
      <c r="DX153" s="150">
        <v>19</v>
      </c>
      <c r="DY153" s="150">
        <v>19.2</v>
      </c>
      <c r="DZ153" s="150">
        <v>19.399999999999999</v>
      </c>
      <c r="EA153" s="150">
        <v>19.600000000000001</v>
      </c>
      <c r="EB153" s="150">
        <v>19.8</v>
      </c>
      <c r="EC153" s="150">
        <v>20</v>
      </c>
      <c r="ED153" s="150">
        <v>20.2</v>
      </c>
      <c r="EE153" s="150">
        <v>20.399999999999999</v>
      </c>
      <c r="EF153" s="150">
        <v>20.6</v>
      </c>
      <c r="EG153" s="150">
        <v>20.799999999999951</v>
      </c>
      <c r="EH153" s="150">
        <v>21</v>
      </c>
      <c r="EI153" s="150">
        <v>21.19999999999995</v>
      </c>
      <c r="EJ153" s="150">
        <v>21.4</v>
      </c>
      <c r="EK153" s="150">
        <v>21.599999999999948</v>
      </c>
    </row>
    <row r="154" spans="1:141" ht="13.2" x14ac:dyDescent="0.25">
      <c r="A154" s="149">
        <v>41334</v>
      </c>
      <c r="B154" s="219">
        <v>-1.7785964148750009</v>
      </c>
      <c r="C154" s="219">
        <v>-1.7482952255625008</v>
      </c>
      <c r="D154" s="219">
        <v>-1.7179940362500008</v>
      </c>
      <c r="E154" s="219">
        <v>-1.6876928469375008</v>
      </c>
      <c r="F154" s="219">
        <v>-1.6573916576250007</v>
      </c>
      <c r="G154" s="219">
        <v>-1.6270904683125007</v>
      </c>
      <c r="H154" s="219">
        <v>-1.5967892790000007</v>
      </c>
      <c r="I154" s="219">
        <v>-1.5664880896875006</v>
      </c>
      <c r="J154" s="219">
        <v>-1.5361869003750006</v>
      </c>
      <c r="K154" s="219">
        <v>-1.5058857110625006</v>
      </c>
      <c r="L154" s="219">
        <v>-1.4755845217500005</v>
      </c>
      <c r="M154" s="219">
        <v>-1.4452833324375005</v>
      </c>
      <c r="N154" s="219">
        <v>-1.4149821431250005</v>
      </c>
      <c r="O154" s="219">
        <v>-1.3846809538125004</v>
      </c>
      <c r="P154" s="219">
        <v>-1.3543797645000004</v>
      </c>
      <c r="Q154" s="219">
        <v>-1.3240785751875004</v>
      </c>
      <c r="R154" s="219">
        <v>-1.2937773858750004</v>
      </c>
      <c r="S154" s="219">
        <v>-1.2634761965625003</v>
      </c>
      <c r="T154" s="219">
        <v>-1.2331750072500003</v>
      </c>
      <c r="U154" s="219">
        <v>-1.2028738179375003</v>
      </c>
      <c r="V154" s="220">
        <v>-1.1725726286250002</v>
      </c>
      <c r="W154" s="219">
        <v>-1.1422714393125002</v>
      </c>
      <c r="X154" s="220">
        <v>-1.1119702500000002</v>
      </c>
      <c r="Y154" s="219">
        <v>-1.0832351250000003</v>
      </c>
      <c r="Z154" s="220">
        <v>-1.0545000000000002</v>
      </c>
      <c r="AA154" s="219">
        <v>-1.0272500000000002</v>
      </c>
      <c r="AB154" s="221">
        <v>-1</v>
      </c>
      <c r="AC154" s="219">
        <v>-0.8</v>
      </c>
      <c r="AD154" s="221">
        <v>-0.6</v>
      </c>
      <c r="AE154" s="219">
        <v>-0.4</v>
      </c>
      <c r="AF154" s="219">
        <v>-0.2</v>
      </c>
      <c r="AG154" s="150">
        <v>0</v>
      </c>
      <c r="AH154" s="150">
        <v>0.2</v>
      </c>
      <c r="AI154" s="150">
        <v>0.4</v>
      </c>
      <c r="AJ154" s="150">
        <v>0.6</v>
      </c>
      <c r="AK154" s="150">
        <v>0.8</v>
      </c>
      <c r="AL154" s="150">
        <v>1</v>
      </c>
      <c r="AM154" s="150">
        <v>1.2</v>
      </c>
      <c r="AN154" s="150">
        <v>1.4</v>
      </c>
      <c r="AO154" s="150">
        <v>1.6</v>
      </c>
      <c r="AP154" s="150">
        <v>1.8</v>
      </c>
      <c r="AQ154" s="150">
        <v>2</v>
      </c>
      <c r="AR154" s="150">
        <v>2.2000000000000002</v>
      </c>
      <c r="AS154" s="150">
        <v>2.4</v>
      </c>
      <c r="AT154" s="150">
        <v>2.6</v>
      </c>
      <c r="AU154" s="150">
        <v>2.8</v>
      </c>
      <c r="AV154" s="150">
        <v>3</v>
      </c>
      <c r="AW154" s="150">
        <v>3.2</v>
      </c>
      <c r="AX154" s="150">
        <v>3.4</v>
      </c>
      <c r="AY154" s="150">
        <v>3.6</v>
      </c>
      <c r="AZ154" s="150">
        <v>3.8</v>
      </c>
      <c r="BA154" s="150">
        <v>4</v>
      </c>
      <c r="BB154" s="150">
        <v>4.2</v>
      </c>
      <c r="BC154" s="150">
        <v>4.4000000000000004</v>
      </c>
      <c r="BD154" s="150">
        <v>4.5999999999999996</v>
      </c>
      <c r="BE154" s="150">
        <v>4.8</v>
      </c>
      <c r="BF154" s="150">
        <v>5</v>
      </c>
      <c r="BG154" s="150">
        <v>5.2</v>
      </c>
      <c r="BH154" s="150">
        <v>5.4</v>
      </c>
      <c r="BI154" s="150">
        <v>5.6</v>
      </c>
      <c r="BJ154" s="150">
        <v>5.8</v>
      </c>
      <c r="BK154" s="150">
        <v>6</v>
      </c>
      <c r="BL154" s="150">
        <v>6.2</v>
      </c>
      <c r="BM154" s="150">
        <v>6.4</v>
      </c>
      <c r="BN154" s="150">
        <v>6.6</v>
      </c>
      <c r="BO154" s="150">
        <v>6.8</v>
      </c>
      <c r="BP154" s="150">
        <v>7</v>
      </c>
      <c r="BQ154" s="150">
        <v>7.2</v>
      </c>
      <c r="BR154" s="150">
        <v>7.4</v>
      </c>
      <c r="BS154" s="150">
        <v>7.6</v>
      </c>
      <c r="BT154" s="150">
        <v>7.8</v>
      </c>
      <c r="BU154" s="150">
        <v>8</v>
      </c>
      <c r="BV154" s="150">
        <v>8.1999999999999993</v>
      </c>
      <c r="BW154" s="150">
        <v>8.4</v>
      </c>
      <c r="BX154" s="150">
        <v>8.6</v>
      </c>
      <c r="BY154" s="150">
        <v>8.7999999999999936</v>
      </c>
      <c r="BZ154" s="150">
        <v>9</v>
      </c>
      <c r="CA154" s="150">
        <v>9.1999999999999922</v>
      </c>
      <c r="CB154" s="150">
        <v>9.4</v>
      </c>
      <c r="CC154" s="150">
        <v>9.5999999999999908</v>
      </c>
      <c r="CD154" s="150">
        <v>9.8000000000000007</v>
      </c>
      <c r="CE154" s="150">
        <v>9.9999999999999893</v>
      </c>
      <c r="CF154" s="150">
        <v>10.199999999999999</v>
      </c>
      <c r="CG154" s="150">
        <v>10.4</v>
      </c>
      <c r="CH154" s="150">
        <v>10.6</v>
      </c>
      <c r="CI154" s="150">
        <v>10.8</v>
      </c>
      <c r="CJ154" s="150">
        <v>11</v>
      </c>
      <c r="CK154" s="150">
        <v>11.2</v>
      </c>
      <c r="CL154" s="150">
        <v>11.4</v>
      </c>
      <c r="CM154" s="150">
        <v>11.6</v>
      </c>
      <c r="CN154" s="150">
        <v>11.8</v>
      </c>
      <c r="CO154" s="150">
        <v>12</v>
      </c>
      <c r="CP154" s="150">
        <v>12.2</v>
      </c>
      <c r="CQ154" s="150">
        <v>12.4</v>
      </c>
      <c r="CR154" s="150">
        <v>12.6</v>
      </c>
      <c r="CS154" s="150">
        <v>12.8</v>
      </c>
      <c r="CT154" s="150">
        <v>13</v>
      </c>
      <c r="CU154" s="150">
        <v>13.2</v>
      </c>
      <c r="CV154" s="150">
        <v>13.4</v>
      </c>
      <c r="CW154" s="150">
        <v>13.6</v>
      </c>
      <c r="CX154" s="150">
        <v>13.8</v>
      </c>
      <c r="CY154" s="150">
        <v>14</v>
      </c>
      <c r="CZ154" s="150">
        <v>14.2</v>
      </c>
      <c r="DA154" s="150">
        <v>14.4</v>
      </c>
      <c r="DB154" s="150">
        <v>14.6</v>
      </c>
      <c r="DC154" s="150">
        <v>14.8</v>
      </c>
      <c r="DD154" s="150">
        <v>15</v>
      </c>
      <c r="DE154" s="150">
        <v>15.2</v>
      </c>
      <c r="DF154" s="150">
        <v>15.4</v>
      </c>
      <c r="DG154" s="150">
        <v>15.6</v>
      </c>
      <c r="DH154" s="150">
        <v>15.8</v>
      </c>
      <c r="DI154" s="150">
        <v>16</v>
      </c>
      <c r="DJ154" s="150">
        <v>16.2</v>
      </c>
      <c r="DK154" s="150">
        <v>16.399999999999999</v>
      </c>
      <c r="DL154" s="150">
        <v>16.600000000000001</v>
      </c>
      <c r="DM154" s="150">
        <v>16.8</v>
      </c>
      <c r="DN154" s="150">
        <v>17</v>
      </c>
      <c r="DO154" s="150">
        <v>17.2</v>
      </c>
      <c r="DP154" s="150">
        <v>17.399999999999999</v>
      </c>
      <c r="DQ154" s="150">
        <v>17.600000000000001</v>
      </c>
      <c r="DR154" s="150">
        <v>17.8</v>
      </c>
      <c r="DS154" s="150">
        <v>18</v>
      </c>
      <c r="DT154" s="150">
        <v>18.2</v>
      </c>
      <c r="DU154" s="150">
        <v>18.399999999999999</v>
      </c>
      <c r="DV154" s="150">
        <v>18.600000000000001</v>
      </c>
      <c r="DW154" s="150">
        <v>18.8</v>
      </c>
      <c r="DX154" s="150">
        <v>19</v>
      </c>
      <c r="DY154" s="150">
        <v>19.2</v>
      </c>
      <c r="DZ154" s="150">
        <v>19.399999999999999</v>
      </c>
      <c r="EA154" s="150">
        <v>19.600000000000001</v>
      </c>
      <c r="EB154" s="150">
        <v>19.8</v>
      </c>
      <c r="EC154" s="150">
        <v>20</v>
      </c>
      <c r="ED154" s="150">
        <v>20.2</v>
      </c>
      <c r="EE154" s="150">
        <v>20.399999999999999</v>
      </c>
      <c r="EF154" s="150">
        <v>20.6</v>
      </c>
      <c r="EG154" s="150">
        <v>20.799999999999951</v>
      </c>
      <c r="EH154" s="150">
        <v>21</v>
      </c>
      <c r="EI154" s="150">
        <v>21.19999999999995</v>
      </c>
      <c r="EJ154" s="150">
        <v>21.4</v>
      </c>
      <c r="EK154" s="150">
        <v>21.599999999999948</v>
      </c>
    </row>
    <row r="155" spans="1:141" ht="13.2" x14ac:dyDescent="0.25">
      <c r="A155" s="149">
        <v>41365</v>
      </c>
      <c r="B155" s="219">
        <v>-1.7785964148750009</v>
      </c>
      <c r="C155" s="219">
        <v>-1.7482952255625008</v>
      </c>
      <c r="D155" s="219">
        <v>-1.7179940362500008</v>
      </c>
      <c r="E155" s="219">
        <v>-1.6876928469375008</v>
      </c>
      <c r="F155" s="219">
        <v>-1.6573916576250007</v>
      </c>
      <c r="G155" s="219">
        <v>-1.6270904683125007</v>
      </c>
      <c r="H155" s="219">
        <v>-1.5967892790000007</v>
      </c>
      <c r="I155" s="219">
        <v>-1.5664880896875006</v>
      </c>
      <c r="J155" s="219">
        <v>-1.5361869003750006</v>
      </c>
      <c r="K155" s="219">
        <v>-1.5058857110625006</v>
      </c>
      <c r="L155" s="219">
        <v>-1.4755845217500005</v>
      </c>
      <c r="M155" s="219">
        <v>-1.4452833324375005</v>
      </c>
      <c r="N155" s="219">
        <v>-1.4149821431250005</v>
      </c>
      <c r="O155" s="219">
        <v>-1.3846809538125004</v>
      </c>
      <c r="P155" s="219">
        <v>-1.3543797645000004</v>
      </c>
      <c r="Q155" s="219">
        <v>-1.3240785751875004</v>
      </c>
      <c r="R155" s="219">
        <v>-1.2937773858750004</v>
      </c>
      <c r="S155" s="219">
        <v>-1.2634761965625003</v>
      </c>
      <c r="T155" s="219">
        <v>-1.2331750072500003</v>
      </c>
      <c r="U155" s="219">
        <v>-1.2028738179375003</v>
      </c>
      <c r="V155" s="220">
        <v>-1.1725726286250002</v>
      </c>
      <c r="W155" s="219">
        <v>-1.1422714393125002</v>
      </c>
      <c r="X155" s="220">
        <v>-1.1119702500000002</v>
      </c>
      <c r="Y155" s="219">
        <v>-1.0832351250000003</v>
      </c>
      <c r="Z155" s="220">
        <v>-1.0545000000000002</v>
      </c>
      <c r="AA155" s="219">
        <v>-1.0272500000000002</v>
      </c>
      <c r="AB155" s="221">
        <v>-1</v>
      </c>
      <c r="AC155" s="219">
        <v>-0.8</v>
      </c>
      <c r="AD155" s="221">
        <v>-0.6</v>
      </c>
      <c r="AE155" s="219">
        <v>-0.4</v>
      </c>
      <c r="AF155" s="219">
        <v>-0.2</v>
      </c>
      <c r="AG155" s="150">
        <v>0</v>
      </c>
      <c r="AH155" s="150">
        <v>0.2</v>
      </c>
      <c r="AI155" s="150">
        <v>0.4</v>
      </c>
      <c r="AJ155" s="150">
        <v>0.6</v>
      </c>
      <c r="AK155" s="150">
        <v>0.8</v>
      </c>
      <c r="AL155" s="150">
        <v>1</v>
      </c>
      <c r="AM155" s="150">
        <v>1.2</v>
      </c>
      <c r="AN155" s="150">
        <v>1.4</v>
      </c>
      <c r="AO155" s="150">
        <v>1.6</v>
      </c>
      <c r="AP155" s="150">
        <v>1.8</v>
      </c>
      <c r="AQ155" s="150">
        <v>2</v>
      </c>
      <c r="AR155" s="150">
        <v>2.2000000000000002</v>
      </c>
      <c r="AS155" s="150">
        <v>2.4</v>
      </c>
      <c r="AT155" s="150">
        <v>2.6</v>
      </c>
      <c r="AU155" s="150">
        <v>2.8</v>
      </c>
      <c r="AV155" s="150">
        <v>3</v>
      </c>
      <c r="AW155" s="150">
        <v>3.2</v>
      </c>
      <c r="AX155" s="150">
        <v>3.4</v>
      </c>
      <c r="AY155" s="150">
        <v>3.6</v>
      </c>
      <c r="AZ155" s="150">
        <v>3.8</v>
      </c>
      <c r="BA155" s="150">
        <v>4</v>
      </c>
      <c r="BB155" s="150">
        <v>4.2</v>
      </c>
      <c r="BC155" s="150">
        <v>4.4000000000000004</v>
      </c>
      <c r="BD155" s="150">
        <v>4.5999999999999996</v>
      </c>
      <c r="BE155" s="150">
        <v>4.8</v>
      </c>
      <c r="BF155" s="150">
        <v>5</v>
      </c>
      <c r="BG155" s="150">
        <v>5.2</v>
      </c>
      <c r="BH155" s="150">
        <v>5.4</v>
      </c>
      <c r="BI155" s="150">
        <v>5.6</v>
      </c>
      <c r="BJ155" s="150">
        <v>5.8</v>
      </c>
      <c r="BK155" s="150">
        <v>6</v>
      </c>
      <c r="BL155" s="150">
        <v>6.2</v>
      </c>
      <c r="BM155" s="150">
        <v>6.4</v>
      </c>
      <c r="BN155" s="150">
        <v>6.6</v>
      </c>
      <c r="BO155" s="150">
        <v>6.8</v>
      </c>
      <c r="BP155" s="150">
        <v>7</v>
      </c>
      <c r="BQ155" s="150">
        <v>7.2</v>
      </c>
      <c r="BR155" s="150">
        <v>7.4</v>
      </c>
      <c r="BS155" s="150">
        <v>7.6</v>
      </c>
      <c r="BT155" s="150">
        <v>7.8</v>
      </c>
      <c r="BU155" s="150">
        <v>8</v>
      </c>
      <c r="BV155" s="150">
        <v>8.1999999999999993</v>
      </c>
      <c r="BW155" s="150">
        <v>8.4</v>
      </c>
      <c r="BX155" s="150">
        <v>8.6</v>
      </c>
      <c r="BY155" s="150">
        <v>8.7999999999999936</v>
      </c>
      <c r="BZ155" s="150">
        <v>9</v>
      </c>
      <c r="CA155" s="150">
        <v>9.1999999999999922</v>
      </c>
      <c r="CB155" s="150">
        <v>9.4</v>
      </c>
      <c r="CC155" s="150">
        <v>9.5999999999999908</v>
      </c>
      <c r="CD155" s="150">
        <v>9.8000000000000007</v>
      </c>
      <c r="CE155" s="150">
        <v>9.9999999999999893</v>
      </c>
      <c r="CF155" s="150">
        <v>10.199999999999999</v>
      </c>
      <c r="CG155" s="150">
        <v>10.4</v>
      </c>
      <c r="CH155" s="150">
        <v>10.6</v>
      </c>
      <c r="CI155" s="150">
        <v>10.8</v>
      </c>
      <c r="CJ155" s="150">
        <v>11</v>
      </c>
      <c r="CK155" s="150">
        <v>11.2</v>
      </c>
      <c r="CL155" s="150">
        <v>11.4</v>
      </c>
      <c r="CM155" s="150">
        <v>11.6</v>
      </c>
      <c r="CN155" s="150">
        <v>11.8</v>
      </c>
      <c r="CO155" s="150">
        <v>12</v>
      </c>
      <c r="CP155" s="150">
        <v>12.2</v>
      </c>
      <c r="CQ155" s="150">
        <v>12.4</v>
      </c>
      <c r="CR155" s="150">
        <v>12.6</v>
      </c>
      <c r="CS155" s="150">
        <v>12.8</v>
      </c>
      <c r="CT155" s="150">
        <v>13</v>
      </c>
      <c r="CU155" s="150">
        <v>13.2</v>
      </c>
      <c r="CV155" s="150">
        <v>13.4</v>
      </c>
      <c r="CW155" s="150">
        <v>13.6</v>
      </c>
      <c r="CX155" s="150">
        <v>13.8</v>
      </c>
      <c r="CY155" s="150">
        <v>14</v>
      </c>
      <c r="CZ155" s="150">
        <v>14.2</v>
      </c>
      <c r="DA155" s="150">
        <v>14.4</v>
      </c>
      <c r="DB155" s="150">
        <v>14.6</v>
      </c>
      <c r="DC155" s="150">
        <v>14.8</v>
      </c>
      <c r="DD155" s="150">
        <v>15</v>
      </c>
      <c r="DE155" s="150">
        <v>15.2</v>
      </c>
      <c r="DF155" s="150">
        <v>15.4</v>
      </c>
      <c r="DG155" s="150">
        <v>15.6</v>
      </c>
      <c r="DH155" s="150">
        <v>15.8</v>
      </c>
      <c r="DI155" s="150">
        <v>16</v>
      </c>
      <c r="DJ155" s="150">
        <v>16.2</v>
      </c>
      <c r="DK155" s="150">
        <v>16.399999999999999</v>
      </c>
      <c r="DL155" s="150">
        <v>16.600000000000001</v>
      </c>
      <c r="DM155" s="150">
        <v>16.8</v>
      </c>
      <c r="DN155" s="150">
        <v>17</v>
      </c>
      <c r="DO155" s="150">
        <v>17.2</v>
      </c>
      <c r="DP155" s="150">
        <v>17.399999999999999</v>
      </c>
      <c r="DQ155" s="150">
        <v>17.600000000000001</v>
      </c>
      <c r="DR155" s="150">
        <v>17.8</v>
      </c>
      <c r="DS155" s="150">
        <v>18</v>
      </c>
      <c r="DT155" s="150">
        <v>18.2</v>
      </c>
      <c r="DU155" s="150">
        <v>18.399999999999999</v>
      </c>
      <c r="DV155" s="150">
        <v>18.600000000000001</v>
      </c>
      <c r="DW155" s="150">
        <v>18.8</v>
      </c>
      <c r="DX155" s="150">
        <v>19</v>
      </c>
      <c r="DY155" s="150">
        <v>19.2</v>
      </c>
      <c r="DZ155" s="150">
        <v>19.399999999999999</v>
      </c>
      <c r="EA155" s="150">
        <v>19.600000000000001</v>
      </c>
      <c r="EB155" s="150">
        <v>19.8</v>
      </c>
      <c r="EC155" s="150">
        <v>20</v>
      </c>
      <c r="ED155" s="150">
        <v>20.2</v>
      </c>
      <c r="EE155" s="150">
        <v>20.399999999999999</v>
      </c>
      <c r="EF155" s="150">
        <v>20.6</v>
      </c>
      <c r="EG155" s="150">
        <v>20.799999999999951</v>
      </c>
      <c r="EH155" s="150">
        <v>21</v>
      </c>
      <c r="EI155" s="150">
        <v>21.19999999999995</v>
      </c>
      <c r="EJ155" s="150">
        <v>21.4</v>
      </c>
      <c r="EK155" s="150">
        <v>21.599999999999948</v>
      </c>
    </row>
    <row r="156" spans="1:141" ht="13.2" x14ac:dyDescent="0.25">
      <c r="A156" s="149">
        <v>41395</v>
      </c>
      <c r="B156" s="219">
        <v>-1.7785964148750009</v>
      </c>
      <c r="C156" s="219">
        <v>-1.7482952255625008</v>
      </c>
      <c r="D156" s="219">
        <v>-1.7179940362500008</v>
      </c>
      <c r="E156" s="219">
        <v>-1.6876928469375008</v>
      </c>
      <c r="F156" s="219">
        <v>-1.6573916576250007</v>
      </c>
      <c r="G156" s="219">
        <v>-1.6270904683125007</v>
      </c>
      <c r="H156" s="219">
        <v>-1.5967892790000007</v>
      </c>
      <c r="I156" s="219">
        <v>-1.5664880896875006</v>
      </c>
      <c r="J156" s="219">
        <v>-1.5361869003750006</v>
      </c>
      <c r="K156" s="219">
        <v>-1.5058857110625006</v>
      </c>
      <c r="L156" s="219">
        <v>-1.4755845217500005</v>
      </c>
      <c r="M156" s="219">
        <v>-1.4452833324375005</v>
      </c>
      <c r="N156" s="219">
        <v>-1.4149821431250005</v>
      </c>
      <c r="O156" s="219">
        <v>-1.3846809538125004</v>
      </c>
      <c r="P156" s="219">
        <v>-1.3543797645000004</v>
      </c>
      <c r="Q156" s="219">
        <v>-1.3240785751875004</v>
      </c>
      <c r="R156" s="219">
        <v>-1.2937773858750004</v>
      </c>
      <c r="S156" s="219">
        <v>-1.2634761965625003</v>
      </c>
      <c r="T156" s="219">
        <v>-1.2331750072500003</v>
      </c>
      <c r="U156" s="219">
        <v>-1.2028738179375003</v>
      </c>
      <c r="V156" s="220">
        <v>-1.1725726286250002</v>
      </c>
      <c r="W156" s="219">
        <v>-1.1422714393125002</v>
      </c>
      <c r="X156" s="220">
        <v>-1.1119702500000002</v>
      </c>
      <c r="Y156" s="219">
        <v>-1.0832351250000003</v>
      </c>
      <c r="Z156" s="220">
        <v>-1.0545000000000002</v>
      </c>
      <c r="AA156" s="219">
        <v>-1.0272500000000002</v>
      </c>
      <c r="AB156" s="221">
        <v>-1</v>
      </c>
      <c r="AC156" s="219">
        <v>-0.8</v>
      </c>
      <c r="AD156" s="221">
        <v>-0.6</v>
      </c>
      <c r="AE156" s="219">
        <v>-0.4</v>
      </c>
      <c r="AF156" s="219">
        <v>-0.2</v>
      </c>
      <c r="AG156" s="150">
        <v>0</v>
      </c>
      <c r="AH156" s="150">
        <v>0.2</v>
      </c>
      <c r="AI156" s="150">
        <v>0.4</v>
      </c>
      <c r="AJ156" s="150">
        <v>0.6</v>
      </c>
      <c r="AK156" s="150">
        <v>0.8</v>
      </c>
      <c r="AL156" s="150">
        <v>1</v>
      </c>
      <c r="AM156" s="150">
        <v>1.2</v>
      </c>
      <c r="AN156" s="150">
        <v>1.4</v>
      </c>
      <c r="AO156" s="150">
        <v>1.6</v>
      </c>
      <c r="AP156" s="150">
        <v>1.8</v>
      </c>
      <c r="AQ156" s="150">
        <v>2</v>
      </c>
      <c r="AR156" s="150">
        <v>2.2000000000000002</v>
      </c>
      <c r="AS156" s="150">
        <v>2.4</v>
      </c>
      <c r="AT156" s="150">
        <v>2.6</v>
      </c>
      <c r="AU156" s="150">
        <v>2.8</v>
      </c>
      <c r="AV156" s="150">
        <v>3</v>
      </c>
      <c r="AW156" s="150">
        <v>3.2</v>
      </c>
      <c r="AX156" s="150">
        <v>3.4</v>
      </c>
      <c r="AY156" s="150">
        <v>3.6</v>
      </c>
      <c r="AZ156" s="150">
        <v>3.8</v>
      </c>
      <c r="BA156" s="150">
        <v>4</v>
      </c>
      <c r="BB156" s="150">
        <v>4.2</v>
      </c>
      <c r="BC156" s="150">
        <v>4.4000000000000004</v>
      </c>
      <c r="BD156" s="150">
        <v>4.5999999999999996</v>
      </c>
      <c r="BE156" s="150">
        <v>4.8</v>
      </c>
      <c r="BF156" s="150">
        <v>5</v>
      </c>
      <c r="BG156" s="150">
        <v>5.2</v>
      </c>
      <c r="BH156" s="150">
        <v>5.4</v>
      </c>
      <c r="BI156" s="150">
        <v>5.6</v>
      </c>
      <c r="BJ156" s="150">
        <v>5.8</v>
      </c>
      <c r="BK156" s="150">
        <v>6</v>
      </c>
      <c r="BL156" s="150">
        <v>6.2</v>
      </c>
      <c r="BM156" s="150">
        <v>6.4</v>
      </c>
      <c r="BN156" s="150">
        <v>6.6</v>
      </c>
      <c r="BO156" s="150">
        <v>6.8</v>
      </c>
      <c r="BP156" s="150">
        <v>7</v>
      </c>
      <c r="BQ156" s="150">
        <v>7.2</v>
      </c>
      <c r="BR156" s="150">
        <v>7.4</v>
      </c>
      <c r="BS156" s="150">
        <v>7.6</v>
      </c>
      <c r="BT156" s="150">
        <v>7.8</v>
      </c>
      <c r="BU156" s="150">
        <v>8</v>
      </c>
      <c r="BV156" s="150">
        <v>8.1999999999999993</v>
      </c>
      <c r="BW156" s="150">
        <v>8.4</v>
      </c>
      <c r="BX156" s="150">
        <v>8.6</v>
      </c>
      <c r="BY156" s="150">
        <v>8.7999999999999936</v>
      </c>
      <c r="BZ156" s="150">
        <v>9</v>
      </c>
      <c r="CA156" s="150">
        <v>9.1999999999999922</v>
      </c>
      <c r="CB156" s="150">
        <v>9.4</v>
      </c>
      <c r="CC156" s="150">
        <v>9.5999999999999908</v>
      </c>
      <c r="CD156" s="150">
        <v>9.8000000000000007</v>
      </c>
      <c r="CE156" s="150">
        <v>9.9999999999999893</v>
      </c>
      <c r="CF156" s="150">
        <v>10.199999999999999</v>
      </c>
      <c r="CG156" s="150">
        <v>10.4</v>
      </c>
      <c r="CH156" s="150">
        <v>10.6</v>
      </c>
      <c r="CI156" s="150">
        <v>10.8</v>
      </c>
      <c r="CJ156" s="150">
        <v>11</v>
      </c>
      <c r="CK156" s="150">
        <v>11.2</v>
      </c>
      <c r="CL156" s="150">
        <v>11.4</v>
      </c>
      <c r="CM156" s="150">
        <v>11.6</v>
      </c>
      <c r="CN156" s="150">
        <v>11.8</v>
      </c>
      <c r="CO156" s="150">
        <v>12</v>
      </c>
      <c r="CP156" s="150">
        <v>12.2</v>
      </c>
      <c r="CQ156" s="150">
        <v>12.4</v>
      </c>
      <c r="CR156" s="150">
        <v>12.6</v>
      </c>
      <c r="CS156" s="150">
        <v>12.8</v>
      </c>
      <c r="CT156" s="150">
        <v>13</v>
      </c>
      <c r="CU156" s="150">
        <v>13.2</v>
      </c>
      <c r="CV156" s="150">
        <v>13.4</v>
      </c>
      <c r="CW156" s="150">
        <v>13.6</v>
      </c>
      <c r="CX156" s="150">
        <v>13.8</v>
      </c>
      <c r="CY156" s="150">
        <v>14</v>
      </c>
      <c r="CZ156" s="150">
        <v>14.2</v>
      </c>
      <c r="DA156" s="150">
        <v>14.4</v>
      </c>
      <c r="DB156" s="150">
        <v>14.6</v>
      </c>
      <c r="DC156" s="150">
        <v>14.8</v>
      </c>
      <c r="DD156" s="150">
        <v>15</v>
      </c>
      <c r="DE156" s="150">
        <v>15.2</v>
      </c>
      <c r="DF156" s="150">
        <v>15.4</v>
      </c>
      <c r="DG156" s="150">
        <v>15.6</v>
      </c>
      <c r="DH156" s="150">
        <v>15.8</v>
      </c>
      <c r="DI156" s="150">
        <v>16</v>
      </c>
      <c r="DJ156" s="150">
        <v>16.2</v>
      </c>
      <c r="DK156" s="150">
        <v>16.399999999999999</v>
      </c>
      <c r="DL156" s="150">
        <v>16.600000000000001</v>
      </c>
      <c r="DM156" s="150">
        <v>16.8</v>
      </c>
      <c r="DN156" s="150">
        <v>17</v>
      </c>
      <c r="DO156" s="150">
        <v>17.2</v>
      </c>
      <c r="DP156" s="150">
        <v>17.399999999999999</v>
      </c>
      <c r="DQ156" s="150">
        <v>17.600000000000001</v>
      </c>
      <c r="DR156" s="150">
        <v>17.8</v>
      </c>
      <c r="DS156" s="150">
        <v>18</v>
      </c>
      <c r="DT156" s="150">
        <v>18.2</v>
      </c>
      <c r="DU156" s="150">
        <v>18.399999999999999</v>
      </c>
      <c r="DV156" s="150">
        <v>18.600000000000001</v>
      </c>
      <c r="DW156" s="150">
        <v>18.8</v>
      </c>
      <c r="DX156" s="150">
        <v>19</v>
      </c>
      <c r="DY156" s="150">
        <v>19.2</v>
      </c>
      <c r="DZ156" s="150">
        <v>19.399999999999999</v>
      </c>
      <c r="EA156" s="150">
        <v>19.600000000000001</v>
      </c>
      <c r="EB156" s="150">
        <v>19.8</v>
      </c>
      <c r="EC156" s="150">
        <v>20</v>
      </c>
      <c r="ED156" s="150">
        <v>20.2</v>
      </c>
      <c r="EE156" s="150">
        <v>20.399999999999999</v>
      </c>
      <c r="EF156" s="150">
        <v>20.6</v>
      </c>
      <c r="EG156" s="150">
        <v>20.799999999999951</v>
      </c>
      <c r="EH156" s="150">
        <v>21</v>
      </c>
      <c r="EI156" s="150">
        <v>21.19999999999995</v>
      </c>
      <c r="EJ156" s="150">
        <v>21.4</v>
      </c>
      <c r="EK156" s="150">
        <v>21.599999999999948</v>
      </c>
    </row>
    <row r="157" spans="1:141" ht="13.2" x14ac:dyDescent="0.25">
      <c r="A157" s="149">
        <v>41426</v>
      </c>
      <c r="B157" s="219">
        <v>-1.7785964148750009</v>
      </c>
      <c r="C157" s="219">
        <v>-1.7482952255625008</v>
      </c>
      <c r="D157" s="219">
        <v>-1.7179940362500008</v>
      </c>
      <c r="E157" s="219">
        <v>-1.6876928469375008</v>
      </c>
      <c r="F157" s="219">
        <v>-1.6573916576250007</v>
      </c>
      <c r="G157" s="219">
        <v>-1.6270904683125007</v>
      </c>
      <c r="H157" s="219">
        <v>-1.5967892790000007</v>
      </c>
      <c r="I157" s="219">
        <v>-1.5664880896875006</v>
      </c>
      <c r="J157" s="219">
        <v>-1.5361869003750006</v>
      </c>
      <c r="K157" s="219">
        <v>-1.5058857110625006</v>
      </c>
      <c r="L157" s="219">
        <v>-1.4755845217500005</v>
      </c>
      <c r="M157" s="219">
        <v>-1.4452833324375005</v>
      </c>
      <c r="N157" s="219">
        <v>-1.4149821431250005</v>
      </c>
      <c r="O157" s="219">
        <v>-1.3846809538125004</v>
      </c>
      <c r="P157" s="219">
        <v>-1.3543797645000004</v>
      </c>
      <c r="Q157" s="219">
        <v>-1.3240785751875004</v>
      </c>
      <c r="R157" s="219">
        <v>-1.2937773858750004</v>
      </c>
      <c r="S157" s="219">
        <v>-1.2634761965625003</v>
      </c>
      <c r="T157" s="219">
        <v>-1.2331750072500003</v>
      </c>
      <c r="U157" s="219">
        <v>-1.2028738179375003</v>
      </c>
      <c r="V157" s="220">
        <v>-1.1725726286250002</v>
      </c>
      <c r="W157" s="219">
        <v>-1.1422714393125002</v>
      </c>
      <c r="X157" s="220">
        <v>-1.1119702500000002</v>
      </c>
      <c r="Y157" s="219">
        <v>-1.0832351250000003</v>
      </c>
      <c r="Z157" s="220">
        <v>-1.0545000000000002</v>
      </c>
      <c r="AA157" s="219">
        <v>-1.0272500000000002</v>
      </c>
      <c r="AB157" s="221">
        <v>-1</v>
      </c>
      <c r="AC157" s="219">
        <v>-0.8</v>
      </c>
      <c r="AD157" s="221">
        <v>-0.6</v>
      </c>
      <c r="AE157" s="219">
        <v>-0.4</v>
      </c>
      <c r="AF157" s="219">
        <v>-0.2</v>
      </c>
      <c r="AG157" s="150">
        <v>0</v>
      </c>
      <c r="AH157" s="150">
        <v>0.2</v>
      </c>
      <c r="AI157" s="150">
        <v>0.4</v>
      </c>
      <c r="AJ157" s="150">
        <v>0.6</v>
      </c>
      <c r="AK157" s="150">
        <v>0.8</v>
      </c>
      <c r="AL157" s="150">
        <v>1</v>
      </c>
      <c r="AM157" s="150">
        <v>1.2</v>
      </c>
      <c r="AN157" s="150">
        <v>1.4</v>
      </c>
      <c r="AO157" s="150">
        <v>1.6</v>
      </c>
      <c r="AP157" s="150">
        <v>1.8</v>
      </c>
      <c r="AQ157" s="150">
        <v>2</v>
      </c>
      <c r="AR157" s="150">
        <v>2.2000000000000002</v>
      </c>
      <c r="AS157" s="150">
        <v>2.4</v>
      </c>
      <c r="AT157" s="150">
        <v>2.6</v>
      </c>
      <c r="AU157" s="150">
        <v>2.8</v>
      </c>
      <c r="AV157" s="150">
        <v>3</v>
      </c>
      <c r="AW157" s="150">
        <v>3.2</v>
      </c>
      <c r="AX157" s="150">
        <v>3.4</v>
      </c>
      <c r="AY157" s="150">
        <v>3.6</v>
      </c>
      <c r="AZ157" s="150">
        <v>3.8</v>
      </c>
      <c r="BA157" s="150">
        <v>4</v>
      </c>
      <c r="BB157" s="150">
        <v>4.2</v>
      </c>
      <c r="BC157" s="150">
        <v>4.4000000000000004</v>
      </c>
      <c r="BD157" s="150">
        <v>4.5999999999999996</v>
      </c>
      <c r="BE157" s="150">
        <v>4.8</v>
      </c>
      <c r="BF157" s="150">
        <v>5</v>
      </c>
      <c r="BG157" s="150">
        <v>5.2</v>
      </c>
      <c r="BH157" s="150">
        <v>5.4</v>
      </c>
      <c r="BI157" s="150">
        <v>5.6</v>
      </c>
      <c r="BJ157" s="150">
        <v>5.8</v>
      </c>
      <c r="BK157" s="150">
        <v>6</v>
      </c>
      <c r="BL157" s="150">
        <v>6.2</v>
      </c>
      <c r="BM157" s="150">
        <v>6.4</v>
      </c>
      <c r="BN157" s="150">
        <v>6.6</v>
      </c>
      <c r="BO157" s="150">
        <v>6.8</v>
      </c>
      <c r="BP157" s="150">
        <v>7</v>
      </c>
      <c r="BQ157" s="150">
        <v>7.2</v>
      </c>
      <c r="BR157" s="150">
        <v>7.4</v>
      </c>
      <c r="BS157" s="150">
        <v>7.6</v>
      </c>
      <c r="BT157" s="150">
        <v>7.8</v>
      </c>
      <c r="BU157" s="150">
        <v>8</v>
      </c>
      <c r="BV157" s="150">
        <v>8.1999999999999993</v>
      </c>
      <c r="BW157" s="150">
        <v>8.4</v>
      </c>
      <c r="BX157" s="150">
        <v>8.6</v>
      </c>
      <c r="BY157" s="150">
        <v>8.7999999999999936</v>
      </c>
      <c r="BZ157" s="150">
        <v>9</v>
      </c>
      <c r="CA157" s="150">
        <v>9.1999999999999922</v>
      </c>
      <c r="CB157" s="150">
        <v>9.4</v>
      </c>
      <c r="CC157" s="150">
        <v>9.5999999999999908</v>
      </c>
      <c r="CD157" s="150">
        <v>9.8000000000000007</v>
      </c>
      <c r="CE157" s="150">
        <v>9.9999999999999893</v>
      </c>
      <c r="CF157" s="150">
        <v>10.199999999999999</v>
      </c>
      <c r="CG157" s="150">
        <v>10.4</v>
      </c>
      <c r="CH157" s="150">
        <v>10.6</v>
      </c>
      <c r="CI157" s="150">
        <v>10.8</v>
      </c>
      <c r="CJ157" s="150">
        <v>11</v>
      </c>
      <c r="CK157" s="150">
        <v>11.2</v>
      </c>
      <c r="CL157" s="150">
        <v>11.4</v>
      </c>
      <c r="CM157" s="150">
        <v>11.6</v>
      </c>
      <c r="CN157" s="150">
        <v>11.8</v>
      </c>
      <c r="CO157" s="150">
        <v>12</v>
      </c>
      <c r="CP157" s="150">
        <v>12.2</v>
      </c>
      <c r="CQ157" s="150">
        <v>12.4</v>
      </c>
      <c r="CR157" s="150">
        <v>12.6</v>
      </c>
      <c r="CS157" s="150">
        <v>12.8</v>
      </c>
      <c r="CT157" s="150">
        <v>13</v>
      </c>
      <c r="CU157" s="150">
        <v>13.2</v>
      </c>
      <c r="CV157" s="150">
        <v>13.4</v>
      </c>
      <c r="CW157" s="150">
        <v>13.6</v>
      </c>
      <c r="CX157" s="150">
        <v>13.8</v>
      </c>
      <c r="CY157" s="150">
        <v>14</v>
      </c>
      <c r="CZ157" s="150">
        <v>14.2</v>
      </c>
      <c r="DA157" s="150">
        <v>14.4</v>
      </c>
      <c r="DB157" s="150">
        <v>14.6</v>
      </c>
      <c r="DC157" s="150">
        <v>14.8</v>
      </c>
      <c r="DD157" s="150">
        <v>15</v>
      </c>
      <c r="DE157" s="150">
        <v>15.2</v>
      </c>
      <c r="DF157" s="150">
        <v>15.4</v>
      </c>
      <c r="DG157" s="150">
        <v>15.6</v>
      </c>
      <c r="DH157" s="150">
        <v>15.8</v>
      </c>
      <c r="DI157" s="150">
        <v>16</v>
      </c>
      <c r="DJ157" s="150">
        <v>16.2</v>
      </c>
      <c r="DK157" s="150">
        <v>16.399999999999999</v>
      </c>
      <c r="DL157" s="150">
        <v>16.600000000000001</v>
      </c>
      <c r="DM157" s="150">
        <v>16.8</v>
      </c>
      <c r="DN157" s="150">
        <v>17</v>
      </c>
      <c r="DO157" s="150">
        <v>17.2</v>
      </c>
      <c r="DP157" s="150">
        <v>17.399999999999999</v>
      </c>
      <c r="DQ157" s="150">
        <v>17.600000000000001</v>
      </c>
      <c r="DR157" s="150">
        <v>17.8</v>
      </c>
      <c r="DS157" s="150">
        <v>18</v>
      </c>
      <c r="DT157" s="150">
        <v>18.2</v>
      </c>
      <c r="DU157" s="150">
        <v>18.399999999999999</v>
      </c>
      <c r="DV157" s="150">
        <v>18.600000000000001</v>
      </c>
      <c r="DW157" s="150">
        <v>18.8</v>
      </c>
      <c r="DX157" s="150">
        <v>19</v>
      </c>
      <c r="DY157" s="150">
        <v>19.2</v>
      </c>
      <c r="DZ157" s="150">
        <v>19.399999999999999</v>
      </c>
      <c r="EA157" s="150">
        <v>19.600000000000001</v>
      </c>
      <c r="EB157" s="150">
        <v>19.8</v>
      </c>
      <c r="EC157" s="150">
        <v>20</v>
      </c>
      <c r="ED157" s="150">
        <v>20.2</v>
      </c>
      <c r="EE157" s="150">
        <v>20.399999999999999</v>
      </c>
      <c r="EF157" s="150">
        <v>20.6</v>
      </c>
      <c r="EG157" s="150">
        <v>20.799999999999951</v>
      </c>
      <c r="EH157" s="150">
        <v>21</v>
      </c>
      <c r="EI157" s="150">
        <v>21.19999999999995</v>
      </c>
      <c r="EJ157" s="150">
        <v>21.4</v>
      </c>
      <c r="EK157" s="150">
        <v>21.599999999999948</v>
      </c>
    </row>
    <row r="158" spans="1:141" ht="13.2" x14ac:dyDescent="0.25">
      <c r="A158" s="149">
        <v>41456</v>
      </c>
      <c r="B158" s="219">
        <v>-1.7785964148750009</v>
      </c>
      <c r="C158" s="219">
        <v>-1.7482952255625008</v>
      </c>
      <c r="D158" s="219">
        <v>-1.7179940362500008</v>
      </c>
      <c r="E158" s="219">
        <v>-1.6876928469375008</v>
      </c>
      <c r="F158" s="219">
        <v>-1.6573916576250007</v>
      </c>
      <c r="G158" s="219">
        <v>-1.6270904683125007</v>
      </c>
      <c r="H158" s="219">
        <v>-1.5967892790000007</v>
      </c>
      <c r="I158" s="219">
        <v>-1.5664880896875006</v>
      </c>
      <c r="J158" s="219">
        <v>-1.5361869003750006</v>
      </c>
      <c r="K158" s="219">
        <v>-1.5058857110625006</v>
      </c>
      <c r="L158" s="219">
        <v>-1.4755845217500005</v>
      </c>
      <c r="M158" s="219">
        <v>-1.4452833324375005</v>
      </c>
      <c r="N158" s="219">
        <v>-1.4149821431250005</v>
      </c>
      <c r="O158" s="219">
        <v>-1.3846809538125004</v>
      </c>
      <c r="P158" s="219">
        <v>-1.3543797645000004</v>
      </c>
      <c r="Q158" s="219">
        <v>-1.3240785751875004</v>
      </c>
      <c r="R158" s="219">
        <v>-1.2937773858750004</v>
      </c>
      <c r="S158" s="219">
        <v>-1.2634761965625003</v>
      </c>
      <c r="T158" s="219">
        <v>-1.2331750072500003</v>
      </c>
      <c r="U158" s="219">
        <v>-1.2028738179375003</v>
      </c>
      <c r="V158" s="220">
        <v>-1.1725726286250002</v>
      </c>
      <c r="W158" s="219">
        <v>-1.1422714393125002</v>
      </c>
      <c r="X158" s="220">
        <v>-1.1119702500000002</v>
      </c>
      <c r="Y158" s="219">
        <v>-1.0832351250000003</v>
      </c>
      <c r="Z158" s="220">
        <v>-1.0545000000000002</v>
      </c>
      <c r="AA158" s="219">
        <v>-1.0272500000000002</v>
      </c>
      <c r="AB158" s="221">
        <v>-1</v>
      </c>
      <c r="AC158" s="219">
        <v>-0.8</v>
      </c>
      <c r="AD158" s="221">
        <v>-0.6</v>
      </c>
      <c r="AE158" s="219">
        <v>-0.4</v>
      </c>
      <c r="AF158" s="219">
        <v>-0.2</v>
      </c>
      <c r="AG158" s="150">
        <v>0</v>
      </c>
      <c r="AH158" s="150">
        <v>0.2</v>
      </c>
      <c r="AI158" s="150">
        <v>0.4</v>
      </c>
      <c r="AJ158" s="150">
        <v>0.6</v>
      </c>
      <c r="AK158" s="150">
        <v>0.8</v>
      </c>
      <c r="AL158" s="150">
        <v>1</v>
      </c>
      <c r="AM158" s="150">
        <v>1.2</v>
      </c>
      <c r="AN158" s="150">
        <v>1.4</v>
      </c>
      <c r="AO158" s="150">
        <v>1.6</v>
      </c>
      <c r="AP158" s="150">
        <v>1.8</v>
      </c>
      <c r="AQ158" s="150">
        <v>2</v>
      </c>
      <c r="AR158" s="150">
        <v>2.2000000000000002</v>
      </c>
      <c r="AS158" s="150">
        <v>2.4</v>
      </c>
      <c r="AT158" s="150">
        <v>2.6</v>
      </c>
      <c r="AU158" s="150">
        <v>2.8</v>
      </c>
      <c r="AV158" s="150">
        <v>3</v>
      </c>
      <c r="AW158" s="150">
        <v>3.2</v>
      </c>
      <c r="AX158" s="150">
        <v>3.4</v>
      </c>
      <c r="AY158" s="150">
        <v>3.6</v>
      </c>
      <c r="AZ158" s="150">
        <v>3.8</v>
      </c>
      <c r="BA158" s="150">
        <v>4</v>
      </c>
      <c r="BB158" s="150">
        <v>4.2</v>
      </c>
      <c r="BC158" s="150">
        <v>4.4000000000000004</v>
      </c>
      <c r="BD158" s="150">
        <v>4.5999999999999996</v>
      </c>
      <c r="BE158" s="150">
        <v>4.8</v>
      </c>
      <c r="BF158" s="150">
        <v>5</v>
      </c>
      <c r="BG158" s="150">
        <v>5.2</v>
      </c>
      <c r="BH158" s="150">
        <v>5.4</v>
      </c>
      <c r="BI158" s="150">
        <v>5.6</v>
      </c>
      <c r="BJ158" s="150">
        <v>5.8</v>
      </c>
      <c r="BK158" s="150">
        <v>6</v>
      </c>
      <c r="BL158" s="150">
        <v>6.2</v>
      </c>
      <c r="BM158" s="150">
        <v>6.4</v>
      </c>
      <c r="BN158" s="150">
        <v>6.6</v>
      </c>
      <c r="BO158" s="150">
        <v>6.8</v>
      </c>
      <c r="BP158" s="150">
        <v>7</v>
      </c>
      <c r="BQ158" s="150">
        <v>7.2</v>
      </c>
      <c r="BR158" s="150">
        <v>7.4</v>
      </c>
      <c r="BS158" s="150">
        <v>7.6</v>
      </c>
      <c r="BT158" s="150">
        <v>7.8</v>
      </c>
      <c r="BU158" s="150">
        <v>8</v>
      </c>
      <c r="BV158" s="150">
        <v>8.1999999999999993</v>
      </c>
      <c r="BW158" s="150">
        <v>8.4</v>
      </c>
      <c r="BX158" s="150">
        <v>8.6</v>
      </c>
      <c r="BY158" s="150">
        <v>8.7999999999999936</v>
      </c>
      <c r="BZ158" s="150">
        <v>9</v>
      </c>
      <c r="CA158" s="150">
        <v>9.1999999999999922</v>
      </c>
      <c r="CB158" s="150">
        <v>9.4</v>
      </c>
      <c r="CC158" s="150">
        <v>9.5999999999999908</v>
      </c>
      <c r="CD158" s="150">
        <v>9.8000000000000007</v>
      </c>
      <c r="CE158" s="150">
        <v>9.9999999999999893</v>
      </c>
      <c r="CF158" s="150">
        <v>10.199999999999999</v>
      </c>
      <c r="CG158" s="150">
        <v>10.4</v>
      </c>
      <c r="CH158" s="150">
        <v>10.6</v>
      </c>
      <c r="CI158" s="150">
        <v>10.8</v>
      </c>
      <c r="CJ158" s="150">
        <v>11</v>
      </c>
      <c r="CK158" s="150">
        <v>11.2</v>
      </c>
      <c r="CL158" s="150">
        <v>11.4</v>
      </c>
      <c r="CM158" s="150">
        <v>11.6</v>
      </c>
      <c r="CN158" s="150">
        <v>11.8</v>
      </c>
      <c r="CO158" s="150">
        <v>12</v>
      </c>
      <c r="CP158" s="150">
        <v>12.2</v>
      </c>
      <c r="CQ158" s="150">
        <v>12.4</v>
      </c>
      <c r="CR158" s="150">
        <v>12.6</v>
      </c>
      <c r="CS158" s="150">
        <v>12.8</v>
      </c>
      <c r="CT158" s="150">
        <v>13</v>
      </c>
      <c r="CU158" s="150">
        <v>13.2</v>
      </c>
      <c r="CV158" s="150">
        <v>13.4</v>
      </c>
      <c r="CW158" s="150">
        <v>13.6</v>
      </c>
      <c r="CX158" s="150">
        <v>13.8</v>
      </c>
      <c r="CY158" s="150">
        <v>14</v>
      </c>
      <c r="CZ158" s="150">
        <v>14.2</v>
      </c>
      <c r="DA158" s="150">
        <v>14.4</v>
      </c>
      <c r="DB158" s="150">
        <v>14.6</v>
      </c>
      <c r="DC158" s="150">
        <v>14.8</v>
      </c>
      <c r="DD158" s="150">
        <v>15</v>
      </c>
      <c r="DE158" s="150">
        <v>15.2</v>
      </c>
      <c r="DF158" s="150">
        <v>15.4</v>
      </c>
      <c r="DG158" s="150">
        <v>15.6</v>
      </c>
      <c r="DH158" s="150">
        <v>15.8</v>
      </c>
      <c r="DI158" s="150">
        <v>16</v>
      </c>
      <c r="DJ158" s="150">
        <v>16.2</v>
      </c>
      <c r="DK158" s="150">
        <v>16.399999999999999</v>
      </c>
      <c r="DL158" s="150">
        <v>16.600000000000001</v>
      </c>
      <c r="DM158" s="150">
        <v>16.8</v>
      </c>
      <c r="DN158" s="150">
        <v>17</v>
      </c>
      <c r="DO158" s="150">
        <v>17.2</v>
      </c>
      <c r="DP158" s="150">
        <v>17.399999999999999</v>
      </c>
      <c r="DQ158" s="150">
        <v>17.600000000000001</v>
      </c>
      <c r="DR158" s="150">
        <v>17.8</v>
      </c>
      <c r="DS158" s="150">
        <v>18</v>
      </c>
      <c r="DT158" s="150">
        <v>18.2</v>
      </c>
      <c r="DU158" s="150">
        <v>18.399999999999999</v>
      </c>
      <c r="DV158" s="150">
        <v>18.600000000000001</v>
      </c>
      <c r="DW158" s="150">
        <v>18.8</v>
      </c>
      <c r="DX158" s="150">
        <v>19</v>
      </c>
      <c r="DY158" s="150">
        <v>19.2</v>
      </c>
      <c r="DZ158" s="150">
        <v>19.399999999999999</v>
      </c>
      <c r="EA158" s="150">
        <v>19.600000000000001</v>
      </c>
      <c r="EB158" s="150">
        <v>19.8</v>
      </c>
      <c r="EC158" s="150">
        <v>20</v>
      </c>
      <c r="ED158" s="150">
        <v>20.2</v>
      </c>
      <c r="EE158" s="150">
        <v>20.399999999999999</v>
      </c>
      <c r="EF158" s="150">
        <v>20.6</v>
      </c>
      <c r="EG158" s="150">
        <v>20.799999999999951</v>
      </c>
      <c r="EH158" s="150">
        <v>21</v>
      </c>
      <c r="EI158" s="150">
        <v>21.19999999999995</v>
      </c>
      <c r="EJ158" s="150">
        <v>21.4</v>
      </c>
      <c r="EK158" s="150">
        <v>21.599999999999948</v>
      </c>
    </row>
    <row r="159" spans="1:141" ht="13.2" x14ac:dyDescent="0.25">
      <c r="A159" s="149">
        <v>41487</v>
      </c>
      <c r="B159" s="219">
        <v>-1.7785964148750009</v>
      </c>
      <c r="C159" s="219">
        <v>-1.7482952255625008</v>
      </c>
      <c r="D159" s="219">
        <v>-1.7179940362500008</v>
      </c>
      <c r="E159" s="219">
        <v>-1.6876928469375008</v>
      </c>
      <c r="F159" s="219">
        <v>-1.6573916576250007</v>
      </c>
      <c r="G159" s="219">
        <v>-1.6270904683125007</v>
      </c>
      <c r="H159" s="219">
        <v>-1.5967892790000007</v>
      </c>
      <c r="I159" s="219">
        <v>-1.5664880896875006</v>
      </c>
      <c r="J159" s="219">
        <v>-1.5361869003750006</v>
      </c>
      <c r="K159" s="219">
        <v>-1.5058857110625006</v>
      </c>
      <c r="L159" s="219">
        <v>-1.4755845217500005</v>
      </c>
      <c r="M159" s="219">
        <v>-1.4452833324375005</v>
      </c>
      <c r="N159" s="219">
        <v>-1.4149821431250005</v>
      </c>
      <c r="O159" s="219">
        <v>-1.3846809538125004</v>
      </c>
      <c r="P159" s="219">
        <v>-1.3543797645000004</v>
      </c>
      <c r="Q159" s="219">
        <v>-1.3240785751875004</v>
      </c>
      <c r="R159" s="219">
        <v>-1.2937773858750004</v>
      </c>
      <c r="S159" s="219">
        <v>-1.2634761965625003</v>
      </c>
      <c r="T159" s="219">
        <v>-1.2331750072500003</v>
      </c>
      <c r="U159" s="219">
        <v>-1.2028738179375003</v>
      </c>
      <c r="V159" s="220">
        <v>-1.1725726286250002</v>
      </c>
      <c r="W159" s="219">
        <v>-1.1422714393125002</v>
      </c>
      <c r="X159" s="220">
        <v>-1.1119702500000002</v>
      </c>
      <c r="Y159" s="219">
        <v>-1.0832351250000003</v>
      </c>
      <c r="Z159" s="220">
        <v>-1.0545000000000002</v>
      </c>
      <c r="AA159" s="219">
        <v>-1.0272500000000002</v>
      </c>
      <c r="AB159" s="221">
        <v>-1</v>
      </c>
      <c r="AC159" s="219">
        <v>-0.8</v>
      </c>
      <c r="AD159" s="221">
        <v>-0.6</v>
      </c>
      <c r="AE159" s="219">
        <v>-0.4</v>
      </c>
      <c r="AF159" s="219">
        <v>-0.2</v>
      </c>
      <c r="AG159" s="150">
        <v>0</v>
      </c>
      <c r="AH159" s="150">
        <v>0.2</v>
      </c>
      <c r="AI159" s="150">
        <v>0.4</v>
      </c>
      <c r="AJ159" s="150">
        <v>0.6</v>
      </c>
      <c r="AK159" s="150">
        <v>0.8</v>
      </c>
      <c r="AL159" s="150">
        <v>1</v>
      </c>
      <c r="AM159" s="150">
        <v>1.2</v>
      </c>
      <c r="AN159" s="150">
        <v>1.4</v>
      </c>
      <c r="AO159" s="150">
        <v>1.6</v>
      </c>
      <c r="AP159" s="150">
        <v>1.8</v>
      </c>
      <c r="AQ159" s="150">
        <v>2</v>
      </c>
      <c r="AR159" s="150">
        <v>2.2000000000000002</v>
      </c>
      <c r="AS159" s="150">
        <v>2.4</v>
      </c>
      <c r="AT159" s="150">
        <v>2.6</v>
      </c>
      <c r="AU159" s="150">
        <v>2.8</v>
      </c>
      <c r="AV159" s="150">
        <v>3</v>
      </c>
      <c r="AW159" s="150">
        <v>3.2</v>
      </c>
      <c r="AX159" s="150">
        <v>3.4</v>
      </c>
      <c r="AY159" s="150">
        <v>3.6</v>
      </c>
      <c r="AZ159" s="150">
        <v>3.8</v>
      </c>
      <c r="BA159" s="150">
        <v>4</v>
      </c>
      <c r="BB159" s="150">
        <v>4.2</v>
      </c>
      <c r="BC159" s="150">
        <v>4.4000000000000004</v>
      </c>
      <c r="BD159" s="150">
        <v>4.5999999999999996</v>
      </c>
      <c r="BE159" s="150">
        <v>4.8</v>
      </c>
      <c r="BF159" s="150">
        <v>5</v>
      </c>
      <c r="BG159" s="150">
        <v>5.2</v>
      </c>
      <c r="BH159" s="150">
        <v>5.4</v>
      </c>
      <c r="BI159" s="150">
        <v>5.6</v>
      </c>
      <c r="BJ159" s="150">
        <v>5.8</v>
      </c>
      <c r="BK159" s="150">
        <v>6</v>
      </c>
      <c r="BL159" s="150">
        <v>6.2</v>
      </c>
      <c r="BM159" s="150">
        <v>6.4</v>
      </c>
      <c r="BN159" s="150">
        <v>6.6</v>
      </c>
      <c r="BO159" s="150">
        <v>6.8</v>
      </c>
      <c r="BP159" s="150">
        <v>7</v>
      </c>
      <c r="BQ159" s="150">
        <v>7.2</v>
      </c>
      <c r="BR159" s="150">
        <v>7.4</v>
      </c>
      <c r="BS159" s="150">
        <v>7.6</v>
      </c>
      <c r="BT159" s="150">
        <v>7.8</v>
      </c>
      <c r="BU159" s="150">
        <v>8</v>
      </c>
      <c r="BV159" s="150">
        <v>8.1999999999999993</v>
      </c>
      <c r="BW159" s="150">
        <v>8.4</v>
      </c>
      <c r="BX159" s="150">
        <v>8.6</v>
      </c>
      <c r="BY159" s="150">
        <v>8.7999999999999936</v>
      </c>
      <c r="BZ159" s="150">
        <v>9</v>
      </c>
      <c r="CA159" s="150">
        <v>9.1999999999999922</v>
      </c>
      <c r="CB159" s="150">
        <v>9.4</v>
      </c>
      <c r="CC159" s="150">
        <v>9.5999999999999908</v>
      </c>
      <c r="CD159" s="150">
        <v>9.8000000000000007</v>
      </c>
      <c r="CE159" s="150">
        <v>9.9999999999999893</v>
      </c>
      <c r="CF159" s="150">
        <v>10.199999999999999</v>
      </c>
      <c r="CG159" s="150">
        <v>10.4</v>
      </c>
      <c r="CH159" s="150">
        <v>10.6</v>
      </c>
      <c r="CI159" s="150">
        <v>10.8</v>
      </c>
      <c r="CJ159" s="150">
        <v>11</v>
      </c>
      <c r="CK159" s="150">
        <v>11.2</v>
      </c>
      <c r="CL159" s="150">
        <v>11.4</v>
      </c>
      <c r="CM159" s="150">
        <v>11.6</v>
      </c>
      <c r="CN159" s="150">
        <v>11.8</v>
      </c>
      <c r="CO159" s="150">
        <v>12</v>
      </c>
      <c r="CP159" s="150">
        <v>12.2</v>
      </c>
      <c r="CQ159" s="150">
        <v>12.4</v>
      </c>
      <c r="CR159" s="150">
        <v>12.6</v>
      </c>
      <c r="CS159" s="150">
        <v>12.8</v>
      </c>
      <c r="CT159" s="150">
        <v>13</v>
      </c>
      <c r="CU159" s="150">
        <v>13.2</v>
      </c>
      <c r="CV159" s="150">
        <v>13.4</v>
      </c>
      <c r="CW159" s="150">
        <v>13.6</v>
      </c>
      <c r="CX159" s="150">
        <v>13.8</v>
      </c>
      <c r="CY159" s="150">
        <v>14</v>
      </c>
      <c r="CZ159" s="150">
        <v>14.2</v>
      </c>
      <c r="DA159" s="150">
        <v>14.4</v>
      </c>
      <c r="DB159" s="150">
        <v>14.6</v>
      </c>
      <c r="DC159" s="150">
        <v>14.8</v>
      </c>
      <c r="DD159" s="150">
        <v>15</v>
      </c>
      <c r="DE159" s="150">
        <v>15.2</v>
      </c>
      <c r="DF159" s="150">
        <v>15.4</v>
      </c>
      <c r="DG159" s="150">
        <v>15.6</v>
      </c>
      <c r="DH159" s="150">
        <v>15.8</v>
      </c>
      <c r="DI159" s="150">
        <v>16</v>
      </c>
      <c r="DJ159" s="150">
        <v>16.2</v>
      </c>
      <c r="DK159" s="150">
        <v>16.399999999999999</v>
      </c>
      <c r="DL159" s="150">
        <v>16.600000000000001</v>
      </c>
      <c r="DM159" s="150">
        <v>16.8</v>
      </c>
      <c r="DN159" s="150">
        <v>17</v>
      </c>
      <c r="DO159" s="150">
        <v>17.2</v>
      </c>
      <c r="DP159" s="150">
        <v>17.399999999999999</v>
      </c>
      <c r="DQ159" s="150">
        <v>17.600000000000001</v>
      </c>
      <c r="DR159" s="150">
        <v>17.8</v>
      </c>
      <c r="DS159" s="150">
        <v>18</v>
      </c>
      <c r="DT159" s="150">
        <v>18.2</v>
      </c>
      <c r="DU159" s="150">
        <v>18.399999999999999</v>
      </c>
      <c r="DV159" s="150">
        <v>18.600000000000001</v>
      </c>
      <c r="DW159" s="150">
        <v>18.8</v>
      </c>
      <c r="DX159" s="150">
        <v>19</v>
      </c>
      <c r="DY159" s="150">
        <v>19.2</v>
      </c>
      <c r="DZ159" s="150">
        <v>19.399999999999999</v>
      </c>
      <c r="EA159" s="150">
        <v>19.600000000000001</v>
      </c>
      <c r="EB159" s="150">
        <v>19.8</v>
      </c>
      <c r="EC159" s="150">
        <v>20</v>
      </c>
      <c r="ED159" s="150">
        <v>20.2</v>
      </c>
      <c r="EE159" s="150">
        <v>20.399999999999999</v>
      </c>
      <c r="EF159" s="150">
        <v>20.6</v>
      </c>
      <c r="EG159" s="150">
        <v>20.799999999999951</v>
      </c>
      <c r="EH159" s="150">
        <v>21</v>
      </c>
      <c r="EI159" s="150">
        <v>21.19999999999995</v>
      </c>
      <c r="EJ159" s="150">
        <v>21.4</v>
      </c>
      <c r="EK159" s="150">
        <v>21.599999999999948</v>
      </c>
    </row>
    <row r="160" spans="1:141" ht="13.2" x14ac:dyDescent="0.25">
      <c r="A160" s="149">
        <v>41518</v>
      </c>
      <c r="B160" s="219">
        <v>-1.7785964148750009</v>
      </c>
      <c r="C160" s="219">
        <v>-1.7482952255625008</v>
      </c>
      <c r="D160" s="219">
        <v>-1.7179940362500008</v>
      </c>
      <c r="E160" s="219">
        <v>-1.6876928469375008</v>
      </c>
      <c r="F160" s="219">
        <v>-1.6573916576250007</v>
      </c>
      <c r="G160" s="219">
        <v>-1.6270904683125007</v>
      </c>
      <c r="H160" s="219">
        <v>-1.5967892790000007</v>
      </c>
      <c r="I160" s="219">
        <v>-1.5664880896875006</v>
      </c>
      <c r="J160" s="219">
        <v>-1.5361869003750006</v>
      </c>
      <c r="K160" s="219">
        <v>-1.5058857110625006</v>
      </c>
      <c r="L160" s="219">
        <v>-1.4755845217500005</v>
      </c>
      <c r="M160" s="219">
        <v>-1.4452833324375005</v>
      </c>
      <c r="N160" s="219">
        <v>-1.4149821431250005</v>
      </c>
      <c r="O160" s="219">
        <v>-1.3846809538125004</v>
      </c>
      <c r="P160" s="219">
        <v>-1.3543797645000004</v>
      </c>
      <c r="Q160" s="219">
        <v>-1.3240785751875004</v>
      </c>
      <c r="R160" s="219">
        <v>-1.2937773858750004</v>
      </c>
      <c r="S160" s="219">
        <v>-1.2634761965625003</v>
      </c>
      <c r="T160" s="219">
        <v>-1.2331750072500003</v>
      </c>
      <c r="U160" s="219">
        <v>-1.2028738179375003</v>
      </c>
      <c r="V160" s="220">
        <v>-1.1725726286250002</v>
      </c>
      <c r="W160" s="219">
        <v>-1.1422714393125002</v>
      </c>
      <c r="X160" s="220">
        <v>-1.1119702500000002</v>
      </c>
      <c r="Y160" s="219">
        <v>-1.0832351250000003</v>
      </c>
      <c r="Z160" s="220">
        <v>-1.0545000000000002</v>
      </c>
      <c r="AA160" s="219">
        <v>-1.0272500000000002</v>
      </c>
      <c r="AB160" s="221">
        <v>-1</v>
      </c>
      <c r="AC160" s="219">
        <v>-0.8</v>
      </c>
      <c r="AD160" s="221">
        <v>-0.6</v>
      </c>
      <c r="AE160" s="219">
        <v>-0.4</v>
      </c>
      <c r="AF160" s="219">
        <v>-0.2</v>
      </c>
      <c r="AG160" s="150">
        <v>0</v>
      </c>
      <c r="AH160" s="150">
        <v>0.2</v>
      </c>
      <c r="AI160" s="150">
        <v>0.4</v>
      </c>
      <c r="AJ160" s="150">
        <v>0.6</v>
      </c>
      <c r="AK160" s="150">
        <v>0.8</v>
      </c>
      <c r="AL160" s="150">
        <v>1</v>
      </c>
      <c r="AM160" s="150">
        <v>1.2</v>
      </c>
      <c r="AN160" s="150">
        <v>1.4</v>
      </c>
      <c r="AO160" s="150">
        <v>1.6</v>
      </c>
      <c r="AP160" s="150">
        <v>1.8</v>
      </c>
      <c r="AQ160" s="150">
        <v>2</v>
      </c>
      <c r="AR160" s="150">
        <v>2.2000000000000002</v>
      </c>
      <c r="AS160" s="150">
        <v>2.4</v>
      </c>
      <c r="AT160" s="150">
        <v>2.6</v>
      </c>
      <c r="AU160" s="150">
        <v>2.8</v>
      </c>
      <c r="AV160" s="150">
        <v>3</v>
      </c>
      <c r="AW160" s="150">
        <v>3.2</v>
      </c>
      <c r="AX160" s="150">
        <v>3.4</v>
      </c>
      <c r="AY160" s="150">
        <v>3.6</v>
      </c>
      <c r="AZ160" s="150">
        <v>3.8</v>
      </c>
      <c r="BA160" s="150">
        <v>4</v>
      </c>
      <c r="BB160" s="150">
        <v>4.2</v>
      </c>
      <c r="BC160" s="150">
        <v>4.4000000000000004</v>
      </c>
      <c r="BD160" s="150">
        <v>4.5999999999999996</v>
      </c>
      <c r="BE160" s="150">
        <v>4.8</v>
      </c>
      <c r="BF160" s="150">
        <v>5</v>
      </c>
      <c r="BG160" s="150">
        <v>5.2</v>
      </c>
      <c r="BH160" s="150">
        <v>5.4</v>
      </c>
      <c r="BI160" s="150">
        <v>5.6</v>
      </c>
      <c r="BJ160" s="150">
        <v>5.8</v>
      </c>
      <c r="BK160" s="150">
        <v>6</v>
      </c>
      <c r="BL160" s="150">
        <v>6.2</v>
      </c>
      <c r="BM160" s="150">
        <v>6.4</v>
      </c>
      <c r="BN160" s="150">
        <v>6.6</v>
      </c>
      <c r="BO160" s="150">
        <v>6.8</v>
      </c>
      <c r="BP160" s="150">
        <v>7</v>
      </c>
      <c r="BQ160" s="150">
        <v>7.2</v>
      </c>
      <c r="BR160" s="150">
        <v>7.4</v>
      </c>
      <c r="BS160" s="150">
        <v>7.6</v>
      </c>
      <c r="BT160" s="150">
        <v>7.8</v>
      </c>
      <c r="BU160" s="150">
        <v>8</v>
      </c>
      <c r="BV160" s="150">
        <v>8.1999999999999993</v>
      </c>
      <c r="BW160" s="150">
        <v>8.4</v>
      </c>
      <c r="BX160" s="150">
        <v>8.6</v>
      </c>
      <c r="BY160" s="150">
        <v>8.7999999999999936</v>
      </c>
      <c r="BZ160" s="150">
        <v>9</v>
      </c>
      <c r="CA160" s="150">
        <v>9.1999999999999922</v>
      </c>
      <c r="CB160" s="150">
        <v>9.4</v>
      </c>
      <c r="CC160" s="150">
        <v>9.5999999999999908</v>
      </c>
      <c r="CD160" s="150">
        <v>9.8000000000000007</v>
      </c>
      <c r="CE160" s="150">
        <v>9.9999999999999893</v>
      </c>
      <c r="CF160" s="150">
        <v>10.199999999999999</v>
      </c>
      <c r="CG160" s="150">
        <v>10.4</v>
      </c>
      <c r="CH160" s="150">
        <v>10.6</v>
      </c>
      <c r="CI160" s="150">
        <v>10.8</v>
      </c>
      <c r="CJ160" s="150">
        <v>11</v>
      </c>
      <c r="CK160" s="150">
        <v>11.2</v>
      </c>
      <c r="CL160" s="150">
        <v>11.4</v>
      </c>
      <c r="CM160" s="150">
        <v>11.6</v>
      </c>
      <c r="CN160" s="150">
        <v>11.8</v>
      </c>
      <c r="CO160" s="150">
        <v>12</v>
      </c>
      <c r="CP160" s="150">
        <v>12.2</v>
      </c>
      <c r="CQ160" s="150">
        <v>12.4</v>
      </c>
      <c r="CR160" s="150">
        <v>12.6</v>
      </c>
      <c r="CS160" s="150">
        <v>12.8</v>
      </c>
      <c r="CT160" s="150">
        <v>13</v>
      </c>
      <c r="CU160" s="150">
        <v>13.2</v>
      </c>
      <c r="CV160" s="150">
        <v>13.4</v>
      </c>
      <c r="CW160" s="150">
        <v>13.6</v>
      </c>
      <c r="CX160" s="150">
        <v>13.8</v>
      </c>
      <c r="CY160" s="150">
        <v>14</v>
      </c>
      <c r="CZ160" s="150">
        <v>14.2</v>
      </c>
      <c r="DA160" s="150">
        <v>14.4</v>
      </c>
      <c r="DB160" s="150">
        <v>14.6</v>
      </c>
      <c r="DC160" s="150">
        <v>14.8</v>
      </c>
      <c r="DD160" s="150">
        <v>15</v>
      </c>
      <c r="DE160" s="150">
        <v>15.2</v>
      </c>
      <c r="DF160" s="150">
        <v>15.4</v>
      </c>
      <c r="DG160" s="150">
        <v>15.6</v>
      </c>
      <c r="DH160" s="150">
        <v>15.8</v>
      </c>
      <c r="DI160" s="150">
        <v>16</v>
      </c>
      <c r="DJ160" s="150">
        <v>16.2</v>
      </c>
      <c r="DK160" s="150">
        <v>16.399999999999999</v>
      </c>
      <c r="DL160" s="150">
        <v>16.600000000000001</v>
      </c>
      <c r="DM160" s="150">
        <v>16.8</v>
      </c>
      <c r="DN160" s="150">
        <v>17</v>
      </c>
      <c r="DO160" s="150">
        <v>17.2</v>
      </c>
      <c r="DP160" s="150">
        <v>17.399999999999999</v>
      </c>
      <c r="DQ160" s="150">
        <v>17.600000000000001</v>
      </c>
      <c r="DR160" s="150">
        <v>17.8</v>
      </c>
      <c r="DS160" s="150">
        <v>18</v>
      </c>
      <c r="DT160" s="150">
        <v>18.2</v>
      </c>
      <c r="DU160" s="150">
        <v>18.399999999999999</v>
      </c>
      <c r="DV160" s="150">
        <v>18.600000000000001</v>
      </c>
      <c r="DW160" s="150">
        <v>18.8</v>
      </c>
      <c r="DX160" s="150">
        <v>19</v>
      </c>
      <c r="DY160" s="150">
        <v>19.2</v>
      </c>
      <c r="DZ160" s="150">
        <v>19.399999999999999</v>
      </c>
      <c r="EA160" s="150">
        <v>19.600000000000001</v>
      </c>
      <c r="EB160" s="150">
        <v>19.8</v>
      </c>
      <c r="EC160" s="150">
        <v>20</v>
      </c>
      <c r="ED160" s="150">
        <v>20.2</v>
      </c>
      <c r="EE160" s="150">
        <v>20.399999999999999</v>
      </c>
      <c r="EF160" s="150">
        <v>20.6</v>
      </c>
      <c r="EG160" s="150">
        <v>20.799999999999951</v>
      </c>
      <c r="EH160" s="150">
        <v>21</v>
      </c>
      <c r="EI160" s="150">
        <v>21.19999999999995</v>
      </c>
      <c r="EJ160" s="150">
        <v>21.4</v>
      </c>
      <c r="EK160" s="150">
        <v>21.599999999999948</v>
      </c>
    </row>
    <row r="161" spans="1:141" ht="13.2" x14ac:dyDescent="0.25">
      <c r="A161" s="149">
        <v>41548</v>
      </c>
      <c r="B161" s="219">
        <v>-1.7785964148750009</v>
      </c>
      <c r="C161" s="219">
        <v>-1.7482952255625008</v>
      </c>
      <c r="D161" s="219">
        <v>-1.7179940362500008</v>
      </c>
      <c r="E161" s="219">
        <v>-1.6876928469375008</v>
      </c>
      <c r="F161" s="219">
        <v>-1.6573916576250007</v>
      </c>
      <c r="G161" s="219">
        <v>-1.6270904683125007</v>
      </c>
      <c r="H161" s="219">
        <v>-1.5967892790000007</v>
      </c>
      <c r="I161" s="219">
        <v>-1.5664880896875006</v>
      </c>
      <c r="J161" s="219">
        <v>-1.5361869003750006</v>
      </c>
      <c r="K161" s="219">
        <v>-1.5058857110625006</v>
      </c>
      <c r="L161" s="219">
        <v>-1.4755845217500005</v>
      </c>
      <c r="M161" s="219">
        <v>-1.4452833324375005</v>
      </c>
      <c r="N161" s="219">
        <v>-1.4149821431250005</v>
      </c>
      <c r="O161" s="219">
        <v>-1.3846809538125004</v>
      </c>
      <c r="P161" s="219">
        <v>-1.3543797645000004</v>
      </c>
      <c r="Q161" s="219">
        <v>-1.3240785751875004</v>
      </c>
      <c r="R161" s="219">
        <v>-1.2937773858750004</v>
      </c>
      <c r="S161" s="219">
        <v>-1.2634761965625003</v>
      </c>
      <c r="T161" s="219">
        <v>-1.2331750072500003</v>
      </c>
      <c r="U161" s="219">
        <v>-1.2028738179375003</v>
      </c>
      <c r="V161" s="220">
        <v>-1.1725726286250002</v>
      </c>
      <c r="W161" s="219">
        <v>-1.1422714393125002</v>
      </c>
      <c r="X161" s="220">
        <v>-1.1119702500000002</v>
      </c>
      <c r="Y161" s="219">
        <v>-1.0832351250000003</v>
      </c>
      <c r="Z161" s="220">
        <v>-1.0545000000000002</v>
      </c>
      <c r="AA161" s="219">
        <v>-1.0272500000000002</v>
      </c>
      <c r="AB161" s="221">
        <v>-1</v>
      </c>
      <c r="AC161" s="219">
        <v>-0.8</v>
      </c>
      <c r="AD161" s="221">
        <v>-0.6</v>
      </c>
      <c r="AE161" s="219">
        <v>-0.4</v>
      </c>
      <c r="AF161" s="219">
        <v>-0.2</v>
      </c>
      <c r="AG161" s="150">
        <v>0</v>
      </c>
      <c r="AH161" s="150">
        <v>0.2</v>
      </c>
      <c r="AI161" s="150">
        <v>0.4</v>
      </c>
      <c r="AJ161" s="150">
        <v>0.6</v>
      </c>
      <c r="AK161" s="150">
        <v>0.8</v>
      </c>
      <c r="AL161" s="150">
        <v>1</v>
      </c>
      <c r="AM161" s="150">
        <v>1.2</v>
      </c>
      <c r="AN161" s="150">
        <v>1.4</v>
      </c>
      <c r="AO161" s="150">
        <v>1.6</v>
      </c>
      <c r="AP161" s="150">
        <v>1.8</v>
      </c>
      <c r="AQ161" s="150">
        <v>2</v>
      </c>
      <c r="AR161" s="150">
        <v>2.2000000000000002</v>
      </c>
      <c r="AS161" s="150">
        <v>2.4</v>
      </c>
      <c r="AT161" s="150">
        <v>2.6</v>
      </c>
      <c r="AU161" s="150">
        <v>2.8</v>
      </c>
      <c r="AV161" s="150">
        <v>3</v>
      </c>
      <c r="AW161" s="150">
        <v>3.2</v>
      </c>
      <c r="AX161" s="150">
        <v>3.4</v>
      </c>
      <c r="AY161" s="150">
        <v>3.6</v>
      </c>
      <c r="AZ161" s="150">
        <v>3.8</v>
      </c>
      <c r="BA161" s="150">
        <v>4</v>
      </c>
      <c r="BB161" s="150">
        <v>4.2</v>
      </c>
      <c r="BC161" s="150">
        <v>4.4000000000000004</v>
      </c>
      <c r="BD161" s="150">
        <v>4.5999999999999996</v>
      </c>
      <c r="BE161" s="150">
        <v>4.8</v>
      </c>
      <c r="BF161" s="150">
        <v>5</v>
      </c>
      <c r="BG161" s="150">
        <v>5.2</v>
      </c>
      <c r="BH161" s="150">
        <v>5.4</v>
      </c>
      <c r="BI161" s="150">
        <v>5.6</v>
      </c>
      <c r="BJ161" s="150">
        <v>5.8</v>
      </c>
      <c r="BK161" s="150">
        <v>6</v>
      </c>
      <c r="BL161" s="150">
        <v>6.2</v>
      </c>
      <c r="BM161" s="150">
        <v>6.4</v>
      </c>
      <c r="BN161" s="150">
        <v>6.6</v>
      </c>
      <c r="BO161" s="150">
        <v>6.8</v>
      </c>
      <c r="BP161" s="150">
        <v>7</v>
      </c>
      <c r="BQ161" s="150">
        <v>7.2</v>
      </c>
      <c r="BR161" s="150">
        <v>7.4</v>
      </c>
      <c r="BS161" s="150">
        <v>7.6</v>
      </c>
      <c r="BT161" s="150">
        <v>7.8</v>
      </c>
      <c r="BU161" s="150">
        <v>8</v>
      </c>
      <c r="BV161" s="150">
        <v>8.1999999999999993</v>
      </c>
      <c r="BW161" s="150">
        <v>8.4</v>
      </c>
      <c r="BX161" s="150">
        <v>8.6</v>
      </c>
      <c r="BY161" s="150">
        <v>8.7999999999999936</v>
      </c>
      <c r="BZ161" s="150">
        <v>9</v>
      </c>
      <c r="CA161" s="150">
        <v>9.1999999999999922</v>
      </c>
      <c r="CB161" s="150">
        <v>9.4</v>
      </c>
      <c r="CC161" s="150">
        <v>9.5999999999999908</v>
      </c>
      <c r="CD161" s="150">
        <v>9.8000000000000007</v>
      </c>
      <c r="CE161" s="150">
        <v>9.9999999999999893</v>
      </c>
      <c r="CF161" s="150">
        <v>10.199999999999999</v>
      </c>
      <c r="CG161" s="150">
        <v>10.4</v>
      </c>
      <c r="CH161" s="150">
        <v>10.6</v>
      </c>
      <c r="CI161" s="150">
        <v>10.8</v>
      </c>
      <c r="CJ161" s="150">
        <v>11</v>
      </c>
      <c r="CK161" s="150">
        <v>11.2</v>
      </c>
      <c r="CL161" s="150">
        <v>11.4</v>
      </c>
      <c r="CM161" s="150">
        <v>11.6</v>
      </c>
      <c r="CN161" s="150">
        <v>11.8</v>
      </c>
      <c r="CO161" s="150">
        <v>12</v>
      </c>
      <c r="CP161" s="150">
        <v>12.2</v>
      </c>
      <c r="CQ161" s="150">
        <v>12.4</v>
      </c>
      <c r="CR161" s="150">
        <v>12.6</v>
      </c>
      <c r="CS161" s="150">
        <v>12.8</v>
      </c>
      <c r="CT161" s="150">
        <v>13</v>
      </c>
      <c r="CU161" s="150">
        <v>13.2</v>
      </c>
      <c r="CV161" s="150">
        <v>13.4</v>
      </c>
      <c r="CW161" s="150">
        <v>13.6</v>
      </c>
      <c r="CX161" s="150">
        <v>13.8</v>
      </c>
      <c r="CY161" s="150">
        <v>14</v>
      </c>
      <c r="CZ161" s="150">
        <v>14.2</v>
      </c>
      <c r="DA161" s="150">
        <v>14.4</v>
      </c>
      <c r="DB161" s="150">
        <v>14.6</v>
      </c>
      <c r="DC161" s="150">
        <v>14.8</v>
      </c>
      <c r="DD161" s="150">
        <v>15</v>
      </c>
      <c r="DE161" s="150">
        <v>15.2</v>
      </c>
      <c r="DF161" s="150">
        <v>15.4</v>
      </c>
      <c r="DG161" s="150">
        <v>15.6</v>
      </c>
      <c r="DH161" s="150">
        <v>15.8</v>
      </c>
      <c r="DI161" s="150">
        <v>16</v>
      </c>
      <c r="DJ161" s="150">
        <v>16.2</v>
      </c>
      <c r="DK161" s="150">
        <v>16.399999999999999</v>
      </c>
      <c r="DL161" s="150">
        <v>16.600000000000001</v>
      </c>
      <c r="DM161" s="150">
        <v>16.8</v>
      </c>
      <c r="DN161" s="150">
        <v>17</v>
      </c>
      <c r="DO161" s="150">
        <v>17.2</v>
      </c>
      <c r="DP161" s="150">
        <v>17.399999999999999</v>
      </c>
      <c r="DQ161" s="150">
        <v>17.600000000000001</v>
      </c>
      <c r="DR161" s="150">
        <v>17.8</v>
      </c>
      <c r="DS161" s="150">
        <v>18</v>
      </c>
      <c r="DT161" s="150">
        <v>18.2</v>
      </c>
      <c r="DU161" s="150">
        <v>18.399999999999999</v>
      </c>
      <c r="DV161" s="150">
        <v>18.600000000000001</v>
      </c>
      <c r="DW161" s="150">
        <v>18.8</v>
      </c>
      <c r="DX161" s="150">
        <v>19</v>
      </c>
      <c r="DY161" s="150">
        <v>19.2</v>
      </c>
      <c r="DZ161" s="150">
        <v>19.399999999999999</v>
      </c>
      <c r="EA161" s="150">
        <v>19.600000000000001</v>
      </c>
      <c r="EB161" s="150">
        <v>19.8</v>
      </c>
      <c r="EC161" s="150">
        <v>20</v>
      </c>
      <c r="ED161" s="150">
        <v>20.2</v>
      </c>
      <c r="EE161" s="150">
        <v>20.399999999999999</v>
      </c>
      <c r="EF161" s="150">
        <v>20.6</v>
      </c>
      <c r="EG161" s="150">
        <v>20.799999999999951</v>
      </c>
      <c r="EH161" s="150">
        <v>21</v>
      </c>
      <c r="EI161" s="150">
        <v>21.19999999999995</v>
      </c>
      <c r="EJ161" s="150">
        <v>21.4</v>
      </c>
      <c r="EK161" s="150">
        <v>21.599999999999948</v>
      </c>
    </row>
    <row r="162" spans="1:141" ht="13.2" x14ac:dyDescent="0.25">
      <c r="A162" s="149">
        <v>41579</v>
      </c>
      <c r="B162" s="219">
        <v>-1.7785964148750009</v>
      </c>
      <c r="C162" s="219">
        <v>-1.7482952255625008</v>
      </c>
      <c r="D162" s="219">
        <v>-1.7179940362500008</v>
      </c>
      <c r="E162" s="219">
        <v>-1.6876928469375008</v>
      </c>
      <c r="F162" s="219">
        <v>-1.6573916576250007</v>
      </c>
      <c r="G162" s="219">
        <v>-1.6270904683125007</v>
      </c>
      <c r="H162" s="219">
        <v>-1.5967892790000007</v>
      </c>
      <c r="I162" s="219">
        <v>-1.5664880896875006</v>
      </c>
      <c r="J162" s="219">
        <v>-1.5361869003750006</v>
      </c>
      <c r="K162" s="219">
        <v>-1.5058857110625006</v>
      </c>
      <c r="L162" s="219">
        <v>-1.4755845217500005</v>
      </c>
      <c r="M162" s="219">
        <v>-1.4452833324375005</v>
      </c>
      <c r="N162" s="219">
        <v>-1.4149821431250005</v>
      </c>
      <c r="O162" s="219">
        <v>-1.3846809538125004</v>
      </c>
      <c r="P162" s="219">
        <v>-1.3543797645000004</v>
      </c>
      <c r="Q162" s="219">
        <v>-1.3240785751875004</v>
      </c>
      <c r="R162" s="219">
        <v>-1.2937773858750004</v>
      </c>
      <c r="S162" s="219">
        <v>-1.2634761965625003</v>
      </c>
      <c r="T162" s="219">
        <v>-1.2331750072500003</v>
      </c>
      <c r="U162" s="219">
        <v>-1.2028738179375003</v>
      </c>
      <c r="V162" s="220">
        <v>-1.1725726286250002</v>
      </c>
      <c r="W162" s="219">
        <v>-1.1422714393125002</v>
      </c>
      <c r="X162" s="220">
        <v>-1.1119702500000002</v>
      </c>
      <c r="Y162" s="219">
        <v>-1.0832351250000003</v>
      </c>
      <c r="Z162" s="220">
        <v>-1.0545000000000002</v>
      </c>
      <c r="AA162" s="219">
        <v>-1.0272500000000002</v>
      </c>
      <c r="AB162" s="221">
        <v>-1</v>
      </c>
      <c r="AC162" s="219">
        <v>-0.8</v>
      </c>
      <c r="AD162" s="221">
        <v>-0.6</v>
      </c>
      <c r="AE162" s="219">
        <v>-0.4</v>
      </c>
      <c r="AF162" s="219">
        <v>-0.2</v>
      </c>
      <c r="AG162" s="150">
        <v>0</v>
      </c>
      <c r="AH162" s="150">
        <v>0.2</v>
      </c>
      <c r="AI162" s="150">
        <v>0.4</v>
      </c>
      <c r="AJ162" s="150">
        <v>0.6</v>
      </c>
      <c r="AK162" s="150">
        <v>0.8</v>
      </c>
      <c r="AL162" s="150">
        <v>1</v>
      </c>
      <c r="AM162" s="150">
        <v>1.2</v>
      </c>
      <c r="AN162" s="150">
        <v>1.4</v>
      </c>
      <c r="AO162" s="150">
        <v>1.6</v>
      </c>
      <c r="AP162" s="150">
        <v>1.8</v>
      </c>
      <c r="AQ162" s="150">
        <v>2</v>
      </c>
      <c r="AR162" s="150">
        <v>2.2000000000000002</v>
      </c>
      <c r="AS162" s="150">
        <v>2.4</v>
      </c>
      <c r="AT162" s="150">
        <v>2.6</v>
      </c>
      <c r="AU162" s="150">
        <v>2.8</v>
      </c>
      <c r="AV162" s="150">
        <v>3</v>
      </c>
      <c r="AW162" s="150">
        <v>3.2</v>
      </c>
      <c r="AX162" s="150">
        <v>3.4</v>
      </c>
      <c r="AY162" s="150">
        <v>3.6</v>
      </c>
      <c r="AZ162" s="150">
        <v>3.8</v>
      </c>
      <c r="BA162" s="150">
        <v>4</v>
      </c>
      <c r="BB162" s="150">
        <v>4.2</v>
      </c>
      <c r="BC162" s="150">
        <v>4.4000000000000004</v>
      </c>
      <c r="BD162" s="150">
        <v>4.5999999999999996</v>
      </c>
      <c r="BE162" s="150">
        <v>4.8</v>
      </c>
      <c r="BF162" s="150">
        <v>5</v>
      </c>
      <c r="BG162" s="150">
        <v>5.2</v>
      </c>
      <c r="BH162" s="150">
        <v>5.4</v>
      </c>
      <c r="BI162" s="150">
        <v>5.6</v>
      </c>
      <c r="BJ162" s="150">
        <v>5.8</v>
      </c>
      <c r="BK162" s="150">
        <v>6</v>
      </c>
      <c r="BL162" s="150">
        <v>6.2</v>
      </c>
      <c r="BM162" s="150">
        <v>6.4</v>
      </c>
      <c r="BN162" s="150">
        <v>6.6</v>
      </c>
      <c r="BO162" s="150">
        <v>6.8</v>
      </c>
      <c r="BP162" s="150">
        <v>7</v>
      </c>
      <c r="BQ162" s="150">
        <v>7.2</v>
      </c>
      <c r="BR162" s="150">
        <v>7.4</v>
      </c>
      <c r="BS162" s="150">
        <v>7.6</v>
      </c>
      <c r="BT162" s="150">
        <v>7.8</v>
      </c>
      <c r="BU162" s="150">
        <v>8</v>
      </c>
      <c r="BV162" s="150">
        <v>8.1999999999999993</v>
      </c>
      <c r="BW162" s="150">
        <v>8.4</v>
      </c>
      <c r="BX162" s="150">
        <v>8.6</v>
      </c>
      <c r="BY162" s="150">
        <v>8.7999999999999936</v>
      </c>
      <c r="BZ162" s="150">
        <v>9</v>
      </c>
      <c r="CA162" s="150">
        <v>9.1999999999999922</v>
      </c>
      <c r="CB162" s="150">
        <v>9.4</v>
      </c>
      <c r="CC162" s="150">
        <v>9.5999999999999908</v>
      </c>
      <c r="CD162" s="150">
        <v>9.8000000000000007</v>
      </c>
      <c r="CE162" s="150">
        <v>9.9999999999999893</v>
      </c>
      <c r="CF162" s="150">
        <v>10.199999999999999</v>
      </c>
      <c r="CG162" s="150">
        <v>10.4</v>
      </c>
      <c r="CH162" s="150">
        <v>10.6</v>
      </c>
      <c r="CI162" s="150">
        <v>10.8</v>
      </c>
      <c r="CJ162" s="150">
        <v>11</v>
      </c>
      <c r="CK162" s="150">
        <v>11.2</v>
      </c>
      <c r="CL162" s="150">
        <v>11.4</v>
      </c>
      <c r="CM162" s="150">
        <v>11.6</v>
      </c>
      <c r="CN162" s="150">
        <v>11.8</v>
      </c>
      <c r="CO162" s="150">
        <v>12</v>
      </c>
      <c r="CP162" s="150">
        <v>12.2</v>
      </c>
      <c r="CQ162" s="150">
        <v>12.4</v>
      </c>
      <c r="CR162" s="150">
        <v>12.6</v>
      </c>
      <c r="CS162" s="150">
        <v>12.8</v>
      </c>
      <c r="CT162" s="150">
        <v>13</v>
      </c>
      <c r="CU162" s="150">
        <v>13.2</v>
      </c>
      <c r="CV162" s="150">
        <v>13.4</v>
      </c>
      <c r="CW162" s="150">
        <v>13.6</v>
      </c>
      <c r="CX162" s="150">
        <v>13.8</v>
      </c>
      <c r="CY162" s="150">
        <v>14</v>
      </c>
      <c r="CZ162" s="150">
        <v>14.2</v>
      </c>
      <c r="DA162" s="150">
        <v>14.4</v>
      </c>
      <c r="DB162" s="150">
        <v>14.6</v>
      </c>
      <c r="DC162" s="150">
        <v>14.8</v>
      </c>
      <c r="DD162" s="150">
        <v>15</v>
      </c>
      <c r="DE162" s="150">
        <v>15.2</v>
      </c>
      <c r="DF162" s="150">
        <v>15.4</v>
      </c>
      <c r="DG162" s="150">
        <v>15.6</v>
      </c>
      <c r="DH162" s="150">
        <v>15.8</v>
      </c>
      <c r="DI162" s="150">
        <v>16</v>
      </c>
      <c r="DJ162" s="150">
        <v>16.2</v>
      </c>
      <c r="DK162" s="150">
        <v>16.399999999999999</v>
      </c>
      <c r="DL162" s="150">
        <v>16.600000000000001</v>
      </c>
      <c r="DM162" s="150">
        <v>16.8</v>
      </c>
      <c r="DN162" s="150">
        <v>17</v>
      </c>
      <c r="DO162" s="150">
        <v>17.2</v>
      </c>
      <c r="DP162" s="150">
        <v>17.399999999999999</v>
      </c>
      <c r="DQ162" s="150">
        <v>17.600000000000001</v>
      </c>
      <c r="DR162" s="150">
        <v>17.8</v>
      </c>
      <c r="DS162" s="150">
        <v>18</v>
      </c>
      <c r="DT162" s="150">
        <v>18.2</v>
      </c>
      <c r="DU162" s="150">
        <v>18.399999999999999</v>
      </c>
      <c r="DV162" s="150">
        <v>18.600000000000001</v>
      </c>
      <c r="DW162" s="150">
        <v>18.8</v>
      </c>
      <c r="DX162" s="150">
        <v>19</v>
      </c>
      <c r="DY162" s="150">
        <v>19.2</v>
      </c>
      <c r="DZ162" s="150">
        <v>19.399999999999999</v>
      </c>
      <c r="EA162" s="150">
        <v>19.600000000000001</v>
      </c>
      <c r="EB162" s="150">
        <v>19.8</v>
      </c>
      <c r="EC162" s="150">
        <v>20</v>
      </c>
      <c r="ED162" s="150">
        <v>20.2</v>
      </c>
      <c r="EE162" s="150">
        <v>20.399999999999999</v>
      </c>
      <c r="EF162" s="150">
        <v>20.6</v>
      </c>
      <c r="EG162" s="150">
        <v>20.799999999999951</v>
      </c>
      <c r="EH162" s="150">
        <v>21</v>
      </c>
      <c r="EI162" s="150">
        <v>21.19999999999995</v>
      </c>
      <c r="EJ162" s="150">
        <v>21.4</v>
      </c>
      <c r="EK162" s="150">
        <v>21.599999999999948</v>
      </c>
    </row>
    <row r="163" spans="1:141" ht="13.2" x14ac:dyDescent="0.25">
      <c r="A163" s="24">
        <v>41579</v>
      </c>
      <c r="B163" s="150">
        <v>-2.1801787500000014</v>
      </c>
      <c r="C163" s="150">
        <v>-2.1442598437500013</v>
      </c>
      <c r="D163" s="150">
        <v>-2.1083409375000013</v>
      </c>
      <c r="E163" s="150">
        <v>-2.0724220312500012</v>
      </c>
      <c r="F163" s="150">
        <v>-2.0365031250000012</v>
      </c>
      <c r="G163" s="150">
        <v>-2.0005842187500011</v>
      </c>
      <c r="H163" s="150">
        <v>-1.9646653125000011</v>
      </c>
      <c r="I163" s="150">
        <v>-1.928746406250001</v>
      </c>
      <c r="J163" s="150">
        <v>-1.892827500000001</v>
      </c>
      <c r="K163" s="150">
        <v>-1.8569085937500009</v>
      </c>
      <c r="L163" s="150">
        <v>-1.8209896875000009</v>
      </c>
      <c r="M163" s="150">
        <v>-1.7850707812500008</v>
      </c>
      <c r="N163" s="150">
        <v>-1.7491518750000008</v>
      </c>
      <c r="O163" s="150">
        <v>-1.7132329687500008</v>
      </c>
      <c r="P163" s="150">
        <v>-1.6773140625000007</v>
      </c>
      <c r="Q163" s="150">
        <v>-1.6413951562500007</v>
      </c>
      <c r="R163" s="150">
        <v>-1.6054762500000006</v>
      </c>
      <c r="S163" s="150">
        <v>-1.5695573437500006</v>
      </c>
      <c r="T163" s="150">
        <v>-1.5336384375000005</v>
      </c>
      <c r="U163" s="150">
        <v>-1.4977195312500005</v>
      </c>
      <c r="V163" s="150">
        <v>-1.4618006250000004</v>
      </c>
      <c r="W163" s="150">
        <v>-1.4258817187500004</v>
      </c>
      <c r="X163" s="150">
        <v>-1.3899628125000003</v>
      </c>
      <c r="Y163" s="150">
        <v>-1.3540439062500003</v>
      </c>
      <c r="Z163" s="150">
        <v>-1.318125</v>
      </c>
      <c r="AA163" s="150">
        <v>-1.2840625000000001</v>
      </c>
      <c r="AB163" s="150">
        <v>-1.25</v>
      </c>
      <c r="AC163" s="150">
        <v>-1</v>
      </c>
      <c r="AD163" s="150">
        <v>-0.75</v>
      </c>
      <c r="AE163" s="150">
        <v>-0.5</v>
      </c>
      <c r="AF163" s="150">
        <v>-0.25</v>
      </c>
      <c r="AG163" s="150">
        <v>0</v>
      </c>
      <c r="AH163" s="150">
        <v>0.08</v>
      </c>
      <c r="AI163" s="150">
        <v>0.16</v>
      </c>
      <c r="AJ163" s="150">
        <v>0.24</v>
      </c>
      <c r="AK163" s="150">
        <v>0.32</v>
      </c>
      <c r="AL163" s="150">
        <v>0.4</v>
      </c>
      <c r="AM163" s="150">
        <v>0.48</v>
      </c>
      <c r="AN163" s="150">
        <v>0.56000000000000005</v>
      </c>
      <c r="AO163" s="150">
        <v>0.64</v>
      </c>
      <c r="AP163" s="150">
        <v>0.72</v>
      </c>
      <c r="AQ163" s="150">
        <v>0.8</v>
      </c>
      <c r="AR163" s="150">
        <v>0.88</v>
      </c>
      <c r="AS163" s="150">
        <v>0.96</v>
      </c>
      <c r="AT163" s="150">
        <v>1.04</v>
      </c>
      <c r="AU163" s="150">
        <v>1.1200000000000001</v>
      </c>
      <c r="AV163" s="150">
        <v>1.2</v>
      </c>
      <c r="AW163" s="150">
        <v>1.28</v>
      </c>
      <c r="AX163" s="150">
        <v>1.36</v>
      </c>
      <c r="AY163" s="150">
        <v>1.44</v>
      </c>
      <c r="AZ163" s="150">
        <v>1.52</v>
      </c>
      <c r="BA163" s="150">
        <v>1.6</v>
      </c>
      <c r="BB163" s="150">
        <v>1.68</v>
      </c>
      <c r="BC163" s="150">
        <v>1.76</v>
      </c>
      <c r="BD163" s="150">
        <v>1.84</v>
      </c>
      <c r="BE163" s="150">
        <v>1.92</v>
      </c>
      <c r="BF163" s="150">
        <v>2</v>
      </c>
      <c r="BG163" s="150">
        <v>2.08</v>
      </c>
      <c r="BH163" s="150">
        <v>2.16</v>
      </c>
      <c r="BI163" s="150">
        <v>2.2400000000000002</v>
      </c>
      <c r="BJ163" s="150">
        <v>2.3199999999999998</v>
      </c>
      <c r="BK163" s="150">
        <v>2.4</v>
      </c>
      <c r="BL163" s="150">
        <v>2.48</v>
      </c>
      <c r="BM163" s="150">
        <v>2.56</v>
      </c>
      <c r="BN163" s="150">
        <v>2.64</v>
      </c>
      <c r="BO163" s="150">
        <v>2.72</v>
      </c>
      <c r="BP163" s="150">
        <v>2.8</v>
      </c>
      <c r="BQ163" s="150">
        <v>2.88</v>
      </c>
      <c r="BR163" s="150">
        <v>2.96</v>
      </c>
      <c r="BS163" s="150">
        <v>3.04</v>
      </c>
      <c r="BT163" s="150">
        <v>3.12</v>
      </c>
      <c r="BU163" s="150">
        <v>3.2</v>
      </c>
      <c r="BV163" s="150">
        <v>3.28</v>
      </c>
      <c r="BW163" s="150">
        <v>3.36</v>
      </c>
      <c r="BX163" s="150">
        <v>3.44</v>
      </c>
      <c r="BY163" s="150">
        <v>3.52</v>
      </c>
      <c r="BZ163" s="150">
        <v>3.6</v>
      </c>
      <c r="CA163" s="150">
        <v>3.68</v>
      </c>
      <c r="CB163" s="150">
        <v>3.76</v>
      </c>
      <c r="CC163" s="150">
        <v>3.84</v>
      </c>
      <c r="CD163" s="150">
        <v>3.92</v>
      </c>
      <c r="CE163" s="150">
        <v>4</v>
      </c>
      <c r="CF163" s="150">
        <v>4.08</v>
      </c>
      <c r="CG163" s="150">
        <v>4.16</v>
      </c>
      <c r="CH163" s="150">
        <v>4.24</v>
      </c>
      <c r="CI163" s="150">
        <v>4.32</v>
      </c>
      <c r="CJ163" s="150">
        <v>4.4000000000000004</v>
      </c>
      <c r="CK163" s="150">
        <v>4.4800000000000004</v>
      </c>
      <c r="CL163" s="150">
        <v>4.5599999999999996</v>
      </c>
      <c r="CM163" s="150">
        <v>4.6399999999999997</v>
      </c>
      <c r="CN163" s="150">
        <v>4.72</v>
      </c>
      <c r="CO163" s="150">
        <v>4.8</v>
      </c>
      <c r="CP163" s="150">
        <v>4.88</v>
      </c>
      <c r="CQ163" s="150">
        <v>4.96</v>
      </c>
      <c r="CR163" s="150">
        <v>5.04</v>
      </c>
      <c r="CS163" s="150">
        <v>5.12</v>
      </c>
      <c r="CT163" s="150">
        <v>5.2</v>
      </c>
      <c r="CU163" s="150">
        <v>5.28</v>
      </c>
      <c r="CV163" s="150">
        <v>5.36</v>
      </c>
      <c r="CW163" s="150">
        <v>5.44</v>
      </c>
      <c r="CX163" s="150">
        <v>5.52</v>
      </c>
      <c r="CY163" s="150">
        <v>5.6</v>
      </c>
      <c r="CZ163" s="150">
        <v>5.68</v>
      </c>
      <c r="DA163" s="150">
        <v>5.76</v>
      </c>
      <c r="DB163" s="150">
        <v>5.84</v>
      </c>
      <c r="DC163" s="150">
        <v>5.92</v>
      </c>
      <c r="DD163" s="150">
        <v>6</v>
      </c>
      <c r="DE163" s="150">
        <v>6.08</v>
      </c>
      <c r="DF163" s="150">
        <v>6.16</v>
      </c>
      <c r="DG163" s="150">
        <v>6.24</v>
      </c>
      <c r="DH163" s="150">
        <v>6.32</v>
      </c>
      <c r="DI163" s="150">
        <v>6.4</v>
      </c>
      <c r="DJ163" s="150">
        <v>6.48</v>
      </c>
      <c r="DK163" s="150">
        <v>6.56</v>
      </c>
      <c r="DL163" s="150">
        <v>6.64</v>
      </c>
      <c r="DM163" s="150">
        <v>6.72</v>
      </c>
      <c r="DN163" s="150">
        <v>6.8000000000000052</v>
      </c>
      <c r="DO163" s="150">
        <v>6.8800000000000052</v>
      </c>
      <c r="DP163" s="150">
        <v>6.9600000000000053</v>
      </c>
      <c r="DQ163" s="150">
        <v>7.0400000000000054</v>
      </c>
      <c r="DR163" s="150">
        <v>7.1200000000000054</v>
      </c>
      <c r="DS163" s="150">
        <v>7.2000000000000055</v>
      </c>
      <c r="DT163" s="150">
        <v>7.2800000000000056</v>
      </c>
      <c r="DU163" s="150">
        <v>7.3600000000000056</v>
      </c>
      <c r="DV163" s="150">
        <v>7.4400000000000057</v>
      </c>
      <c r="DW163" s="150">
        <v>7.5200000000000058</v>
      </c>
      <c r="DX163" s="150">
        <v>7.6000000000000059</v>
      </c>
      <c r="DY163" s="150">
        <v>7.6800000000000059</v>
      </c>
      <c r="DZ163" s="150">
        <v>7.760000000000006</v>
      </c>
      <c r="EA163" s="150">
        <v>7.8400000000000061</v>
      </c>
      <c r="EB163" s="150">
        <v>7.9200000000000061</v>
      </c>
      <c r="EC163" s="150">
        <v>8.0000000000000071</v>
      </c>
      <c r="ED163" s="150">
        <v>8.0800000000000054</v>
      </c>
      <c r="EE163" s="150">
        <v>8.1600000000000072</v>
      </c>
      <c r="EF163" s="150">
        <v>8.2400000000000055</v>
      </c>
      <c r="EG163" s="150">
        <v>8.3200000000000074</v>
      </c>
      <c r="EH163" s="150">
        <v>8.4000000000000057</v>
      </c>
      <c r="EI163" s="150">
        <v>8.4800000000000075</v>
      </c>
      <c r="EJ163" s="150">
        <v>8.5600000000000058</v>
      </c>
      <c r="EK163" s="150">
        <v>8.6400000000000077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Z9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1" sqref="H21"/>
    </sheetView>
  </sheetViews>
  <sheetFormatPr defaultRowHeight="13.2" x14ac:dyDescent="0.25"/>
  <cols>
    <col min="1" max="14" width="9.6640625" style="77" customWidth="1"/>
    <col min="15" max="25" width="10.6640625" style="77" customWidth="1"/>
    <col min="26" max="38" width="9.109375" style="77" customWidth="1"/>
  </cols>
  <sheetData>
    <row r="1" spans="1:52" x14ac:dyDescent="0.25">
      <c r="B1" s="54" t="s">
        <v>221</v>
      </c>
      <c r="C1" s="132">
        <f>C7</f>
        <v>-0.185</v>
      </c>
      <c r="D1" s="132">
        <f t="shared" ref="D1:Y1" si="0">D7</f>
        <v>-1.2050000000000001</v>
      </c>
      <c r="E1" s="132">
        <f t="shared" si="0"/>
        <v>-1.2150000000000001</v>
      </c>
      <c r="F1" s="132">
        <f t="shared" si="0"/>
        <v>2.605</v>
      </c>
      <c r="G1" s="132">
        <f t="shared" si="0"/>
        <v>5.1999990000000003E-2</v>
      </c>
      <c r="H1" s="132">
        <f t="shared" si="0"/>
        <v>-7.4999999999999997E-2</v>
      </c>
      <c r="I1" s="132">
        <f t="shared" si="0"/>
        <v>0.18</v>
      </c>
      <c r="J1" s="132">
        <f t="shared" si="0"/>
        <v>0.32</v>
      </c>
      <c r="K1" s="132">
        <f t="shared" si="0"/>
        <v>1.335</v>
      </c>
      <c r="L1" s="132">
        <f t="shared" si="0"/>
        <v>-0.10800000000000001</v>
      </c>
      <c r="M1" s="132">
        <f t="shared" si="0"/>
        <v>1.2E-2</v>
      </c>
      <c r="N1" s="132">
        <f t="shared" si="0"/>
        <v>-0.13800000000000001</v>
      </c>
      <c r="O1" s="132">
        <f t="shared" si="0"/>
        <v>-1.2050000000000001</v>
      </c>
      <c r="P1" s="132">
        <f t="shared" si="0"/>
        <v>-0.13800000000000001</v>
      </c>
      <c r="Q1" s="132">
        <f t="shared" si="0"/>
        <v>0.18</v>
      </c>
      <c r="R1" s="132">
        <f t="shared" si="0"/>
        <v>-0.16800000000000001</v>
      </c>
      <c r="S1" s="132">
        <f t="shared" si="0"/>
        <v>7.000000000000001E-3</v>
      </c>
      <c r="T1" s="132">
        <f t="shared" si="0"/>
        <v>0.11200000000000002</v>
      </c>
      <c r="U1" s="132">
        <f t="shared" si="0"/>
        <v>0.32</v>
      </c>
      <c r="V1" s="132">
        <f t="shared" si="0"/>
        <v>-8.8000000000000009E-2</v>
      </c>
      <c r="W1" s="132">
        <f t="shared" si="0"/>
        <v>-0.03</v>
      </c>
      <c r="X1" s="132">
        <f t="shared" si="0"/>
        <v>2.605</v>
      </c>
      <c r="Y1" s="132">
        <f t="shared" si="0"/>
        <v>1.585</v>
      </c>
    </row>
    <row r="2" spans="1:52" x14ac:dyDescent="0.25">
      <c r="B2" s="54" t="s">
        <v>222</v>
      </c>
      <c r="C2" s="132">
        <f>C8</f>
        <v>-0.18</v>
      </c>
      <c r="D2" s="132">
        <f t="shared" ref="D2:Y2" si="1">D8</f>
        <v>-0.91749999999999998</v>
      </c>
      <c r="E2" s="132">
        <f t="shared" si="1"/>
        <v>-0.94</v>
      </c>
      <c r="F2" s="132">
        <f t="shared" si="1"/>
        <v>0.9</v>
      </c>
      <c r="G2" s="132">
        <f t="shared" si="1"/>
        <v>5.7500000000000002E-2</v>
      </c>
      <c r="H2" s="132">
        <f t="shared" si="1"/>
        <v>-0.10249999999999999</v>
      </c>
      <c r="I2" s="132">
        <f t="shared" si="1"/>
        <v>0.1925</v>
      </c>
      <c r="J2" s="132">
        <f t="shared" si="1"/>
        <v>0.44</v>
      </c>
      <c r="K2" s="132">
        <f t="shared" si="1"/>
        <v>0.4</v>
      </c>
      <c r="L2" s="132">
        <f t="shared" si="1"/>
        <v>-0.09</v>
      </c>
      <c r="M2" s="132">
        <f t="shared" si="1"/>
        <v>-1.2500000000000001E-2</v>
      </c>
      <c r="N2" s="132">
        <f t="shared" si="1"/>
        <v>-0.14749999999999999</v>
      </c>
      <c r="O2" s="132">
        <f t="shared" si="1"/>
        <v>-0.91749999999999998</v>
      </c>
      <c r="P2" s="132">
        <f t="shared" si="1"/>
        <v>-0.14749999999999999</v>
      </c>
      <c r="Q2" s="132">
        <f t="shared" si="1"/>
        <v>0.1925</v>
      </c>
      <c r="R2" s="132">
        <f t="shared" si="1"/>
        <v>-0.17749999999999999</v>
      </c>
      <c r="S2" s="132">
        <f t="shared" si="1"/>
        <v>0</v>
      </c>
      <c r="T2" s="132">
        <f t="shared" si="1"/>
        <v>0.13250000000000001</v>
      </c>
      <c r="U2" s="132">
        <f t="shared" si="1"/>
        <v>0.44</v>
      </c>
      <c r="V2" s="132">
        <f t="shared" si="1"/>
        <v>-0.08</v>
      </c>
      <c r="W2" s="132">
        <f t="shared" si="1"/>
        <v>-0.03</v>
      </c>
      <c r="X2" s="132">
        <f t="shared" si="1"/>
        <v>0.9</v>
      </c>
      <c r="Y2" s="132">
        <f t="shared" si="1"/>
        <v>0.8</v>
      </c>
    </row>
    <row r="3" spans="1:52" x14ac:dyDescent="0.25">
      <c r="A3" s="132"/>
      <c r="B3" s="54" t="s">
        <v>145</v>
      </c>
      <c r="C3" s="132">
        <f>AVERAGE(C9:C13)</f>
        <v>-0.19650000000000004</v>
      </c>
      <c r="D3" s="132">
        <f t="shared" ref="D3:Y3" si="2">AVERAGE(D9:D13)</f>
        <v>-0.437</v>
      </c>
      <c r="E3" s="132">
        <f t="shared" si="2"/>
        <v>-0.48049999999999998</v>
      </c>
      <c r="F3" s="132">
        <f t="shared" si="2"/>
        <v>0.4</v>
      </c>
      <c r="G3" s="132">
        <f t="shared" si="2"/>
        <v>0.11499999999999999</v>
      </c>
      <c r="H3" s="132">
        <f t="shared" si="2"/>
        <v>-0.1346</v>
      </c>
      <c r="I3" s="132">
        <f t="shared" si="2"/>
        <v>0.3</v>
      </c>
      <c r="J3" s="132">
        <f t="shared" si="2"/>
        <v>1.61</v>
      </c>
      <c r="K3" s="132">
        <f t="shared" si="2"/>
        <v>0.28949999999999998</v>
      </c>
      <c r="L3" s="132">
        <f t="shared" si="2"/>
        <v>0.02</v>
      </c>
      <c r="M3" s="132">
        <f t="shared" si="2"/>
        <v>-5.0500000000000003E-2</v>
      </c>
      <c r="N3" s="132">
        <f t="shared" si="2"/>
        <v>-0.15</v>
      </c>
      <c r="O3" s="132">
        <f t="shared" si="2"/>
        <v>-0.437</v>
      </c>
      <c r="P3" s="132">
        <f t="shared" si="2"/>
        <v>-0.15</v>
      </c>
      <c r="Q3" s="132">
        <f t="shared" si="2"/>
        <v>0.3</v>
      </c>
      <c r="R3" s="132">
        <f t="shared" si="2"/>
        <v>-0.16999999999999998</v>
      </c>
      <c r="S3" s="132">
        <f t="shared" si="2"/>
        <v>5.0000000000000001E-3</v>
      </c>
      <c r="T3" s="132">
        <f t="shared" si="2"/>
        <v>0.21749999999999997</v>
      </c>
      <c r="U3" s="132">
        <f t="shared" si="2"/>
        <v>1.61</v>
      </c>
      <c r="V3" s="132">
        <f t="shared" si="2"/>
        <v>-7.7499999999999999E-2</v>
      </c>
      <c r="W3" s="132">
        <f t="shared" si="2"/>
        <v>-0.04</v>
      </c>
      <c r="X3" s="132">
        <f t="shared" si="2"/>
        <v>0.4</v>
      </c>
      <c r="Y3" s="132">
        <f t="shared" si="2"/>
        <v>0.45999999999999996</v>
      </c>
    </row>
    <row r="4" spans="1:52" x14ac:dyDescent="0.25">
      <c r="B4" s="54" t="s">
        <v>213</v>
      </c>
      <c r="C4" s="132">
        <f>AVERAGE(C14:C20)</f>
        <v>-0.15</v>
      </c>
      <c r="D4" s="132">
        <f t="shared" ref="D4:Y4" si="3">AVERAGE(D14:D20)</f>
        <v>-0.48</v>
      </c>
      <c r="E4" s="132">
        <f t="shared" si="3"/>
        <v>-0.72</v>
      </c>
      <c r="F4" s="132">
        <f t="shared" si="3"/>
        <v>0.52071428571428569</v>
      </c>
      <c r="G4" s="132">
        <f t="shared" si="3"/>
        <v>5.7500000000000002E-2</v>
      </c>
      <c r="H4" s="132">
        <f t="shared" si="3"/>
        <v>-8.4999999999999992E-2</v>
      </c>
      <c r="I4" s="132">
        <f t="shared" si="3"/>
        <v>0.1907142857142857</v>
      </c>
      <c r="J4" s="132">
        <f t="shared" si="3"/>
        <v>0.44228571428571428</v>
      </c>
      <c r="K4" s="132">
        <f t="shared" si="3"/>
        <v>0.19999999999999998</v>
      </c>
      <c r="L4" s="132">
        <f t="shared" si="3"/>
        <v>-0.105</v>
      </c>
      <c r="M4" s="132">
        <f t="shared" si="3"/>
        <v>1.2500000000000001E-2</v>
      </c>
      <c r="N4" s="132">
        <f t="shared" si="3"/>
        <v>-0.13999999999999999</v>
      </c>
      <c r="O4" s="132">
        <f t="shared" si="3"/>
        <v>-0.48</v>
      </c>
      <c r="P4" s="132">
        <f t="shared" si="3"/>
        <v>-0.13999999999999999</v>
      </c>
      <c r="Q4" s="132">
        <f t="shared" si="3"/>
        <v>0.1907142857142857</v>
      </c>
      <c r="R4" s="132">
        <f t="shared" si="3"/>
        <v>-0.15</v>
      </c>
      <c r="S4" s="132">
        <f t="shared" si="3"/>
        <v>5.0000000000000001E-3</v>
      </c>
      <c r="T4" s="132">
        <f t="shared" si="3"/>
        <v>0.12250000000000003</v>
      </c>
      <c r="U4" s="132">
        <f t="shared" si="3"/>
        <v>0.44228571428571428</v>
      </c>
      <c r="V4" s="132">
        <f t="shared" si="3"/>
        <v>-0.06</v>
      </c>
      <c r="W4" s="132">
        <f t="shared" si="3"/>
        <v>-2.2714285714285711E-2</v>
      </c>
      <c r="X4" s="132">
        <f t="shared" si="3"/>
        <v>0.52071428571428569</v>
      </c>
      <c r="Y4" s="132">
        <f t="shared" si="3"/>
        <v>0.52071428571428569</v>
      </c>
      <c r="Z4" s="83" t="e">
        <f>IF(#REF!=3,#REF!,3)</f>
        <v>#REF!</v>
      </c>
      <c r="AA4" s="83" t="e">
        <f>IF(#REF!=3,#REF!,3)</f>
        <v>#REF!</v>
      </c>
      <c r="AC4" s="84"/>
      <c r="AD4" s="136" t="e">
        <f>SUM(AD7:AD26)</f>
        <v>#REF!</v>
      </c>
      <c r="AK4"/>
      <c r="AL4"/>
      <c r="AO4" s="77"/>
      <c r="AP4" s="77"/>
      <c r="AQ4" s="77"/>
      <c r="AU4" s="80"/>
      <c r="AV4" s="80"/>
      <c r="AW4" s="80"/>
      <c r="AX4" s="80"/>
      <c r="AY4" s="80"/>
      <c r="AZ4" s="80"/>
    </row>
    <row r="5" spans="1:52" ht="13.8" thickBot="1" x14ac:dyDescent="0.3">
      <c r="B5" s="87"/>
      <c r="C5" s="160" t="s">
        <v>97</v>
      </c>
      <c r="D5" s="160" t="s">
        <v>98</v>
      </c>
      <c r="E5" s="160" t="s">
        <v>100</v>
      </c>
      <c r="F5" s="160" t="s">
        <v>102</v>
      </c>
      <c r="G5" s="160" t="s">
        <v>76</v>
      </c>
      <c r="H5" s="160" t="s">
        <v>220</v>
      </c>
      <c r="I5" s="160" t="s">
        <v>78</v>
      </c>
      <c r="J5" s="160" t="s">
        <v>94</v>
      </c>
      <c r="K5" s="160" t="s">
        <v>189</v>
      </c>
      <c r="L5" s="160" t="s">
        <v>66</v>
      </c>
      <c r="M5" s="160" t="s">
        <v>95</v>
      </c>
      <c r="N5" s="160" t="s">
        <v>70</v>
      </c>
      <c r="O5" s="160" t="s">
        <v>98</v>
      </c>
      <c r="P5" s="160" t="s">
        <v>70</v>
      </c>
      <c r="Q5" s="160" t="s">
        <v>78</v>
      </c>
      <c r="R5" s="160" t="s">
        <v>65</v>
      </c>
      <c r="S5" s="160" t="s">
        <v>192</v>
      </c>
      <c r="T5" s="160" t="s">
        <v>75</v>
      </c>
      <c r="U5" s="160" t="s">
        <v>94</v>
      </c>
      <c r="V5" s="160" t="s">
        <v>67</v>
      </c>
      <c r="W5" s="160" t="s">
        <v>83</v>
      </c>
      <c r="X5" s="160" t="s">
        <v>102</v>
      </c>
      <c r="Y5" s="160" t="s">
        <v>77</v>
      </c>
      <c r="Z5" s="77">
        <v>4</v>
      </c>
      <c r="AA5" s="77">
        <v>4</v>
      </c>
      <c r="AH5" s="96" t="s">
        <v>37</v>
      </c>
      <c r="AI5" s="80" t="s">
        <v>38</v>
      </c>
      <c r="AJ5" s="80" t="s">
        <v>29</v>
      </c>
      <c r="AK5" s="80" t="s">
        <v>30</v>
      </c>
      <c r="AL5" s="80" t="s">
        <v>34</v>
      </c>
      <c r="AM5" s="80" t="s">
        <v>33</v>
      </c>
      <c r="AO5" s="96"/>
      <c r="AP5" s="80" t="s">
        <v>38</v>
      </c>
      <c r="AQ5" s="80" t="s">
        <v>29</v>
      </c>
      <c r="AR5" s="80" t="s">
        <v>30</v>
      </c>
      <c r="AS5" s="80" t="s">
        <v>34</v>
      </c>
      <c r="AT5" s="80" t="s">
        <v>33</v>
      </c>
      <c r="AU5" s="83"/>
      <c r="AV5" s="83"/>
      <c r="AW5" s="84"/>
      <c r="AX5" s="77"/>
      <c r="AY5" s="77"/>
      <c r="AZ5" s="77"/>
    </row>
    <row r="6" spans="1:52" ht="14.4" thickTop="1" thickBot="1" x14ac:dyDescent="0.3">
      <c r="A6" s="100" t="s">
        <v>24</v>
      </c>
      <c r="B6" s="100" t="s">
        <v>40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83"/>
      <c r="AA6" s="83"/>
      <c r="AD6" s="77" t="s">
        <v>46</v>
      </c>
      <c r="AE6" s="77" t="s">
        <v>48</v>
      </c>
      <c r="AH6" s="84"/>
      <c r="AK6"/>
      <c r="AL6"/>
      <c r="AO6" s="84"/>
      <c r="AP6" s="77"/>
      <c r="AQ6" s="77"/>
      <c r="AU6" s="83"/>
      <c r="AV6" s="83"/>
      <c r="AW6" s="84"/>
      <c r="AX6" s="83"/>
      <c r="AY6" s="77"/>
      <c r="AZ6" s="84"/>
    </row>
    <row r="7" spans="1:52" ht="13.8" thickTop="1" x14ac:dyDescent="0.25">
      <c r="A7" s="101">
        <v>36770</v>
      </c>
      <c r="B7" s="102" t="e">
        <f t="shared" ref="B7:B26" si="4">VLOOKUP(A7,STRADDLE,5,FALSE)</f>
        <v>#N/A</v>
      </c>
      <c r="C7" s="102">
        <f t="shared" ref="C7:L19" si="5">VLOOKUP($A7,curvesettle,HLOOKUP(C$5,curvesettle,2,FALSE),FALSE)</f>
        <v>-0.185</v>
      </c>
      <c r="D7" s="102">
        <f t="shared" si="5"/>
        <v>-1.2050000000000001</v>
      </c>
      <c r="E7" s="102">
        <f t="shared" si="5"/>
        <v>-1.2150000000000001</v>
      </c>
      <c r="F7" s="102">
        <f t="shared" si="5"/>
        <v>2.605</v>
      </c>
      <c r="G7" s="102">
        <f t="shared" si="5"/>
        <v>5.1999990000000003E-2</v>
      </c>
      <c r="H7" s="102">
        <f t="shared" si="5"/>
        <v>-7.4999999999999997E-2</v>
      </c>
      <c r="I7" s="102">
        <f t="shared" si="5"/>
        <v>0.18</v>
      </c>
      <c r="J7" s="102">
        <f t="shared" si="5"/>
        <v>0.32</v>
      </c>
      <c r="K7" s="102">
        <f t="shared" si="5"/>
        <v>1.335</v>
      </c>
      <c r="L7" s="102">
        <f t="shared" si="5"/>
        <v>-0.10800000000000001</v>
      </c>
      <c r="M7" s="102">
        <f t="shared" ref="M7:Y19" si="6">VLOOKUP($A7,curvesettle,HLOOKUP(M$5,curvesettle,2,FALSE),FALSE)</f>
        <v>1.2E-2</v>
      </c>
      <c r="N7" s="102">
        <f t="shared" si="6"/>
        <v>-0.13800000000000001</v>
      </c>
      <c r="O7" s="102">
        <f t="shared" si="6"/>
        <v>-1.2050000000000001</v>
      </c>
      <c r="P7" s="102">
        <f t="shared" si="6"/>
        <v>-0.13800000000000001</v>
      </c>
      <c r="Q7" s="102">
        <f t="shared" si="6"/>
        <v>0.18</v>
      </c>
      <c r="R7" s="102">
        <f t="shared" si="6"/>
        <v>-0.16800000000000001</v>
      </c>
      <c r="S7" s="102">
        <f t="shared" si="6"/>
        <v>7.000000000000001E-3</v>
      </c>
      <c r="T7" s="102">
        <f t="shared" si="6"/>
        <v>0.11200000000000002</v>
      </c>
      <c r="U7" s="102">
        <f t="shared" si="6"/>
        <v>0.32</v>
      </c>
      <c r="V7" s="102">
        <f t="shared" si="6"/>
        <v>-8.8000000000000009E-2</v>
      </c>
      <c r="W7" s="102">
        <f t="shared" si="6"/>
        <v>-0.03</v>
      </c>
      <c r="X7" s="102">
        <f t="shared" si="6"/>
        <v>2.605</v>
      </c>
      <c r="Y7" s="102">
        <f t="shared" si="6"/>
        <v>1.585</v>
      </c>
      <c r="Z7" s="107" t="e">
        <f t="shared" ref="Z7:Z26" si="7">IF($AD7=0,0,bsd(Z$5,Z$4,$E7,$F7,$O7,$K7,$P7,0.1))</f>
        <v>#REF!</v>
      </c>
      <c r="AA7" s="107" t="e">
        <f t="shared" ref="AA7:AA26" si="8">IF($AD7=0,0,bsd(AA$5,AA$4,$E7,$G7,$O7,$L7,$P7,0.1))</f>
        <v>#REF!</v>
      </c>
      <c r="AC7" s="82"/>
      <c r="AD7" s="82" t="e">
        <f>IF(#REF!=1,M7,IF(AE7&gt;0,A8-A7,0))</f>
        <v>#REF!</v>
      </c>
      <c r="AE7" s="101" t="e">
        <f>IF(A7&lt;=#REF!,A7,0)</f>
        <v>#REF!</v>
      </c>
      <c r="AG7" s="77" t="e">
        <f t="shared" ref="AG7:AG26" si="9">AD7*B7</f>
        <v>#REF!</v>
      </c>
      <c r="AH7" s="108" t="e">
        <f t="shared" ref="AH7:AH26" si="10">AD7*E7</f>
        <v>#REF!</v>
      </c>
      <c r="AI7" s="109" t="e">
        <f t="shared" ref="AI7:AI26" si="11">$AD7*R7</f>
        <v>#REF!</v>
      </c>
      <c r="AJ7" s="109" t="e">
        <f t="shared" ref="AJ7:AJ26" si="12">$AD7*T7</f>
        <v>#REF!</v>
      </c>
      <c r="AK7" s="109" t="e">
        <f t="shared" ref="AK7:AK26" si="13">$AD7*V7</f>
        <v>#REF!</v>
      </c>
      <c r="AL7" s="109" t="e">
        <f t="shared" ref="AL7:AL26" si="14">$AD7*X7</f>
        <v>#REF!</v>
      </c>
      <c r="AM7" s="109" t="e">
        <f t="shared" ref="AM7:AM26" si="15">$AD7*Z7</f>
        <v>#REF!</v>
      </c>
      <c r="AO7" s="108"/>
      <c r="AP7" s="109" t="e">
        <f t="shared" ref="AP7:AP26" si="16">$AD7*S7</f>
        <v>#REF!</v>
      </c>
      <c r="AQ7" s="109" t="e">
        <f t="shared" ref="AQ7:AQ26" si="17">$AD7*U7</f>
        <v>#REF!</v>
      </c>
      <c r="AR7" s="109" t="e">
        <f t="shared" ref="AR7:AR26" si="18">$AD7*W7</f>
        <v>#REF!</v>
      </c>
      <c r="AS7" s="109" t="e">
        <f t="shared" ref="AS7:AS26" si="19">$AD7*Y7</f>
        <v>#REF!</v>
      </c>
      <c r="AT7" s="109" t="e">
        <f t="shared" ref="AT7:AT26" si="20">$AD7*AA7</f>
        <v>#REF!</v>
      </c>
      <c r="AU7" s="128"/>
      <c r="AV7" s="109"/>
      <c r="AW7" s="128"/>
      <c r="AX7" s="99"/>
      <c r="AY7" s="99"/>
      <c r="AZ7" s="99"/>
    </row>
    <row r="8" spans="1:52" x14ac:dyDescent="0.25">
      <c r="A8" s="101">
        <f t="shared" ref="A8:A27" si="21">DATE(YEAR(A7),MONTH(A7)+1,1)</f>
        <v>36800</v>
      </c>
      <c r="B8" s="102">
        <f t="shared" si="4"/>
        <v>4.782</v>
      </c>
      <c r="C8" s="102">
        <f t="shared" si="5"/>
        <v>-0.18</v>
      </c>
      <c r="D8" s="102">
        <f t="shared" si="5"/>
        <v>-0.91749999999999998</v>
      </c>
      <c r="E8" s="102">
        <f t="shared" si="5"/>
        <v>-0.94</v>
      </c>
      <c r="F8" s="102">
        <f t="shared" si="5"/>
        <v>0.9</v>
      </c>
      <c r="G8" s="102">
        <f t="shared" si="5"/>
        <v>5.7500000000000002E-2</v>
      </c>
      <c r="H8" s="102">
        <f t="shared" si="5"/>
        <v>-0.10249999999999999</v>
      </c>
      <c r="I8" s="102">
        <f t="shared" si="5"/>
        <v>0.1925</v>
      </c>
      <c r="J8" s="102">
        <f t="shared" si="5"/>
        <v>0.44</v>
      </c>
      <c r="K8" s="102">
        <f t="shared" si="5"/>
        <v>0.4</v>
      </c>
      <c r="L8" s="102">
        <f t="shared" si="5"/>
        <v>-0.09</v>
      </c>
      <c r="M8" s="102">
        <f t="shared" si="6"/>
        <v>-1.2500000000000001E-2</v>
      </c>
      <c r="N8" s="102">
        <f t="shared" si="6"/>
        <v>-0.14749999999999999</v>
      </c>
      <c r="O8" s="102">
        <f t="shared" si="6"/>
        <v>-0.91749999999999998</v>
      </c>
      <c r="P8" s="102">
        <f t="shared" si="6"/>
        <v>-0.14749999999999999</v>
      </c>
      <c r="Q8" s="102">
        <f t="shared" si="6"/>
        <v>0.1925</v>
      </c>
      <c r="R8" s="102">
        <f t="shared" si="6"/>
        <v>-0.17749999999999999</v>
      </c>
      <c r="S8" s="102">
        <f t="shared" si="6"/>
        <v>0</v>
      </c>
      <c r="T8" s="102">
        <f t="shared" si="6"/>
        <v>0.13250000000000001</v>
      </c>
      <c r="U8" s="102">
        <f t="shared" si="6"/>
        <v>0.44</v>
      </c>
      <c r="V8" s="102">
        <f t="shared" si="6"/>
        <v>-0.08</v>
      </c>
      <c r="W8" s="102">
        <f t="shared" si="6"/>
        <v>-0.03</v>
      </c>
      <c r="X8" s="102">
        <f t="shared" si="6"/>
        <v>0.9</v>
      </c>
      <c r="Y8" s="102">
        <f t="shared" si="6"/>
        <v>0.8</v>
      </c>
      <c r="Z8" s="107" t="e">
        <f t="shared" si="7"/>
        <v>#REF!</v>
      </c>
      <c r="AA8" s="107" t="e">
        <f t="shared" si="8"/>
        <v>#REF!</v>
      </c>
      <c r="AC8" s="82"/>
      <c r="AD8" s="82" t="e">
        <f>IF(#REF!=1,M8,IF(AE8&gt;0,A9-A8,0))</f>
        <v>#REF!</v>
      </c>
      <c r="AE8" s="101" t="e">
        <f>IF(A8&lt;=#REF!,A8,0)</f>
        <v>#REF!</v>
      </c>
      <c r="AG8" s="77" t="e">
        <f t="shared" si="9"/>
        <v>#REF!</v>
      </c>
      <c r="AH8" s="108" t="e">
        <f t="shared" si="10"/>
        <v>#REF!</v>
      </c>
      <c r="AI8" s="109" t="e">
        <f t="shared" si="11"/>
        <v>#REF!</v>
      </c>
      <c r="AJ8" s="109" t="e">
        <f t="shared" si="12"/>
        <v>#REF!</v>
      </c>
      <c r="AK8" s="109" t="e">
        <f t="shared" si="13"/>
        <v>#REF!</v>
      </c>
      <c r="AL8" s="109" t="e">
        <f t="shared" si="14"/>
        <v>#REF!</v>
      </c>
      <c r="AM8" s="109" t="e">
        <f t="shared" si="15"/>
        <v>#REF!</v>
      </c>
      <c r="AO8" s="108"/>
      <c r="AP8" s="109" t="e">
        <f t="shared" si="16"/>
        <v>#REF!</v>
      </c>
      <c r="AQ8" s="109" t="e">
        <f t="shared" si="17"/>
        <v>#REF!</v>
      </c>
      <c r="AR8" s="109" t="e">
        <f t="shared" si="18"/>
        <v>#REF!</v>
      </c>
      <c r="AS8" s="109" t="e">
        <f t="shared" si="19"/>
        <v>#REF!</v>
      </c>
      <c r="AT8" s="109" t="e">
        <f t="shared" si="20"/>
        <v>#REF!</v>
      </c>
      <c r="AU8" s="128"/>
      <c r="AV8" s="109"/>
      <c r="AW8" s="128"/>
      <c r="AX8" s="99"/>
      <c r="AY8" s="99"/>
      <c r="AZ8" s="99"/>
    </row>
    <row r="9" spans="1:52" x14ac:dyDescent="0.25">
      <c r="A9" s="101">
        <f t="shared" si="21"/>
        <v>36831</v>
      </c>
      <c r="B9" s="102">
        <f t="shared" si="4"/>
        <v>4.84</v>
      </c>
      <c r="C9" s="102">
        <f t="shared" si="5"/>
        <v>-0.2</v>
      </c>
      <c r="D9" s="102">
        <f t="shared" si="5"/>
        <v>-0.46750000000000003</v>
      </c>
      <c r="E9" s="102">
        <f t="shared" si="5"/>
        <v>-0.55249999999999999</v>
      </c>
      <c r="F9" s="102">
        <f t="shared" si="5"/>
        <v>0.60250000000000004</v>
      </c>
      <c r="G9" s="102">
        <f t="shared" si="5"/>
        <v>8.5000000000000006E-2</v>
      </c>
      <c r="H9" s="102">
        <f t="shared" si="5"/>
        <v>-0.14249999999999999</v>
      </c>
      <c r="I9" s="102">
        <f t="shared" si="5"/>
        <v>0.27500000000000002</v>
      </c>
      <c r="J9" s="102">
        <f t="shared" si="5"/>
        <v>0.78500000000000003</v>
      </c>
      <c r="K9" s="102">
        <f t="shared" si="5"/>
        <v>0.3</v>
      </c>
      <c r="L9" s="102">
        <f t="shared" si="5"/>
        <v>-5.0000000000000001E-3</v>
      </c>
      <c r="M9" s="102">
        <f t="shared" si="6"/>
        <v>-0.03</v>
      </c>
      <c r="N9" s="102">
        <f t="shared" si="6"/>
        <v>-0.14499999999999999</v>
      </c>
      <c r="O9" s="102">
        <f t="shared" si="6"/>
        <v>-0.46750000000000003</v>
      </c>
      <c r="P9" s="102">
        <f t="shared" si="6"/>
        <v>-0.14499999999999999</v>
      </c>
      <c r="Q9" s="102">
        <f t="shared" si="6"/>
        <v>0.27500000000000002</v>
      </c>
      <c r="R9" s="102">
        <f t="shared" si="6"/>
        <v>-0.16500000000000001</v>
      </c>
      <c r="S9" s="102">
        <f t="shared" si="6"/>
        <v>5.0000000000000001E-3</v>
      </c>
      <c r="T9" s="102">
        <f t="shared" si="6"/>
        <v>0.17499999999999999</v>
      </c>
      <c r="U9" s="102">
        <f t="shared" si="6"/>
        <v>0.78500000000000003</v>
      </c>
      <c r="V9" s="102">
        <f t="shared" si="6"/>
        <v>-7.7499999999999999E-2</v>
      </c>
      <c r="W9" s="102">
        <f t="shared" si="6"/>
        <v>-0.04</v>
      </c>
      <c r="X9" s="102">
        <f t="shared" si="6"/>
        <v>0.60250000000000004</v>
      </c>
      <c r="Y9" s="102">
        <f t="shared" si="6"/>
        <v>0.66249999999999998</v>
      </c>
      <c r="Z9" s="107" t="e">
        <f t="shared" si="7"/>
        <v>#REF!</v>
      </c>
      <c r="AA9" s="107" t="e">
        <f t="shared" si="8"/>
        <v>#REF!</v>
      </c>
      <c r="AC9" s="82"/>
      <c r="AD9" s="82" t="e">
        <f>IF(#REF!=1,M9,IF(AE9&gt;0,A10-A9,0))</f>
        <v>#REF!</v>
      </c>
      <c r="AE9" s="101" t="e">
        <f>IF(A9&lt;=#REF!,A9,0)</f>
        <v>#REF!</v>
      </c>
      <c r="AG9" s="77" t="e">
        <f t="shared" si="9"/>
        <v>#REF!</v>
      </c>
      <c r="AH9" s="108" t="e">
        <f t="shared" si="10"/>
        <v>#REF!</v>
      </c>
      <c r="AI9" s="109" t="e">
        <f t="shared" si="11"/>
        <v>#REF!</v>
      </c>
      <c r="AJ9" s="109" t="e">
        <f t="shared" si="12"/>
        <v>#REF!</v>
      </c>
      <c r="AK9" s="109" t="e">
        <f t="shared" si="13"/>
        <v>#REF!</v>
      </c>
      <c r="AL9" s="109" t="e">
        <f t="shared" si="14"/>
        <v>#REF!</v>
      </c>
      <c r="AM9" s="109" t="e">
        <f t="shared" si="15"/>
        <v>#REF!</v>
      </c>
      <c r="AO9" s="108"/>
      <c r="AP9" s="109" t="e">
        <f t="shared" si="16"/>
        <v>#REF!</v>
      </c>
      <c r="AQ9" s="109" t="e">
        <f t="shared" si="17"/>
        <v>#REF!</v>
      </c>
      <c r="AR9" s="109" t="e">
        <f t="shared" si="18"/>
        <v>#REF!</v>
      </c>
      <c r="AS9" s="109" t="e">
        <f t="shared" si="19"/>
        <v>#REF!</v>
      </c>
      <c r="AT9" s="109" t="e">
        <f t="shared" si="20"/>
        <v>#REF!</v>
      </c>
      <c r="AU9" s="128"/>
      <c r="AV9" s="109"/>
      <c r="AW9" s="128"/>
      <c r="AX9" s="99"/>
      <c r="AY9" s="99"/>
      <c r="AZ9" s="99"/>
    </row>
    <row r="10" spans="1:52" x14ac:dyDescent="0.25">
      <c r="A10" s="101">
        <f t="shared" si="21"/>
        <v>36861</v>
      </c>
      <c r="B10" s="102">
        <f t="shared" si="4"/>
        <v>4.91</v>
      </c>
      <c r="C10" s="102">
        <f t="shared" si="5"/>
        <v>-0.19500000000000001</v>
      </c>
      <c r="D10" s="102">
        <f t="shared" si="5"/>
        <v>-0.42</v>
      </c>
      <c r="E10" s="102">
        <f t="shared" si="5"/>
        <v>-0.4425</v>
      </c>
      <c r="F10" s="102">
        <f t="shared" si="5"/>
        <v>0.4425</v>
      </c>
      <c r="G10" s="102">
        <f t="shared" si="5"/>
        <v>0.10249999999999999</v>
      </c>
      <c r="H10" s="102">
        <f t="shared" si="5"/>
        <v>-0.1295</v>
      </c>
      <c r="I10" s="102">
        <f t="shared" si="5"/>
        <v>0.30499999999999999</v>
      </c>
      <c r="J10" s="102">
        <f t="shared" si="5"/>
        <v>1.71</v>
      </c>
      <c r="K10" s="102">
        <f t="shared" si="5"/>
        <v>0.27750000000000002</v>
      </c>
      <c r="L10" s="102">
        <f t="shared" si="5"/>
        <v>1.4999999999999999E-2</v>
      </c>
      <c r="M10" s="102">
        <f t="shared" si="6"/>
        <v>-6.5000000000000002E-2</v>
      </c>
      <c r="N10" s="102">
        <f t="shared" si="6"/>
        <v>-0.155</v>
      </c>
      <c r="O10" s="102">
        <f t="shared" si="6"/>
        <v>-0.42</v>
      </c>
      <c r="P10" s="102">
        <f t="shared" si="6"/>
        <v>-0.155</v>
      </c>
      <c r="Q10" s="102">
        <f t="shared" si="6"/>
        <v>0.30499999999999999</v>
      </c>
      <c r="R10" s="102">
        <f t="shared" si="6"/>
        <v>-0.17499999999999999</v>
      </c>
      <c r="S10" s="102">
        <f t="shared" si="6"/>
        <v>5.0000000000000001E-3</v>
      </c>
      <c r="T10" s="102">
        <f t="shared" si="6"/>
        <v>0.20250000000000001</v>
      </c>
      <c r="U10" s="102">
        <f t="shared" si="6"/>
        <v>1.71</v>
      </c>
      <c r="V10" s="102">
        <f t="shared" si="6"/>
        <v>-7.7499999999999999E-2</v>
      </c>
      <c r="W10" s="102">
        <f t="shared" si="6"/>
        <v>-0.04</v>
      </c>
      <c r="X10" s="102">
        <f t="shared" si="6"/>
        <v>0.4425</v>
      </c>
      <c r="Y10" s="102">
        <f t="shared" si="6"/>
        <v>0.50249999999999995</v>
      </c>
      <c r="Z10" s="107" t="e">
        <f t="shared" si="7"/>
        <v>#REF!</v>
      </c>
      <c r="AA10" s="107" t="e">
        <f t="shared" si="8"/>
        <v>#REF!</v>
      </c>
      <c r="AC10" s="82"/>
      <c r="AD10" s="82" t="e">
        <f>IF(#REF!=1,M10,IF(AE10&gt;0,A11-A10,0))</f>
        <v>#REF!</v>
      </c>
      <c r="AE10" s="101" t="e">
        <f>IF(A10&lt;=#REF!,A10,0)</f>
        <v>#REF!</v>
      </c>
      <c r="AG10" s="77" t="e">
        <f t="shared" si="9"/>
        <v>#REF!</v>
      </c>
      <c r="AH10" s="108" t="e">
        <f t="shared" si="10"/>
        <v>#REF!</v>
      </c>
      <c r="AI10" s="109" t="e">
        <f t="shared" si="11"/>
        <v>#REF!</v>
      </c>
      <c r="AJ10" s="109" t="e">
        <f t="shared" si="12"/>
        <v>#REF!</v>
      </c>
      <c r="AK10" s="109" t="e">
        <f t="shared" si="13"/>
        <v>#REF!</v>
      </c>
      <c r="AL10" s="109" t="e">
        <f t="shared" si="14"/>
        <v>#REF!</v>
      </c>
      <c r="AM10" s="109" t="e">
        <f t="shared" si="15"/>
        <v>#REF!</v>
      </c>
      <c r="AO10" s="108"/>
      <c r="AP10" s="109" t="e">
        <f t="shared" si="16"/>
        <v>#REF!</v>
      </c>
      <c r="AQ10" s="109" t="e">
        <f t="shared" si="17"/>
        <v>#REF!</v>
      </c>
      <c r="AR10" s="109" t="e">
        <f t="shared" si="18"/>
        <v>#REF!</v>
      </c>
      <c r="AS10" s="109" t="e">
        <f t="shared" si="19"/>
        <v>#REF!</v>
      </c>
      <c r="AT10" s="109" t="e">
        <f t="shared" si="20"/>
        <v>#REF!</v>
      </c>
      <c r="AU10" s="128"/>
      <c r="AV10" s="109"/>
      <c r="AW10" s="128"/>
      <c r="AX10" s="99"/>
      <c r="AY10" s="99"/>
      <c r="AZ10" s="99"/>
    </row>
    <row r="11" spans="1:52" x14ac:dyDescent="0.25">
      <c r="A11" s="101">
        <f t="shared" si="21"/>
        <v>36892</v>
      </c>
      <c r="B11" s="102">
        <f t="shared" si="4"/>
        <v>4.8499999999999996</v>
      </c>
      <c r="C11" s="102">
        <f t="shared" si="5"/>
        <v>-0.19500000000000001</v>
      </c>
      <c r="D11" s="102">
        <f t="shared" si="5"/>
        <v>-0.40500000000000003</v>
      </c>
      <c r="E11" s="102">
        <f t="shared" si="5"/>
        <v>-0.45250000000000001</v>
      </c>
      <c r="F11" s="102">
        <f t="shared" si="5"/>
        <v>0.42499999999999999</v>
      </c>
      <c r="G11" s="102">
        <f t="shared" si="5"/>
        <v>0.1275</v>
      </c>
      <c r="H11" s="102">
        <f t="shared" si="5"/>
        <v>-0.1295</v>
      </c>
      <c r="I11" s="102">
        <f t="shared" si="5"/>
        <v>0.31</v>
      </c>
      <c r="J11" s="102">
        <f t="shared" si="5"/>
        <v>2.2450000000000001</v>
      </c>
      <c r="K11" s="102">
        <f t="shared" si="5"/>
        <v>0.27</v>
      </c>
      <c r="L11" s="102">
        <f t="shared" si="5"/>
        <v>2.75E-2</v>
      </c>
      <c r="M11" s="102">
        <f t="shared" si="6"/>
        <v>-7.0000000000000007E-2</v>
      </c>
      <c r="N11" s="102">
        <f t="shared" si="6"/>
        <v>-0.16250000000000001</v>
      </c>
      <c r="O11" s="102">
        <f t="shared" si="6"/>
        <v>-0.40500000000000003</v>
      </c>
      <c r="P11" s="102">
        <f t="shared" si="6"/>
        <v>-0.16250000000000001</v>
      </c>
      <c r="Q11" s="102">
        <f t="shared" si="6"/>
        <v>0.31</v>
      </c>
      <c r="R11" s="102">
        <f t="shared" si="6"/>
        <v>-0.1825</v>
      </c>
      <c r="S11" s="102">
        <f t="shared" si="6"/>
        <v>5.0000000000000001E-3</v>
      </c>
      <c r="T11" s="102">
        <f t="shared" si="6"/>
        <v>0.22750000000000001</v>
      </c>
      <c r="U11" s="102">
        <f t="shared" si="6"/>
        <v>2.2450000000000001</v>
      </c>
      <c r="V11" s="102">
        <f t="shared" si="6"/>
        <v>-7.7499999999999999E-2</v>
      </c>
      <c r="W11" s="102">
        <f t="shared" si="6"/>
        <v>-0.04</v>
      </c>
      <c r="X11" s="102">
        <f t="shared" si="6"/>
        <v>0.42499999999999999</v>
      </c>
      <c r="Y11" s="102">
        <f t="shared" si="6"/>
        <v>0.48499999999999999</v>
      </c>
      <c r="Z11" s="107" t="e">
        <f t="shared" si="7"/>
        <v>#REF!</v>
      </c>
      <c r="AA11" s="107" t="e">
        <f t="shared" si="8"/>
        <v>#REF!</v>
      </c>
      <c r="AC11" s="82"/>
      <c r="AD11" s="82" t="e">
        <f>IF(#REF!=1,M11,IF(AE11&gt;0,A12-A11,0))</f>
        <v>#REF!</v>
      </c>
      <c r="AE11" s="101" t="e">
        <f>IF(A11&lt;=#REF!,A11,0)</f>
        <v>#REF!</v>
      </c>
      <c r="AG11" s="77" t="e">
        <f t="shared" si="9"/>
        <v>#REF!</v>
      </c>
      <c r="AH11" s="108" t="e">
        <f t="shared" si="10"/>
        <v>#REF!</v>
      </c>
      <c r="AI11" s="109" t="e">
        <f t="shared" si="11"/>
        <v>#REF!</v>
      </c>
      <c r="AJ11" s="109" t="e">
        <f t="shared" si="12"/>
        <v>#REF!</v>
      </c>
      <c r="AK11" s="109" t="e">
        <f t="shared" si="13"/>
        <v>#REF!</v>
      </c>
      <c r="AL11" s="109" t="e">
        <f t="shared" si="14"/>
        <v>#REF!</v>
      </c>
      <c r="AM11" s="109" t="e">
        <f t="shared" si="15"/>
        <v>#REF!</v>
      </c>
      <c r="AO11" s="108"/>
      <c r="AP11" s="109" t="e">
        <f t="shared" si="16"/>
        <v>#REF!</v>
      </c>
      <c r="AQ11" s="109" t="e">
        <f t="shared" si="17"/>
        <v>#REF!</v>
      </c>
      <c r="AR11" s="109" t="e">
        <f t="shared" si="18"/>
        <v>#REF!</v>
      </c>
      <c r="AS11" s="109" t="e">
        <f t="shared" si="19"/>
        <v>#REF!</v>
      </c>
      <c r="AT11" s="109" t="e">
        <f t="shared" si="20"/>
        <v>#REF!</v>
      </c>
      <c r="AU11" s="128"/>
      <c r="AV11" s="109"/>
      <c r="AW11" s="128"/>
      <c r="AX11" s="99"/>
      <c r="AY11" s="99"/>
      <c r="AZ11" s="99"/>
    </row>
    <row r="12" spans="1:52" x14ac:dyDescent="0.25">
      <c r="A12" s="101">
        <f t="shared" si="21"/>
        <v>36923</v>
      </c>
      <c r="B12" s="102">
        <f t="shared" si="4"/>
        <v>4.58</v>
      </c>
      <c r="C12" s="102">
        <f t="shared" si="5"/>
        <v>-0.19500000000000001</v>
      </c>
      <c r="D12" s="102">
        <f t="shared" si="5"/>
        <v>-0.41</v>
      </c>
      <c r="E12" s="102">
        <f t="shared" si="5"/>
        <v>-0.47249999999999998</v>
      </c>
      <c r="F12" s="102">
        <f t="shared" si="5"/>
        <v>0.28499999999999998</v>
      </c>
      <c r="G12" s="102">
        <f t="shared" si="5"/>
        <v>0.13750000000000001</v>
      </c>
      <c r="H12" s="102">
        <f t="shared" si="5"/>
        <v>-0.1295</v>
      </c>
      <c r="I12" s="102">
        <f t="shared" si="5"/>
        <v>0.315</v>
      </c>
      <c r="J12" s="102">
        <f t="shared" si="5"/>
        <v>2.1749999999999998</v>
      </c>
      <c r="K12" s="102">
        <f t="shared" si="5"/>
        <v>0.3</v>
      </c>
      <c r="L12" s="102">
        <f t="shared" si="5"/>
        <v>3.2500000000000001E-2</v>
      </c>
      <c r="M12" s="102">
        <f t="shared" si="6"/>
        <v>-5.2499999999999998E-2</v>
      </c>
      <c r="N12" s="102">
        <f t="shared" si="6"/>
        <v>-0.14749999999999999</v>
      </c>
      <c r="O12" s="102">
        <f t="shared" si="6"/>
        <v>-0.41</v>
      </c>
      <c r="P12" s="102">
        <f t="shared" si="6"/>
        <v>-0.14749999999999999</v>
      </c>
      <c r="Q12" s="102">
        <f t="shared" si="6"/>
        <v>0.315</v>
      </c>
      <c r="R12" s="102">
        <f t="shared" si="6"/>
        <v>-0.16750000000000001</v>
      </c>
      <c r="S12" s="102">
        <f t="shared" si="6"/>
        <v>5.0000000000000001E-3</v>
      </c>
      <c r="T12" s="102">
        <f t="shared" si="6"/>
        <v>0.2475</v>
      </c>
      <c r="U12" s="102">
        <f t="shared" si="6"/>
        <v>2.1749999999999998</v>
      </c>
      <c r="V12" s="102">
        <f t="shared" si="6"/>
        <v>-7.7499999999999999E-2</v>
      </c>
      <c r="W12" s="102">
        <f t="shared" si="6"/>
        <v>-0.04</v>
      </c>
      <c r="X12" s="102">
        <f t="shared" si="6"/>
        <v>0.28499999999999998</v>
      </c>
      <c r="Y12" s="102">
        <f t="shared" si="6"/>
        <v>0.34499999999999997</v>
      </c>
      <c r="Z12" s="107" t="e">
        <f t="shared" si="7"/>
        <v>#REF!</v>
      </c>
      <c r="AA12" s="107" t="e">
        <f t="shared" si="8"/>
        <v>#REF!</v>
      </c>
      <c r="AC12" s="82"/>
      <c r="AD12" s="82" t="e">
        <f>IF(#REF!=1,M12,IF(AE12&gt;0,A13-A12,0))</f>
        <v>#REF!</v>
      </c>
      <c r="AE12" s="101" t="e">
        <f>IF(A12&lt;=#REF!,A12,0)</f>
        <v>#REF!</v>
      </c>
      <c r="AG12" s="77" t="e">
        <f t="shared" si="9"/>
        <v>#REF!</v>
      </c>
      <c r="AH12" s="108" t="e">
        <f t="shared" si="10"/>
        <v>#REF!</v>
      </c>
      <c r="AI12" s="109" t="e">
        <f t="shared" si="11"/>
        <v>#REF!</v>
      </c>
      <c r="AJ12" s="109" t="e">
        <f t="shared" si="12"/>
        <v>#REF!</v>
      </c>
      <c r="AK12" s="109" t="e">
        <f t="shared" si="13"/>
        <v>#REF!</v>
      </c>
      <c r="AL12" s="109" t="e">
        <f t="shared" si="14"/>
        <v>#REF!</v>
      </c>
      <c r="AM12" s="109" t="e">
        <f t="shared" si="15"/>
        <v>#REF!</v>
      </c>
      <c r="AO12" s="108"/>
      <c r="AP12" s="109" t="e">
        <f t="shared" si="16"/>
        <v>#REF!</v>
      </c>
      <c r="AQ12" s="109" t="e">
        <f t="shared" si="17"/>
        <v>#REF!</v>
      </c>
      <c r="AR12" s="109" t="e">
        <f t="shared" si="18"/>
        <v>#REF!</v>
      </c>
      <c r="AS12" s="109" t="e">
        <f t="shared" si="19"/>
        <v>#REF!</v>
      </c>
      <c r="AT12" s="109" t="e">
        <f t="shared" si="20"/>
        <v>#REF!</v>
      </c>
      <c r="AU12" s="128"/>
      <c r="AV12" s="109"/>
      <c r="AW12" s="128"/>
      <c r="AX12" s="99"/>
      <c r="AY12" s="99"/>
      <c r="AZ12" s="99"/>
    </row>
    <row r="13" spans="1:52" x14ac:dyDescent="0.25">
      <c r="A13" s="101">
        <f t="shared" si="21"/>
        <v>36951</v>
      </c>
      <c r="B13" s="102">
        <f t="shared" si="4"/>
        <v>4.3150000000000004</v>
      </c>
      <c r="C13" s="102">
        <f t="shared" si="5"/>
        <v>-0.19750000000000001</v>
      </c>
      <c r="D13" s="102">
        <f t="shared" si="5"/>
        <v>-0.48249999999999998</v>
      </c>
      <c r="E13" s="102">
        <f t="shared" si="5"/>
        <v>-0.48249999999999998</v>
      </c>
      <c r="F13" s="102">
        <f t="shared" si="5"/>
        <v>0.245</v>
      </c>
      <c r="G13" s="102">
        <f t="shared" si="5"/>
        <v>0.1225</v>
      </c>
      <c r="H13" s="102">
        <f t="shared" si="5"/>
        <v>-0.14200000000000002</v>
      </c>
      <c r="I13" s="102">
        <f t="shared" si="5"/>
        <v>0.29499999999999998</v>
      </c>
      <c r="J13" s="102">
        <f t="shared" si="5"/>
        <v>1.135</v>
      </c>
      <c r="K13" s="102">
        <f t="shared" si="5"/>
        <v>0.3</v>
      </c>
      <c r="L13" s="102">
        <f t="shared" si="5"/>
        <v>0.03</v>
      </c>
      <c r="M13" s="102">
        <f t="shared" si="6"/>
        <v>-3.5000000000000003E-2</v>
      </c>
      <c r="N13" s="102">
        <f t="shared" si="6"/>
        <v>-0.14000000000000001</v>
      </c>
      <c r="O13" s="102">
        <f t="shared" si="6"/>
        <v>-0.48249999999999998</v>
      </c>
      <c r="P13" s="102">
        <f t="shared" si="6"/>
        <v>-0.14000000000000001</v>
      </c>
      <c r="Q13" s="102">
        <f t="shared" si="6"/>
        <v>0.29499999999999998</v>
      </c>
      <c r="R13" s="102">
        <f t="shared" si="6"/>
        <v>-0.16</v>
      </c>
      <c r="S13" s="102">
        <f t="shared" si="6"/>
        <v>5.0000000000000001E-3</v>
      </c>
      <c r="T13" s="102">
        <f t="shared" si="6"/>
        <v>0.23499999999999999</v>
      </c>
      <c r="U13" s="102">
        <f t="shared" si="6"/>
        <v>1.135</v>
      </c>
      <c r="V13" s="102">
        <f t="shared" si="6"/>
        <v>-7.7499999999999999E-2</v>
      </c>
      <c r="W13" s="102">
        <f t="shared" si="6"/>
        <v>-0.04</v>
      </c>
      <c r="X13" s="102">
        <f t="shared" si="6"/>
        <v>0.245</v>
      </c>
      <c r="Y13" s="102">
        <f t="shared" si="6"/>
        <v>0.30499999999999999</v>
      </c>
      <c r="Z13" s="107" t="e">
        <f t="shared" si="7"/>
        <v>#REF!</v>
      </c>
      <c r="AA13" s="107" t="e">
        <f t="shared" si="8"/>
        <v>#REF!</v>
      </c>
      <c r="AC13" s="82"/>
      <c r="AD13" s="82" t="e">
        <f>IF(#REF!=1,M13,IF(AE13&gt;0,A14-A13,0))</f>
        <v>#REF!</v>
      </c>
      <c r="AE13" s="101" t="e">
        <f>IF(A13&lt;=#REF!,A13,0)</f>
        <v>#REF!</v>
      </c>
      <c r="AG13" s="77" t="e">
        <f t="shared" si="9"/>
        <v>#REF!</v>
      </c>
      <c r="AH13" s="108" t="e">
        <f t="shared" si="10"/>
        <v>#REF!</v>
      </c>
      <c r="AI13" s="109" t="e">
        <f t="shared" si="11"/>
        <v>#REF!</v>
      </c>
      <c r="AJ13" s="109" t="e">
        <f t="shared" si="12"/>
        <v>#REF!</v>
      </c>
      <c r="AK13" s="109" t="e">
        <f t="shared" si="13"/>
        <v>#REF!</v>
      </c>
      <c r="AL13" s="109" t="e">
        <f t="shared" si="14"/>
        <v>#REF!</v>
      </c>
      <c r="AM13" s="109" t="e">
        <f t="shared" si="15"/>
        <v>#REF!</v>
      </c>
      <c r="AO13" s="108"/>
      <c r="AP13" s="109" t="e">
        <f t="shared" si="16"/>
        <v>#REF!</v>
      </c>
      <c r="AQ13" s="109" t="e">
        <f t="shared" si="17"/>
        <v>#REF!</v>
      </c>
      <c r="AR13" s="109" t="e">
        <f t="shared" si="18"/>
        <v>#REF!</v>
      </c>
      <c r="AS13" s="109" t="e">
        <f t="shared" si="19"/>
        <v>#REF!</v>
      </c>
      <c r="AT13" s="109" t="e">
        <f t="shared" si="20"/>
        <v>#REF!</v>
      </c>
      <c r="AU13" s="128"/>
      <c r="AV13" s="109"/>
      <c r="AW13" s="128"/>
      <c r="AX13" s="99"/>
      <c r="AY13" s="99"/>
      <c r="AZ13" s="99"/>
    </row>
    <row r="14" spans="1:52" x14ac:dyDescent="0.25">
      <c r="A14" s="101">
        <f t="shared" si="21"/>
        <v>36982</v>
      </c>
      <c r="B14" s="102">
        <f t="shared" si="4"/>
        <v>4.0549999999999997</v>
      </c>
      <c r="C14" s="102">
        <f t="shared" si="5"/>
        <v>-0.15</v>
      </c>
      <c r="D14" s="102">
        <f t="shared" si="5"/>
        <v>-0.48</v>
      </c>
      <c r="E14" s="102">
        <f t="shared" si="5"/>
        <v>-0.7</v>
      </c>
      <c r="F14" s="102">
        <f t="shared" si="5"/>
        <v>0.18</v>
      </c>
      <c r="G14" s="102">
        <f t="shared" si="5"/>
        <v>6.7500000000000004E-2</v>
      </c>
      <c r="H14" s="102">
        <f t="shared" si="5"/>
        <v>-8.5000000000000006E-2</v>
      </c>
      <c r="I14" s="102">
        <f t="shared" si="5"/>
        <v>0.2</v>
      </c>
      <c r="J14" s="102">
        <f t="shared" si="5"/>
        <v>0.52</v>
      </c>
      <c r="K14" s="102">
        <f t="shared" si="5"/>
        <v>0.2</v>
      </c>
      <c r="L14" s="102">
        <f t="shared" si="5"/>
        <v>-0.115</v>
      </c>
      <c r="M14" s="102">
        <f t="shared" si="6"/>
        <v>5.0000000000000001E-3</v>
      </c>
      <c r="N14" s="102">
        <f t="shared" si="6"/>
        <v>-0.15</v>
      </c>
      <c r="O14" s="102">
        <f t="shared" si="6"/>
        <v>-0.48</v>
      </c>
      <c r="P14" s="102">
        <f t="shared" si="6"/>
        <v>-0.15</v>
      </c>
      <c r="Q14" s="102">
        <f t="shared" si="6"/>
        <v>0.2</v>
      </c>
      <c r="R14" s="102">
        <f t="shared" si="6"/>
        <v>-0.15</v>
      </c>
      <c r="S14" s="102">
        <f t="shared" si="6"/>
        <v>5.0000000000000001E-3</v>
      </c>
      <c r="T14" s="102">
        <f t="shared" si="6"/>
        <v>0.14000000000000001</v>
      </c>
      <c r="U14" s="102">
        <f t="shared" si="6"/>
        <v>0.52</v>
      </c>
      <c r="V14" s="102">
        <f t="shared" si="6"/>
        <v>-0.06</v>
      </c>
      <c r="W14" s="102">
        <f t="shared" si="6"/>
        <v>-2.2499999999999999E-2</v>
      </c>
      <c r="X14" s="102">
        <f t="shared" si="6"/>
        <v>0.18</v>
      </c>
      <c r="Y14" s="102">
        <f t="shared" si="6"/>
        <v>0.18</v>
      </c>
      <c r="Z14" s="107" t="e">
        <f t="shared" si="7"/>
        <v>#REF!</v>
      </c>
      <c r="AA14" s="107" t="e">
        <f t="shared" si="8"/>
        <v>#REF!</v>
      </c>
      <c r="AC14" s="82"/>
      <c r="AD14" s="82" t="e">
        <f>IF(#REF!=1,M14,IF(AE14&gt;0,A15-A14,0))</f>
        <v>#REF!</v>
      </c>
      <c r="AE14" s="101" t="e">
        <f>IF(A14&lt;=#REF!,A14,0)</f>
        <v>#REF!</v>
      </c>
      <c r="AG14" s="77" t="e">
        <f t="shared" si="9"/>
        <v>#REF!</v>
      </c>
      <c r="AH14" s="108" t="e">
        <f t="shared" si="10"/>
        <v>#REF!</v>
      </c>
      <c r="AI14" s="109" t="e">
        <f t="shared" si="11"/>
        <v>#REF!</v>
      </c>
      <c r="AJ14" s="109" t="e">
        <f t="shared" si="12"/>
        <v>#REF!</v>
      </c>
      <c r="AK14" s="109" t="e">
        <f t="shared" si="13"/>
        <v>#REF!</v>
      </c>
      <c r="AL14" s="109" t="e">
        <f t="shared" si="14"/>
        <v>#REF!</v>
      </c>
      <c r="AM14" s="109" t="e">
        <f t="shared" si="15"/>
        <v>#REF!</v>
      </c>
      <c r="AO14" s="108"/>
      <c r="AP14" s="109" t="e">
        <f t="shared" si="16"/>
        <v>#REF!</v>
      </c>
      <c r="AQ14" s="109" t="e">
        <f t="shared" si="17"/>
        <v>#REF!</v>
      </c>
      <c r="AR14" s="109" t="e">
        <f t="shared" si="18"/>
        <v>#REF!</v>
      </c>
      <c r="AS14" s="109" t="e">
        <f t="shared" si="19"/>
        <v>#REF!</v>
      </c>
      <c r="AT14" s="109" t="e">
        <f t="shared" si="20"/>
        <v>#REF!</v>
      </c>
      <c r="AU14" s="128"/>
      <c r="AV14" s="109"/>
      <c r="AW14" s="128"/>
      <c r="AX14" s="99"/>
      <c r="AY14" s="99"/>
      <c r="AZ14" s="99"/>
    </row>
    <row r="15" spans="1:52" x14ac:dyDescent="0.25">
      <c r="A15" s="101">
        <f t="shared" si="21"/>
        <v>37012</v>
      </c>
      <c r="B15" s="102">
        <f t="shared" si="4"/>
        <v>3.95</v>
      </c>
      <c r="C15" s="102">
        <f t="shared" si="5"/>
        <v>-0.15</v>
      </c>
      <c r="D15" s="102">
        <f t="shared" si="5"/>
        <v>-0.48</v>
      </c>
      <c r="E15" s="102">
        <f t="shared" si="5"/>
        <v>-0.7</v>
      </c>
      <c r="F15" s="102">
        <f t="shared" si="5"/>
        <v>0.21249999999999999</v>
      </c>
      <c r="G15" s="102">
        <f t="shared" si="5"/>
        <v>5.5E-2</v>
      </c>
      <c r="H15" s="102">
        <f t="shared" si="5"/>
        <v>-8.5000000000000006E-2</v>
      </c>
      <c r="I15" s="102">
        <f t="shared" si="5"/>
        <v>0.19</v>
      </c>
      <c r="J15" s="102">
        <f t="shared" si="5"/>
        <v>0.40500000000000003</v>
      </c>
      <c r="K15" s="102">
        <f t="shared" si="5"/>
        <v>0.2</v>
      </c>
      <c r="L15" s="102">
        <f t="shared" si="5"/>
        <v>-0.11</v>
      </c>
      <c r="M15" s="102">
        <f t="shared" si="6"/>
        <v>7.4999999999999997E-3</v>
      </c>
      <c r="N15" s="102">
        <f t="shared" si="6"/>
        <v>-0.14499999999999999</v>
      </c>
      <c r="O15" s="102">
        <f t="shared" si="6"/>
        <v>-0.48</v>
      </c>
      <c r="P15" s="102">
        <f t="shared" si="6"/>
        <v>-0.14499999999999999</v>
      </c>
      <c r="Q15" s="102">
        <f t="shared" si="6"/>
        <v>0.19</v>
      </c>
      <c r="R15" s="102">
        <f t="shared" si="6"/>
        <v>-0.15</v>
      </c>
      <c r="S15" s="102">
        <f t="shared" si="6"/>
        <v>5.0000000000000001E-3</v>
      </c>
      <c r="T15" s="102">
        <f t="shared" si="6"/>
        <v>0.1275</v>
      </c>
      <c r="U15" s="102">
        <f t="shared" si="6"/>
        <v>0.40500000000000003</v>
      </c>
      <c r="V15" s="102">
        <f t="shared" si="6"/>
        <v>-0.06</v>
      </c>
      <c r="W15" s="102">
        <f t="shared" si="6"/>
        <v>-2.2749999999999999E-2</v>
      </c>
      <c r="X15" s="102">
        <f t="shared" si="6"/>
        <v>0.21249999999999999</v>
      </c>
      <c r="Y15" s="102">
        <f t="shared" si="6"/>
        <v>0.21249999999999999</v>
      </c>
      <c r="Z15" s="107" t="e">
        <f t="shared" si="7"/>
        <v>#REF!</v>
      </c>
      <c r="AA15" s="107" t="e">
        <f t="shared" si="8"/>
        <v>#REF!</v>
      </c>
      <c r="AC15" s="82"/>
      <c r="AD15" s="82" t="e">
        <f>IF(#REF!=1,M15,IF(AE15&gt;0,A16-A15,0))</f>
        <v>#REF!</v>
      </c>
      <c r="AE15" s="101" t="e">
        <f>IF(A15&lt;=#REF!,A15,0)</f>
        <v>#REF!</v>
      </c>
      <c r="AG15" s="77" t="e">
        <f t="shared" si="9"/>
        <v>#REF!</v>
      </c>
      <c r="AH15" s="108" t="e">
        <f t="shared" si="10"/>
        <v>#REF!</v>
      </c>
      <c r="AI15" s="109" t="e">
        <f t="shared" si="11"/>
        <v>#REF!</v>
      </c>
      <c r="AJ15" s="109" t="e">
        <f t="shared" si="12"/>
        <v>#REF!</v>
      </c>
      <c r="AK15" s="109" t="e">
        <f t="shared" si="13"/>
        <v>#REF!</v>
      </c>
      <c r="AL15" s="109" t="e">
        <f t="shared" si="14"/>
        <v>#REF!</v>
      </c>
      <c r="AM15" s="109" t="e">
        <f t="shared" si="15"/>
        <v>#REF!</v>
      </c>
      <c r="AO15" s="108"/>
      <c r="AP15" s="109" t="e">
        <f t="shared" si="16"/>
        <v>#REF!</v>
      </c>
      <c r="AQ15" s="109" t="e">
        <f t="shared" si="17"/>
        <v>#REF!</v>
      </c>
      <c r="AR15" s="109" t="e">
        <f t="shared" si="18"/>
        <v>#REF!</v>
      </c>
      <c r="AS15" s="109" t="e">
        <f t="shared" si="19"/>
        <v>#REF!</v>
      </c>
      <c r="AT15" s="109" t="e">
        <f t="shared" si="20"/>
        <v>#REF!</v>
      </c>
      <c r="AU15" s="128"/>
      <c r="AV15" s="109"/>
      <c r="AW15" s="128"/>
      <c r="AX15" s="99"/>
      <c r="AY15" s="99"/>
      <c r="AZ15" s="99"/>
    </row>
    <row r="16" spans="1:52" x14ac:dyDescent="0.25">
      <c r="A16" s="101">
        <f t="shared" si="21"/>
        <v>37043</v>
      </c>
      <c r="B16" s="102">
        <f t="shared" si="4"/>
        <v>3.9350000000000001</v>
      </c>
      <c r="C16" s="102">
        <f t="shared" si="5"/>
        <v>-0.15</v>
      </c>
      <c r="D16" s="102">
        <f t="shared" si="5"/>
        <v>-0.48</v>
      </c>
      <c r="E16" s="102">
        <f t="shared" si="5"/>
        <v>-0.7</v>
      </c>
      <c r="F16" s="102">
        <f t="shared" si="5"/>
        <v>0.23250000000000001</v>
      </c>
      <c r="G16" s="102">
        <f t="shared" si="5"/>
        <v>5.2499999999999998E-2</v>
      </c>
      <c r="H16" s="102">
        <f t="shared" si="5"/>
        <v>-8.5000000000000006E-2</v>
      </c>
      <c r="I16" s="102">
        <f t="shared" si="5"/>
        <v>0.19</v>
      </c>
      <c r="J16" s="102">
        <f t="shared" si="5"/>
        <v>0.39500000000000002</v>
      </c>
      <c r="K16" s="102">
        <f t="shared" si="5"/>
        <v>0.2</v>
      </c>
      <c r="L16" s="102">
        <f t="shared" si="5"/>
        <v>-0.105</v>
      </c>
      <c r="M16" s="102">
        <f t="shared" si="6"/>
        <v>1.4999999999999999E-2</v>
      </c>
      <c r="N16" s="102">
        <f t="shared" si="6"/>
        <v>-0.14000000000000001</v>
      </c>
      <c r="O16" s="102">
        <f t="shared" si="6"/>
        <v>-0.48</v>
      </c>
      <c r="P16" s="102">
        <f t="shared" si="6"/>
        <v>-0.14000000000000001</v>
      </c>
      <c r="Q16" s="102">
        <f t="shared" si="6"/>
        <v>0.19</v>
      </c>
      <c r="R16" s="102">
        <f t="shared" si="6"/>
        <v>-0.15</v>
      </c>
      <c r="S16" s="102">
        <f t="shared" si="6"/>
        <v>5.0000000000000001E-3</v>
      </c>
      <c r="T16" s="102">
        <f t="shared" si="6"/>
        <v>0.1225</v>
      </c>
      <c r="U16" s="102">
        <f t="shared" si="6"/>
        <v>0.39500000000000002</v>
      </c>
      <c r="V16" s="102">
        <f t="shared" si="6"/>
        <v>-0.06</v>
      </c>
      <c r="W16" s="102">
        <f t="shared" si="6"/>
        <v>-2.2749999999999999E-2</v>
      </c>
      <c r="X16" s="102">
        <f t="shared" si="6"/>
        <v>0.23250000000000001</v>
      </c>
      <c r="Y16" s="102">
        <f t="shared" si="6"/>
        <v>0.23250000000000001</v>
      </c>
      <c r="Z16" s="107" t="e">
        <f t="shared" si="7"/>
        <v>#REF!</v>
      </c>
      <c r="AA16" s="107" t="e">
        <f t="shared" si="8"/>
        <v>#REF!</v>
      </c>
      <c r="AC16" s="82"/>
      <c r="AD16" s="82" t="e">
        <f>IF(#REF!=1,M16,IF(AE16&gt;0,A17-A16,0))</f>
        <v>#REF!</v>
      </c>
      <c r="AE16" s="101" t="e">
        <f>IF(A16&lt;=#REF!,A16,0)</f>
        <v>#REF!</v>
      </c>
      <c r="AG16" s="77" t="e">
        <f t="shared" si="9"/>
        <v>#REF!</v>
      </c>
      <c r="AH16" s="108" t="e">
        <f t="shared" si="10"/>
        <v>#REF!</v>
      </c>
      <c r="AI16" s="109" t="e">
        <f t="shared" si="11"/>
        <v>#REF!</v>
      </c>
      <c r="AJ16" s="109" t="e">
        <f t="shared" si="12"/>
        <v>#REF!</v>
      </c>
      <c r="AK16" s="109" t="e">
        <f t="shared" si="13"/>
        <v>#REF!</v>
      </c>
      <c r="AL16" s="109" t="e">
        <f t="shared" si="14"/>
        <v>#REF!</v>
      </c>
      <c r="AM16" s="109" t="e">
        <f t="shared" si="15"/>
        <v>#REF!</v>
      </c>
      <c r="AO16" s="108"/>
      <c r="AP16" s="109" t="e">
        <f t="shared" si="16"/>
        <v>#REF!</v>
      </c>
      <c r="AQ16" s="109" t="e">
        <f t="shared" si="17"/>
        <v>#REF!</v>
      </c>
      <c r="AR16" s="109" t="e">
        <f t="shared" si="18"/>
        <v>#REF!</v>
      </c>
      <c r="AS16" s="109" t="e">
        <f t="shared" si="19"/>
        <v>#REF!</v>
      </c>
      <c r="AT16" s="109" t="e">
        <f t="shared" si="20"/>
        <v>#REF!</v>
      </c>
      <c r="AU16" s="128"/>
      <c r="AV16" s="109"/>
      <c r="AW16" s="128"/>
      <c r="AX16" s="99"/>
      <c r="AY16" s="99"/>
      <c r="AZ16" s="99"/>
    </row>
    <row r="17" spans="1:52" x14ac:dyDescent="0.25">
      <c r="A17" s="101">
        <f t="shared" si="21"/>
        <v>37073</v>
      </c>
      <c r="B17" s="102">
        <f t="shared" si="4"/>
        <v>3.92</v>
      </c>
      <c r="C17" s="102">
        <f t="shared" si="5"/>
        <v>-0.15</v>
      </c>
      <c r="D17" s="102">
        <f t="shared" si="5"/>
        <v>-0.48</v>
      </c>
      <c r="E17" s="102">
        <f t="shared" si="5"/>
        <v>-0.73499999999999999</v>
      </c>
      <c r="F17" s="102">
        <f t="shared" si="5"/>
        <v>0.86750000000000005</v>
      </c>
      <c r="G17" s="102">
        <f t="shared" si="5"/>
        <v>4.2500000000000003E-2</v>
      </c>
      <c r="H17" s="102">
        <f t="shared" si="5"/>
        <v>-8.5000000000000006E-2</v>
      </c>
      <c r="I17" s="102">
        <f t="shared" si="5"/>
        <v>0.19</v>
      </c>
      <c r="J17" s="102">
        <f t="shared" si="5"/>
        <v>0.46</v>
      </c>
      <c r="K17" s="102">
        <f t="shared" si="5"/>
        <v>0.2</v>
      </c>
      <c r="L17" s="102">
        <f t="shared" si="5"/>
        <v>-0.105</v>
      </c>
      <c r="M17" s="102">
        <f t="shared" si="6"/>
        <v>0.02</v>
      </c>
      <c r="N17" s="102">
        <f t="shared" si="6"/>
        <v>-0.14000000000000001</v>
      </c>
      <c r="O17" s="102">
        <f t="shared" si="6"/>
        <v>-0.48</v>
      </c>
      <c r="P17" s="102">
        <f t="shared" si="6"/>
        <v>-0.14000000000000001</v>
      </c>
      <c r="Q17" s="102">
        <f t="shared" si="6"/>
        <v>0.19</v>
      </c>
      <c r="R17" s="102">
        <f t="shared" si="6"/>
        <v>-0.15</v>
      </c>
      <c r="S17" s="102">
        <f t="shared" si="6"/>
        <v>5.0000000000000001E-3</v>
      </c>
      <c r="T17" s="102">
        <f t="shared" si="6"/>
        <v>0.115</v>
      </c>
      <c r="U17" s="102">
        <f t="shared" si="6"/>
        <v>0.46</v>
      </c>
      <c r="V17" s="102">
        <f t="shared" si="6"/>
        <v>-0.06</v>
      </c>
      <c r="W17" s="102">
        <f t="shared" si="6"/>
        <v>-2.2749999999999999E-2</v>
      </c>
      <c r="X17" s="102">
        <f t="shared" si="6"/>
        <v>0.86750000000000005</v>
      </c>
      <c r="Y17" s="102">
        <f t="shared" si="6"/>
        <v>0.86750000000000005</v>
      </c>
      <c r="Z17" s="107" t="e">
        <f t="shared" si="7"/>
        <v>#REF!</v>
      </c>
      <c r="AA17" s="107" t="e">
        <f t="shared" si="8"/>
        <v>#REF!</v>
      </c>
      <c r="AC17" s="82"/>
      <c r="AD17" s="82" t="e">
        <f>IF(#REF!=1,M17,IF(AE17&gt;0,A18-A17,0))</f>
        <v>#REF!</v>
      </c>
      <c r="AE17" s="101" t="e">
        <f>IF(A17&lt;=#REF!,A17,0)</f>
        <v>#REF!</v>
      </c>
      <c r="AG17" s="77" t="e">
        <f t="shared" si="9"/>
        <v>#REF!</v>
      </c>
      <c r="AH17" s="108" t="e">
        <f t="shared" si="10"/>
        <v>#REF!</v>
      </c>
      <c r="AI17" s="109" t="e">
        <f t="shared" si="11"/>
        <v>#REF!</v>
      </c>
      <c r="AJ17" s="109" t="e">
        <f t="shared" si="12"/>
        <v>#REF!</v>
      </c>
      <c r="AK17" s="109" t="e">
        <f t="shared" si="13"/>
        <v>#REF!</v>
      </c>
      <c r="AL17" s="109" t="e">
        <f t="shared" si="14"/>
        <v>#REF!</v>
      </c>
      <c r="AM17" s="109" t="e">
        <f t="shared" si="15"/>
        <v>#REF!</v>
      </c>
      <c r="AO17" s="108"/>
      <c r="AP17" s="109" t="e">
        <f t="shared" si="16"/>
        <v>#REF!</v>
      </c>
      <c r="AQ17" s="109" t="e">
        <f t="shared" si="17"/>
        <v>#REF!</v>
      </c>
      <c r="AR17" s="109" t="e">
        <f t="shared" si="18"/>
        <v>#REF!</v>
      </c>
      <c r="AS17" s="109" t="e">
        <f t="shared" si="19"/>
        <v>#REF!</v>
      </c>
      <c r="AT17" s="109" t="e">
        <f t="shared" si="20"/>
        <v>#REF!</v>
      </c>
      <c r="AU17" s="128"/>
      <c r="AV17" s="109"/>
      <c r="AW17" s="128"/>
      <c r="AX17" s="99"/>
      <c r="AY17" s="99"/>
      <c r="AZ17" s="99"/>
    </row>
    <row r="18" spans="1:52" x14ac:dyDescent="0.25">
      <c r="A18" s="101">
        <f t="shared" si="21"/>
        <v>37104</v>
      </c>
      <c r="B18" s="102">
        <f t="shared" si="4"/>
        <v>3.92</v>
      </c>
      <c r="C18" s="102">
        <f t="shared" si="5"/>
        <v>-0.15</v>
      </c>
      <c r="D18" s="102">
        <f t="shared" si="5"/>
        <v>-0.48</v>
      </c>
      <c r="E18" s="102">
        <f t="shared" si="5"/>
        <v>-0.73499999999999999</v>
      </c>
      <c r="F18" s="102">
        <f t="shared" si="5"/>
        <v>0.91749999999999998</v>
      </c>
      <c r="G18" s="102">
        <f t="shared" si="5"/>
        <v>5.5E-2</v>
      </c>
      <c r="H18" s="102">
        <f t="shared" si="5"/>
        <v>-8.5000000000000006E-2</v>
      </c>
      <c r="I18" s="102">
        <f t="shared" si="5"/>
        <v>0.19</v>
      </c>
      <c r="J18" s="102">
        <f t="shared" si="5"/>
        <v>0.46</v>
      </c>
      <c r="K18" s="102">
        <f t="shared" si="5"/>
        <v>0.2</v>
      </c>
      <c r="L18" s="102">
        <f t="shared" si="5"/>
        <v>-0.105</v>
      </c>
      <c r="M18" s="102">
        <f t="shared" si="6"/>
        <v>0.02</v>
      </c>
      <c r="N18" s="102">
        <f t="shared" si="6"/>
        <v>-0.14000000000000001</v>
      </c>
      <c r="O18" s="102">
        <f t="shared" si="6"/>
        <v>-0.48</v>
      </c>
      <c r="P18" s="102">
        <f t="shared" si="6"/>
        <v>-0.14000000000000001</v>
      </c>
      <c r="Q18" s="102">
        <f t="shared" si="6"/>
        <v>0.19</v>
      </c>
      <c r="R18" s="102">
        <f t="shared" si="6"/>
        <v>-0.15</v>
      </c>
      <c r="S18" s="102">
        <f t="shared" si="6"/>
        <v>5.0000000000000001E-3</v>
      </c>
      <c r="T18" s="102">
        <f t="shared" si="6"/>
        <v>0.1125</v>
      </c>
      <c r="U18" s="102">
        <f t="shared" si="6"/>
        <v>0.46</v>
      </c>
      <c r="V18" s="102">
        <f t="shared" si="6"/>
        <v>-0.06</v>
      </c>
      <c r="W18" s="102">
        <f t="shared" si="6"/>
        <v>-2.2749999999999999E-2</v>
      </c>
      <c r="X18" s="102">
        <f t="shared" si="6"/>
        <v>0.91749999999999998</v>
      </c>
      <c r="Y18" s="102">
        <f t="shared" si="6"/>
        <v>0.91749999999999998</v>
      </c>
      <c r="Z18" s="107" t="e">
        <f t="shared" si="7"/>
        <v>#REF!</v>
      </c>
      <c r="AA18" s="107" t="e">
        <f t="shared" si="8"/>
        <v>#REF!</v>
      </c>
      <c r="AC18" s="82"/>
      <c r="AD18" s="82" t="e">
        <f>IF(#REF!=1,M18,IF(AE18&gt;0,A19-A18,0))</f>
        <v>#REF!</v>
      </c>
      <c r="AE18" s="101" t="e">
        <f>IF(A18&lt;=#REF!,A18,0)</f>
        <v>#REF!</v>
      </c>
      <c r="AG18" s="77" t="e">
        <f t="shared" si="9"/>
        <v>#REF!</v>
      </c>
      <c r="AH18" s="108" t="e">
        <f t="shared" si="10"/>
        <v>#REF!</v>
      </c>
      <c r="AI18" s="109" t="e">
        <f t="shared" si="11"/>
        <v>#REF!</v>
      </c>
      <c r="AJ18" s="109" t="e">
        <f t="shared" si="12"/>
        <v>#REF!</v>
      </c>
      <c r="AK18" s="109" t="e">
        <f t="shared" si="13"/>
        <v>#REF!</v>
      </c>
      <c r="AL18" s="109" t="e">
        <f t="shared" si="14"/>
        <v>#REF!</v>
      </c>
      <c r="AM18" s="109" t="e">
        <f t="shared" si="15"/>
        <v>#REF!</v>
      </c>
      <c r="AO18" s="108"/>
      <c r="AP18" s="109" t="e">
        <f t="shared" si="16"/>
        <v>#REF!</v>
      </c>
      <c r="AQ18" s="109" t="e">
        <f t="shared" si="17"/>
        <v>#REF!</v>
      </c>
      <c r="AR18" s="109" t="e">
        <f t="shared" si="18"/>
        <v>#REF!</v>
      </c>
      <c r="AS18" s="109" t="e">
        <f t="shared" si="19"/>
        <v>#REF!</v>
      </c>
      <c r="AT18" s="109" t="e">
        <f t="shared" si="20"/>
        <v>#REF!</v>
      </c>
      <c r="AU18" s="128"/>
      <c r="AV18" s="109"/>
      <c r="AW18" s="128"/>
      <c r="AX18" s="99"/>
      <c r="AY18" s="99"/>
      <c r="AZ18" s="99"/>
    </row>
    <row r="19" spans="1:52" x14ac:dyDescent="0.25">
      <c r="A19" s="101">
        <f t="shared" si="21"/>
        <v>37135</v>
      </c>
      <c r="B19" s="102">
        <f t="shared" si="4"/>
        <v>3.9</v>
      </c>
      <c r="C19" s="102">
        <f t="shared" si="5"/>
        <v>-0.15</v>
      </c>
      <c r="D19" s="102">
        <f t="shared" si="5"/>
        <v>-0.48</v>
      </c>
      <c r="E19" s="102">
        <f t="shared" si="5"/>
        <v>-0.73499999999999999</v>
      </c>
      <c r="F19" s="102">
        <f t="shared" si="5"/>
        <v>0.89500000000000002</v>
      </c>
      <c r="G19" s="102">
        <f t="shared" si="5"/>
        <v>5.5E-2</v>
      </c>
      <c r="H19" s="102">
        <f t="shared" si="5"/>
        <v>-8.5000000000000006E-2</v>
      </c>
      <c r="I19" s="102">
        <f t="shared" si="5"/>
        <v>0.185</v>
      </c>
      <c r="J19" s="102">
        <f t="shared" si="5"/>
        <v>0.39500000000000002</v>
      </c>
      <c r="K19" s="102">
        <f t="shared" si="5"/>
        <v>0.2</v>
      </c>
      <c r="L19" s="102">
        <f t="shared" si="5"/>
        <v>-0.1</v>
      </c>
      <c r="M19" s="102">
        <f t="shared" si="6"/>
        <v>1.4999999999999999E-2</v>
      </c>
      <c r="N19" s="102">
        <f t="shared" si="6"/>
        <v>-0.13500000000000001</v>
      </c>
      <c r="O19" s="102">
        <f t="shared" si="6"/>
        <v>-0.48</v>
      </c>
      <c r="P19" s="102">
        <f t="shared" si="6"/>
        <v>-0.13500000000000001</v>
      </c>
      <c r="Q19" s="102">
        <f t="shared" si="6"/>
        <v>0.185</v>
      </c>
      <c r="R19" s="102">
        <f t="shared" si="6"/>
        <v>-0.15</v>
      </c>
      <c r="S19" s="102">
        <f t="shared" si="6"/>
        <v>5.0000000000000001E-3</v>
      </c>
      <c r="T19" s="102">
        <f t="shared" si="6"/>
        <v>0.1125</v>
      </c>
      <c r="U19" s="102">
        <f t="shared" si="6"/>
        <v>0.39500000000000002</v>
      </c>
      <c r="V19" s="102">
        <f t="shared" si="6"/>
        <v>-0.06</v>
      </c>
      <c r="W19" s="102">
        <f t="shared" si="6"/>
        <v>-2.2749999999999999E-2</v>
      </c>
      <c r="X19" s="102">
        <f t="shared" si="6"/>
        <v>0.89500000000000002</v>
      </c>
      <c r="Y19" s="102">
        <f t="shared" si="6"/>
        <v>0.89500000000000002</v>
      </c>
      <c r="Z19" s="107" t="e">
        <f t="shared" si="7"/>
        <v>#REF!</v>
      </c>
      <c r="AA19" s="107" t="e">
        <f t="shared" si="8"/>
        <v>#REF!</v>
      </c>
      <c r="AC19" s="82"/>
      <c r="AD19" s="82" t="e">
        <f>IF(#REF!=1,M19,IF(AE19&gt;0,A20-A19,0))</f>
        <v>#REF!</v>
      </c>
      <c r="AE19" s="101" t="e">
        <f>IF(A19&lt;=#REF!,A19,0)</f>
        <v>#REF!</v>
      </c>
      <c r="AG19" s="77" t="e">
        <f t="shared" si="9"/>
        <v>#REF!</v>
      </c>
      <c r="AH19" s="108" t="e">
        <f t="shared" si="10"/>
        <v>#REF!</v>
      </c>
      <c r="AI19" s="109" t="e">
        <f t="shared" si="11"/>
        <v>#REF!</v>
      </c>
      <c r="AJ19" s="109" t="e">
        <f t="shared" si="12"/>
        <v>#REF!</v>
      </c>
      <c r="AK19" s="109" t="e">
        <f t="shared" si="13"/>
        <v>#REF!</v>
      </c>
      <c r="AL19" s="109" t="e">
        <f t="shared" si="14"/>
        <v>#REF!</v>
      </c>
      <c r="AM19" s="109" t="e">
        <f t="shared" si="15"/>
        <v>#REF!</v>
      </c>
      <c r="AO19" s="108"/>
      <c r="AP19" s="109" t="e">
        <f t="shared" si="16"/>
        <v>#REF!</v>
      </c>
      <c r="AQ19" s="109" t="e">
        <f t="shared" si="17"/>
        <v>#REF!</v>
      </c>
      <c r="AR19" s="109" t="e">
        <f t="shared" si="18"/>
        <v>#REF!</v>
      </c>
      <c r="AS19" s="109" t="e">
        <f t="shared" si="19"/>
        <v>#REF!</v>
      </c>
      <c r="AT19" s="109" t="e">
        <f t="shared" si="20"/>
        <v>#REF!</v>
      </c>
      <c r="AU19" s="128"/>
      <c r="AV19" s="109"/>
      <c r="AW19" s="128"/>
      <c r="AX19" s="99"/>
      <c r="AY19" s="99"/>
      <c r="AZ19" s="99"/>
    </row>
    <row r="20" spans="1:52" x14ac:dyDescent="0.25">
      <c r="A20" s="101">
        <f t="shared" si="21"/>
        <v>37165</v>
      </c>
      <c r="B20" s="102">
        <f t="shared" si="4"/>
        <v>3.8849999999999998</v>
      </c>
      <c r="C20" s="102">
        <f t="shared" ref="C20:K26" si="22">VLOOKUP($A20,curvesettle,HLOOKUP(C$5,curvesettle,2,FALSE),FALSE)</f>
        <v>-0.15</v>
      </c>
      <c r="D20" s="102">
        <f t="shared" si="22"/>
        <v>-0.48</v>
      </c>
      <c r="E20" s="102">
        <f t="shared" si="22"/>
        <v>-0.73499999999999999</v>
      </c>
      <c r="F20" s="102">
        <f t="shared" si="22"/>
        <v>0.34</v>
      </c>
      <c r="G20" s="102">
        <f t="shared" si="22"/>
        <v>7.4999999999999997E-2</v>
      </c>
      <c r="H20" s="102">
        <f t="shared" si="22"/>
        <v>-8.5000000000000006E-2</v>
      </c>
      <c r="I20" s="102">
        <f t="shared" si="22"/>
        <v>0.19</v>
      </c>
      <c r="J20" s="102">
        <f t="shared" si="22"/>
        <v>0.46100000000000002</v>
      </c>
      <c r="K20" s="102">
        <f t="shared" si="22"/>
        <v>0.2</v>
      </c>
      <c r="L20" s="102">
        <f t="shared" ref="L20:Y26" si="23">VLOOKUP($A20,curvesettle,HLOOKUP(L$5,curvesettle,2,FALSE),FALSE)</f>
        <v>-9.5000000000000001E-2</v>
      </c>
      <c r="M20" s="102">
        <f t="shared" si="23"/>
        <v>5.0000000000000001E-3</v>
      </c>
      <c r="N20" s="102">
        <f t="shared" si="23"/>
        <v>-0.13</v>
      </c>
      <c r="O20" s="102">
        <f t="shared" si="23"/>
        <v>-0.48</v>
      </c>
      <c r="P20" s="102">
        <f t="shared" si="23"/>
        <v>-0.13</v>
      </c>
      <c r="Q20" s="102">
        <f t="shared" si="23"/>
        <v>0.19</v>
      </c>
      <c r="R20" s="102">
        <f t="shared" si="23"/>
        <v>-0.15</v>
      </c>
      <c r="S20" s="102">
        <f t="shared" si="23"/>
        <v>5.0000000000000001E-3</v>
      </c>
      <c r="T20" s="102">
        <f t="shared" si="23"/>
        <v>0.1275</v>
      </c>
      <c r="U20" s="102">
        <f t="shared" si="23"/>
        <v>0.46100000000000002</v>
      </c>
      <c r="V20" s="102">
        <f t="shared" si="23"/>
        <v>-0.06</v>
      </c>
      <c r="W20" s="102">
        <f t="shared" si="23"/>
        <v>-2.2749999999999999E-2</v>
      </c>
      <c r="X20" s="102">
        <f t="shared" si="23"/>
        <v>0.34</v>
      </c>
      <c r="Y20" s="102">
        <f t="shared" si="23"/>
        <v>0.34</v>
      </c>
      <c r="Z20" s="107" t="e">
        <f t="shared" si="7"/>
        <v>#REF!</v>
      </c>
      <c r="AA20" s="107" t="e">
        <f t="shared" si="8"/>
        <v>#REF!</v>
      </c>
      <c r="AC20" s="82"/>
      <c r="AD20" s="82" t="e">
        <f>IF(#REF!=1,M20,IF(AE20&gt;0,A21-A20,0))</f>
        <v>#REF!</v>
      </c>
      <c r="AE20" s="101" t="e">
        <f>IF(A20&lt;=#REF!,A20,0)</f>
        <v>#REF!</v>
      </c>
      <c r="AG20" s="77" t="e">
        <f t="shared" si="9"/>
        <v>#REF!</v>
      </c>
      <c r="AH20" s="108" t="e">
        <f t="shared" si="10"/>
        <v>#REF!</v>
      </c>
      <c r="AI20" s="109" t="e">
        <f t="shared" si="11"/>
        <v>#REF!</v>
      </c>
      <c r="AJ20" s="109" t="e">
        <f t="shared" si="12"/>
        <v>#REF!</v>
      </c>
      <c r="AK20" s="109" t="e">
        <f t="shared" si="13"/>
        <v>#REF!</v>
      </c>
      <c r="AL20" s="109" t="e">
        <f t="shared" si="14"/>
        <v>#REF!</v>
      </c>
      <c r="AM20" s="109" t="e">
        <f t="shared" si="15"/>
        <v>#REF!</v>
      </c>
      <c r="AO20" s="108"/>
      <c r="AP20" s="109" t="e">
        <f t="shared" si="16"/>
        <v>#REF!</v>
      </c>
      <c r="AQ20" s="109" t="e">
        <f t="shared" si="17"/>
        <v>#REF!</v>
      </c>
      <c r="AR20" s="109" t="e">
        <f t="shared" si="18"/>
        <v>#REF!</v>
      </c>
      <c r="AS20" s="109" t="e">
        <f t="shared" si="19"/>
        <v>#REF!</v>
      </c>
      <c r="AT20" s="109" t="e">
        <f t="shared" si="20"/>
        <v>#REF!</v>
      </c>
      <c r="AU20" s="128"/>
      <c r="AV20" s="109"/>
      <c r="AW20" s="128"/>
      <c r="AX20" s="99"/>
      <c r="AY20" s="99"/>
      <c r="AZ20" s="99"/>
    </row>
    <row r="21" spans="1:52" x14ac:dyDescent="0.25">
      <c r="A21" s="101">
        <f t="shared" si="21"/>
        <v>37196</v>
      </c>
      <c r="B21" s="102">
        <f t="shared" si="4"/>
        <v>3.99</v>
      </c>
      <c r="C21" s="102">
        <f t="shared" si="22"/>
        <v>-0.14000000000000001</v>
      </c>
      <c r="D21" s="102">
        <f t="shared" si="22"/>
        <v>-0.26750000000000002</v>
      </c>
      <c r="E21" s="102">
        <f t="shared" si="22"/>
        <v>-0.33</v>
      </c>
      <c r="F21" s="102">
        <f t="shared" si="22"/>
        <v>0.34</v>
      </c>
      <c r="G21" s="102">
        <f t="shared" si="22"/>
        <v>0.09</v>
      </c>
      <c r="H21" s="102">
        <f t="shared" si="22"/>
        <v>-0.125</v>
      </c>
      <c r="I21" s="102">
        <f t="shared" si="22"/>
        <v>0.26750000000000002</v>
      </c>
      <c r="J21" s="102">
        <f t="shared" si="22"/>
        <v>0.93</v>
      </c>
      <c r="K21" s="102">
        <f t="shared" si="22"/>
        <v>0.21</v>
      </c>
      <c r="L21" s="102">
        <f t="shared" si="23"/>
        <v>2.5000000000000001E-3</v>
      </c>
      <c r="M21" s="102">
        <f t="shared" si="23"/>
        <v>-4.2500000000000003E-2</v>
      </c>
      <c r="N21" s="102">
        <f t="shared" si="23"/>
        <v>-0.13250000000000001</v>
      </c>
      <c r="O21" s="102">
        <f t="shared" si="23"/>
        <v>-0.26750000000000002</v>
      </c>
      <c r="P21" s="102">
        <f t="shared" si="23"/>
        <v>-0.13250000000000001</v>
      </c>
      <c r="Q21" s="102">
        <f t="shared" si="23"/>
        <v>0.26750000000000002</v>
      </c>
      <c r="R21" s="102">
        <f t="shared" si="23"/>
        <v>-0.1525</v>
      </c>
      <c r="S21" s="102">
        <f t="shared" si="23"/>
        <v>5.0000000000000001E-3</v>
      </c>
      <c r="T21" s="102">
        <f t="shared" si="23"/>
        <v>0.1875</v>
      </c>
      <c r="U21" s="102">
        <f t="shared" si="23"/>
        <v>0.93</v>
      </c>
      <c r="V21" s="102">
        <f t="shared" si="23"/>
        <v>-7.7499999999999999E-2</v>
      </c>
      <c r="W21" s="102">
        <f t="shared" si="23"/>
        <v>-3.7499999999999999E-2</v>
      </c>
      <c r="X21" s="102">
        <f t="shared" si="23"/>
        <v>0.34</v>
      </c>
      <c r="Y21" s="102">
        <f t="shared" si="23"/>
        <v>0.53500000000000003</v>
      </c>
      <c r="Z21" s="107" t="e">
        <f t="shared" si="7"/>
        <v>#REF!</v>
      </c>
      <c r="AA21" s="107" t="e">
        <f t="shared" si="8"/>
        <v>#REF!</v>
      </c>
      <c r="AC21" s="82"/>
      <c r="AD21" s="82" t="e">
        <f>IF(#REF!=1,M21,IF(AE21&gt;0,A22-A21,0))</f>
        <v>#REF!</v>
      </c>
      <c r="AE21" s="101" t="e">
        <f>IF(A21&lt;=#REF!,A21,0)</f>
        <v>#REF!</v>
      </c>
      <c r="AG21" s="77" t="e">
        <f t="shared" si="9"/>
        <v>#REF!</v>
      </c>
      <c r="AH21" s="108" t="e">
        <f t="shared" si="10"/>
        <v>#REF!</v>
      </c>
      <c r="AI21" s="109" t="e">
        <f t="shared" si="11"/>
        <v>#REF!</v>
      </c>
      <c r="AJ21" s="109" t="e">
        <f t="shared" si="12"/>
        <v>#REF!</v>
      </c>
      <c r="AK21" s="109" t="e">
        <f t="shared" si="13"/>
        <v>#REF!</v>
      </c>
      <c r="AL21" s="109" t="e">
        <f t="shared" si="14"/>
        <v>#REF!</v>
      </c>
      <c r="AM21" s="109" t="e">
        <f t="shared" si="15"/>
        <v>#REF!</v>
      </c>
      <c r="AO21" s="108"/>
      <c r="AP21" s="109" t="e">
        <f t="shared" si="16"/>
        <v>#REF!</v>
      </c>
      <c r="AQ21" s="109" t="e">
        <f t="shared" si="17"/>
        <v>#REF!</v>
      </c>
      <c r="AR21" s="109" t="e">
        <f t="shared" si="18"/>
        <v>#REF!</v>
      </c>
      <c r="AS21" s="109" t="e">
        <f t="shared" si="19"/>
        <v>#REF!</v>
      </c>
      <c r="AT21" s="109" t="e">
        <f t="shared" si="20"/>
        <v>#REF!</v>
      </c>
      <c r="AU21" s="128"/>
      <c r="AV21" s="109"/>
      <c r="AW21" s="128"/>
      <c r="AX21" s="99"/>
      <c r="AY21" s="99"/>
      <c r="AZ21" s="99"/>
    </row>
    <row r="22" spans="1:52" x14ac:dyDescent="0.25">
      <c r="A22" s="101">
        <f t="shared" si="21"/>
        <v>37226</v>
      </c>
      <c r="B22" s="102">
        <f t="shared" si="4"/>
        <v>4.0750000000000002</v>
      </c>
      <c r="C22" s="102">
        <f t="shared" si="22"/>
        <v>-0.13500000000000001</v>
      </c>
      <c r="D22" s="102">
        <f t="shared" si="22"/>
        <v>-0.26750000000000002</v>
      </c>
      <c r="E22" s="102">
        <f t="shared" si="22"/>
        <v>-0.33</v>
      </c>
      <c r="F22" s="102">
        <f t="shared" si="22"/>
        <v>0.34</v>
      </c>
      <c r="G22" s="102">
        <f t="shared" si="22"/>
        <v>0.13</v>
      </c>
      <c r="H22" s="102">
        <f t="shared" si="22"/>
        <v>-0.125</v>
      </c>
      <c r="I22" s="102">
        <f t="shared" si="22"/>
        <v>0.30249999999999999</v>
      </c>
      <c r="J22" s="102">
        <f t="shared" si="22"/>
        <v>1.35</v>
      </c>
      <c r="K22" s="102">
        <f t="shared" si="22"/>
        <v>0.21</v>
      </c>
      <c r="L22" s="102">
        <f t="shared" si="23"/>
        <v>2.2499999999999999E-2</v>
      </c>
      <c r="M22" s="102">
        <f t="shared" si="23"/>
        <v>-6.5000000000000002E-2</v>
      </c>
      <c r="N22" s="102">
        <f t="shared" si="23"/>
        <v>-0.13500000000000001</v>
      </c>
      <c r="O22" s="102">
        <f t="shared" si="23"/>
        <v>-0.26750000000000002</v>
      </c>
      <c r="P22" s="102">
        <f t="shared" si="23"/>
        <v>-0.13500000000000001</v>
      </c>
      <c r="Q22" s="102">
        <f t="shared" si="23"/>
        <v>0.30249999999999999</v>
      </c>
      <c r="R22" s="102">
        <f t="shared" si="23"/>
        <v>-0.155</v>
      </c>
      <c r="S22" s="102">
        <f t="shared" si="23"/>
        <v>5.0000000000000001E-3</v>
      </c>
      <c r="T22" s="102">
        <f t="shared" si="23"/>
        <v>0.22750000000000001</v>
      </c>
      <c r="U22" s="102">
        <f t="shared" si="23"/>
        <v>1.35</v>
      </c>
      <c r="V22" s="102">
        <f t="shared" si="23"/>
        <v>-7.7499999999999999E-2</v>
      </c>
      <c r="W22" s="102">
        <f t="shared" si="23"/>
        <v>-3.7499999999999999E-2</v>
      </c>
      <c r="X22" s="102">
        <f t="shared" si="23"/>
        <v>0.34</v>
      </c>
      <c r="Y22" s="102">
        <f t="shared" si="23"/>
        <v>0.53500000000000003</v>
      </c>
      <c r="Z22" s="107" t="e">
        <f t="shared" si="7"/>
        <v>#REF!</v>
      </c>
      <c r="AA22" s="107" t="e">
        <f t="shared" si="8"/>
        <v>#REF!</v>
      </c>
      <c r="AC22" s="82"/>
      <c r="AD22" s="82" t="e">
        <f>IF(#REF!=1,M22,IF(AE22&gt;0,A23-A22,0))</f>
        <v>#REF!</v>
      </c>
      <c r="AE22" s="101" t="e">
        <f>IF(A22&lt;=#REF!,A22,0)</f>
        <v>#REF!</v>
      </c>
      <c r="AG22" s="77" t="e">
        <f t="shared" si="9"/>
        <v>#REF!</v>
      </c>
      <c r="AH22" s="108" t="e">
        <f t="shared" si="10"/>
        <v>#REF!</v>
      </c>
      <c r="AI22" s="109" t="e">
        <f t="shared" si="11"/>
        <v>#REF!</v>
      </c>
      <c r="AJ22" s="109" t="e">
        <f t="shared" si="12"/>
        <v>#REF!</v>
      </c>
      <c r="AK22" s="109" t="e">
        <f t="shared" si="13"/>
        <v>#REF!</v>
      </c>
      <c r="AL22" s="109" t="e">
        <f t="shared" si="14"/>
        <v>#REF!</v>
      </c>
      <c r="AM22" s="109" t="e">
        <f t="shared" si="15"/>
        <v>#REF!</v>
      </c>
      <c r="AO22" s="108"/>
      <c r="AP22" s="109" t="e">
        <f t="shared" si="16"/>
        <v>#REF!</v>
      </c>
      <c r="AQ22" s="109" t="e">
        <f t="shared" si="17"/>
        <v>#REF!</v>
      </c>
      <c r="AR22" s="109" t="e">
        <f t="shared" si="18"/>
        <v>#REF!</v>
      </c>
      <c r="AS22" s="109" t="e">
        <f t="shared" si="19"/>
        <v>#REF!</v>
      </c>
      <c r="AT22" s="109" t="e">
        <f t="shared" si="20"/>
        <v>#REF!</v>
      </c>
      <c r="AU22" s="128"/>
      <c r="AV22" s="109"/>
      <c r="AW22" s="128"/>
      <c r="AX22" s="99"/>
      <c r="AY22" s="99"/>
      <c r="AZ22" s="99"/>
    </row>
    <row r="23" spans="1:52" x14ac:dyDescent="0.25">
      <c r="A23" s="101">
        <f t="shared" si="21"/>
        <v>37257</v>
      </c>
      <c r="B23" s="102">
        <f t="shared" si="4"/>
        <v>4.0449999999999999</v>
      </c>
      <c r="C23" s="102">
        <f t="shared" si="22"/>
        <v>-0.13500000000000001</v>
      </c>
      <c r="D23" s="102">
        <f t="shared" si="22"/>
        <v>-0.26750000000000002</v>
      </c>
      <c r="E23" s="102">
        <f t="shared" si="22"/>
        <v>-0.33</v>
      </c>
      <c r="F23" s="102">
        <f t="shared" si="22"/>
        <v>0.34</v>
      </c>
      <c r="G23" s="102">
        <f t="shared" si="22"/>
        <v>0.14249999999999999</v>
      </c>
      <c r="H23" s="102">
        <f t="shared" si="22"/>
        <v>-0.125</v>
      </c>
      <c r="I23" s="102">
        <f t="shared" si="22"/>
        <v>0.3075</v>
      </c>
      <c r="J23" s="102">
        <f t="shared" si="22"/>
        <v>1.61</v>
      </c>
      <c r="K23" s="102">
        <f t="shared" si="22"/>
        <v>0.21</v>
      </c>
      <c r="L23" s="102">
        <f t="shared" si="23"/>
        <v>3.5000000000000003E-2</v>
      </c>
      <c r="M23" s="102">
        <f t="shared" si="23"/>
        <v>-6.7500000000000004E-2</v>
      </c>
      <c r="N23" s="102">
        <f t="shared" si="23"/>
        <v>-0.13750000000000001</v>
      </c>
      <c r="O23" s="102">
        <f t="shared" si="23"/>
        <v>-0.26750000000000002</v>
      </c>
      <c r="P23" s="102">
        <f t="shared" si="23"/>
        <v>-0.13750000000000001</v>
      </c>
      <c r="Q23" s="102">
        <f t="shared" si="23"/>
        <v>0.3075</v>
      </c>
      <c r="R23" s="102">
        <f t="shared" si="23"/>
        <v>-0.1575</v>
      </c>
      <c r="S23" s="102">
        <f t="shared" si="23"/>
        <v>5.0000000000000001E-3</v>
      </c>
      <c r="T23" s="102">
        <f t="shared" si="23"/>
        <v>0.24</v>
      </c>
      <c r="U23" s="102">
        <f t="shared" si="23"/>
        <v>1.61</v>
      </c>
      <c r="V23" s="102">
        <f t="shared" si="23"/>
        <v>-7.7499999999999999E-2</v>
      </c>
      <c r="W23" s="102">
        <f t="shared" si="23"/>
        <v>-3.7499999999999999E-2</v>
      </c>
      <c r="X23" s="102">
        <f t="shared" si="23"/>
        <v>0.34</v>
      </c>
      <c r="Y23" s="102">
        <f t="shared" si="23"/>
        <v>0.53500000000000003</v>
      </c>
      <c r="Z23" s="107" t="e">
        <f t="shared" si="7"/>
        <v>#REF!</v>
      </c>
      <c r="AA23" s="107" t="e">
        <f t="shared" si="8"/>
        <v>#REF!</v>
      </c>
      <c r="AC23" s="82"/>
      <c r="AD23" s="82" t="e">
        <f>IF(#REF!=1,M23,IF(AE23&gt;0,A24-A23,0))</f>
        <v>#REF!</v>
      </c>
      <c r="AE23" s="101" t="e">
        <f>IF(A23&lt;=#REF!,A23,0)</f>
        <v>#REF!</v>
      </c>
      <c r="AG23" s="77" t="e">
        <f t="shared" si="9"/>
        <v>#REF!</v>
      </c>
      <c r="AH23" s="108" t="e">
        <f t="shared" si="10"/>
        <v>#REF!</v>
      </c>
      <c r="AI23" s="109" t="e">
        <f t="shared" si="11"/>
        <v>#REF!</v>
      </c>
      <c r="AJ23" s="109" t="e">
        <f t="shared" si="12"/>
        <v>#REF!</v>
      </c>
      <c r="AK23" s="109" t="e">
        <f t="shared" si="13"/>
        <v>#REF!</v>
      </c>
      <c r="AL23" s="109" t="e">
        <f t="shared" si="14"/>
        <v>#REF!</v>
      </c>
      <c r="AM23" s="109" t="e">
        <f t="shared" si="15"/>
        <v>#REF!</v>
      </c>
      <c r="AO23" s="108"/>
      <c r="AP23" s="109" t="e">
        <f t="shared" si="16"/>
        <v>#REF!</v>
      </c>
      <c r="AQ23" s="109" t="e">
        <f t="shared" si="17"/>
        <v>#REF!</v>
      </c>
      <c r="AR23" s="109" t="e">
        <f t="shared" si="18"/>
        <v>#REF!</v>
      </c>
      <c r="AS23" s="109" t="e">
        <f t="shared" si="19"/>
        <v>#REF!</v>
      </c>
      <c r="AT23" s="109" t="e">
        <f t="shared" si="20"/>
        <v>#REF!</v>
      </c>
      <c r="AU23" s="128"/>
      <c r="AV23" s="109"/>
      <c r="AW23" s="128"/>
      <c r="AX23" s="99"/>
      <c r="AY23" s="99"/>
      <c r="AZ23" s="99"/>
    </row>
    <row r="24" spans="1:52" x14ac:dyDescent="0.25">
      <c r="A24" s="101">
        <f t="shared" si="21"/>
        <v>37288</v>
      </c>
      <c r="B24" s="102">
        <f t="shared" si="4"/>
        <v>3.8740000000000006</v>
      </c>
      <c r="C24" s="102">
        <f t="shared" si="22"/>
        <v>-0.13500000000000001</v>
      </c>
      <c r="D24" s="102">
        <f t="shared" si="22"/>
        <v>-0.26750000000000002</v>
      </c>
      <c r="E24" s="102">
        <f t="shared" si="22"/>
        <v>-0.33</v>
      </c>
      <c r="F24" s="102">
        <f t="shared" si="22"/>
        <v>0.34</v>
      </c>
      <c r="G24" s="102">
        <f t="shared" si="22"/>
        <v>0.12</v>
      </c>
      <c r="H24" s="102">
        <f t="shared" si="22"/>
        <v>-0.125</v>
      </c>
      <c r="I24" s="102">
        <f t="shared" si="22"/>
        <v>0.3075</v>
      </c>
      <c r="J24" s="102">
        <f t="shared" si="22"/>
        <v>1.6</v>
      </c>
      <c r="K24" s="102">
        <f t="shared" si="22"/>
        <v>0.21</v>
      </c>
      <c r="L24" s="102">
        <f t="shared" si="23"/>
        <v>0.04</v>
      </c>
      <c r="M24" s="102">
        <f t="shared" si="23"/>
        <v>-0.05</v>
      </c>
      <c r="N24" s="102">
        <f t="shared" si="23"/>
        <v>-0.14000000000000001</v>
      </c>
      <c r="O24" s="102">
        <f t="shared" si="23"/>
        <v>-0.26750000000000002</v>
      </c>
      <c r="P24" s="102">
        <f t="shared" si="23"/>
        <v>-0.14000000000000001</v>
      </c>
      <c r="Q24" s="102">
        <f t="shared" si="23"/>
        <v>0.3075</v>
      </c>
      <c r="R24" s="102">
        <f t="shared" si="23"/>
        <v>-0.16</v>
      </c>
      <c r="S24" s="102">
        <f t="shared" si="23"/>
        <v>5.0000000000000001E-3</v>
      </c>
      <c r="T24" s="102">
        <f t="shared" si="23"/>
        <v>0.2175</v>
      </c>
      <c r="U24" s="102">
        <f t="shared" si="23"/>
        <v>1.6</v>
      </c>
      <c r="V24" s="102">
        <f t="shared" si="23"/>
        <v>-7.7499999999999999E-2</v>
      </c>
      <c r="W24" s="102">
        <f t="shared" si="23"/>
        <v>-3.7499999999999999E-2</v>
      </c>
      <c r="X24" s="102">
        <f t="shared" si="23"/>
        <v>0.34</v>
      </c>
      <c r="Y24" s="102">
        <f t="shared" si="23"/>
        <v>0.53500000000000003</v>
      </c>
      <c r="Z24" s="107" t="e">
        <f t="shared" si="7"/>
        <v>#REF!</v>
      </c>
      <c r="AA24" s="107" t="e">
        <f t="shared" si="8"/>
        <v>#REF!</v>
      </c>
      <c r="AC24" s="82"/>
      <c r="AD24" s="82" t="e">
        <f>IF(#REF!=1,M24,IF(AE24&gt;0,A25-A24,0))</f>
        <v>#REF!</v>
      </c>
      <c r="AE24" s="101" t="e">
        <f>IF(A24&lt;=#REF!,A24,0)</f>
        <v>#REF!</v>
      </c>
      <c r="AG24" s="77" t="e">
        <f t="shared" si="9"/>
        <v>#REF!</v>
      </c>
      <c r="AH24" s="108" t="e">
        <f t="shared" si="10"/>
        <v>#REF!</v>
      </c>
      <c r="AI24" s="109" t="e">
        <f t="shared" si="11"/>
        <v>#REF!</v>
      </c>
      <c r="AJ24" s="109" t="e">
        <f t="shared" si="12"/>
        <v>#REF!</v>
      </c>
      <c r="AK24" s="109" t="e">
        <f t="shared" si="13"/>
        <v>#REF!</v>
      </c>
      <c r="AL24" s="109" t="e">
        <f t="shared" si="14"/>
        <v>#REF!</v>
      </c>
      <c r="AM24" s="109" t="e">
        <f t="shared" si="15"/>
        <v>#REF!</v>
      </c>
      <c r="AO24" s="108"/>
      <c r="AP24" s="109" t="e">
        <f t="shared" si="16"/>
        <v>#REF!</v>
      </c>
      <c r="AQ24" s="109" t="e">
        <f t="shared" si="17"/>
        <v>#REF!</v>
      </c>
      <c r="AR24" s="109" t="e">
        <f t="shared" si="18"/>
        <v>#REF!</v>
      </c>
      <c r="AS24" s="109" t="e">
        <f t="shared" si="19"/>
        <v>#REF!</v>
      </c>
      <c r="AT24" s="109" t="e">
        <f t="shared" si="20"/>
        <v>#REF!</v>
      </c>
      <c r="AU24" s="128"/>
      <c r="AV24" s="109"/>
      <c r="AW24" s="128"/>
      <c r="AX24" s="99"/>
      <c r="AY24" s="99"/>
      <c r="AZ24" s="99"/>
    </row>
    <row r="25" spans="1:52" x14ac:dyDescent="0.25">
      <c r="A25" s="101">
        <f t="shared" si="21"/>
        <v>37316</v>
      </c>
      <c r="B25" s="102">
        <f t="shared" si="4"/>
        <v>3.7090000000000005</v>
      </c>
      <c r="C25" s="102">
        <f t="shared" si="22"/>
        <v>-0.14000000000000001</v>
      </c>
      <c r="D25" s="102">
        <f t="shared" si="22"/>
        <v>-0.26750000000000002</v>
      </c>
      <c r="E25" s="102">
        <f t="shared" si="22"/>
        <v>-0.33</v>
      </c>
      <c r="F25" s="102">
        <f t="shared" si="22"/>
        <v>0.34</v>
      </c>
      <c r="G25" s="102">
        <f t="shared" si="22"/>
        <v>0.11749999999999999</v>
      </c>
      <c r="H25" s="102">
        <f t="shared" si="22"/>
        <v>-0.125</v>
      </c>
      <c r="I25" s="102">
        <f t="shared" si="22"/>
        <v>0.26650000000000001</v>
      </c>
      <c r="J25" s="102">
        <f t="shared" si="22"/>
        <v>1.03</v>
      </c>
      <c r="K25" s="102">
        <f t="shared" si="22"/>
        <v>0.21</v>
      </c>
      <c r="L25" s="102">
        <f t="shared" si="23"/>
        <v>3.7499999999999999E-2</v>
      </c>
      <c r="M25" s="102">
        <f t="shared" si="23"/>
        <v>-3.7499999999999999E-2</v>
      </c>
      <c r="N25" s="102">
        <f t="shared" si="23"/>
        <v>-0.14249999999999999</v>
      </c>
      <c r="O25" s="102">
        <f t="shared" si="23"/>
        <v>-0.26750000000000002</v>
      </c>
      <c r="P25" s="102">
        <f t="shared" si="23"/>
        <v>-0.14249999999999999</v>
      </c>
      <c r="Q25" s="102">
        <f t="shared" si="23"/>
        <v>0.26650000000000001</v>
      </c>
      <c r="R25" s="102">
        <f t="shared" si="23"/>
        <v>-0.16250000000000001</v>
      </c>
      <c r="S25" s="102">
        <f t="shared" si="23"/>
        <v>5.0000000000000001E-3</v>
      </c>
      <c r="T25" s="102">
        <f t="shared" si="23"/>
        <v>0.215</v>
      </c>
      <c r="U25" s="102">
        <f t="shared" si="23"/>
        <v>1.03</v>
      </c>
      <c r="V25" s="102">
        <f t="shared" si="23"/>
        <v>-7.7499999999999999E-2</v>
      </c>
      <c r="W25" s="102">
        <f t="shared" si="23"/>
        <v>-3.7499999999999999E-2</v>
      </c>
      <c r="X25" s="102">
        <f t="shared" si="23"/>
        <v>0.34</v>
      </c>
      <c r="Y25" s="102">
        <f t="shared" si="23"/>
        <v>0.53500000000000003</v>
      </c>
      <c r="Z25" s="107" t="e">
        <f t="shared" si="7"/>
        <v>#REF!</v>
      </c>
      <c r="AA25" s="107" t="e">
        <f t="shared" si="8"/>
        <v>#REF!</v>
      </c>
      <c r="AC25" s="82"/>
      <c r="AD25" s="82" t="e">
        <f>IF(#REF!=1,M25,IF(AE25&gt;0,A26-A25,0))</f>
        <v>#REF!</v>
      </c>
      <c r="AE25" s="101" t="e">
        <f>IF(A25&lt;=#REF!,A25,0)</f>
        <v>#REF!</v>
      </c>
      <c r="AG25" s="77" t="e">
        <f t="shared" si="9"/>
        <v>#REF!</v>
      </c>
      <c r="AH25" s="108" t="e">
        <f t="shared" si="10"/>
        <v>#REF!</v>
      </c>
      <c r="AI25" s="109" t="e">
        <f t="shared" si="11"/>
        <v>#REF!</v>
      </c>
      <c r="AJ25" s="109" t="e">
        <f t="shared" si="12"/>
        <v>#REF!</v>
      </c>
      <c r="AK25" s="109" t="e">
        <f t="shared" si="13"/>
        <v>#REF!</v>
      </c>
      <c r="AL25" s="109" t="e">
        <f t="shared" si="14"/>
        <v>#REF!</v>
      </c>
      <c r="AM25" s="109" t="e">
        <f t="shared" si="15"/>
        <v>#REF!</v>
      </c>
      <c r="AO25" s="108"/>
      <c r="AP25" s="109" t="e">
        <f t="shared" si="16"/>
        <v>#REF!</v>
      </c>
      <c r="AQ25" s="109" t="e">
        <f t="shared" si="17"/>
        <v>#REF!</v>
      </c>
      <c r="AR25" s="109" t="e">
        <f t="shared" si="18"/>
        <v>#REF!</v>
      </c>
      <c r="AS25" s="109" t="e">
        <f t="shared" si="19"/>
        <v>#REF!</v>
      </c>
      <c r="AT25" s="109" t="e">
        <f t="shared" si="20"/>
        <v>#REF!</v>
      </c>
      <c r="AU25" s="128"/>
      <c r="AV25" s="109"/>
      <c r="AW25" s="128"/>
      <c r="AX25" s="99"/>
      <c r="AY25" s="99"/>
      <c r="AZ25" s="99"/>
    </row>
    <row r="26" spans="1:52" x14ac:dyDescent="0.25">
      <c r="A26" s="101">
        <f t="shared" si="21"/>
        <v>37347</v>
      </c>
      <c r="B26" s="102">
        <f t="shared" si="4"/>
        <v>3.532</v>
      </c>
      <c r="C26" s="102">
        <f t="shared" si="22"/>
        <v>-0.1275</v>
      </c>
      <c r="D26" s="102">
        <f t="shared" si="22"/>
        <v>-0.25</v>
      </c>
      <c r="E26" s="102">
        <f t="shared" si="22"/>
        <v>-0.53500000000000003</v>
      </c>
      <c r="F26" s="102">
        <f t="shared" si="22"/>
        <v>0.37</v>
      </c>
      <c r="G26" s="102">
        <f t="shared" si="22"/>
        <v>7.0000000000000007E-2</v>
      </c>
      <c r="H26" s="102">
        <f t="shared" si="22"/>
        <v>-0.115</v>
      </c>
      <c r="I26" s="102">
        <f t="shared" si="22"/>
        <v>0.19500000000000001</v>
      </c>
      <c r="J26" s="102">
        <f t="shared" si="22"/>
        <v>0.45</v>
      </c>
      <c r="K26" s="102">
        <f t="shared" si="22"/>
        <v>0.12</v>
      </c>
      <c r="L26" s="102">
        <f t="shared" si="23"/>
        <v>-0.06</v>
      </c>
      <c r="M26" s="102">
        <f t="shared" si="23"/>
        <v>1.4999999999999999E-2</v>
      </c>
      <c r="N26" s="102">
        <f t="shared" si="23"/>
        <v>-0.13250000000000001</v>
      </c>
      <c r="O26" s="102">
        <f t="shared" si="23"/>
        <v>-0.25</v>
      </c>
      <c r="P26" s="102">
        <f t="shared" si="23"/>
        <v>-0.13250000000000001</v>
      </c>
      <c r="Q26" s="102">
        <f t="shared" si="23"/>
        <v>0.19500000000000001</v>
      </c>
      <c r="R26" s="102">
        <f t="shared" si="23"/>
        <v>-0.19750000000000001</v>
      </c>
      <c r="S26" s="102">
        <f t="shared" si="23"/>
        <v>6.0000000000000001E-3</v>
      </c>
      <c r="T26" s="102">
        <f t="shared" si="23"/>
        <v>0.14000000000000001</v>
      </c>
      <c r="U26" s="102">
        <f t="shared" si="23"/>
        <v>0.45</v>
      </c>
      <c r="V26" s="102">
        <f t="shared" si="23"/>
        <v>-0.06</v>
      </c>
      <c r="W26" s="102">
        <f t="shared" si="23"/>
        <v>-0.02</v>
      </c>
      <c r="X26" s="102">
        <f t="shared" si="23"/>
        <v>0.37</v>
      </c>
      <c r="Y26" s="102">
        <f t="shared" si="23"/>
        <v>0.47</v>
      </c>
      <c r="Z26" s="107" t="e">
        <f t="shared" si="7"/>
        <v>#REF!</v>
      </c>
      <c r="AA26" s="107" t="e">
        <f t="shared" si="8"/>
        <v>#REF!</v>
      </c>
      <c r="AC26" s="82"/>
      <c r="AD26" s="82" t="e">
        <f>IF(#REF!=1,M26,IF(AE26&gt;0,A27-A26,0))</f>
        <v>#REF!</v>
      </c>
      <c r="AE26" s="101" t="e">
        <f>IF(A26&lt;=#REF!,A26,0)</f>
        <v>#REF!</v>
      </c>
      <c r="AG26" s="77" t="e">
        <f t="shared" si="9"/>
        <v>#REF!</v>
      </c>
      <c r="AH26" s="108" t="e">
        <f t="shared" si="10"/>
        <v>#REF!</v>
      </c>
      <c r="AI26" s="109" t="e">
        <f t="shared" si="11"/>
        <v>#REF!</v>
      </c>
      <c r="AJ26" s="109" t="e">
        <f t="shared" si="12"/>
        <v>#REF!</v>
      </c>
      <c r="AK26" s="109" t="e">
        <f t="shared" si="13"/>
        <v>#REF!</v>
      </c>
      <c r="AL26" s="109" t="e">
        <f t="shared" si="14"/>
        <v>#REF!</v>
      </c>
      <c r="AM26" s="109" t="e">
        <f t="shared" si="15"/>
        <v>#REF!</v>
      </c>
      <c r="AO26" s="108"/>
      <c r="AP26" s="109" t="e">
        <f t="shared" si="16"/>
        <v>#REF!</v>
      </c>
      <c r="AQ26" s="109" t="e">
        <f t="shared" si="17"/>
        <v>#REF!</v>
      </c>
      <c r="AR26" s="109" t="e">
        <f t="shared" si="18"/>
        <v>#REF!</v>
      </c>
      <c r="AS26" s="109" t="e">
        <f t="shared" si="19"/>
        <v>#REF!</v>
      </c>
      <c r="AT26" s="109" t="e">
        <f t="shared" si="20"/>
        <v>#REF!</v>
      </c>
      <c r="AU26" s="128"/>
      <c r="AV26" s="109"/>
      <c r="AW26" s="128"/>
      <c r="AX26" s="99"/>
      <c r="AY26" s="99"/>
      <c r="AZ26" s="99"/>
    </row>
    <row r="27" spans="1:52" x14ac:dyDescent="0.25">
      <c r="A27" s="101">
        <f t="shared" si="21"/>
        <v>37377</v>
      </c>
      <c r="B27" s="115"/>
      <c r="E27" s="112"/>
      <c r="F27" s="112"/>
      <c r="G27" s="112"/>
      <c r="H27" s="113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83"/>
      <c r="AA27" s="83"/>
      <c r="AB27" s="83"/>
      <c r="AC27" s="84"/>
      <c r="AD27" s="83"/>
      <c r="AE27" s="84"/>
      <c r="AF27" s="83"/>
    </row>
    <row r="28" spans="1:52" x14ac:dyDescent="0.25">
      <c r="A28" s="110"/>
      <c r="B28" s="115"/>
      <c r="E28" s="112"/>
      <c r="F28" s="112"/>
      <c r="G28" s="112"/>
      <c r="H28" s="113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83"/>
      <c r="AA28" s="83"/>
      <c r="AB28" s="83"/>
      <c r="AC28" s="84"/>
      <c r="AD28" s="83"/>
      <c r="AE28" s="84"/>
      <c r="AF28" s="83"/>
    </row>
    <row r="29" spans="1:52" x14ac:dyDescent="0.25">
      <c r="A29" s="110"/>
      <c r="B29" s="115"/>
      <c r="E29" s="112"/>
      <c r="F29" s="112"/>
      <c r="G29" s="112"/>
      <c r="H29" s="113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83"/>
      <c r="AA29" s="83"/>
      <c r="AB29" s="83"/>
      <c r="AC29" s="84"/>
      <c r="AD29" s="83"/>
      <c r="AE29" s="84"/>
      <c r="AF29" s="83"/>
    </row>
    <row r="30" spans="1:52" x14ac:dyDescent="0.25">
      <c r="A30" s="110"/>
      <c r="B30" s="115"/>
      <c r="D30" s="77">
        <f>0.15*180*10000</f>
        <v>270000</v>
      </c>
      <c r="E30" s="112"/>
      <c r="F30" s="112"/>
      <c r="G30" s="112"/>
      <c r="H30" s="113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83"/>
      <c r="AA30" s="83"/>
      <c r="AB30" s="83"/>
      <c r="AC30" s="84"/>
      <c r="AD30" s="83"/>
      <c r="AE30" s="84"/>
      <c r="AF30" s="83"/>
    </row>
    <row r="31" spans="1:52" x14ac:dyDescent="0.25">
      <c r="A31" s="110"/>
      <c r="B31" s="115"/>
      <c r="E31" s="112"/>
      <c r="F31" s="112"/>
      <c r="G31" s="112"/>
      <c r="H31" s="113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83"/>
      <c r="AA31" s="83"/>
      <c r="AB31" s="83"/>
      <c r="AC31" s="84"/>
      <c r="AD31" s="83"/>
      <c r="AE31" s="84"/>
      <c r="AF31" s="83"/>
    </row>
    <row r="32" spans="1:52" x14ac:dyDescent="0.25">
      <c r="A32" s="110"/>
      <c r="B32" s="115"/>
      <c r="E32" s="112"/>
      <c r="F32" s="112"/>
      <c r="G32" s="112"/>
      <c r="H32" s="113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83"/>
      <c r="AA32" s="83"/>
      <c r="AB32" s="83"/>
      <c r="AC32" s="84"/>
      <c r="AD32" s="83"/>
      <c r="AE32" s="84"/>
      <c r="AF32" s="83"/>
    </row>
    <row r="33" spans="1:32" x14ac:dyDescent="0.25">
      <c r="A33" s="110"/>
      <c r="B33" s="115"/>
      <c r="E33" s="112"/>
      <c r="F33" s="112"/>
      <c r="G33" s="112"/>
      <c r="H33" s="113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83"/>
      <c r="AA33" s="83"/>
      <c r="AB33" s="83"/>
      <c r="AC33" s="84"/>
      <c r="AD33" s="83"/>
      <c r="AE33" s="84"/>
      <c r="AF33" s="83"/>
    </row>
    <row r="34" spans="1:32" x14ac:dyDescent="0.25">
      <c r="A34" s="110"/>
      <c r="B34" s="115"/>
      <c r="E34" s="112"/>
      <c r="F34" s="112"/>
      <c r="G34" s="112"/>
      <c r="H34" s="113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83"/>
      <c r="AA34" s="83"/>
      <c r="AB34" s="83"/>
      <c r="AC34" s="84"/>
      <c r="AD34" s="83"/>
      <c r="AE34" s="84"/>
      <c r="AF34" s="83"/>
    </row>
    <row r="35" spans="1:32" x14ac:dyDescent="0.25">
      <c r="A35" s="110"/>
      <c r="B35" s="115"/>
      <c r="E35" s="112"/>
      <c r="F35" s="112"/>
      <c r="G35" s="112"/>
      <c r="H35" s="113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83"/>
      <c r="AA35" s="83"/>
      <c r="AB35" s="83"/>
      <c r="AC35" s="84"/>
      <c r="AD35" s="83"/>
      <c r="AE35" s="84"/>
      <c r="AF35" s="83"/>
    </row>
    <row r="36" spans="1:32" x14ac:dyDescent="0.25">
      <c r="A36" s="110"/>
      <c r="B36" s="115"/>
      <c r="E36" s="112"/>
      <c r="F36" s="112"/>
      <c r="G36" s="112"/>
      <c r="H36" s="113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83"/>
      <c r="AA36" s="83"/>
      <c r="AB36" s="83"/>
      <c r="AC36" s="84"/>
      <c r="AD36" s="83"/>
      <c r="AE36" s="84"/>
      <c r="AF36" s="83"/>
    </row>
    <row r="37" spans="1:32" x14ac:dyDescent="0.25">
      <c r="A37" s="110"/>
      <c r="B37" s="115"/>
      <c r="E37" s="112"/>
      <c r="F37" s="112"/>
      <c r="G37" s="112"/>
      <c r="H37" s="113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83"/>
      <c r="AA37" s="83"/>
      <c r="AB37" s="83"/>
      <c r="AC37" s="84"/>
      <c r="AD37" s="83"/>
      <c r="AE37" s="84"/>
      <c r="AF37" s="83"/>
    </row>
    <row r="38" spans="1:32" x14ac:dyDescent="0.25">
      <c r="A38" s="116"/>
      <c r="E38" s="79"/>
      <c r="F38" s="79"/>
      <c r="G38" s="79"/>
      <c r="H38" s="113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83"/>
      <c r="AA38" s="83"/>
      <c r="AB38" s="83"/>
      <c r="AC38" s="84"/>
      <c r="AD38" s="83"/>
      <c r="AE38" s="84"/>
      <c r="AF38" s="83"/>
    </row>
    <row r="39" spans="1:32" x14ac:dyDescent="0.25">
      <c r="A39" s="110"/>
      <c r="B39" s="115"/>
      <c r="E39" s="112"/>
      <c r="F39" s="112"/>
      <c r="G39" s="112"/>
      <c r="H39" s="113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83"/>
      <c r="AA39" s="83"/>
      <c r="AB39" s="83"/>
      <c r="AC39" s="84"/>
      <c r="AD39" s="83"/>
      <c r="AE39" s="84"/>
      <c r="AF39" s="83"/>
    </row>
    <row r="40" spans="1:32" x14ac:dyDescent="0.25">
      <c r="B40" s="117"/>
      <c r="C40" s="118"/>
      <c r="D40" s="118"/>
      <c r="E40" s="111"/>
      <c r="F40" s="111"/>
      <c r="G40" s="111"/>
      <c r="H40" s="112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83"/>
      <c r="AA40" s="83"/>
      <c r="AB40" s="83"/>
      <c r="AC40" s="84"/>
      <c r="AD40" s="83"/>
      <c r="AE40" s="84"/>
      <c r="AF40" s="83"/>
    </row>
    <row r="41" spans="1:32" x14ac:dyDescent="0.25">
      <c r="B41" s="117"/>
      <c r="C41" s="118"/>
      <c r="D41" s="118"/>
      <c r="E41" s="111"/>
      <c r="F41" s="111"/>
      <c r="G41" s="111"/>
      <c r="H41" s="112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83"/>
      <c r="AA41" s="83"/>
      <c r="AB41" s="83"/>
      <c r="AC41" s="84"/>
      <c r="AD41" s="83"/>
      <c r="AE41" s="84"/>
      <c r="AF41" s="83"/>
    </row>
    <row r="42" spans="1:32" x14ac:dyDescent="0.25">
      <c r="B42" s="117"/>
      <c r="C42" s="118"/>
      <c r="D42" s="118"/>
      <c r="E42" s="111"/>
      <c r="F42" s="111"/>
      <c r="G42" s="111"/>
      <c r="H42" s="112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83"/>
      <c r="AA42" s="83"/>
      <c r="AB42" s="83"/>
      <c r="AC42" s="84"/>
      <c r="AD42" s="83"/>
      <c r="AE42" s="84"/>
      <c r="AF42" s="83"/>
    </row>
    <row r="43" spans="1:32" x14ac:dyDescent="0.25">
      <c r="B43" s="117"/>
      <c r="C43" s="118"/>
      <c r="D43" s="118"/>
      <c r="E43" s="111"/>
      <c r="F43" s="111"/>
      <c r="G43" s="111"/>
      <c r="H43" s="112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83"/>
      <c r="AA43" s="83"/>
      <c r="AB43" s="83"/>
      <c r="AC43" s="84"/>
      <c r="AD43" s="83"/>
      <c r="AE43" s="84"/>
      <c r="AF43" s="83"/>
    </row>
    <row r="44" spans="1:32" x14ac:dyDescent="0.25">
      <c r="B44" s="117"/>
      <c r="C44" s="118"/>
      <c r="D44" s="118"/>
      <c r="E44" s="111"/>
      <c r="F44" s="111"/>
      <c r="G44" s="111"/>
      <c r="H44" s="112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83"/>
      <c r="AA44" s="83"/>
      <c r="AB44" s="83"/>
      <c r="AC44" s="84"/>
      <c r="AD44" s="83"/>
      <c r="AE44" s="84"/>
      <c r="AF44" s="83"/>
    </row>
    <row r="45" spans="1:32" x14ac:dyDescent="0.25">
      <c r="B45" s="117"/>
      <c r="C45" s="118"/>
      <c r="D45" s="118"/>
      <c r="E45" s="111"/>
      <c r="F45" s="111"/>
      <c r="G45" s="111"/>
      <c r="H45" s="112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83"/>
      <c r="AA45" s="83"/>
      <c r="AB45" s="83"/>
      <c r="AC45" s="84"/>
      <c r="AD45" s="83"/>
      <c r="AE45" s="84"/>
      <c r="AF45" s="83"/>
    </row>
    <row r="46" spans="1:32" x14ac:dyDescent="0.25">
      <c r="B46" s="117"/>
      <c r="C46" s="118"/>
      <c r="D46" s="118"/>
      <c r="E46" s="111"/>
      <c r="F46" s="111"/>
      <c r="G46" s="111"/>
      <c r="H46" s="112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83"/>
      <c r="AA46" s="83"/>
      <c r="AB46" s="83"/>
      <c r="AC46" s="84"/>
      <c r="AD46" s="83"/>
      <c r="AE46" s="84"/>
      <c r="AF46" s="83"/>
    </row>
    <row r="47" spans="1:32" x14ac:dyDescent="0.25">
      <c r="B47" s="117"/>
      <c r="C47" s="118"/>
      <c r="D47" s="118"/>
      <c r="E47" s="111"/>
      <c r="F47" s="111"/>
      <c r="G47" s="111"/>
      <c r="H47" s="112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83"/>
      <c r="AA47" s="83"/>
      <c r="AB47" s="83"/>
      <c r="AC47" s="84"/>
      <c r="AD47" s="83"/>
      <c r="AE47" s="84"/>
      <c r="AF47" s="83"/>
    </row>
    <row r="48" spans="1:32" x14ac:dyDescent="0.25">
      <c r="B48" s="117"/>
      <c r="C48" s="118"/>
      <c r="D48" s="118"/>
      <c r="E48" s="111"/>
      <c r="F48" s="111"/>
      <c r="G48" s="111"/>
      <c r="H48" s="112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83"/>
      <c r="AA48" s="83"/>
      <c r="AB48" s="83"/>
      <c r="AC48" s="84"/>
      <c r="AD48" s="83"/>
      <c r="AE48" s="84"/>
      <c r="AF48" s="83"/>
    </row>
    <row r="49" spans="2:32" x14ac:dyDescent="0.25">
      <c r="B49" s="117"/>
      <c r="C49" s="118"/>
      <c r="D49" s="118"/>
      <c r="E49" s="111"/>
      <c r="F49" s="111"/>
      <c r="G49" s="111"/>
      <c r="H49" s="112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83"/>
      <c r="AA49" s="83"/>
      <c r="AB49" s="83"/>
      <c r="AC49" s="84"/>
      <c r="AD49" s="83"/>
      <c r="AE49" s="84"/>
      <c r="AF49" s="83"/>
    </row>
    <row r="50" spans="2:32" x14ac:dyDescent="0.25">
      <c r="B50" s="117"/>
      <c r="C50" s="118"/>
      <c r="D50" s="118"/>
      <c r="E50" s="111"/>
      <c r="F50" s="111"/>
      <c r="G50" s="111"/>
      <c r="H50" s="112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83"/>
      <c r="AA50" s="83"/>
      <c r="AB50" s="83"/>
      <c r="AC50" s="84"/>
      <c r="AD50" s="83"/>
      <c r="AE50" s="84"/>
      <c r="AF50" s="83"/>
    </row>
    <row r="51" spans="2:32" x14ac:dyDescent="0.25">
      <c r="B51" s="117"/>
      <c r="C51" s="118"/>
      <c r="D51" s="118"/>
      <c r="E51" s="111"/>
      <c r="F51" s="111"/>
      <c r="G51" s="111"/>
      <c r="H51" s="112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83"/>
      <c r="AA51" s="83"/>
      <c r="AB51" s="83"/>
      <c r="AC51" s="84"/>
      <c r="AD51" s="83"/>
      <c r="AE51" s="84"/>
      <c r="AF51" s="83"/>
    </row>
    <row r="52" spans="2:32" ht="13.8" thickBot="1" x14ac:dyDescent="0.3">
      <c r="B52" s="117"/>
      <c r="C52" s="121"/>
      <c r="D52" s="121"/>
      <c r="E52" s="111"/>
      <c r="F52" s="111"/>
      <c r="G52" s="111"/>
      <c r="H52" s="112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83"/>
      <c r="AA52" s="83"/>
      <c r="AB52" s="83"/>
      <c r="AC52" s="84"/>
      <c r="AD52" s="83"/>
      <c r="AE52" s="84"/>
      <c r="AF52" s="83"/>
    </row>
    <row r="53" spans="2:32" x14ac:dyDescent="0.25">
      <c r="B53" s="117"/>
      <c r="C53" s="122"/>
      <c r="D53" s="122"/>
      <c r="E53" s="111"/>
      <c r="F53" s="111"/>
      <c r="G53" s="111"/>
      <c r="H53" s="112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83"/>
      <c r="AA53" s="83"/>
      <c r="AB53" s="83"/>
      <c r="AC53" s="84"/>
      <c r="AD53" s="83"/>
      <c r="AE53" s="84"/>
      <c r="AF53" s="83"/>
    </row>
    <row r="54" spans="2:32" ht="13.8" thickBot="1" x14ac:dyDescent="0.3">
      <c r="B54" s="117"/>
      <c r="C54" s="123"/>
      <c r="D54" s="123"/>
      <c r="E54" s="111"/>
      <c r="F54" s="111"/>
      <c r="G54" s="111"/>
      <c r="H54" s="112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83"/>
      <c r="AA54" s="83"/>
      <c r="AB54" s="83"/>
      <c r="AC54" s="84"/>
      <c r="AD54" s="83"/>
      <c r="AE54" s="84"/>
      <c r="AF54" s="83"/>
    </row>
    <row r="55" spans="2:32" ht="13.8" thickBot="1" x14ac:dyDescent="0.3">
      <c r="B55" s="124"/>
      <c r="C55" s="123"/>
      <c r="D55" s="123"/>
      <c r="E55" s="111"/>
      <c r="F55" s="111"/>
      <c r="G55" s="111"/>
      <c r="H55" s="112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83"/>
      <c r="AA55" s="83"/>
      <c r="AB55" s="83"/>
      <c r="AC55" s="84"/>
      <c r="AD55" s="83"/>
      <c r="AE55" s="84"/>
      <c r="AF55" s="83"/>
    </row>
    <row r="56" spans="2:32" x14ac:dyDescent="0.25">
      <c r="B56" s="124"/>
      <c r="C56" s="126"/>
      <c r="D56" s="126"/>
      <c r="E56" s="111"/>
      <c r="F56" s="111"/>
      <c r="G56" s="111"/>
      <c r="H56" s="112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83"/>
      <c r="AA56" s="83"/>
      <c r="AB56" s="83"/>
      <c r="AC56" s="84"/>
      <c r="AD56" s="83"/>
      <c r="AE56" s="84"/>
      <c r="AF56" s="83"/>
    </row>
    <row r="57" spans="2:32" x14ac:dyDescent="0.25">
      <c r="B57" s="124"/>
      <c r="C57" s="126"/>
      <c r="D57" s="126"/>
      <c r="E57" s="111"/>
      <c r="F57" s="111"/>
      <c r="G57" s="111"/>
      <c r="H57" s="112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83"/>
      <c r="AA57" s="83"/>
      <c r="AB57" s="83"/>
      <c r="AC57" s="84"/>
      <c r="AD57" s="83"/>
      <c r="AE57" s="84"/>
      <c r="AF57" s="83"/>
    </row>
    <row r="58" spans="2:32" x14ac:dyDescent="0.25">
      <c r="B58" s="124"/>
      <c r="C58" s="126"/>
      <c r="D58" s="126"/>
      <c r="E58" s="111"/>
      <c r="F58" s="111"/>
      <c r="G58" s="111"/>
      <c r="H58" s="112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83"/>
      <c r="AA58" s="83"/>
      <c r="AB58" s="83"/>
      <c r="AC58" s="84"/>
      <c r="AD58" s="83"/>
      <c r="AE58" s="84"/>
      <c r="AF58" s="83"/>
    </row>
    <row r="59" spans="2:32" x14ac:dyDescent="0.25">
      <c r="B59" s="124"/>
      <c r="C59" s="126"/>
      <c r="D59" s="126"/>
      <c r="E59" s="111"/>
      <c r="F59" s="111"/>
      <c r="G59" s="111"/>
      <c r="H59" s="112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83"/>
      <c r="AA59" s="83"/>
      <c r="AB59" s="83"/>
      <c r="AC59" s="84"/>
      <c r="AD59" s="83"/>
      <c r="AE59" s="84"/>
      <c r="AF59" s="83"/>
    </row>
    <row r="60" spans="2:32" x14ac:dyDescent="0.25">
      <c r="B60" s="124"/>
      <c r="C60" s="126"/>
      <c r="D60" s="126"/>
      <c r="E60" s="111"/>
      <c r="F60" s="111"/>
      <c r="G60" s="111"/>
      <c r="H60" s="112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83"/>
      <c r="AA60" s="83"/>
      <c r="AB60" s="83"/>
      <c r="AC60" s="84"/>
      <c r="AD60" s="83"/>
      <c r="AE60" s="84"/>
      <c r="AF60" s="83"/>
    </row>
    <row r="61" spans="2:32" x14ac:dyDescent="0.25">
      <c r="B61" s="124"/>
      <c r="C61" s="126"/>
      <c r="D61" s="126"/>
      <c r="E61" s="111"/>
      <c r="F61" s="111"/>
      <c r="G61" s="111"/>
      <c r="H61" s="112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83"/>
      <c r="AA61" s="83"/>
      <c r="AB61" s="83"/>
      <c r="AC61" s="84"/>
      <c r="AD61" s="83"/>
      <c r="AE61" s="84"/>
      <c r="AF61" s="83"/>
    </row>
    <row r="62" spans="2:32" x14ac:dyDescent="0.25">
      <c r="B62" s="124"/>
      <c r="C62" s="126"/>
      <c r="D62" s="126"/>
      <c r="E62" s="111"/>
      <c r="F62" s="111"/>
      <c r="G62" s="111"/>
      <c r="H62" s="112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83"/>
      <c r="AA62" s="83"/>
      <c r="AB62" s="83"/>
      <c r="AC62" s="84"/>
      <c r="AD62" s="83"/>
      <c r="AE62" s="84"/>
      <c r="AF62" s="83"/>
    </row>
    <row r="63" spans="2:32" x14ac:dyDescent="0.25">
      <c r="B63" s="124"/>
      <c r="C63" s="126"/>
      <c r="D63" s="126"/>
      <c r="E63" s="111"/>
      <c r="F63" s="111"/>
      <c r="G63" s="111"/>
      <c r="H63" s="112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83"/>
      <c r="AA63" s="83"/>
      <c r="AB63" s="83"/>
      <c r="AC63" s="84"/>
      <c r="AD63" s="83"/>
      <c r="AE63" s="84"/>
      <c r="AF63" s="83"/>
    </row>
    <row r="64" spans="2:32" x14ac:dyDescent="0.25">
      <c r="B64" s="124"/>
      <c r="C64" s="126"/>
      <c r="D64" s="126"/>
      <c r="E64" s="111"/>
      <c r="F64" s="111"/>
      <c r="G64" s="111"/>
      <c r="H64" s="112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83"/>
      <c r="AA64" s="83"/>
      <c r="AB64" s="83"/>
      <c r="AC64" s="84"/>
      <c r="AD64" s="83"/>
      <c r="AE64" s="84"/>
      <c r="AF64" s="83"/>
    </row>
    <row r="65" spans="2:32" x14ac:dyDescent="0.25">
      <c r="B65" s="124"/>
      <c r="C65" s="126"/>
      <c r="D65" s="126"/>
      <c r="E65" s="111"/>
      <c r="F65" s="111"/>
      <c r="G65" s="111"/>
      <c r="H65" s="112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83"/>
      <c r="AA65" s="83"/>
      <c r="AB65" s="83"/>
      <c r="AC65" s="84"/>
      <c r="AD65" s="83"/>
      <c r="AE65" s="84"/>
      <c r="AF65" s="83"/>
    </row>
    <row r="66" spans="2:32" x14ac:dyDescent="0.25">
      <c r="B66" s="124"/>
      <c r="C66" s="126"/>
      <c r="D66" s="126"/>
      <c r="E66" s="111"/>
      <c r="F66" s="111"/>
      <c r="G66" s="111"/>
      <c r="H66" s="112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83"/>
      <c r="AA66" s="83"/>
      <c r="AB66" s="83"/>
      <c r="AC66" s="84"/>
      <c r="AD66" s="83"/>
      <c r="AE66" s="84"/>
      <c r="AF66" s="83"/>
    </row>
    <row r="67" spans="2:32" x14ac:dyDescent="0.25">
      <c r="B67" s="124"/>
      <c r="C67" s="126"/>
      <c r="D67" s="126"/>
      <c r="E67" s="111"/>
      <c r="F67" s="111"/>
      <c r="G67" s="111"/>
      <c r="H67" s="112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83"/>
      <c r="AA67" s="83"/>
      <c r="AB67" s="83"/>
      <c r="AC67" s="84"/>
      <c r="AD67" s="83"/>
      <c r="AE67" s="84"/>
      <c r="AF67" s="83"/>
    </row>
    <row r="68" spans="2:32" x14ac:dyDescent="0.25">
      <c r="B68" s="124"/>
      <c r="C68" s="126"/>
      <c r="D68" s="126"/>
      <c r="E68" s="111"/>
      <c r="F68" s="111"/>
      <c r="G68" s="111"/>
      <c r="H68" s="112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83"/>
      <c r="AA68" s="83"/>
      <c r="AB68" s="83"/>
      <c r="AC68" s="84"/>
      <c r="AD68" s="83"/>
      <c r="AE68" s="84"/>
      <c r="AF68" s="83"/>
    </row>
    <row r="69" spans="2:32" x14ac:dyDescent="0.25">
      <c r="B69" s="124"/>
      <c r="C69" s="126"/>
      <c r="D69" s="126"/>
      <c r="E69" s="111"/>
      <c r="F69" s="111"/>
      <c r="G69" s="111"/>
      <c r="H69" s="112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83"/>
      <c r="AA69" s="83"/>
      <c r="AB69" s="83"/>
      <c r="AC69" s="84"/>
      <c r="AD69" s="83"/>
      <c r="AE69" s="84"/>
      <c r="AF69" s="83"/>
    </row>
    <row r="70" spans="2:32" x14ac:dyDescent="0.25">
      <c r="B70" s="124"/>
      <c r="C70" s="126"/>
      <c r="D70" s="126"/>
      <c r="E70" s="111"/>
      <c r="F70" s="111"/>
      <c r="G70" s="111"/>
      <c r="H70" s="112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83"/>
      <c r="AA70" s="83"/>
      <c r="AB70" s="83"/>
      <c r="AC70" s="84"/>
      <c r="AD70" s="83"/>
      <c r="AE70" s="84"/>
      <c r="AF70" s="83"/>
    </row>
    <row r="71" spans="2:32" x14ac:dyDescent="0.25">
      <c r="B71" s="124"/>
      <c r="C71" s="126"/>
      <c r="D71" s="126"/>
      <c r="E71" s="111"/>
      <c r="F71" s="111"/>
      <c r="G71" s="111"/>
      <c r="H71" s="112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83"/>
      <c r="AA71" s="83"/>
      <c r="AB71" s="83"/>
      <c r="AC71" s="84"/>
      <c r="AD71" s="83"/>
      <c r="AE71" s="84"/>
      <c r="AF71" s="83"/>
    </row>
    <row r="72" spans="2:32" x14ac:dyDescent="0.25">
      <c r="B72" s="124"/>
      <c r="C72" s="126"/>
      <c r="D72" s="126"/>
      <c r="E72" s="111"/>
      <c r="F72" s="111"/>
      <c r="G72" s="111"/>
      <c r="H72" s="112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83"/>
      <c r="AA72" s="83"/>
      <c r="AB72" s="83"/>
      <c r="AC72" s="84"/>
      <c r="AD72" s="83"/>
      <c r="AE72" s="84"/>
      <c r="AF72" s="83"/>
    </row>
    <row r="73" spans="2:32" x14ac:dyDescent="0.25">
      <c r="B73" s="124"/>
      <c r="C73" s="126"/>
      <c r="D73" s="126"/>
      <c r="E73" s="111"/>
      <c r="F73" s="111"/>
      <c r="G73" s="111"/>
      <c r="H73" s="112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83"/>
      <c r="AA73" s="83"/>
      <c r="AB73" s="83"/>
      <c r="AC73" s="84"/>
      <c r="AD73" s="83"/>
      <c r="AE73" s="84"/>
      <c r="AF73" s="83"/>
    </row>
    <row r="74" spans="2:32" x14ac:dyDescent="0.25">
      <c r="B74" s="124"/>
      <c r="C74" s="126"/>
      <c r="D74" s="126"/>
      <c r="E74" s="111"/>
      <c r="F74" s="111"/>
      <c r="G74" s="111"/>
      <c r="H74" s="112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83"/>
      <c r="AA74" s="83"/>
      <c r="AB74" s="83"/>
      <c r="AC74" s="84"/>
      <c r="AD74" s="83"/>
      <c r="AE74" s="84"/>
      <c r="AF74" s="83"/>
    </row>
    <row r="75" spans="2:32" x14ac:dyDescent="0.25">
      <c r="B75" s="124"/>
      <c r="C75" s="126"/>
      <c r="D75" s="126"/>
      <c r="E75" s="111"/>
      <c r="F75" s="111"/>
      <c r="G75" s="111"/>
      <c r="H75" s="112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83"/>
      <c r="AA75" s="83"/>
      <c r="AB75" s="83"/>
      <c r="AC75" s="84"/>
      <c r="AD75" s="83"/>
      <c r="AE75" s="84"/>
      <c r="AF75" s="83"/>
    </row>
    <row r="76" spans="2:32" x14ac:dyDescent="0.25">
      <c r="B76" s="124"/>
      <c r="C76" s="126"/>
      <c r="D76" s="126"/>
      <c r="E76" s="111"/>
      <c r="F76" s="111"/>
      <c r="G76" s="111"/>
      <c r="H76" s="112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83"/>
      <c r="AA76" s="83"/>
      <c r="AB76" s="83"/>
      <c r="AC76" s="84"/>
      <c r="AD76" s="83"/>
      <c r="AE76" s="84"/>
      <c r="AF76" s="83"/>
    </row>
    <row r="77" spans="2:32" x14ac:dyDescent="0.25">
      <c r="B77" s="124"/>
      <c r="C77" s="126"/>
      <c r="D77" s="126"/>
      <c r="E77" s="111"/>
      <c r="F77" s="111"/>
      <c r="G77" s="111"/>
      <c r="H77" s="112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83"/>
      <c r="AA77" s="83"/>
      <c r="AB77" s="83"/>
      <c r="AC77" s="84"/>
      <c r="AD77" s="83"/>
      <c r="AE77" s="84"/>
      <c r="AF77" s="83"/>
    </row>
    <row r="78" spans="2:32" x14ac:dyDescent="0.25">
      <c r="B78" s="124"/>
      <c r="C78" s="126"/>
      <c r="D78" s="126"/>
      <c r="E78" s="111"/>
      <c r="F78" s="111"/>
      <c r="G78" s="111"/>
      <c r="H78" s="112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83"/>
      <c r="AA78" s="83"/>
      <c r="AB78" s="83"/>
      <c r="AC78" s="84"/>
      <c r="AD78" s="83"/>
      <c r="AE78" s="84"/>
      <c r="AF78" s="83"/>
    </row>
    <row r="79" spans="2:32" x14ac:dyDescent="0.25">
      <c r="B79" s="124"/>
      <c r="C79" s="126"/>
      <c r="D79" s="126"/>
      <c r="E79" s="111"/>
      <c r="F79" s="111"/>
      <c r="G79" s="111"/>
      <c r="H79" s="112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83"/>
      <c r="AA79" s="83"/>
      <c r="AB79" s="83"/>
      <c r="AC79" s="84"/>
      <c r="AD79" s="83"/>
      <c r="AE79" s="84"/>
      <c r="AF79" s="83"/>
    </row>
    <row r="80" spans="2:32" x14ac:dyDescent="0.25">
      <c r="B80" s="124"/>
      <c r="C80" s="126"/>
      <c r="D80" s="126"/>
      <c r="E80" s="111"/>
      <c r="F80" s="111"/>
      <c r="G80" s="111"/>
      <c r="H80" s="112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83"/>
      <c r="AA80" s="83"/>
      <c r="AB80" s="83"/>
      <c r="AC80" s="84"/>
      <c r="AD80" s="83"/>
      <c r="AE80" s="84"/>
      <c r="AF80" s="83"/>
    </row>
    <row r="81" spans="2:32" x14ac:dyDescent="0.25">
      <c r="B81" s="124"/>
      <c r="C81" s="126"/>
      <c r="D81" s="126"/>
      <c r="E81" s="111"/>
      <c r="F81" s="111"/>
      <c r="G81" s="111"/>
      <c r="H81" s="112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83"/>
      <c r="AA81" s="83"/>
      <c r="AB81" s="83"/>
      <c r="AC81" s="84"/>
      <c r="AD81" s="83"/>
      <c r="AE81" s="84"/>
      <c r="AF81" s="83"/>
    </row>
    <row r="82" spans="2:32" x14ac:dyDescent="0.25">
      <c r="B82" s="124"/>
      <c r="C82" s="126"/>
      <c r="D82" s="126"/>
      <c r="E82" s="111"/>
      <c r="F82" s="111"/>
      <c r="G82" s="111"/>
      <c r="H82" s="112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83"/>
      <c r="AA82" s="83"/>
      <c r="AB82" s="83"/>
      <c r="AC82" s="84"/>
      <c r="AD82" s="83"/>
      <c r="AE82" s="84"/>
      <c r="AF82" s="83"/>
    </row>
    <row r="83" spans="2:32" x14ac:dyDescent="0.25">
      <c r="B83" s="124"/>
      <c r="C83" s="126"/>
      <c r="D83" s="126"/>
      <c r="E83" s="111"/>
      <c r="F83" s="111"/>
      <c r="G83" s="111"/>
      <c r="H83" s="112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83"/>
      <c r="AA83" s="83"/>
      <c r="AB83" s="83"/>
      <c r="AC83" s="84"/>
      <c r="AD83" s="83"/>
      <c r="AE83" s="84"/>
      <c r="AF83" s="83"/>
    </row>
    <row r="84" spans="2:32" x14ac:dyDescent="0.25">
      <c r="B84" s="124"/>
      <c r="C84" s="126"/>
      <c r="D84" s="126"/>
      <c r="E84" s="111"/>
      <c r="F84" s="111"/>
      <c r="G84" s="111"/>
      <c r="H84" s="112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83"/>
      <c r="AA84" s="83"/>
      <c r="AB84" s="83"/>
      <c r="AC84" s="84"/>
      <c r="AD84" s="83"/>
      <c r="AE84" s="84"/>
      <c r="AF84" s="83"/>
    </row>
    <row r="85" spans="2:32" x14ac:dyDescent="0.25">
      <c r="B85" s="124"/>
      <c r="C85" s="126"/>
      <c r="D85" s="126"/>
      <c r="E85" s="111"/>
      <c r="F85" s="111"/>
      <c r="G85" s="111"/>
      <c r="H85" s="112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83"/>
      <c r="AA85" s="83"/>
      <c r="AB85" s="83"/>
      <c r="AC85" s="84"/>
      <c r="AD85" s="83"/>
      <c r="AE85" s="84"/>
      <c r="AF85" s="83"/>
    </row>
    <row r="86" spans="2:32" x14ac:dyDescent="0.25">
      <c r="B86" s="127"/>
      <c r="C86" s="126"/>
      <c r="D86" s="126"/>
      <c r="E86" s="111"/>
      <c r="F86" s="111"/>
      <c r="G86" s="111"/>
      <c r="H86" s="112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83"/>
      <c r="AA86" s="83"/>
      <c r="AB86" s="83"/>
      <c r="AC86" s="84"/>
      <c r="AD86" s="83"/>
      <c r="AE86" s="84"/>
      <c r="AF86" s="83"/>
    </row>
    <row r="87" spans="2:32" x14ac:dyDescent="0.25">
      <c r="B87" s="127"/>
      <c r="C87" s="126"/>
      <c r="D87" s="126"/>
      <c r="E87" s="111"/>
      <c r="F87" s="111"/>
      <c r="G87" s="111"/>
      <c r="H87" s="112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83"/>
      <c r="AA87" s="83"/>
      <c r="AB87" s="83"/>
      <c r="AC87" s="84"/>
      <c r="AD87" s="83"/>
      <c r="AE87" s="84"/>
      <c r="AF87" s="83"/>
    </row>
    <row r="88" spans="2:32" x14ac:dyDescent="0.25">
      <c r="B88" s="127"/>
      <c r="C88" s="126"/>
      <c r="D88" s="126"/>
      <c r="E88" s="111"/>
      <c r="F88" s="111"/>
      <c r="G88" s="111"/>
      <c r="H88" s="112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83"/>
      <c r="AA88" s="83"/>
      <c r="AB88" s="83"/>
      <c r="AC88" s="84"/>
      <c r="AD88" s="83"/>
      <c r="AE88" s="84"/>
      <c r="AF88" s="83"/>
    </row>
    <row r="89" spans="2:32" x14ac:dyDescent="0.25">
      <c r="B89" s="127"/>
      <c r="C89" s="126"/>
      <c r="D89" s="126"/>
      <c r="E89" s="111"/>
      <c r="F89" s="111"/>
      <c r="G89" s="111"/>
      <c r="H89" s="112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83"/>
      <c r="AA89" s="83"/>
      <c r="AB89" s="83"/>
      <c r="AC89" s="84"/>
      <c r="AD89" s="83"/>
      <c r="AE89" s="84"/>
      <c r="AF89" s="83"/>
    </row>
    <row r="90" spans="2:32" x14ac:dyDescent="0.25">
      <c r="B90" s="127"/>
      <c r="C90" s="126"/>
      <c r="D90" s="126"/>
      <c r="E90" s="111"/>
      <c r="F90" s="111"/>
      <c r="G90" s="111"/>
      <c r="H90" s="112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83"/>
      <c r="AA90" s="83"/>
      <c r="AB90" s="83"/>
      <c r="AC90" s="84"/>
      <c r="AD90" s="83"/>
      <c r="AE90" s="84"/>
      <c r="AF90" s="83"/>
    </row>
    <row r="91" spans="2:32" x14ac:dyDescent="0.25">
      <c r="B91" s="127"/>
      <c r="C91" s="126"/>
      <c r="D91" s="126"/>
      <c r="E91" s="111"/>
      <c r="F91" s="111"/>
      <c r="G91" s="111"/>
      <c r="H91" s="112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83"/>
      <c r="AA91" s="83"/>
      <c r="AB91" s="83"/>
      <c r="AC91" s="84"/>
      <c r="AD91" s="83"/>
      <c r="AE91" s="84"/>
      <c r="AF91" s="83"/>
    </row>
    <row r="92" spans="2:32" x14ac:dyDescent="0.25">
      <c r="B92" s="127"/>
      <c r="C92" s="126"/>
      <c r="D92" s="126"/>
      <c r="E92" s="111"/>
      <c r="F92" s="111"/>
      <c r="G92" s="111"/>
      <c r="H92" s="112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83"/>
      <c r="AA92" s="83"/>
      <c r="AB92" s="83"/>
      <c r="AC92" s="84"/>
      <c r="AD92" s="83"/>
      <c r="AE92" s="84"/>
      <c r="AF92" s="83"/>
    </row>
    <row r="93" spans="2:32" x14ac:dyDescent="0.25">
      <c r="B93" s="127"/>
      <c r="C93" s="126"/>
      <c r="D93" s="126"/>
      <c r="E93" s="111"/>
      <c r="F93" s="111"/>
      <c r="G93" s="111"/>
      <c r="H93" s="112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83"/>
      <c r="AA93" s="83"/>
      <c r="AB93" s="83"/>
      <c r="AC93" s="84"/>
      <c r="AD93" s="83"/>
      <c r="AE93" s="84"/>
      <c r="AF93" s="83"/>
    </row>
    <row r="94" spans="2:32" x14ac:dyDescent="0.25">
      <c r="B94" s="127"/>
      <c r="C94" s="126"/>
      <c r="D94" s="126"/>
      <c r="E94" s="111"/>
      <c r="F94" s="111"/>
      <c r="G94" s="111"/>
      <c r="H94" s="112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83"/>
      <c r="AA94" s="83"/>
      <c r="AB94" s="83"/>
      <c r="AC94" s="84"/>
      <c r="AD94" s="83"/>
      <c r="AE94" s="84"/>
      <c r="AF94" s="83"/>
    </row>
    <row r="95" spans="2:32" x14ac:dyDescent="0.25">
      <c r="B95" s="127"/>
      <c r="C95" s="126"/>
      <c r="D95" s="126"/>
      <c r="E95" s="111"/>
      <c r="F95" s="111"/>
      <c r="G95" s="111"/>
      <c r="H95" s="112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83"/>
      <c r="AA95" s="83"/>
      <c r="AB95" s="83"/>
      <c r="AC95" s="84"/>
      <c r="AD95" s="83"/>
      <c r="AE95" s="84"/>
      <c r="AF95" s="83"/>
    </row>
    <row r="96" spans="2:32" x14ac:dyDescent="0.25">
      <c r="B96" s="127"/>
      <c r="C96" s="126"/>
      <c r="D96" s="126"/>
      <c r="E96" s="111"/>
      <c r="F96" s="111"/>
      <c r="G96" s="111"/>
      <c r="H96" s="112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83"/>
      <c r="AA96" s="83"/>
      <c r="AB96" s="83"/>
      <c r="AC96" s="84"/>
      <c r="AD96" s="83"/>
      <c r="AE96" s="84"/>
      <c r="AF96" s="83"/>
    </row>
    <row r="97" spans="2:32" x14ac:dyDescent="0.25">
      <c r="B97" s="127"/>
      <c r="C97" s="126"/>
      <c r="D97" s="126"/>
      <c r="E97" s="111"/>
      <c r="F97" s="111"/>
      <c r="G97" s="111"/>
      <c r="H97" s="112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83"/>
      <c r="AA97" s="83"/>
      <c r="AB97" s="83"/>
      <c r="AC97" s="84"/>
      <c r="AD97" s="83"/>
      <c r="AE97" s="84"/>
      <c r="AF97" s="83"/>
    </row>
    <row r="98" spans="2:32" x14ac:dyDescent="0.25">
      <c r="B98" s="127"/>
      <c r="C98" s="126"/>
      <c r="D98" s="126"/>
      <c r="E98" s="111"/>
      <c r="F98" s="111"/>
      <c r="G98" s="111"/>
      <c r="H98" s="112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83"/>
      <c r="AA98" s="83"/>
      <c r="AB98" s="83"/>
      <c r="AC98" s="84"/>
      <c r="AD98" s="83"/>
      <c r="AE98" s="84"/>
      <c r="AF98" s="83"/>
    </row>
  </sheetData>
  <pageMargins left="0" right="0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P127"/>
  <sheetViews>
    <sheetView workbookViewId="0">
      <selection activeCell="H10" sqref="H10"/>
    </sheetView>
  </sheetViews>
  <sheetFormatPr defaultRowHeight="13.2" x14ac:dyDescent="0.25"/>
  <cols>
    <col min="1" max="1" width="16.6640625" style="77" customWidth="1"/>
    <col min="2" max="4" width="9.109375" style="77" customWidth="1"/>
    <col min="5" max="5" width="10.109375" style="77" customWidth="1"/>
    <col min="6" max="13" width="9.109375" style="77" customWidth="1"/>
    <col min="14" max="14" width="10.109375" style="77" customWidth="1"/>
    <col min="15" max="26" width="9.109375" style="77" customWidth="1"/>
  </cols>
  <sheetData>
    <row r="1" spans="1:42" x14ac:dyDescent="0.25">
      <c r="A1" s="57"/>
      <c r="B1" s="169"/>
      <c r="C1" s="57"/>
      <c r="D1" s="57" t="s">
        <v>24</v>
      </c>
      <c r="E1" s="57"/>
      <c r="F1" s="57"/>
      <c r="H1" s="80"/>
      <c r="I1" s="80"/>
      <c r="J1" s="80"/>
      <c r="K1" s="80"/>
      <c r="L1" s="80"/>
      <c r="AI1" s="77"/>
      <c r="AJ1" s="77"/>
      <c r="AK1" s="77"/>
      <c r="AL1" s="77"/>
      <c r="AM1" s="77"/>
      <c r="AN1" s="77"/>
      <c r="AO1" s="77"/>
      <c r="AP1" s="77"/>
    </row>
    <row r="2" spans="1:42" x14ac:dyDescent="0.25">
      <c r="A2" s="76"/>
      <c r="B2" s="169" t="s">
        <v>179</v>
      </c>
      <c r="C2" s="153" t="s">
        <v>180</v>
      </c>
      <c r="D2" s="58">
        <v>36892</v>
      </c>
      <c r="E2" s="57"/>
      <c r="F2" s="57"/>
      <c r="H2" s="146"/>
      <c r="I2" s="146"/>
      <c r="J2" s="146"/>
      <c r="K2" s="146"/>
      <c r="L2" s="146"/>
      <c r="O2" s="80"/>
      <c r="P2" s="83"/>
      <c r="Q2" s="84"/>
      <c r="R2" s="83"/>
      <c r="S2" s="84"/>
      <c r="T2" s="83"/>
      <c r="AI2" s="77"/>
      <c r="AJ2" s="77"/>
      <c r="AK2" s="77"/>
      <c r="AL2" s="77"/>
      <c r="AM2" s="77"/>
      <c r="AN2" s="77"/>
      <c r="AO2" s="77"/>
      <c r="AP2" s="77"/>
    </row>
    <row r="3" spans="1:42" x14ac:dyDescent="0.25">
      <c r="A3" s="154" t="s">
        <v>37</v>
      </c>
      <c r="B3" s="57">
        <v>5.0999999999999996</v>
      </c>
      <c r="C3" s="77">
        <v>4.2</v>
      </c>
      <c r="D3" s="57"/>
      <c r="E3" s="57">
        <f>B3-C3</f>
        <v>0.89999999999999947</v>
      </c>
      <c r="F3" s="57"/>
      <c r="H3" s="137"/>
      <c r="I3" s="140"/>
      <c r="J3" s="140"/>
      <c r="K3" s="137"/>
      <c r="L3" s="137"/>
      <c r="O3" s="80"/>
      <c r="P3" s="83"/>
      <c r="Q3" s="84"/>
      <c r="R3" s="83"/>
      <c r="S3" s="84"/>
      <c r="T3" s="83"/>
      <c r="AI3" s="77"/>
      <c r="AJ3" s="77"/>
      <c r="AK3" s="77"/>
      <c r="AL3" s="77"/>
      <c r="AM3" s="77"/>
      <c r="AN3" s="77"/>
      <c r="AO3" s="77"/>
      <c r="AP3" s="77"/>
    </row>
    <row r="4" spans="1:42" x14ac:dyDescent="0.25">
      <c r="A4" s="153"/>
      <c r="B4" s="155"/>
      <c r="C4" s="57"/>
      <c r="D4" s="57"/>
      <c r="E4" s="57"/>
      <c r="F4" s="57"/>
      <c r="H4" s="137"/>
      <c r="I4" s="137"/>
      <c r="J4" s="137"/>
      <c r="K4" s="137"/>
      <c r="L4" s="137"/>
      <c r="O4" s="80"/>
      <c r="P4" s="83"/>
      <c r="Q4" s="84"/>
      <c r="R4" s="83"/>
      <c r="S4" s="84"/>
      <c r="T4" s="83"/>
      <c r="AI4" s="77"/>
      <c r="AJ4" s="77"/>
      <c r="AK4" s="77"/>
      <c r="AL4" s="77"/>
      <c r="AM4" s="77"/>
      <c r="AN4" s="77"/>
      <c r="AO4" s="77"/>
      <c r="AP4" s="77"/>
    </row>
    <row r="5" spans="1:42" x14ac:dyDescent="0.25">
      <c r="A5" s="57"/>
      <c r="B5" s="57" t="s">
        <v>51</v>
      </c>
      <c r="C5" s="57" t="s">
        <v>52</v>
      </c>
      <c r="D5" s="57"/>
      <c r="E5" s="57"/>
      <c r="F5" s="57"/>
      <c r="H5" s="80" t="s">
        <v>38</v>
      </c>
      <c r="I5" s="80" t="s">
        <v>29</v>
      </c>
      <c r="J5" s="80"/>
      <c r="K5" s="80"/>
      <c r="L5" s="80"/>
      <c r="O5" s="80"/>
      <c r="P5" s="83"/>
      <c r="Q5" s="84"/>
      <c r="R5" s="83"/>
      <c r="S5" s="84"/>
      <c r="T5" s="83"/>
      <c r="AI5" s="77"/>
      <c r="AJ5" s="77"/>
      <c r="AK5" s="77"/>
      <c r="AL5" s="77"/>
      <c r="AM5" s="77"/>
      <c r="AN5" s="77"/>
      <c r="AO5" s="77"/>
      <c r="AP5" s="77"/>
    </row>
    <row r="6" spans="1:42" x14ac:dyDescent="0.25">
      <c r="A6" s="57" t="s">
        <v>119</v>
      </c>
      <c r="B6" s="163">
        <v>0.9</v>
      </c>
      <c r="C6" s="163"/>
      <c r="D6" s="57"/>
      <c r="E6" s="57"/>
      <c r="F6" s="57"/>
      <c r="H6" s="146">
        <f>SUM(N25:N55)/L22</f>
        <v>0.19092324899978841</v>
      </c>
      <c r="I6" s="146">
        <f>SUM(O25:O55)/L22</f>
        <v>0.52197593101121853</v>
      </c>
      <c r="J6" s="146"/>
      <c r="K6" s="146"/>
      <c r="L6" s="146"/>
      <c r="O6" s="80"/>
      <c r="P6" s="83"/>
      <c r="Q6" s="84"/>
      <c r="R6" s="83"/>
      <c r="S6" s="84"/>
      <c r="T6" s="83"/>
      <c r="AI6" s="77"/>
      <c r="AJ6" s="77"/>
      <c r="AK6" s="77"/>
      <c r="AL6" s="77"/>
      <c r="AM6" s="77"/>
      <c r="AN6" s="77"/>
      <c r="AO6" s="77"/>
      <c r="AP6" s="77"/>
    </row>
    <row r="7" spans="1:42" x14ac:dyDescent="0.25">
      <c r="A7" s="57" t="s">
        <v>126</v>
      </c>
      <c r="B7" s="156">
        <v>1</v>
      </c>
      <c r="C7" s="156"/>
      <c r="D7" s="57"/>
      <c r="E7" s="57"/>
      <c r="F7" s="57"/>
      <c r="H7" s="137"/>
      <c r="I7" s="140"/>
      <c r="J7" s="140"/>
      <c r="K7" s="137"/>
      <c r="L7" s="137"/>
      <c r="O7" s="80"/>
      <c r="P7" s="83"/>
      <c r="Q7" s="84"/>
      <c r="R7" s="83"/>
      <c r="S7" s="84"/>
      <c r="T7" s="83"/>
      <c r="AI7" s="95"/>
      <c r="AJ7" s="95"/>
      <c r="AK7" s="77"/>
      <c r="AL7" s="77"/>
      <c r="AM7" s="77"/>
      <c r="AN7" s="77"/>
      <c r="AO7" s="77"/>
      <c r="AP7" s="77"/>
    </row>
    <row r="8" spans="1:42" x14ac:dyDescent="0.25">
      <c r="A8" s="57" t="s">
        <v>57</v>
      </c>
      <c r="B8" s="164">
        <v>1.2</v>
      </c>
      <c r="C8" s="164">
        <v>1</v>
      </c>
      <c r="D8" s="57"/>
      <c r="E8" s="57"/>
      <c r="F8" s="57">
        <f>E3-B6</f>
        <v>0</v>
      </c>
      <c r="G8" s="57"/>
      <c r="O8" s="80"/>
      <c r="P8" s="83"/>
      <c r="Q8" s="84"/>
      <c r="R8" s="83"/>
      <c r="S8" s="84"/>
      <c r="T8" s="83"/>
      <c r="AI8" s="95"/>
      <c r="AJ8" s="95"/>
      <c r="AK8" s="77"/>
      <c r="AL8" s="77"/>
      <c r="AM8" s="77"/>
      <c r="AN8" s="77"/>
      <c r="AO8" s="77"/>
      <c r="AP8" s="77"/>
    </row>
    <row r="9" spans="1:42" x14ac:dyDescent="0.25">
      <c r="A9" s="57" t="s">
        <v>116</v>
      </c>
      <c r="B9" s="213">
        <v>0.95</v>
      </c>
      <c r="C9" s="213"/>
      <c r="D9" s="57"/>
      <c r="E9" s="57"/>
      <c r="F9" s="57"/>
      <c r="G9" s="57"/>
      <c r="O9" s="80"/>
      <c r="P9" s="83"/>
      <c r="Q9" s="84"/>
      <c r="R9" s="83"/>
      <c r="S9" s="84"/>
      <c r="T9" s="83"/>
      <c r="AI9" s="95"/>
      <c r="AJ9" s="95"/>
      <c r="AK9" s="77"/>
      <c r="AL9" s="77"/>
      <c r="AM9" s="77"/>
      <c r="AN9" s="77"/>
      <c r="AO9" s="77"/>
      <c r="AP9" s="77"/>
    </row>
    <row r="10" spans="1:42" x14ac:dyDescent="0.25">
      <c r="A10" s="77" t="s">
        <v>184</v>
      </c>
      <c r="B10" s="211">
        <v>36831</v>
      </c>
      <c r="C10" s="138"/>
      <c r="D10" s="57"/>
      <c r="E10" s="57"/>
      <c r="F10" s="57"/>
      <c r="G10" s="57"/>
      <c r="H10" s="77">
        <f>825*0.14*10000</f>
        <v>1155000.0000000002</v>
      </c>
      <c r="O10" s="80"/>
      <c r="P10" s="83"/>
      <c r="Q10" s="84"/>
      <c r="R10" s="83"/>
      <c r="S10" s="84"/>
      <c r="T10" s="83"/>
      <c r="AI10" s="95"/>
      <c r="AJ10" s="95"/>
      <c r="AK10" s="77"/>
      <c r="AL10" s="77"/>
      <c r="AM10" s="77"/>
      <c r="AN10" s="77"/>
      <c r="AO10" s="77"/>
      <c r="AP10" s="77"/>
    </row>
    <row r="11" spans="1:42" x14ac:dyDescent="0.25">
      <c r="A11" s="77" t="s">
        <v>185</v>
      </c>
      <c r="B11" s="211">
        <v>36860</v>
      </c>
      <c r="C11" s="96"/>
      <c r="D11" s="57"/>
      <c r="E11" s="57"/>
      <c r="F11" s="57"/>
      <c r="G11" s="57"/>
      <c r="O11" s="80"/>
      <c r="P11" s="83"/>
      <c r="Q11" s="84"/>
      <c r="R11" s="83"/>
      <c r="S11" s="84"/>
      <c r="T11" s="83"/>
      <c r="AI11" s="95"/>
      <c r="AJ11" s="95"/>
      <c r="AK11" s="77"/>
      <c r="AL11" s="77"/>
      <c r="AM11" s="77"/>
      <c r="AN11" s="77"/>
      <c r="AO11" s="77"/>
      <c r="AP11" s="77"/>
    </row>
    <row r="12" spans="1:42" x14ac:dyDescent="0.25">
      <c r="A12" s="77" t="s">
        <v>186</v>
      </c>
      <c r="B12" s="211">
        <v>36830</v>
      </c>
      <c r="C12" s="97"/>
      <c r="D12" s="57"/>
      <c r="E12" s="57"/>
      <c r="F12" s="57"/>
      <c r="G12" s="57"/>
      <c r="H12" s="77">
        <f>880*-0.115*10000</f>
        <v>-1012000</v>
      </c>
      <c r="O12" s="80"/>
      <c r="P12" s="83"/>
      <c r="Q12" s="84"/>
      <c r="R12" s="83"/>
      <c r="S12" s="84"/>
      <c r="T12" s="83"/>
      <c r="AI12" s="95"/>
      <c r="AJ12" s="95"/>
      <c r="AK12" s="77"/>
      <c r="AL12" s="77"/>
      <c r="AM12" s="77"/>
      <c r="AN12" s="77"/>
      <c r="AO12" s="77"/>
      <c r="AP12" s="77"/>
    </row>
    <row r="13" spans="1:42" x14ac:dyDescent="0.25">
      <c r="A13" s="161"/>
      <c r="B13" s="162"/>
      <c r="C13" s="131"/>
      <c r="D13" s="57"/>
      <c r="E13" s="57"/>
      <c r="F13" s="57"/>
      <c r="G13" s="57"/>
      <c r="O13" s="80"/>
      <c r="P13" s="83"/>
      <c r="Q13" s="84"/>
      <c r="R13" s="83"/>
      <c r="S13" s="84"/>
      <c r="T13" s="83"/>
      <c r="AI13" s="95"/>
      <c r="AJ13" s="95"/>
      <c r="AK13" s="77"/>
      <c r="AL13" s="77"/>
      <c r="AM13" s="77"/>
      <c r="AN13" s="77"/>
      <c r="AO13" s="77"/>
      <c r="AP13" s="77"/>
    </row>
    <row r="14" spans="1:42" x14ac:dyDescent="0.25">
      <c r="A14" s="57"/>
      <c r="B14" s="57"/>
      <c r="C14" s="57"/>
      <c r="D14" s="57"/>
      <c r="E14" s="57"/>
      <c r="F14" s="57"/>
      <c r="G14" s="57"/>
      <c r="O14" s="89"/>
      <c r="P14" s="83"/>
      <c r="Q14" s="84"/>
      <c r="R14" s="83"/>
      <c r="S14" s="84"/>
      <c r="T14" s="83"/>
      <c r="AI14" s="95"/>
      <c r="AJ14" s="95"/>
      <c r="AK14" s="77"/>
      <c r="AL14" s="77"/>
      <c r="AM14" s="77"/>
      <c r="AN14" s="77"/>
      <c r="AO14" s="77"/>
      <c r="AP14" s="77"/>
    </row>
    <row r="15" spans="1:42" x14ac:dyDescent="0.25">
      <c r="G15" s="57"/>
      <c r="H15" s="137">
        <f>H12+H10</f>
        <v>143000.00000000023</v>
      </c>
      <c r="I15" s="137"/>
      <c r="J15" s="137"/>
      <c r="K15" s="137"/>
      <c r="O15" s="89"/>
      <c r="P15" s="83"/>
      <c r="Q15" s="84"/>
      <c r="R15" s="83"/>
      <c r="S15" s="84"/>
      <c r="T15" s="83"/>
      <c r="AI15" s="95"/>
      <c r="AJ15" s="95"/>
      <c r="AK15" s="77"/>
      <c r="AL15" s="77"/>
      <c r="AM15" s="77"/>
      <c r="AN15" s="77"/>
      <c r="AO15" s="77"/>
      <c r="AP15" s="77"/>
    </row>
    <row r="16" spans="1:42" x14ac:dyDescent="0.25">
      <c r="G16" s="57"/>
      <c r="O16" s="89"/>
      <c r="P16" s="83"/>
      <c r="Q16" s="84"/>
      <c r="R16" s="83"/>
      <c r="S16" s="84"/>
      <c r="T16" s="83"/>
      <c r="AI16" s="95"/>
      <c r="AJ16" s="95"/>
      <c r="AK16" s="77"/>
      <c r="AL16" s="77"/>
      <c r="AM16" s="77"/>
      <c r="AN16" s="77"/>
      <c r="AO16" s="77"/>
      <c r="AP16" s="77"/>
    </row>
    <row r="17" spans="1:40" x14ac:dyDescent="0.25">
      <c r="G17" s="57"/>
      <c r="L17" s="93"/>
      <c r="M17" s="93"/>
      <c r="N17" s="89"/>
      <c r="O17" s="83"/>
      <c r="P17" s="83"/>
      <c r="Q17" s="84"/>
      <c r="R17" s="83"/>
      <c r="Y17"/>
      <c r="Z17"/>
      <c r="AG17" s="95"/>
      <c r="AH17" s="95"/>
      <c r="AI17" s="77"/>
      <c r="AJ17" s="77"/>
      <c r="AK17" s="77"/>
      <c r="AL17" s="77"/>
      <c r="AM17" s="77"/>
      <c r="AN17" s="77"/>
    </row>
    <row r="18" spans="1:40" x14ac:dyDescent="0.25">
      <c r="G18" s="57"/>
      <c r="L18" s="93"/>
      <c r="M18" s="93"/>
      <c r="N18" s="89"/>
      <c r="O18" s="83"/>
      <c r="P18" s="83"/>
      <c r="Q18" s="84"/>
      <c r="R18" s="83"/>
      <c r="Y18"/>
      <c r="Z18"/>
      <c r="AG18" s="95"/>
      <c r="AH18" s="95"/>
      <c r="AI18" s="77"/>
      <c r="AJ18" s="77"/>
      <c r="AK18" s="77"/>
      <c r="AL18" s="77"/>
      <c r="AM18" s="77"/>
      <c r="AN18" s="77"/>
    </row>
    <row r="19" spans="1:40" x14ac:dyDescent="0.25">
      <c r="G19" s="57"/>
      <c r="L19" s="93"/>
      <c r="M19" s="93"/>
      <c r="N19" s="89"/>
      <c r="O19" s="83"/>
      <c r="P19" s="83"/>
      <c r="Q19" s="84"/>
      <c r="R19" s="83"/>
      <c r="Y19"/>
      <c r="Z19"/>
      <c r="AG19" s="95"/>
      <c r="AH19" s="95"/>
      <c r="AI19" s="77"/>
      <c r="AJ19" s="77"/>
      <c r="AK19" s="77"/>
      <c r="AL19" s="77"/>
      <c r="AM19" s="77"/>
      <c r="AN19" s="77"/>
    </row>
    <row r="20" spans="1:40" x14ac:dyDescent="0.25">
      <c r="H20" s="91"/>
      <c r="I20" s="192"/>
      <c r="J20" s="192"/>
      <c r="K20" s="192"/>
      <c r="L20" s="94"/>
      <c r="M20" s="94"/>
      <c r="N20" s="80" t="s">
        <v>51</v>
      </c>
      <c r="O20" s="80" t="s">
        <v>51</v>
      </c>
      <c r="P20" s="83"/>
      <c r="Q20" s="84"/>
      <c r="R20" s="83"/>
      <c r="U20" s="108"/>
      <c r="V20" s="108"/>
      <c r="W20" s="108"/>
      <c r="X20" s="108"/>
      <c r="Y20" s="108"/>
      <c r="Z20" s="108"/>
      <c r="AA20" s="108"/>
      <c r="AC20" s="108"/>
      <c r="AD20" s="108"/>
      <c r="AE20" s="108"/>
      <c r="AF20" s="108"/>
      <c r="AG20" s="108"/>
      <c r="AH20" s="108"/>
      <c r="AI20" s="77"/>
      <c r="AJ20" s="77"/>
      <c r="AK20" s="77"/>
      <c r="AL20" s="77"/>
      <c r="AM20" s="77"/>
      <c r="AN20" s="77"/>
    </row>
    <row r="21" spans="1:40" x14ac:dyDescent="0.25">
      <c r="G21" s="80"/>
      <c r="N21" s="83" t="s">
        <v>39</v>
      </c>
      <c r="O21" s="83" t="s">
        <v>29</v>
      </c>
      <c r="P21" s="83"/>
      <c r="Q21" s="84"/>
      <c r="R21" s="83"/>
      <c r="Y21"/>
      <c r="Z21"/>
      <c r="AC21" s="77"/>
      <c r="AD21" s="77"/>
      <c r="AE21" s="77"/>
      <c r="AI21" s="77"/>
      <c r="AJ21" s="77"/>
      <c r="AK21" s="77"/>
      <c r="AL21" s="77"/>
      <c r="AM21" s="77"/>
      <c r="AN21" s="77"/>
    </row>
    <row r="22" spans="1:40" x14ac:dyDescent="0.25">
      <c r="D22" s="98"/>
      <c r="E22" s="97"/>
      <c r="F22" s="98"/>
      <c r="G22" s="98"/>
      <c r="L22" s="94">
        <f>SUM(L25:L55)</f>
        <v>30</v>
      </c>
      <c r="M22" s="94"/>
      <c r="N22" s="83">
        <f>$B7</f>
        <v>1</v>
      </c>
      <c r="O22" s="83">
        <f>$B7</f>
        <v>1</v>
      </c>
      <c r="Q22" s="84"/>
      <c r="R22" s="136"/>
      <c r="Y22"/>
      <c r="Z22"/>
      <c r="AC22" s="77"/>
      <c r="AD22" s="77"/>
      <c r="AE22" s="77"/>
      <c r="AI22" s="80"/>
      <c r="AJ22" s="80"/>
      <c r="AK22" s="80"/>
      <c r="AL22" s="80"/>
      <c r="AM22" s="80"/>
      <c r="AN22" s="80"/>
    </row>
    <row r="23" spans="1:40" ht="13.8" thickBot="1" x14ac:dyDescent="0.3">
      <c r="B23" s="87"/>
      <c r="C23" s="87"/>
      <c r="D23" s="87"/>
      <c r="E23" s="87"/>
      <c r="F23" s="87"/>
      <c r="G23" s="87"/>
      <c r="H23" s="83"/>
      <c r="I23" s="83"/>
      <c r="J23" s="83"/>
      <c r="K23" s="83"/>
      <c r="L23" s="83"/>
      <c r="M23" s="83"/>
      <c r="N23" s="77">
        <v>1</v>
      </c>
      <c r="O23" s="77">
        <v>2</v>
      </c>
      <c r="V23" s="96"/>
      <c r="W23" s="80"/>
      <c r="X23" s="80"/>
      <c r="Y23" s="80"/>
      <c r="Z23" s="80"/>
      <c r="AA23" s="80"/>
      <c r="AC23" s="96"/>
      <c r="AD23" s="80"/>
      <c r="AE23" s="80"/>
      <c r="AF23" s="80"/>
      <c r="AG23" s="80"/>
      <c r="AH23" s="80"/>
      <c r="AI23" s="83"/>
      <c r="AJ23" s="83"/>
      <c r="AK23" s="84"/>
      <c r="AL23" s="77"/>
      <c r="AM23" s="77"/>
      <c r="AN23" s="77"/>
    </row>
    <row r="24" spans="1:40" ht="14.4" thickTop="1" thickBot="1" x14ac:dyDescent="0.3">
      <c r="A24" s="100" t="s">
        <v>24</v>
      </c>
      <c r="B24" s="100" t="s">
        <v>179</v>
      </c>
      <c r="C24" s="100" t="s">
        <v>180</v>
      </c>
      <c r="D24" s="100" t="s">
        <v>119</v>
      </c>
      <c r="E24" s="100" t="s">
        <v>187</v>
      </c>
      <c r="F24" s="100" t="s">
        <v>188</v>
      </c>
      <c r="G24" s="77" t="s">
        <v>116</v>
      </c>
      <c r="H24" s="100" t="s">
        <v>27</v>
      </c>
      <c r="I24" s="193"/>
      <c r="J24" s="193"/>
      <c r="K24" s="193"/>
      <c r="L24" s="83"/>
      <c r="M24" s="83" t="s">
        <v>25</v>
      </c>
      <c r="N24" s="83"/>
      <c r="O24" s="83"/>
      <c r="V24" s="84"/>
      <c r="Y24"/>
      <c r="Z24"/>
      <c r="AC24" s="84"/>
      <c r="AD24" s="77"/>
      <c r="AE24" s="77"/>
      <c r="AI24" s="83"/>
      <c r="AJ24" s="83"/>
      <c r="AK24" s="84"/>
      <c r="AL24" s="83"/>
      <c r="AM24" s="77"/>
      <c r="AN24" s="84"/>
    </row>
    <row r="25" spans="1:40" ht="13.8" thickTop="1" x14ac:dyDescent="0.25">
      <c r="A25" s="170">
        <v>1</v>
      </c>
      <c r="B25" s="102">
        <f>B$3</f>
        <v>5.0999999999999996</v>
      </c>
      <c r="C25" s="102">
        <f>C$3</f>
        <v>4.2</v>
      </c>
      <c r="D25" s="104">
        <f>B$6</f>
        <v>0.9</v>
      </c>
      <c r="E25" s="80">
        <f t="shared" ref="E25:F55" si="0">B$8</f>
        <v>1.2</v>
      </c>
      <c r="F25" s="80">
        <f t="shared" si="0"/>
        <v>1</v>
      </c>
      <c r="G25" s="207">
        <f>B$9</f>
        <v>0.95</v>
      </c>
      <c r="H25" s="80">
        <f>VLOOKUP(D2,STRADDLE,12,FALSE)</f>
        <v>6.8245902043498008E-2</v>
      </c>
      <c r="I25" s="212">
        <f>B10</f>
        <v>36831</v>
      </c>
      <c r="J25" s="212">
        <f>IF(K25=6,I25-1,IF(K25=7,I25-2,I25))</f>
        <v>36831</v>
      </c>
      <c r="K25" s="182">
        <f>WEEKDAY(B10,2)</f>
        <v>3</v>
      </c>
      <c r="L25" s="182">
        <f t="shared" ref="L25:L55" si="1">IF(I25&gt;B$11,0,IF(M25&lt;1,0,1))</f>
        <v>1</v>
      </c>
      <c r="M25" s="182">
        <f t="shared" ref="M25:M55" si="2">J25-B$12</f>
        <v>1</v>
      </c>
      <c r="N25" s="107">
        <f>IF($L25=0,0,_xll.SPRDOPT($B25,$C25,$D25,$H25,$E25,$F25,$G25,$M25,$B$7,0))</f>
        <v>5.2201267732025707E-2</v>
      </c>
      <c r="O25" s="107">
        <f>IF($L25=0,0,_xll.SPRDOPT($B25,$C25,$D25,$H25,$E25,$F25,$G25,$M25,$B$7,1))</f>
        <v>0.50631105534885368</v>
      </c>
      <c r="Q25" s="82"/>
      <c r="R25" s="82"/>
      <c r="S25" s="170"/>
      <c r="V25" s="108"/>
      <c r="W25" s="109"/>
      <c r="X25" s="109"/>
      <c r="Y25" s="109"/>
      <c r="Z25" s="109"/>
      <c r="AA25" s="109"/>
      <c r="AC25" s="108"/>
      <c r="AD25" s="109"/>
      <c r="AE25" s="109"/>
      <c r="AF25" s="109"/>
      <c r="AG25" s="109"/>
      <c r="AH25" s="109"/>
      <c r="AI25" s="128"/>
      <c r="AJ25" s="109"/>
      <c r="AK25" s="128"/>
      <c r="AL25" s="99"/>
      <c r="AM25" s="99"/>
      <c r="AN25" s="99"/>
    </row>
    <row r="26" spans="1:40" x14ac:dyDescent="0.25">
      <c r="A26" s="170">
        <f>A25+1</f>
        <v>2</v>
      </c>
      <c r="B26" s="102">
        <f t="shared" ref="B26:C55" si="3">B$3</f>
        <v>5.0999999999999996</v>
      </c>
      <c r="C26" s="102">
        <f t="shared" si="3"/>
        <v>4.2</v>
      </c>
      <c r="D26" s="104">
        <f t="shared" ref="D26:D55" si="4">B$6</f>
        <v>0.9</v>
      </c>
      <c r="E26" s="80">
        <f t="shared" si="0"/>
        <v>1.2</v>
      </c>
      <c r="F26" s="80">
        <f t="shared" si="0"/>
        <v>1</v>
      </c>
      <c r="G26" s="207">
        <f t="shared" ref="G26:G55" si="5">B$9</f>
        <v>0.95</v>
      </c>
      <c r="H26" s="80">
        <f>H25</f>
        <v>6.8245902043498008E-2</v>
      </c>
      <c r="I26" s="212">
        <f>I25+1</f>
        <v>36832</v>
      </c>
      <c r="J26" s="212">
        <f t="shared" ref="J26:J55" si="6">IF(K26=6,I26-1,IF(K26=7,I26-2,I26))</f>
        <v>36832</v>
      </c>
      <c r="K26" s="182">
        <f>WEEKDAY(I26,2)</f>
        <v>4</v>
      </c>
      <c r="L26" s="182">
        <f t="shared" si="1"/>
        <v>1</v>
      </c>
      <c r="M26" s="182">
        <f t="shared" si="2"/>
        <v>2</v>
      </c>
      <c r="N26" s="107">
        <f>IF($L26=0,0,_xll.SPRDOPT($B26,$C26,$D26,$H26,$E26,$F26,$G26,$M26,$B$7,0))</f>
        <v>7.380502222887092E-2</v>
      </c>
      <c r="O26" s="107">
        <f>IF($L26=0,0,_xll.SPRDOPT($B26,$C26,$D26,$H26,$E26,$F26,$G26,$M26,$B$7,1))</f>
        <v>0.50886723952275892</v>
      </c>
      <c r="Q26" s="82"/>
      <c r="R26" s="82"/>
      <c r="S26" s="170"/>
      <c r="V26" s="108"/>
      <c r="W26" s="109"/>
      <c r="X26" s="109"/>
      <c r="Y26" s="109"/>
      <c r="Z26" s="109"/>
      <c r="AA26" s="109"/>
      <c r="AC26" s="108"/>
      <c r="AD26" s="109"/>
      <c r="AE26" s="109"/>
      <c r="AF26" s="109"/>
      <c r="AG26" s="109"/>
      <c r="AH26" s="109"/>
      <c r="AI26" s="128"/>
      <c r="AJ26" s="109"/>
      <c r="AK26" s="128"/>
      <c r="AL26" s="99"/>
      <c r="AM26" s="99"/>
      <c r="AN26" s="99"/>
    </row>
    <row r="27" spans="1:40" x14ac:dyDescent="0.25">
      <c r="A27" s="170">
        <f t="shared" ref="A27:A55" si="7">A26+1</f>
        <v>3</v>
      </c>
      <c r="B27" s="102">
        <f t="shared" si="3"/>
        <v>5.0999999999999996</v>
      </c>
      <c r="C27" s="102">
        <f t="shared" si="3"/>
        <v>4.2</v>
      </c>
      <c r="D27" s="104">
        <f t="shared" si="4"/>
        <v>0.9</v>
      </c>
      <c r="E27" s="80">
        <f t="shared" si="0"/>
        <v>1.2</v>
      </c>
      <c r="F27" s="80">
        <f t="shared" si="0"/>
        <v>1</v>
      </c>
      <c r="G27" s="207">
        <f t="shared" si="5"/>
        <v>0.95</v>
      </c>
      <c r="H27" s="80">
        <f t="shared" ref="H27:H55" si="8">H26</f>
        <v>6.8245902043498008E-2</v>
      </c>
      <c r="I27" s="212">
        <f t="shared" ref="I27:I55" si="9">I26+1</f>
        <v>36833</v>
      </c>
      <c r="J27" s="212">
        <f t="shared" si="6"/>
        <v>36833</v>
      </c>
      <c r="K27" s="182">
        <f t="shared" ref="K27:K55" si="10">WEEKDAY(I27,2)</f>
        <v>5</v>
      </c>
      <c r="L27" s="182">
        <f t="shared" si="1"/>
        <v>1</v>
      </c>
      <c r="M27" s="182">
        <f t="shared" si="2"/>
        <v>3</v>
      </c>
      <c r="N27" s="107">
        <f>IF($L27=0,0,_xll.SPRDOPT($B27,$C27,$D27,$H27,$E27,$F27,$G27,$M27,$B$7,0))</f>
        <v>9.0369406833250662E-2</v>
      </c>
      <c r="O27" s="107">
        <f>IF($L27=0,0,_xll.SPRDOPT($B27,$C27,$D27,$H27,$E27,$F27,$G27,$M27,$B$7,1))</f>
        <v>0.51080476798283736</v>
      </c>
      <c r="Q27" s="82"/>
      <c r="R27" s="82"/>
      <c r="S27" s="170"/>
      <c r="V27" s="108"/>
      <c r="W27" s="109"/>
      <c r="X27" s="109"/>
      <c r="Y27" s="109"/>
      <c r="Z27" s="109"/>
      <c r="AA27" s="109"/>
      <c r="AC27" s="108"/>
      <c r="AD27" s="109"/>
      <c r="AE27" s="109"/>
      <c r="AF27" s="109"/>
      <c r="AG27" s="109"/>
      <c r="AH27" s="109"/>
      <c r="AI27" s="128"/>
      <c r="AJ27" s="109"/>
      <c r="AK27" s="128"/>
      <c r="AL27" s="99"/>
      <c r="AM27" s="99"/>
      <c r="AN27" s="99"/>
    </row>
    <row r="28" spans="1:40" x14ac:dyDescent="0.25">
      <c r="A28" s="170">
        <f t="shared" si="7"/>
        <v>4</v>
      </c>
      <c r="B28" s="102">
        <f t="shared" si="3"/>
        <v>5.0999999999999996</v>
      </c>
      <c r="C28" s="102">
        <f t="shared" si="3"/>
        <v>4.2</v>
      </c>
      <c r="D28" s="104">
        <f t="shared" si="4"/>
        <v>0.9</v>
      </c>
      <c r="E28" s="80">
        <f t="shared" si="0"/>
        <v>1.2</v>
      </c>
      <c r="F28" s="80">
        <f t="shared" si="0"/>
        <v>1</v>
      </c>
      <c r="G28" s="207">
        <f t="shared" si="5"/>
        <v>0.95</v>
      </c>
      <c r="H28" s="80">
        <f t="shared" si="8"/>
        <v>6.8245902043498008E-2</v>
      </c>
      <c r="I28" s="212">
        <f t="shared" si="9"/>
        <v>36834</v>
      </c>
      <c r="J28" s="212">
        <f t="shared" si="6"/>
        <v>36833</v>
      </c>
      <c r="K28" s="182">
        <f t="shared" si="10"/>
        <v>6</v>
      </c>
      <c r="L28" s="182">
        <f t="shared" si="1"/>
        <v>1</v>
      </c>
      <c r="M28" s="182">
        <f t="shared" si="2"/>
        <v>3</v>
      </c>
      <c r="N28" s="107">
        <f>IF($L28=0,0,_xll.SPRDOPT($B28,$C28,$D28,$H28,$E28,$F28,$G28,$M28,$B$7,0))</f>
        <v>9.0369406833250662E-2</v>
      </c>
      <c r="O28" s="107">
        <f>IF($L28=0,0,_xll.SPRDOPT($B28,$C28,$D28,$H28,$E28,$F28,$G28,$M28,$B$7,1))</f>
        <v>0.51080476798283736</v>
      </c>
      <c r="Q28" s="82"/>
      <c r="R28" s="82"/>
      <c r="S28" s="170"/>
      <c r="V28" s="108"/>
      <c r="W28" s="109"/>
      <c r="X28" s="109"/>
      <c r="Y28" s="109"/>
      <c r="Z28" s="109"/>
      <c r="AA28" s="109"/>
      <c r="AC28" s="108"/>
      <c r="AD28" s="109"/>
      <c r="AE28" s="109"/>
      <c r="AF28" s="109"/>
      <c r="AG28" s="109"/>
      <c r="AH28" s="109"/>
      <c r="AI28" s="128"/>
      <c r="AJ28" s="109"/>
      <c r="AK28" s="128"/>
      <c r="AL28" s="99"/>
      <c r="AM28" s="99"/>
      <c r="AN28" s="99"/>
    </row>
    <row r="29" spans="1:40" x14ac:dyDescent="0.25">
      <c r="A29" s="170">
        <f t="shared" si="7"/>
        <v>5</v>
      </c>
      <c r="B29" s="102">
        <f t="shared" si="3"/>
        <v>5.0999999999999996</v>
      </c>
      <c r="C29" s="102">
        <f t="shared" si="3"/>
        <v>4.2</v>
      </c>
      <c r="D29" s="104">
        <f t="shared" si="4"/>
        <v>0.9</v>
      </c>
      <c r="E29" s="80">
        <f t="shared" si="0"/>
        <v>1.2</v>
      </c>
      <c r="F29" s="80">
        <f t="shared" si="0"/>
        <v>1</v>
      </c>
      <c r="G29" s="207">
        <f t="shared" si="5"/>
        <v>0.95</v>
      </c>
      <c r="H29" s="80">
        <f t="shared" si="8"/>
        <v>6.8245902043498008E-2</v>
      </c>
      <c r="I29" s="212">
        <f t="shared" si="9"/>
        <v>36835</v>
      </c>
      <c r="J29" s="212">
        <f t="shared" si="6"/>
        <v>36833</v>
      </c>
      <c r="K29" s="182">
        <f t="shared" si="10"/>
        <v>7</v>
      </c>
      <c r="L29" s="182">
        <f t="shared" si="1"/>
        <v>1</v>
      </c>
      <c r="M29" s="182">
        <f t="shared" si="2"/>
        <v>3</v>
      </c>
      <c r="N29" s="107">
        <f>IF($L29=0,0,_xll.SPRDOPT($B29,$C29,$D29,$H29,$E29,$F29,$G29,$M29,$B$7,0))</f>
        <v>9.0369406833250662E-2</v>
      </c>
      <c r="O29" s="107">
        <f>IF($L29=0,0,_xll.SPRDOPT($B29,$C29,$D29,$H29,$E29,$F29,$G29,$M29,$B$7,1))</f>
        <v>0.51080476798283736</v>
      </c>
      <c r="Q29" s="82"/>
      <c r="R29" s="82"/>
      <c r="S29" s="170"/>
      <c r="V29" s="108"/>
      <c r="W29" s="109"/>
      <c r="X29" s="109"/>
      <c r="Y29" s="109"/>
      <c r="Z29" s="109"/>
      <c r="AA29" s="109"/>
      <c r="AC29" s="108"/>
      <c r="AD29" s="109"/>
      <c r="AE29" s="109"/>
      <c r="AF29" s="109"/>
      <c r="AG29" s="109"/>
      <c r="AH29" s="109"/>
      <c r="AI29" s="128"/>
      <c r="AJ29" s="109"/>
      <c r="AK29" s="128"/>
      <c r="AL29" s="99"/>
      <c r="AM29" s="99"/>
      <c r="AN29" s="99"/>
    </row>
    <row r="30" spans="1:40" x14ac:dyDescent="0.25">
      <c r="A30" s="170">
        <f t="shared" si="7"/>
        <v>6</v>
      </c>
      <c r="B30" s="102">
        <f t="shared" si="3"/>
        <v>5.0999999999999996</v>
      </c>
      <c r="C30" s="102">
        <f t="shared" si="3"/>
        <v>4.2</v>
      </c>
      <c r="D30" s="104">
        <f t="shared" si="4"/>
        <v>0.9</v>
      </c>
      <c r="E30" s="80">
        <f t="shared" si="0"/>
        <v>1.2</v>
      </c>
      <c r="F30" s="80">
        <f t="shared" si="0"/>
        <v>1</v>
      </c>
      <c r="G30" s="207">
        <f t="shared" si="5"/>
        <v>0.95</v>
      </c>
      <c r="H30" s="80">
        <f t="shared" si="8"/>
        <v>6.8245902043498008E-2</v>
      </c>
      <c r="I30" s="212">
        <f t="shared" si="9"/>
        <v>36836</v>
      </c>
      <c r="J30" s="212">
        <f t="shared" si="6"/>
        <v>36836</v>
      </c>
      <c r="K30" s="182">
        <f t="shared" si="10"/>
        <v>1</v>
      </c>
      <c r="L30" s="182">
        <f t="shared" si="1"/>
        <v>1</v>
      </c>
      <c r="M30" s="182">
        <f t="shared" si="2"/>
        <v>6</v>
      </c>
      <c r="N30" s="107">
        <f>IF($L30=0,0,_xll.SPRDOPT($B30,$C30,$D30,$H30,$E30,$F30,$G30,$M30,$B$7,0))</f>
        <v>0.12770448638310558</v>
      </c>
      <c r="O30" s="107">
        <f>IF($L30=0,0,_xll.SPRDOPT($B30,$C30,$D30,$H30,$E30,$F30,$G30,$M30,$B$7,1))</f>
        <v>0.51509960133059196</v>
      </c>
      <c r="Q30" s="82"/>
      <c r="R30" s="82"/>
      <c r="S30" s="170"/>
      <c r="V30" s="108"/>
      <c r="W30" s="109"/>
      <c r="X30" s="109"/>
      <c r="Y30" s="109"/>
      <c r="Z30" s="109"/>
      <c r="AA30" s="109"/>
      <c r="AC30" s="108"/>
      <c r="AD30" s="109"/>
      <c r="AE30" s="109"/>
      <c r="AF30" s="109"/>
      <c r="AG30" s="109"/>
      <c r="AH30" s="109"/>
      <c r="AI30" s="128"/>
      <c r="AJ30" s="109"/>
      <c r="AK30" s="128"/>
      <c r="AL30" s="99"/>
      <c r="AM30" s="99"/>
      <c r="AN30" s="99"/>
    </row>
    <row r="31" spans="1:40" x14ac:dyDescent="0.25">
      <c r="A31" s="170">
        <f t="shared" si="7"/>
        <v>7</v>
      </c>
      <c r="B31" s="102">
        <f t="shared" si="3"/>
        <v>5.0999999999999996</v>
      </c>
      <c r="C31" s="102">
        <f t="shared" si="3"/>
        <v>4.2</v>
      </c>
      <c r="D31" s="104">
        <f t="shared" si="4"/>
        <v>0.9</v>
      </c>
      <c r="E31" s="80">
        <f t="shared" si="0"/>
        <v>1.2</v>
      </c>
      <c r="F31" s="80">
        <f t="shared" si="0"/>
        <v>1</v>
      </c>
      <c r="G31" s="207">
        <f t="shared" si="5"/>
        <v>0.95</v>
      </c>
      <c r="H31" s="80">
        <f t="shared" si="8"/>
        <v>6.8245902043498008E-2</v>
      </c>
      <c r="I31" s="212">
        <f t="shared" si="9"/>
        <v>36837</v>
      </c>
      <c r="J31" s="212">
        <f t="shared" si="6"/>
        <v>36837</v>
      </c>
      <c r="K31" s="182">
        <f t="shared" si="10"/>
        <v>2</v>
      </c>
      <c r="L31" s="182">
        <f t="shared" si="1"/>
        <v>1</v>
      </c>
      <c r="M31" s="182">
        <f t="shared" si="2"/>
        <v>7</v>
      </c>
      <c r="N31" s="107">
        <f>IF($L31=0,0,_xll.SPRDOPT($B31,$C31,$D31,$H31,$E31,$F31,$G31,$M31,$B$7,0))</f>
        <v>0.1379016537477093</v>
      </c>
      <c r="O31" s="107">
        <f>IF($L31=0,0,_xll.SPRDOPT($B31,$C31,$D31,$H31,$E31,$F31,$G31,$M31,$B$7,1))</f>
        <v>0.51625502058359574</v>
      </c>
      <c r="Q31" s="82"/>
      <c r="R31" s="82"/>
      <c r="S31" s="170"/>
      <c r="V31" s="108"/>
      <c r="W31" s="109"/>
      <c r="X31" s="109"/>
      <c r="Y31" s="109"/>
      <c r="Z31" s="109"/>
      <c r="AA31" s="109"/>
      <c r="AC31" s="108"/>
      <c r="AD31" s="109"/>
      <c r="AE31" s="109"/>
      <c r="AF31" s="109"/>
      <c r="AG31" s="109"/>
      <c r="AH31" s="109"/>
      <c r="AI31" s="128"/>
      <c r="AJ31" s="109"/>
      <c r="AK31" s="128"/>
      <c r="AL31" s="99"/>
      <c r="AM31" s="99"/>
      <c r="AN31" s="99"/>
    </row>
    <row r="32" spans="1:40" x14ac:dyDescent="0.25">
      <c r="A32" s="170">
        <f t="shared" si="7"/>
        <v>8</v>
      </c>
      <c r="B32" s="102">
        <f t="shared" si="3"/>
        <v>5.0999999999999996</v>
      </c>
      <c r="C32" s="102">
        <f t="shared" si="3"/>
        <v>4.2</v>
      </c>
      <c r="D32" s="104">
        <f t="shared" si="4"/>
        <v>0.9</v>
      </c>
      <c r="E32" s="80">
        <f t="shared" si="0"/>
        <v>1.2</v>
      </c>
      <c r="F32" s="80">
        <f t="shared" si="0"/>
        <v>1</v>
      </c>
      <c r="G32" s="207">
        <f t="shared" si="5"/>
        <v>0.95</v>
      </c>
      <c r="H32" s="80">
        <f t="shared" si="8"/>
        <v>6.8245902043498008E-2</v>
      </c>
      <c r="I32" s="212">
        <f t="shared" si="9"/>
        <v>36838</v>
      </c>
      <c r="J32" s="212">
        <f t="shared" si="6"/>
        <v>36838</v>
      </c>
      <c r="K32" s="182">
        <f t="shared" si="10"/>
        <v>3</v>
      </c>
      <c r="L32" s="182">
        <f t="shared" si="1"/>
        <v>1</v>
      </c>
      <c r="M32" s="182">
        <f t="shared" si="2"/>
        <v>8</v>
      </c>
      <c r="N32" s="107">
        <f>IF($L32=0,0,_xll.SPRDOPT($B32,$C32,$D32,$H32,$E32,$F32,$G32,$M32,$B$7,0))</f>
        <v>0.14738571064143713</v>
      </c>
      <c r="O32" s="107">
        <f>IF($L32=0,0,_xll.SPRDOPT($B32,$C32,$D32,$H32,$E32,$F32,$G32,$M32,$B$7,1))</f>
        <v>0.5173227804888697</v>
      </c>
      <c r="Q32" s="82"/>
      <c r="R32" s="82"/>
      <c r="S32" s="170"/>
      <c r="V32" s="108"/>
      <c r="W32" s="109"/>
      <c r="X32" s="109"/>
      <c r="Y32" s="109"/>
      <c r="Z32" s="109"/>
      <c r="AA32" s="109"/>
      <c r="AC32" s="108"/>
      <c r="AD32" s="109"/>
      <c r="AE32" s="109"/>
      <c r="AF32" s="109"/>
      <c r="AG32" s="109"/>
      <c r="AH32" s="109"/>
      <c r="AI32" s="128"/>
      <c r="AJ32" s="109"/>
      <c r="AK32" s="128"/>
      <c r="AL32" s="99"/>
      <c r="AM32" s="99"/>
      <c r="AN32" s="99"/>
    </row>
    <row r="33" spans="1:40" x14ac:dyDescent="0.25">
      <c r="A33" s="170">
        <f t="shared" si="7"/>
        <v>9</v>
      </c>
      <c r="B33" s="102">
        <f t="shared" si="3"/>
        <v>5.0999999999999996</v>
      </c>
      <c r="C33" s="102">
        <f t="shared" si="3"/>
        <v>4.2</v>
      </c>
      <c r="D33" s="104">
        <f t="shared" si="4"/>
        <v>0.9</v>
      </c>
      <c r="E33" s="80">
        <f t="shared" si="0"/>
        <v>1.2</v>
      </c>
      <c r="F33" s="80">
        <f t="shared" si="0"/>
        <v>1</v>
      </c>
      <c r="G33" s="207">
        <f t="shared" si="5"/>
        <v>0.95</v>
      </c>
      <c r="H33" s="80">
        <f t="shared" si="8"/>
        <v>6.8245902043498008E-2</v>
      </c>
      <c r="I33" s="212">
        <f t="shared" si="9"/>
        <v>36839</v>
      </c>
      <c r="J33" s="212">
        <f t="shared" si="6"/>
        <v>36839</v>
      </c>
      <c r="K33" s="182">
        <f t="shared" si="10"/>
        <v>4</v>
      </c>
      <c r="L33" s="182">
        <f t="shared" si="1"/>
        <v>1</v>
      </c>
      <c r="M33" s="182">
        <f t="shared" si="2"/>
        <v>9</v>
      </c>
      <c r="N33" s="107">
        <f>IF($L33=0,0,_xll.SPRDOPT($B33,$C33,$D33,$H33,$E33,$F33,$G33,$M33,$B$7,0))</f>
        <v>0.15628654115425633</v>
      </c>
      <c r="O33" s="107">
        <f>IF($L33=0,0,_xll.SPRDOPT($B33,$C33,$D33,$H33,$E33,$F33,$G33,$M33,$B$7,1))</f>
        <v>0.51831883000431012</v>
      </c>
      <c r="Q33" s="82"/>
      <c r="R33" s="82"/>
      <c r="S33" s="170"/>
      <c r="V33" s="108"/>
      <c r="W33" s="109"/>
      <c r="X33" s="109"/>
      <c r="Y33" s="109"/>
      <c r="Z33" s="109"/>
      <c r="AA33" s="109"/>
      <c r="AC33" s="108"/>
      <c r="AD33" s="109"/>
      <c r="AE33" s="109"/>
      <c r="AF33" s="109"/>
      <c r="AG33" s="109"/>
      <c r="AH33" s="109"/>
      <c r="AI33" s="128"/>
      <c r="AJ33" s="109"/>
      <c r="AK33" s="128"/>
      <c r="AL33" s="99"/>
      <c r="AM33" s="99"/>
      <c r="AN33" s="99"/>
    </row>
    <row r="34" spans="1:40" x14ac:dyDescent="0.25">
      <c r="A34" s="170">
        <f t="shared" si="7"/>
        <v>10</v>
      </c>
      <c r="B34" s="102">
        <f t="shared" si="3"/>
        <v>5.0999999999999996</v>
      </c>
      <c r="C34" s="102">
        <f t="shared" si="3"/>
        <v>4.2</v>
      </c>
      <c r="D34" s="104">
        <f t="shared" si="4"/>
        <v>0.9</v>
      </c>
      <c r="E34" s="80">
        <f t="shared" si="0"/>
        <v>1.2</v>
      </c>
      <c r="F34" s="80">
        <f t="shared" si="0"/>
        <v>1</v>
      </c>
      <c r="G34" s="207">
        <f t="shared" si="5"/>
        <v>0.95</v>
      </c>
      <c r="H34" s="80">
        <f t="shared" si="8"/>
        <v>6.8245902043498008E-2</v>
      </c>
      <c r="I34" s="212">
        <f t="shared" si="9"/>
        <v>36840</v>
      </c>
      <c r="J34" s="212">
        <f t="shared" si="6"/>
        <v>36840</v>
      </c>
      <c r="K34" s="182">
        <f t="shared" si="10"/>
        <v>5</v>
      </c>
      <c r="L34" s="182">
        <f t="shared" si="1"/>
        <v>1</v>
      </c>
      <c r="M34" s="182">
        <f t="shared" si="2"/>
        <v>10</v>
      </c>
      <c r="N34" s="107">
        <f>IF($L34=0,0,_xll.SPRDOPT($B34,$C34,$D34,$H34,$E34,$F34,$G34,$M34,$B$7,0))</f>
        <v>0.16469873755659376</v>
      </c>
      <c r="O34" s="107">
        <f>IF($L34=0,0,_xll.SPRDOPT($B34,$C34,$D34,$H34,$E34,$F34,$G34,$M34,$B$7,1))</f>
        <v>0.51925478572550243</v>
      </c>
      <c r="Q34" s="82"/>
      <c r="R34" s="82"/>
      <c r="S34" s="170"/>
      <c r="V34" s="108"/>
      <c r="W34" s="109"/>
      <c r="X34" s="109"/>
      <c r="Y34" s="109"/>
      <c r="Z34" s="109"/>
      <c r="AA34" s="109"/>
      <c r="AC34" s="108"/>
      <c r="AD34" s="109"/>
      <c r="AE34" s="109"/>
      <c r="AF34" s="109"/>
      <c r="AG34" s="109"/>
      <c r="AH34" s="109"/>
      <c r="AI34" s="128"/>
      <c r="AJ34" s="109"/>
      <c r="AK34" s="128"/>
      <c r="AL34" s="99"/>
      <c r="AM34" s="99"/>
      <c r="AN34" s="99"/>
    </row>
    <row r="35" spans="1:40" x14ac:dyDescent="0.25">
      <c r="A35" s="170">
        <f t="shared" si="7"/>
        <v>11</v>
      </c>
      <c r="B35" s="102">
        <f t="shared" si="3"/>
        <v>5.0999999999999996</v>
      </c>
      <c r="C35" s="102">
        <f t="shared" si="3"/>
        <v>4.2</v>
      </c>
      <c r="D35" s="104">
        <f t="shared" si="4"/>
        <v>0.9</v>
      </c>
      <c r="E35" s="80">
        <f t="shared" si="0"/>
        <v>1.2</v>
      </c>
      <c r="F35" s="80">
        <f t="shared" si="0"/>
        <v>1</v>
      </c>
      <c r="G35" s="207">
        <f t="shared" si="5"/>
        <v>0.95</v>
      </c>
      <c r="H35" s="80">
        <f t="shared" si="8"/>
        <v>6.8245902043498008E-2</v>
      </c>
      <c r="I35" s="212">
        <f t="shared" si="9"/>
        <v>36841</v>
      </c>
      <c r="J35" s="212">
        <f t="shared" si="6"/>
        <v>36840</v>
      </c>
      <c r="K35" s="182">
        <f t="shared" si="10"/>
        <v>6</v>
      </c>
      <c r="L35" s="182">
        <f t="shared" si="1"/>
        <v>1</v>
      </c>
      <c r="M35" s="182">
        <f t="shared" si="2"/>
        <v>10</v>
      </c>
      <c r="N35" s="107">
        <f>IF($L35=0,0,_xll.SPRDOPT($B35,$C35,$D35,$H35,$E35,$F35,$G35,$M35,$B$7,0))</f>
        <v>0.16469873755659376</v>
      </c>
      <c r="O35" s="107">
        <f>IF($L35=0,0,_xll.SPRDOPT($B35,$C35,$D35,$H35,$E35,$F35,$G35,$M35,$B$7,1))</f>
        <v>0.51925478572550243</v>
      </c>
      <c r="Q35" s="82"/>
      <c r="R35" s="82"/>
      <c r="S35" s="170"/>
      <c r="V35" s="108"/>
      <c r="W35" s="109"/>
      <c r="X35" s="109"/>
      <c r="Y35" s="109"/>
      <c r="Z35" s="109"/>
      <c r="AA35" s="109"/>
      <c r="AC35" s="108"/>
      <c r="AD35" s="109"/>
      <c r="AE35" s="109"/>
      <c r="AF35" s="109"/>
      <c r="AG35" s="109"/>
      <c r="AH35" s="109"/>
      <c r="AI35" s="128"/>
      <c r="AJ35" s="109"/>
      <c r="AK35" s="128"/>
      <c r="AL35" s="99"/>
      <c r="AM35" s="99"/>
      <c r="AN35" s="99"/>
    </row>
    <row r="36" spans="1:40" x14ac:dyDescent="0.25">
      <c r="A36" s="170">
        <f t="shared" si="7"/>
        <v>12</v>
      </c>
      <c r="B36" s="102">
        <f t="shared" si="3"/>
        <v>5.0999999999999996</v>
      </c>
      <c r="C36" s="102">
        <f t="shared" si="3"/>
        <v>4.2</v>
      </c>
      <c r="D36" s="104">
        <f t="shared" si="4"/>
        <v>0.9</v>
      </c>
      <c r="E36" s="80">
        <f t="shared" si="0"/>
        <v>1.2</v>
      </c>
      <c r="F36" s="80">
        <f t="shared" si="0"/>
        <v>1</v>
      </c>
      <c r="G36" s="207">
        <f t="shared" si="5"/>
        <v>0.95</v>
      </c>
      <c r="H36" s="80">
        <f t="shared" si="8"/>
        <v>6.8245902043498008E-2</v>
      </c>
      <c r="I36" s="212">
        <f t="shared" si="9"/>
        <v>36842</v>
      </c>
      <c r="J36" s="212">
        <f t="shared" si="6"/>
        <v>36840</v>
      </c>
      <c r="K36" s="182">
        <f t="shared" si="10"/>
        <v>7</v>
      </c>
      <c r="L36" s="182">
        <f t="shared" si="1"/>
        <v>1</v>
      </c>
      <c r="M36" s="182">
        <f t="shared" si="2"/>
        <v>10</v>
      </c>
      <c r="N36" s="107">
        <f>IF($L36=0,0,_xll.SPRDOPT($B36,$C36,$D36,$H36,$E36,$F36,$G36,$M36,$B$7,0))</f>
        <v>0.16469873755659376</v>
      </c>
      <c r="O36" s="107">
        <f>IF($L36=0,0,_xll.SPRDOPT($B36,$C36,$D36,$H36,$E36,$F36,$G36,$M36,$B$7,1))</f>
        <v>0.51925478572550243</v>
      </c>
      <c r="Q36" s="82"/>
      <c r="R36" s="82"/>
      <c r="S36" s="170"/>
      <c r="V36" s="108"/>
      <c r="W36" s="109"/>
      <c r="X36" s="109"/>
      <c r="Y36" s="109"/>
      <c r="Z36" s="109"/>
      <c r="AA36" s="109"/>
      <c r="AC36" s="108"/>
      <c r="AD36" s="109"/>
      <c r="AE36" s="109"/>
      <c r="AF36" s="109"/>
      <c r="AG36" s="109"/>
      <c r="AH36" s="109"/>
      <c r="AI36" s="128"/>
      <c r="AJ36" s="109"/>
      <c r="AK36" s="128"/>
      <c r="AL36" s="99"/>
      <c r="AM36" s="99"/>
      <c r="AN36" s="99"/>
    </row>
    <row r="37" spans="1:40" x14ac:dyDescent="0.25">
      <c r="A37" s="170">
        <f t="shared" si="7"/>
        <v>13</v>
      </c>
      <c r="B37" s="102">
        <f t="shared" si="3"/>
        <v>5.0999999999999996</v>
      </c>
      <c r="C37" s="102">
        <f t="shared" si="3"/>
        <v>4.2</v>
      </c>
      <c r="D37" s="104">
        <f t="shared" si="4"/>
        <v>0.9</v>
      </c>
      <c r="E37" s="80">
        <f t="shared" si="0"/>
        <v>1.2</v>
      </c>
      <c r="F37" s="80">
        <f t="shared" si="0"/>
        <v>1</v>
      </c>
      <c r="G37" s="207">
        <f t="shared" si="5"/>
        <v>0.95</v>
      </c>
      <c r="H37" s="80">
        <f t="shared" si="8"/>
        <v>6.8245902043498008E-2</v>
      </c>
      <c r="I37" s="212">
        <f t="shared" si="9"/>
        <v>36843</v>
      </c>
      <c r="J37" s="212">
        <f t="shared" si="6"/>
        <v>36843</v>
      </c>
      <c r="K37" s="182">
        <f t="shared" si="10"/>
        <v>1</v>
      </c>
      <c r="L37" s="182">
        <f t="shared" si="1"/>
        <v>1</v>
      </c>
      <c r="M37" s="182">
        <f t="shared" si="2"/>
        <v>13</v>
      </c>
      <c r="N37" s="107">
        <f>IF($L37=0,0,_xll.SPRDOPT($B37,$C37,$D37,$H37,$E37,$F37,$G37,$M37,$B$7,0))</f>
        <v>0.18764276324467469</v>
      </c>
      <c r="O37" s="107">
        <f>IF($L37=0,0,_xll.SPRDOPT($B37,$C37,$D37,$H37,$E37,$F37,$G37,$M37,$B$7,1))</f>
        <v>0.52178060533782811</v>
      </c>
      <c r="Q37" s="82"/>
      <c r="R37" s="82"/>
      <c r="S37" s="170"/>
      <c r="V37" s="108"/>
      <c r="W37" s="109"/>
      <c r="X37" s="109"/>
      <c r="Y37" s="109"/>
      <c r="Z37" s="109"/>
      <c r="AA37" s="109"/>
      <c r="AC37" s="108"/>
      <c r="AD37" s="109"/>
      <c r="AE37" s="109"/>
      <c r="AF37" s="109"/>
      <c r="AG37" s="109"/>
      <c r="AH37" s="109"/>
      <c r="AI37" s="128"/>
      <c r="AJ37" s="109"/>
      <c r="AK37" s="128"/>
      <c r="AL37" s="99"/>
      <c r="AM37" s="99"/>
      <c r="AN37" s="99"/>
    </row>
    <row r="38" spans="1:40" x14ac:dyDescent="0.25">
      <c r="A38" s="170">
        <f t="shared" si="7"/>
        <v>14</v>
      </c>
      <c r="B38" s="102">
        <f t="shared" si="3"/>
        <v>5.0999999999999996</v>
      </c>
      <c r="C38" s="102">
        <f t="shared" si="3"/>
        <v>4.2</v>
      </c>
      <c r="D38" s="104">
        <f t="shared" si="4"/>
        <v>0.9</v>
      </c>
      <c r="E38" s="80">
        <f t="shared" si="0"/>
        <v>1.2</v>
      </c>
      <c r="F38" s="80">
        <f t="shared" si="0"/>
        <v>1</v>
      </c>
      <c r="G38" s="207">
        <f t="shared" si="5"/>
        <v>0.95</v>
      </c>
      <c r="H38" s="80">
        <f t="shared" si="8"/>
        <v>6.8245902043498008E-2</v>
      </c>
      <c r="I38" s="212">
        <f t="shared" si="9"/>
        <v>36844</v>
      </c>
      <c r="J38" s="212">
        <f t="shared" si="6"/>
        <v>36844</v>
      </c>
      <c r="K38" s="182">
        <f t="shared" si="10"/>
        <v>2</v>
      </c>
      <c r="L38" s="182">
        <f t="shared" si="1"/>
        <v>1</v>
      </c>
      <c r="M38" s="182">
        <f t="shared" si="2"/>
        <v>14</v>
      </c>
      <c r="N38" s="107">
        <f>IF($L38=0,0,_xll.SPRDOPT($B38,$C38,$D38,$H38,$E38,$F38,$G38,$M38,$B$7,0))</f>
        <v>0.19467676976778611</v>
      </c>
      <c r="O38" s="107">
        <f>IF($L38=0,0,_xll.SPRDOPT($B38,$C38,$D38,$H38,$E38,$F38,$G38,$M38,$B$7,1))</f>
        <v>0.52254697898651059</v>
      </c>
      <c r="Q38" s="82"/>
      <c r="R38" s="82"/>
      <c r="S38" s="170"/>
      <c r="V38" s="108"/>
      <c r="W38" s="109"/>
      <c r="X38" s="109"/>
      <c r="Y38" s="109"/>
      <c r="Z38" s="109"/>
      <c r="AA38" s="109"/>
      <c r="AC38" s="108"/>
      <c r="AD38" s="109"/>
      <c r="AE38" s="109"/>
      <c r="AF38" s="109"/>
      <c r="AG38" s="109"/>
      <c r="AH38" s="109"/>
      <c r="AI38" s="128"/>
      <c r="AJ38" s="109"/>
      <c r="AK38" s="128"/>
      <c r="AL38" s="99"/>
      <c r="AM38" s="99"/>
      <c r="AN38" s="99"/>
    </row>
    <row r="39" spans="1:40" x14ac:dyDescent="0.25">
      <c r="A39" s="170">
        <f t="shared" si="7"/>
        <v>15</v>
      </c>
      <c r="B39" s="102">
        <f t="shared" si="3"/>
        <v>5.0999999999999996</v>
      </c>
      <c r="C39" s="102">
        <f t="shared" si="3"/>
        <v>4.2</v>
      </c>
      <c r="D39" s="104">
        <f t="shared" si="4"/>
        <v>0.9</v>
      </c>
      <c r="E39" s="80">
        <f t="shared" si="0"/>
        <v>1.2</v>
      </c>
      <c r="F39" s="80">
        <f t="shared" si="0"/>
        <v>1</v>
      </c>
      <c r="G39" s="207">
        <f t="shared" si="5"/>
        <v>0.95</v>
      </c>
      <c r="H39" s="80">
        <f t="shared" si="8"/>
        <v>6.8245902043498008E-2</v>
      </c>
      <c r="I39" s="212">
        <f t="shared" si="9"/>
        <v>36845</v>
      </c>
      <c r="J39" s="212">
        <f t="shared" si="6"/>
        <v>36845</v>
      </c>
      <c r="K39" s="182">
        <f t="shared" si="10"/>
        <v>3</v>
      </c>
      <c r="L39" s="182">
        <f t="shared" si="1"/>
        <v>1</v>
      </c>
      <c r="M39" s="182">
        <f t="shared" si="2"/>
        <v>15</v>
      </c>
      <c r="N39" s="107">
        <f>IF($L39=0,0,_xll.SPRDOPT($B39,$C39,$D39,$H39,$E39,$F39,$G39,$M39,$B$7,0))</f>
        <v>0.2014585571241054</v>
      </c>
      <c r="O39" s="107">
        <f>IF($L39=0,0,_xll.SPRDOPT($B39,$C39,$D39,$H39,$E39,$F39,$G39,$M39,$B$7,1))</f>
        <v>0.52328230035478451</v>
      </c>
      <c r="Q39" s="82"/>
      <c r="R39" s="82"/>
      <c r="S39" s="170"/>
      <c r="V39" s="108"/>
      <c r="W39" s="109"/>
      <c r="X39" s="109"/>
      <c r="Y39" s="109"/>
      <c r="Z39" s="109"/>
      <c r="AA39" s="109"/>
      <c r="AC39" s="108"/>
      <c r="AD39" s="109"/>
      <c r="AE39" s="109"/>
      <c r="AF39" s="109"/>
      <c r="AG39" s="109"/>
      <c r="AH39" s="109"/>
      <c r="AI39" s="128"/>
      <c r="AJ39" s="109"/>
      <c r="AK39" s="128"/>
      <c r="AL39" s="99"/>
      <c r="AM39" s="99"/>
      <c r="AN39" s="99"/>
    </row>
    <row r="40" spans="1:40" x14ac:dyDescent="0.25">
      <c r="A40" s="170">
        <f t="shared" si="7"/>
        <v>16</v>
      </c>
      <c r="B40" s="102">
        <f t="shared" si="3"/>
        <v>5.0999999999999996</v>
      </c>
      <c r="C40" s="102">
        <f t="shared" si="3"/>
        <v>4.2</v>
      </c>
      <c r="D40" s="104">
        <f t="shared" si="4"/>
        <v>0.9</v>
      </c>
      <c r="E40" s="80">
        <f t="shared" si="0"/>
        <v>1.2</v>
      </c>
      <c r="F40" s="80">
        <f t="shared" si="0"/>
        <v>1</v>
      </c>
      <c r="G40" s="207">
        <f t="shared" si="5"/>
        <v>0.95</v>
      </c>
      <c r="H40" s="80">
        <f t="shared" si="8"/>
        <v>6.8245902043498008E-2</v>
      </c>
      <c r="I40" s="212">
        <f t="shared" si="9"/>
        <v>36846</v>
      </c>
      <c r="J40" s="212">
        <f t="shared" si="6"/>
        <v>36846</v>
      </c>
      <c r="K40" s="182">
        <f t="shared" si="10"/>
        <v>4</v>
      </c>
      <c r="L40" s="182">
        <f t="shared" si="1"/>
        <v>1</v>
      </c>
      <c r="M40" s="182">
        <f t="shared" si="2"/>
        <v>16</v>
      </c>
      <c r="N40" s="107">
        <f>IF($L40=0,0,_xll.SPRDOPT($B40,$C40,$D40,$H40,$E40,$F40,$G40,$M40,$B$7,0))</f>
        <v>0.20801280139252962</v>
      </c>
      <c r="O40" s="107">
        <f>IF($L40=0,0,_xll.SPRDOPT($B40,$C40,$D40,$H40,$E40,$F40,$G40,$M40,$B$7,1))</f>
        <v>0.52398960182959176</v>
      </c>
      <c r="Q40" s="82"/>
      <c r="R40" s="82"/>
      <c r="S40" s="170"/>
      <c r="V40" s="108"/>
      <c r="W40" s="109"/>
      <c r="X40" s="109"/>
      <c r="Y40" s="109"/>
      <c r="Z40" s="109"/>
      <c r="AA40" s="109"/>
      <c r="AC40" s="108"/>
      <c r="AD40" s="109"/>
      <c r="AE40" s="109"/>
      <c r="AF40" s="109"/>
      <c r="AG40" s="109"/>
      <c r="AH40" s="109"/>
      <c r="AI40" s="128"/>
      <c r="AJ40" s="109"/>
      <c r="AK40" s="128"/>
      <c r="AL40" s="99"/>
      <c r="AM40" s="99"/>
      <c r="AN40" s="99"/>
    </row>
    <row r="41" spans="1:40" x14ac:dyDescent="0.25">
      <c r="A41" s="170">
        <f t="shared" si="7"/>
        <v>17</v>
      </c>
      <c r="B41" s="102">
        <f t="shared" si="3"/>
        <v>5.0999999999999996</v>
      </c>
      <c r="C41" s="102">
        <f t="shared" si="3"/>
        <v>4.2</v>
      </c>
      <c r="D41" s="104">
        <f t="shared" si="4"/>
        <v>0.9</v>
      </c>
      <c r="E41" s="80">
        <f t="shared" si="0"/>
        <v>1.2</v>
      </c>
      <c r="F41" s="80">
        <f t="shared" si="0"/>
        <v>1</v>
      </c>
      <c r="G41" s="207">
        <f t="shared" si="5"/>
        <v>0.95</v>
      </c>
      <c r="H41" s="80">
        <f t="shared" si="8"/>
        <v>6.8245902043498008E-2</v>
      </c>
      <c r="I41" s="212">
        <f t="shared" si="9"/>
        <v>36847</v>
      </c>
      <c r="J41" s="212">
        <f t="shared" si="6"/>
        <v>36847</v>
      </c>
      <c r="K41" s="182">
        <f t="shared" si="10"/>
        <v>5</v>
      </c>
      <c r="L41" s="182">
        <f t="shared" si="1"/>
        <v>1</v>
      </c>
      <c r="M41" s="182">
        <f t="shared" si="2"/>
        <v>17</v>
      </c>
      <c r="N41" s="107">
        <f>IF($L41=0,0,_xll.SPRDOPT($B41,$C41,$D41,$H41,$E41,$F41,$G41,$M41,$B$7,0))</f>
        <v>0.2143603808774846</v>
      </c>
      <c r="O41" s="107">
        <f>IF($L41=0,0,_xll.SPRDOPT($B41,$C41,$D41,$H41,$E41,$F41,$G41,$M41,$B$7,1))</f>
        <v>0.52467144938319021</v>
      </c>
      <c r="Q41" s="82"/>
      <c r="R41" s="82"/>
      <c r="S41" s="170"/>
      <c r="V41" s="108"/>
      <c r="W41" s="109"/>
      <c r="X41" s="109"/>
      <c r="Y41" s="109"/>
      <c r="Z41" s="109"/>
      <c r="AA41" s="109"/>
      <c r="AC41" s="108"/>
      <c r="AD41" s="109"/>
      <c r="AE41" s="109"/>
      <c r="AF41" s="109"/>
      <c r="AG41" s="109"/>
      <c r="AH41" s="109"/>
      <c r="AI41" s="128"/>
      <c r="AJ41" s="109"/>
      <c r="AK41" s="128"/>
      <c r="AL41" s="99"/>
      <c r="AM41" s="99"/>
      <c r="AN41" s="99"/>
    </row>
    <row r="42" spans="1:40" x14ac:dyDescent="0.25">
      <c r="A42" s="170">
        <f t="shared" si="7"/>
        <v>18</v>
      </c>
      <c r="B42" s="102">
        <f t="shared" si="3"/>
        <v>5.0999999999999996</v>
      </c>
      <c r="C42" s="102">
        <f t="shared" si="3"/>
        <v>4.2</v>
      </c>
      <c r="D42" s="104">
        <f t="shared" si="4"/>
        <v>0.9</v>
      </c>
      <c r="E42" s="80">
        <f t="shared" si="0"/>
        <v>1.2</v>
      </c>
      <c r="F42" s="80">
        <f t="shared" si="0"/>
        <v>1</v>
      </c>
      <c r="G42" s="207">
        <f t="shared" si="5"/>
        <v>0.95</v>
      </c>
      <c r="H42" s="80">
        <f t="shared" si="8"/>
        <v>6.8245902043498008E-2</v>
      </c>
      <c r="I42" s="212">
        <f t="shared" si="9"/>
        <v>36848</v>
      </c>
      <c r="J42" s="212">
        <f t="shared" si="6"/>
        <v>36847</v>
      </c>
      <c r="K42" s="182">
        <f t="shared" si="10"/>
        <v>6</v>
      </c>
      <c r="L42" s="182">
        <f t="shared" si="1"/>
        <v>1</v>
      </c>
      <c r="M42" s="182">
        <f t="shared" si="2"/>
        <v>17</v>
      </c>
      <c r="N42" s="107">
        <f>IF($L42=0,0,_xll.SPRDOPT($B42,$C42,$D42,$H42,$E42,$F42,$G42,$M42,$B$7,0))</f>
        <v>0.2143603808774846</v>
      </c>
      <c r="O42" s="107">
        <f>IF($L42=0,0,_xll.SPRDOPT($B42,$C42,$D42,$H42,$E42,$F42,$G42,$M42,$B$7,1))</f>
        <v>0.52467144938319021</v>
      </c>
      <c r="Q42" s="82"/>
      <c r="R42" s="82"/>
      <c r="S42" s="170"/>
      <c r="V42" s="108"/>
      <c r="W42" s="109"/>
      <c r="X42" s="109"/>
      <c r="Y42" s="109"/>
      <c r="Z42" s="109"/>
      <c r="AA42" s="109"/>
      <c r="AC42" s="108"/>
      <c r="AD42" s="109"/>
      <c r="AE42" s="109"/>
      <c r="AF42" s="109"/>
      <c r="AG42" s="109"/>
      <c r="AH42" s="109"/>
      <c r="AI42" s="128"/>
      <c r="AJ42" s="109"/>
      <c r="AK42" s="128"/>
      <c r="AL42" s="99"/>
      <c r="AM42" s="99"/>
      <c r="AN42" s="99"/>
    </row>
    <row r="43" spans="1:40" x14ac:dyDescent="0.25">
      <c r="A43" s="170">
        <f t="shared" si="7"/>
        <v>19</v>
      </c>
      <c r="B43" s="102">
        <f t="shared" si="3"/>
        <v>5.0999999999999996</v>
      </c>
      <c r="C43" s="102">
        <f t="shared" si="3"/>
        <v>4.2</v>
      </c>
      <c r="D43" s="104">
        <f t="shared" si="4"/>
        <v>0.9</v>
      </c>
      <c r="E43" s="80">
        <f t="shared" si="0"/>
        <v>1.2</v>
      </c>
      <c r="F43" s="80">
        <f t="shared" si="0"/>
        <v>1</v>
      </c>
      <c r="G43" s="207">
        <f t="shared" si="5"/>
        <v>0.95</v>
      </c>
      <c r="H43" s="80">
        <f t="shared" si="8"/>
        <v>6.8245902043498008E-2</v>
      </c>
      <c r="I43" s="212">
        <f t="shared" si="9"/>
        <v>36849</v>
      </c>
      <c r="J43" s="212">
        <f t="shared" si="6"/>
        <v>36847</v>
      </c>
      <c r="K43" s="182">
        <f t="shared" si="10"/>
        <v>7</v>
      </c>
      <c r="L43" s="182">
        <f t="shared" si="1"/>
        <v>1</v>
      </c>
      <c r="M43" s="182">
        <f t="shared" si="2"/>
        <v>17</v>
      </c>
      <c r="N43" s="107">
        <f>IF($L43=0,0,_xll.SPRDOPT($B43,$C43,$D43,$H43,$E43,$F43,$G43,$M43,$B$7,0))</f>
        <v>0.2143603808774846</v>
      </c>
      <c r="O43" s="107">
        <f>IF($L43=0,0,_xll.SPRDOPT($B43,$C43,$D43,$H43,$E43,$F43,$G43,$M43,$B$7,1))</f>
        <v>0.52467144938319021</v>
      </c>
      <c r="Q43" s="82"/>
      <c r="R43" s="82"/>
      <c r="S43" s="170"/>
      <c r="V43" s="108"/>
      <c r="W43" s="109"/>
      <c r="X43" s="109"/>
      <c r="Y43" s="109"/>
      <c r="Z43" s="109"/>
      <c r="AA43" s="109"/>
      <c r="AC43" s="108"/>
      <c r="AD43" s="109"/>
      <c r="AE43" s="109"/>
      <c r="AF43" s="109"/>
      <c r="AG43" s="109"/>
      <c r="AH43" s="109"/>
      <c r="AI43" s="128"/>
      <c r="AJ43" s="109"/>
      <c r="AK43" s="128"/>
      <c r="AL43" s="99"/>
      <c r="AM43" s="99"/>
      <c r="AN43" s="99"/>
    </row>
    <row r="44" spans="1:40" x14ac:dyDescent="0.25">
      <c r="A44" s="170">
        <f t="shared" si="7"/>
        <v>20</v>
      </c>
      <c r="B44" s="102">
        <f t="shared" si="3"/>
        <v>5.0999999999999996</v>
      </c>
      <c r="C44" s="102">
        <f t="shared" si="3"/>
        <v>4.2</v>
      </c>
      <c r="D44" s="104">
        <f t="shared" si="4"/>
        <v>0.9</v>
      </c>
      <c r="E44" s="80">
        <f t="shared" si="0"/>
        <v>1.2</v>
      </c>
      <c r="F44" s="80">
        <f t="shared" si="0"/>
        <v>1</v>
      </c>
      <c r="G44" s="207">
        <f t="shared" si="5"/>
        <v>0.95</v>
      </c>
      <c r="H44" s="80">
        <f t="shared" si="8"/>
        <v>6.8245902043498008E-2</v>
      </c>
      <c r="I44" s="212">
        <f t="shared" si="9"/>
        <v>36850</v>
      </c>
      <c r="J44" s="212">
        <f t="shared" si="6"/>
        <v>36850</v>
      </c>
      <c r="K44" s="182">
        <f t="shared" si="10"/>
        <v>1</v>
      </c>
      <c r="L44" s="182">
        <f t="shared" si="1"/>
        <v>1</v>
      </c>
      <c r="M44" s="182">
        <f t="shared" si="2"/>
        <v>20</v>
      </c>
      <c r="N44" s="107">
        <f>IF($L44=0,0,_xll.SPRDOPT($B44,$C44,$D44,$H44,$E44,$F44,$G44,$M44,$B$7,0))</f>
        <v>0.23232987332311977</v>
      </c>
      <c r="O44" s="107">
        <f>IF($L44=0,0,_xll.SPRDOPT($B44,$C44,$D44,$H44,$E44,$F44,$G44,$M44,$B$7,1))</f>
        <v>0.52658476471627502</v>
      </c>
      <c r="Q44" s="82"/>
      <c r="R44" s="82"/>
      <c r="S44" s="170"/>
      <c r="V44" s="108"/>
      <c r="W44" s="109"/>
      <c r="X44" s="109"/>
      <c r="Y44" s="109"/>
      <c r="Z44" s="109"/>
      <c r="AA44" s="109"/>
      <c r="AC44" s="108"/>
      <c r="AD44" s="109"/>
      <c r="AE44" s="109"/>
      <c r="AF44" s="109"/>
      <c r="AG44" s="109"/>
      <c r="AH44" s="109"/>
      <c r="AI44" s="128"/>
      <c r="AJ44" s="109"/>
      <c r="AK44" s="128"/>
      <c r="AL44" s="99"/>
      <c r="AM44" s="99"/>
      <c r="AN44" s="99"/>
    </row>
    <row r="45" spans="1:40" x14ac:dyDescent="0.25">
      <c r="A45" s="170">
        <f t="shared" si="7"/>
        <v>21</v>
      </c>
      <c r="B45" s="102">
        <f t="shared" si="3"/>
        <v>5.0999999999999996</v>
      </c>
      <c r="C45" s="102">
        <f t="shared" si="3"/>
        <v>4.2</v>
      </c>
      <c r="D45" s="104">
        <f t="shared" si="4"/>
        <v>0.9</v>
      </c>
      <c r="E45" s="80">
        <f t="shared" si="0"/>
        <v>1.2</v>
      </c>
      <c r="F45" s="80">
        <f t="shared" si="0"/>
        <v>1</v>
      </c>
      <c r="G45" s="207">
        <f t="shared" si="5"/>
        <v>0.95</v>
      </c>
      <c r="H45" s="80">
        <f t="shared" si="8"/>
        <v>6.8245902043498008E-2</v>
      </c>
      <c r="I45" s="212">
        <f t="shared" si="9"/>
        <v>36851</v>
      </c>
      <c r="J45" s="212">
        <f t="shared" si="6"/>
        <v>36851</v>
      </c>
      <c r="K45" s="182">
        <f t="shared" si="10"/>
        <v>2</v>
      </c>
      <c r="L45" s="182">
        <f t="shared" si="1"/>
        <v>1</v>
      </c>
      <c r="M45" s="182">
        <f t="shared" si="2"/>
        <v>21</v>
      </c>
      <c r="N45" s="107">
        <f>IF($L45=0,0,_xll.SPRDOPT($B45,$C45,$D45,$H45,$E45,$F45,$G45,$M45,$B$7,0))</f>
        <v>0.23800699233158626</v>
      </c>
      <c r="O45" s="107">
        <f>IF($L45=0,0,_xll.SPRDOPT($B45,$C45,$D45,$H45,$E45,$F45,$G45,$M45,$B$7,1))</f>
        <v>0.52718399762145751</v>
      </c>
      <c r="Q45" s="82"/>
      <c r="R45" s="82"/>
      <c r="S45" s="170"/>
      <c r="V45" s="108"/>
      <c r="W45" s="109"/>
      <c r="X45" s="109"/>
      <c r="Y45" s="109"/>
      <c r="Z45" s="109"/>
      <c r="AA45" s="109"/>
      <c r="AC45" s="108"/>
      <c r="AD45" s="109"/>
      <c r="AE45" s="109"/>
      <c r="AF45" s="109"/>
      <c r="AG45" s="109"/>
      <c r="AH45" s="109"/>
      <c r="AI45" s="128"/>
      <c r="AJ45" s="109"/>
      <c r="AK45" s="128"/>
      <c r="AL45" s="99"/>
      <c r="AM45" s="99"/>
      <c r="AN45" s="99"/>
    </row>
    <row r="46" spans="1:40" x14ac:dyDescent="0.25">
      <c r="A46" s="170">
        <f t="shared" si="7"/>
        <v>22</v>
      </c>
      <c r="B46" s="102">
        <f t="shared" si="3"/>
        <v>5.0999999999999996</v>
      </c>
      <c r="C46" s="102">
        <f t="shared" si="3"/>
        <v>4.2</v>
      </c>
      <c r="D46" s="104">
        <f t="shared" si="4"/>
        <v>0.9</v>
      </c>
      <c r="E46" s="80">
        <f t="shared" si="0"/>
        <v>1.2</v>
      </c>
      <c r="F46" s="80">
        <f t="shared" si="0"/>
        <v>1</v>
      </c>
      <c r="G46" s="207">
        <f t="shared" si="5"/>
        <v>0.95</v>
      </c>
      <c r="H46" s="80">
        <f t="shared" si="8"/>
        <v>6.8245902043498008E-2</v>
      </c>
      <c r="I46" s="212">
        <f t="shared" si="9"/>
        <v>36852</v>
      </c>
      <c r="J46" s="212">
        <f t="shared" si="6"/>
        <v>36852</v>
      </c>
      <c r="K46" s="182">
        <f t="shared" si="10"/>
        <v>3</v>
      </c>
      <c r="L46" s="182">
        <f t="shared" si="1"/>
        <v>1</v>
      </c>
      <c r="M46" s="182">
        <f t="shared" si="2"/>
        <v>22</v>
      </c>
      <c r="N46" s="107">
        <f>IF($L46=0,0,_xll.SPRDOPT($B46,$C46,$D46,$H46,$E46,$F46,$G46,$M46,$B$7,0))</f>
        <v>0.24354623878204285</v>
      </c>
      <c r="O46" s="107">
        <f>IF($L46=0,0,_xll.SPRDOPT($B46,$C46,$D46,$H46,$E46,$F46,$G46,$M46,$B$7,1))</f>
        <v>0.52776623379961474</v>
      </c>
      <c r="Q46" s="82"/>
      <c r="R46" s="82"/>
      <c r="S46" s="170"/>
      <c r="V46" s="108"/>
      <c r="W46" s="109"/>
      <c r="X46" s="109"/>
      <c r="Y46" s="109"/>
      <c r="Z46" s="109"/>
      <c r="AA46" s="109"/>
      <c r="AC46" s="108"/>
      <c r="AD46" s="109"/>
      <c r="AE46" s="109"/>
      <c r="AF46" s="109"/>
      <c r="AG46" s="109"/>
      <c r="AH46" s="109"/>
      <c r="AI46" s="128"/>
      <c r="AJ46" s="109"/>
      <c r="AK46" s="128"/>
      <c r="AL46" s="99"/>
      <c r="AM46" s="99"/>
      <c r="AN46" s="99"/>
    </row>
    <row r="47" spans="1:40" x14ac:dyDescent="0.25">
      <c r="A47" s="170">
        <f t="shared" si="7"/>
        <v>23</v>
      </c>
      <c r="B47" s="102">
        <f t="shared" si="3"/>
        <v>5.0999999999999996</v>
      </c>
      <c r="C47" s="102">
        <f t="shared" si="3"/>
        <v>4.2</v>
      </c>
      <c r="D47" s="104">
        <f t="shared" si="4"/>
        <v>0.9</v>
      </c>
      <c r="E47" s="80">
        <f t="shared" si="0"/>
        <v>1.2</v>
      </c>
      <c r="F47" s="80">
        <f t="shared" si="0"/>
        <v>1</v>
      </c>
      <c r="G47" s="207">
        <f t="shared" si="5"/>
        <v>0.95</v>
      </c>
      <c r="H47" s="80">
        <f t="shared" si="8"/>
        <v>6.8245902043498008E-2</v>
      </c>
      <c r="I47" s="212">
        <f t="shared" si="9"/>
        <v>36853</v>
      </c>
      <c r="J47" s="212">
        <f t="shared" si="6"/>
        <v>36853</v>
      </c>
      <c r="K47" s="182">
        <f t="shared" si="10"/>
        <v>4</v>
      </c>
      <c r="L47" s="182">
        <f t="shared" si="1"/>
        <v>1</v>
      </c>
      <c r="M47" s="182">
        <f t="shared" si="2"/>
        <v>23</v>
      </c>
      <c r="N47" s="107">
        <f>IF($L47=0,0,_xll.SPRDOPT($B47,$C47,$D47,$H47,$E47,$F47,$G47,$M47,$B$7,0))</f>
        <v>0.24895681835543834</v>
      </c>
      <c r="O47" s="107">
        <f>IF($L47=0,0,_xll.SPRDOPT($B47,$C47,$D47,$H47,$E47,$F47,$G47,$M47,$B$7,1))</f>
        <v>0.52833260565443485</v>
      </c>
      <c r="Q47" s="82"/>
      <c r="R47" s="82"/>
      <c r="S47" s="170"/>
      <c r="V47" s="108"/>
      <c r="W47" s="109"/>
      <c r="X47" s="109"/>
      <c r="Y47" s="109"/>
      <c r="Z47" s="109"/>
      <c r="AA47" s="109"/>
      <c r="AC47" s="108"/>
      <c r="AD47" s="109"/>
      <c r="AE47" s="109"/>
      <c r="AF47" s="109"/>
      <c r="AG47" s="109"/>
      <c r="AH47" s="109"/>
      <c r="AI47" s="128"/>
      <c r="AJ47" s="109"/>
      <c r="AK47" s="128"/>
      <c r="AL47" s="99"/>
      <c r="AM47" s="99"/>
      <c r="AN47" s="99"/>
    </row>
    <row r="48" spans="1:40" x14ac:dyDescent="0.25">
      <c r="A48" s="170">
        <f t="shared" si="7"/>
        <v>24</v>
      </c>
      <c r="B48" s="102">
        <f t="shared" si="3"/>
        <v>5.0999999999999996</v>
      </c>
      <c r="C48" s="102">
        <f t="shared" si="3"/>
        <v>4.2</v>
      </c>
      <c r="D48" s="104">
        <f t="shared" si="4"/>
        <v>0.9</v>
      </c>
      <c r="E48" s="80">
        <f t="shared" si="0"/>
        <v>1.2</v>
      </c>
      <c r="F48" s="80">
        <f t="shared" si="0"/>
        <v>1</v>
      </c>
      <c r="G48" s="207">
        <f t="shared" si="5"/>
        <v>0.95</v>
      </c>
      <c r="H48" s="80">
        <f t="shared" si="8"/>
        <v>6.8245902043498008E-2</v>
      </c>
      <c r="I48" s="212">
        <f t="shared" si="9"/>
        <v>36854</v>
      </c>
      <c r="J48" s="212">
        <f t="shared" si="6"/>
        <v>36854</v>
      </c>
      <c r="K48" s="182">
        <f t="shared" si="10"/>
        <v>5</v>
      </c>
      <c r="L48" s="182">
        <f t="shared" si="1"/>
        <v>1</v>
      </c>
      <c r="M48" s="182">
        <f t="shared" si="2"/>
        <v>24</v>
      </c>
      <c r="N48" s="107">
        <f>IF($L48=0,0,_xll.SPRDOPT($B48,$C48,$D48,$H48,$E48,$F48,$G48,$M48,$B$7,0))</f>
        <v>0.25424695044604229</v>
      </c>
      <c r="O48" s="107">
        <f>IF($L48=0,0,_xll.SPRDOPT($B48,$C48,$D48,$H48,$E48,$F48,$G48,$M48,$B$7,1))</f>
        <v>0.52888412410018093</v>
      </c>
      <c r="Q48" s="82"/>
      <c r="R48" s="82"/>
      <c r="S48" s="170"/>
      <c r="V48" s="108"/>
      <c r="W48" s="109"/>
      <c r="X48" s="109"/>
      <c r="Y48" s="109"/>
      <c r="Z48" s="109"/>
      <c r="AA48" s="109"/>
      <c r="AC48" s="108"/>
      <c r="AD48" s="109"/>
      <c r="AE48" s="109"/>
      <c r="AF48" s="109"/>
      <c r="AG48" s="109"/>
      <c r="AH48" s="109"/>
      <c r="AI48" s="128"/>
      <c r="AJ48" s="109"/>
      <c r="AK48" s="128"/>
      <c r="AL48" s="99"/>
      <c r="AM48" s="99"/>
      <c r="AN48" s="99"/>
    </row>
    <row r="49" spans="1:40" x14ac:dyDescent="0.25">
      <c r="A49" s="170">
        <f t="shared" si="7"/>
        <v>25</v>
      </c>
      <c r="B49" s="102">
        <f t="shared" si="3"/>
        <v>5.0999999999999996</v>
      </c>
      <c r="C49" s="102">
        <f t="shared" si="3"/>
        <v>4.2</v>
      </c>
      <c r="D49" s="104">
        <f t="shared" si="4"/>
        <v>0.9</v>
      </c>
      <c r="E49" s="80">
        <f t="shared" si="0"/>
        <v>1.2</v>
      </c>
      <c r="F49" s="80">
        <f t="shared" si="0"/>
        <v>1</v>
      </c>
      <c r="G49" s="207">
        <f t="shared" si="5"/>
        <v>0.95</v>
      </c>
      <c r="H49" s="80">
        <f t="shared" si="8"/>
        <v>6.8245902043498008E-2</v>
      </c>
      <c r="I49" s="212">
        <f t="shared" si="9"/>
        <v>36855</v>
      </c>
      <c r="J49" s="212">
        <f t="shared" si="6"/>
        <v>36854</v>
      </c>
      <c r="K49" s="182">
        <f t="shared" si="10"/>
        <v>6</v>
      </c>
      <c r="L49" s="182">
        <f t="shared" si="1"/>
        <v>1</v>
      </c>
      <c r="M49" s="182">
        <f t="shared" si="2"/>
        <v>24</v>
      </c>
      <c r="N49" s="107">
        <f>IF($L49=0,0,_xll.SPRDOPT($B49,$C49,$D49,$H49,$E49,$F49,$G49,$M49,$B$7,0))</f>
        <v>0.25424695044604229</v>
      </c>
      <c r="O49" s="107">
        <f>IF($L49=0,0,_xll.SPRDOPT($B49,$C49,$D49,$H49,$E49,$F49,$G49,$M49,$B$7,1))</f>
        <v>0.52888412410018093</v>
      </c>
      <c r="Q49" s="82"/>
      <c r="R49" s="82"/>
      <c r="S49" s="170"/>
      <c r="V49" s="108"/>
      <c r="W49" s="109"/>
      <c r="X49" s="109"/>
      <c r="Y49" s="109"/>
      <c r="Z49" s="109"/>
      <c r="AA49" s="109"/>
      <c r="AC49" s="108"/>
      <c r="AD49" s="109"/>
      <c r="AE49" s="109"/>
      <c r="AF49" s="109"/>
      <c r="AG49" s="109"/>
      <c r="AH49" s="109"/>
      <c r="AI49" s="128"/>
      <c r="AJ49" s="109"/>
      <c r="AK49" s="128"/>
      <c r="AL49" s="99"/>
      <c r="AM49" s="99"/>
      <c r="AN49" s="99"/>
    </row>
    <row r="50" spans="1:40" x14ac:dyDescent="0.25">
      <c r="A50" s="170">
        <f t="shared" si="7"/>
        <v>26</v>
      </c>
      <c r="B50" s="102">
        <f t="shared" si="3"/>
        <v>5.0999999999999996</v>
      </c>
      <c r="C50" s="102">
        <f t="shared" si="3"/>
        <v>4.2</v>
      </c>
      <c r="D50" s="104">
        <f t="shared" si="4"/>
        <v>0.9</v>
      </c>
      <c r="E50" s="80">
        <f t="shared" si="0"/>
        <v>1.2</v>
      </c>
      <c r="F50" s="80">
        <f t="shared" si="0"/>
        <v>1</v>
      </c>
      <c r="G50" s="207">
        <f t="shared" si="5"/>
        <v>0.95</v>
      </c>
      <c r="H50" s="80">
        <f t="shared" si="8"/>
        <v>6.8245902043498008E-2</v>
      </c>
      <c r="I50" s="212">
        <f t="shared" si="9"/>
        <v>36856</v>
      </c>
      <c r="J50" s="212">
        <f t="shared" si="6"/>
        <v>36854</v>
      </c>
      <c r="K50" s="182">
        <f t="shared" si="10"/>
        <v>7</v>
      </c>
      <c r="L50" s="182">
        <f t="shared" si="1"/>
        <v>1</v>
      </c>
      <c r="M50" s="182">
        <f t="shared" si="2"/>
        <v>24</v>
      </c>
      <c r="N50" s="107">
        <f>IF($L50=0,0,_xll.SPRDOPT($B50,$C50,$D50,$H50,$E50,$F50,$G50,$M50,$B$7,0))</f>
        <v>0.25424695044604229</v>
      </c>
      <c r="O50" s="107">
        <f>IF($L50=0,0,_xll.SPRDOPT($B50,$C50,$D50,$H50,$E50,$F50,$G50,$M50,$B$7,1))</f>
        <v>0.52888412410018093</v>
      </c>
      <c r="Q50" s="82"/>
      <c r="R50" s="82"/>
      <c r="S50" s="170"/>
      <c r="V50" s="108"/>
      <c r="W50" s="109"/>
      <c r="X50" s="109"/>
      <c r="Y50" s="109"/>
      <c r="Z50" s="109"/>
      <c r="AA50" s="109"/>
      <c r="AC50" s="108"/>
      <c r="AD50" s="109"/>
      <c r="AE50" s="109"/>
      <c r="AF50" s="109"/>
      <c r="AG50" s="109"/>
      <c r="AH50" s="109"/>
      <c r="AI50" s="128"/>
      <c r="AJ50" s="109"/>
      <c r="AK50" s="128"/>
      <c r="AL50" s="99"/>
      <c r="AM50" s="99"/>
      <c r="AN50" s="99"/>
    </row>
    <row r="51" spans="1:40" x14ac:dyDescent="0.25">
      <c r="A51" s="170">
        <f t="shared" si="7"/>
        <v>27</v>
      </c>
      <c r="B51" s="102">
        <f t="shared" si="3"/>
        <v>5.0999999999999996</v>
      </c>
      <c r="C51" s="102">
        <f t="shared" si="3"/>
        <v>4.2</v>
      </c>
      <c r="D51" s="104">
        <f t="shared" si="4"/>
        <v>0.9</v>
      </c>
      <c r="E51" s="80">
        <f t="shared" si="0"/>
        <v>1.2</v>
      </c>
      <c r="F51" s="80">
        <f t="shared" si="0"/>
        <v>1</v>
      </c>
      <c r="G51" s="207">
        <f t="shared" si="5"/>
        <v>0.95</v>
      </c>
      <c r="H51" s="80">
        <f t="shared" si="8"/>
        <v>6.8245902043498008E-2</v>
      </c>
      <c r="I51" s="212">
        <f t="shared" si="9"/>
        <v>36857</v>
      </c>
      <c r="J51" s="212">
        <f t="shared" si="6"/>
        <v>36857</v>
      </c>
      <c r="K51" s="182">
        <f t="shared" si="10"/>
        <v>1</v>
      </c>
      <c r="L51" s="182">
        <f t="shared" si="1"/>
        <v>1</v>
      </c>
      <c r="M51" s="182">
        <f t="shared" si="2"/>
        <v>27</v>
      </c>
      <c r="N51" s="107">
        <f>IF($L51=0,0,_xll.SPRDOPT($B51,$C51,$D51,$H51,$E51,$F51,$G51,$M51,$B$7,0))</f>
        <v>0.26946484427806205</v>
      </c>
      <c r="O51" s="107">
        <f>IF($L51=0,0,_xll.SPRDOPT($B51,$C51,$D51,$H51,$E51,$F51,$G51,$M51,$B$7,1))</f>
        <v>0.53045819269025773</v>
      </c>
      <c r="Q51" s="82"/>
      <c r="R51" s="82"/>
      <c r="S51" s="170"/>
      <c r="V51" s="108"/>
      <c r="W51" s="109"/>
      <c r="X51" s="109"/>
      <c r="Y51" s="109"/>
      <c r="Z51" s="109"/>
      <c r="AA51" s="109"/>
      <c r="AC51" s="108"/>
      <c r="AD51" s="109"/>
      <c r="AE51" s="109"/>
      <c r="AF51" s="109"/>
      <c r="AG51" s="109"/>
      <c r="AH51" s="109"/>
      <c r="AI51" s="128"/>
      <c r="AJ51" s="109"/>
      <c r="AK51" s="128"/>
      <c r="AL51" s="99"/>
      <c r="AM51" s="99"/>
      <c r="AN51" s="99"/>
    </row>
    <row r="52" spans="1:40" x14ac:dyDescent="0.25">
      <c r="A52" s="170">
        <f t="shared" si="7"/>
        <v>28</v>
      </c>
      <c r="B52" s="102">
        <f t="shared" si="3"/>
        <v>5.0999999999999996</v>
      </c>
      <c r="C52" s="102">
        <f t="shared" si="3"/>
        <v>4.2</v>
      </c>
      <c r="D52" s="104">
        <f t="shared" si="4"/>
        <v>0.9</v>
      </c>
      <c r="E52" s="80">
        <f t="shared" si="0"/>
        <v>1.2</v>
      </c>
      <c r="F52" s="80">
        <f t="shared" si="0"/>
        <v>1</v>
      </c>
      <c r="G52" s="207">
        <f t="shared" si="5"/>
        <v>0.95</v>
      </c>
      <c r="H52" s="80">
        <f t="shared" si="8"/>
        <v>6.8245902043498008E-2</v>
      </c>
      <c r="I52" s="212">
        <f t="shared" si="9"/>
        <v>36858</v>
      </c>
      <c r="J52" s="212">
        <f t="shared" si="6"/>
        <v>36858</v>
      </c>
      <c r="K52" s="182">
        <f t="shared" si="10"/>
        <v>2</v>
      </c>
      <c r="L52" s="182">
        <f t="shared" si="1"/>
        <v>1</v>
      </c>
      <c r="M52" s="182">
        <f t="shared" si="2"/>
        <v>28</v>
      </c>
      <c r="N52" s="107">
        <f>IF($L52=0,0,_xll.SPRDOPT($B52,$C52,$D52,$H52,$E52,$F52,$G52,$M52,$B$7,0))</f>
        <v>0.27434009754647981</v>
      </c>
      <c r="O52" s="107">
        <f>IF($L52=0,0,_xll.SPRDOPT($B52,$C52,$D52,$H52,$E52,$F52,$G52,$M52,$B$7,1))</f>
        <v>0.53095852919711717</v>
      </c>
      <c r="Q52" s="82"/>
      <c r="R52" s="82"/>
      <c r="S52" s="170"/>
      <c r="V52" s="108"/>
      <c r="W52" s="109"/>
      <c r="X52" s="109"/>
      <c r="Y52" s="109"/>
      <c r="Z52" s="109"/>
      <c r="AA52" s="109"/>
      <c r="AC52" s="108"/>
      <c r="AD52" s="109"/>
      <c r="AE52" s="109"/>
      <c r="AF52" s="109"/>
      <c r="AG52" s="109"/>
      <c r="AH52" s="109"/>
      <c r="AI52" s="128"/>
      <c r="AJ52" s="109"/>
      <c r="AK52" s="128"/>
      <c r="AL52" s="99"/>
      <c r="AM52" s="99"/>
      <c r="AN52" s="99"/>
    </row>
    <row r="53" spans="1:40" x14ac:dyDescent="0.25">
      <c r="A53" s="170">
        <f t="shared" si="7"/>
        <v>29</v>
      </c>
      <c r="B53" s="102">
        <f t="shared" si="3"/>
        <v>5.0999999999999996</v>
      </c>
      <c r="C53" s="102">
        <f t="shared" si="3"/>
        <v>4.2</v>
      </c>
      <c r="D53" s="104">
        <f t="shared" si="4"/>
        <v>0.9</v>
      </c>
      <c r="E53" s="80">
        <f t="shared" si="0"/>
        <v>1.2</v>
      </c>
      <c r="F53" s="80">
        <f t="shared" si="0"/>
        <v>1</v>
      </c>
      <c r="G53" s="207">
        <f t="shared" si="5"/>
        <v>0.95</v>
      </c>
      <c r="H53" s="80">
        <f t="shared" si="8"/>
        <v>6.8245902043498008E-2</v>
      </c>
      <c r="I53" s="212">
        <f t="shared" si="9"/>
        <v>36859</v>
      </c>
      <c r="J53" s="212">
        <f t="shared" si="6"/>
        <v>36859</v>
      </c>
      <c r="K53" s="182">
        <f t="shared" si="10"/>
        <v>3</v>
      </c>
      <c r="L53" s="182">
        <f t="shared" si="1"/>
        <v>1</v>
      </c>
      <c r="M53" s="182">
        <f t="shared" si="2"/>
        <v>29</v>
      </c>
      <c r="N53" s="107">
        <f>IF($L53=0,0,_xll.SPRDOPT($B53,$C53,$D53,$H53,$E53,$F53,$G53,$M53,$B$7,0))</f>
        <v>0.27912537454344338</v>
      </c>
      <c r="O53" s="107">
        <f>IF($L53=0,0,_xll.SPRDOPT($B53,$C53,$D53,$H53,$E53,$F53,$G53,$M53,$B$7,1))</f>
        <v>0.53144776138802552</v>
      </c>
      <c r="Q53" s="82"/>
      <c r="R53" s="82"/>
      <c r="S53" s="170"/>
      <c r="V53" s="108"/>
      <c r="W53" s="109"/>
      <c r="X53" s="109"/>
      <c r="Y53" s="109"/>
      <c r="Z53" s="109"/>
      <c r="AA53" s="109"/>
      <c r="AC53" s="108"/>
      <c r="AD53" s="109"/>
      <c r="AE53" s="109"/>
      <c r="AF53" s="109"/>
      <c r="AG53" s="109"/>
      <c r="AH53" s="109"/>
      <c r="AI53" s="128"/>
      <c r="AJ53" s="109"/>
      <c r="AK53" s="128"/>
      <c r="AL53" s="99"/>
      <c r="AM53" s="99"/>
      <c r="AN53" s="99"/>
    </row>
    <row r="54" spans="1:40" x14ac:dyDescent="0.25">
      <c r="A54" s="170">
        <f t="shared" si="7"/>
        <v>30</v>
      </c>
      <c r="B54" s="102">
        <f t="shared" si="3"/>
        <v>5.0999999999999996</v>
      </c>
      <c r="C54" s="102">
        <f t="shared" si="3"/>
        <v>4.2</v>
      </c>
      <c r="D54" s="104">
        <f t="shared" si="4"/>
        <v>0.9</v>
      </c>
      <c r="E54" s="80">
        <f t="shared" si="0"/>
        <v>1.2</v>
      </c>
      <c r="F54" s="80">
        <f t="shared" si="0"/>
        <v>1</v>
      </c>
      <c r="G54" s="207">
        <f t="shared" si="5"/>
        <v>0.95</v>
      </c>
      <c r="H54" s="80">
        <f t="shared" si="8"/>
        <v>6.8245902043498008E-2</v>
      </c>
      <c r="I54" s="212">
        <f t="shared" si="9"/>
        <v>36860</v>
      </c>
      <c r="J54" s="212">
        <f t="shared" si="6"/>
        <v>36860</v>
      </c>
      <c r="K54" s="182">
        <f t="shared" si="10"/>
        <v>4</v>
      </c>
      <c r="L54" s="182">
        <f t="shared" si="1"/>
        <v>1</v>
      </c>
      <c r="M54" s="182">
        <f t="shared" si="2"/>
        <v>30</v>
      </c>
      <c r="N54" s="107">
        <f>IF($L54=0,0,_xll.SPRDOPT($B54,$C54,$D54,$H54,$E54,$F54,$G54,$M54,$B$7,0))</f>
        <v>0.28382523027686579</v>
      </c>
      <c r="O54" s="107">
        <f>IF($L54=0,0,_xll.SPRDOPT($B54,$C54,$D54,$H54,$E54,$F54,$G54,$M54,$B$7,1))</f>
        <v>0.53192644990655036</v>
      </c>
      <c r="Q54" s="82"/>
      <c r="R54" s="82"/>
      <c r="S54" s="170"/>
      <c r="V54" s="108"/>
      <c r="W54" s="109"/>
      <c r="X54" s="109"/>
      <c r="Y54" s="109"/>
      <c r="Z54" s="109"/>
      <c r="AA54" s="109"/>
      <c r="AC54" s="108"/>
      <c r="AD54" s="109"/>
      <c r="AE54" s="109"/>
      <c r="AF54" s="109"/>
      <c r="AG54" s="109"/>
      <c r="AH54" s="109"/>
      <c r="AI54" s="128"/>
      <c r="AJ54" s="109"/>
      <c r="AK54" s="128"/>
      <c r="AL54" s="99"/>
      <c r="AM54" s="99"/>
      <c r="AN54" s="99"/>
    </row>
    <row r="55" spans="1:40" x14ac:dyDescent="0.25">
      <c r="A55" s="170">
        <f t="shared" si="7"/>
        <v>31</v>
      </c>
      <c r="B55" s="102">
        <f t="shared" si="3"/>
        <v>5.0999999999999996</v>
      </c>
      <c r="C55" s="102">
        <f t="shared" si="3"/>
        <v>4.2</v>
      </c>
      <c r="D55" s="104">
        <f t="shared" si="4"/>
        <v>0.9</v>
      </c>
      <c r="E55" s="80">
        <f t="shared" si="0"/>
        <v>1.2</v>
      </c>
      <c r="F55" s="80">
        <f t="shared" si="0"/>
        <v>1</v>
      </c>
      <c r="G55" s="207">
        <f t="shared" si="5"/>
        <v>0.95</v>
      </c>
      <c r="H55" s="80">
        <f t="shared" si="8"/>
        <v>6.8245902043498008E-2</v>
      </c>
      <c r="I55" s="212">
        <f t="shared" si="9"/>
        <v>36861</v>
      </c>
      <c r="J55" s="212">
        <f t="shared" si="6"/>
        <v>36861</v>
      </c>
      <c r="K55" s="182">
        <f t="shared" si="10"/>
        <v>5</v>
      </c>
      <c r="L55" s="182">
        <f t="shared" si="1"/>
        <v>0</v>
      </c>
      <c r="M55" s="182">
        <f t="shared" si="2"/>
        <v>31</v>
      </c>
      <c r="N55" s="107">
        <f>IF($L55=0,0,_xll.SPRDOPT($B55,$C55,$D55,$H55,$E55,$F55,$G55,$M55,$B$7,0))</f>
        <v>0</v>
      </c>
      <c r="O55" s="107">
        <f>IF($L55=0,0,_xll.SPRDOPT($B55,$C55,$D55,$H55,$E55,$F55,$G55,$M55,$B$7,1))</f>
        <v>0</v>
      </c>
      <c r="Q55" s="82"/>
      <c r="R55" s="82"/>
      <c r="S55" s="170"/>
      <c r="V55" s="108"/>
      <c r="W55" s="109"/>
      <c r="X55" s="109"/>
      <c r="Y55" s="109"/>
      <c r="Z55" s="109"/>
      <c r="AA55" s="109"/>
      <c r="AC55" s="108"/>
      <c r="AD55" s="109"/>
      <c r="AE55" s="109"/>
      <c r="AF55" s="109"/>
      <c r="AG55" s="109"/>
      <c r="AH55" s="109"/>
      <c r="AI55" s="128"/>
      <c r="AJ55" s="109"/>
      <c r="AK55" s="128"/>
      <c r="AL55" s="99"/>
      <c r="AM55" s="99"/>
      <c r="AN55" s="99"/>
    </row>
    <row r="56" spans="1:40" x14ac:dyDescent="0.25">
      <c r="A56" s="101">
        <f>DATE(YEAR(A55),MONTH(A55)+1,1)</f>
        <v>32</v>
      </c>
      <c r="B56" s="115"/>
      <c r="C56" s="134"/>
      <c r="E56" s="112"/>
      <c r="F56" s="112"/>
      <c r="G56" s="112"/>
      <c r="H56" s="114"/>
      <c r="I56" s="114"/>
      <c r="J56" s="114"/>
      <c r="K56" s="114"/>
      <c r="L56" s="114"/>
      <c r="M56" s="114"/>
      <c r="N56" s="114"/>
      <c r="O56" s="83"/>
      <c r="P56" s="83"/>
      <c r="Q56" s="84"/>
      <c r="R56" s="83"/>
      <c r="S56" s="84"/>
      <c r="T56" s="83"/>
    </row>
    <row r="57" spans="1:40" x14ac:dyDescent="0.25">
      <c r="A57" s="110"/>
      <c r="B57" s="115"/>
      <c r="C57" s="134"/>
      <c r="E57" s="112"/>
      <c r="F57" s="112"/>
      <c r="G57" s="112"/>
      <c r="H57" s="114"/>
      <c r="I57" s="114"/>
      <c r="J57" s="114"/>
      <c r="K57" s="114"/>
      <c r="L57" s="114"/>
      <c r="M57" s="114"/>
      <c r="N57" s="114"/>
      <c r="O57" s="83"/>
      <c r="P57" s="83"/>
      <c r="Q57" s="84"/>
      <c r="R57" s="83"/>
      <c r="S57" s="84"/>
      <c r="T57" s="83"/>
    </row>
    <row r="58" spans="1:40" x14ac:dyDescent="0.25">
      <c r="A58" s="110"/>
      <c r="B58" s="115"/>
      <c r="C58" s="134"/>
      <c r="E58" s="112"/>
      <c r="F58" s="112"/>
      <c r="G58" s="112"/>
      <c r="H58" s="114"/>
      <c r="I58" s="114"/>
      <c r="J58" s="114"/>
      <c r="K58" s="114"/>
      <c r="L58" s="114"/>
      <c r="M58" s="114"/>
      <c r="N58" s="114"/>
      <c r="O58" s="83"/>
      <c r="P58" s="83"/>
      <c r="Q58" s="84"/>
      <c r="R58" s="83"/>
      <c r="S58" s="84"/>
      <c r="T58" s="83"/>
    </row>
    <row r="59" spans="1:40" x14ac:dyDescent="0.25">
      <c r="A59" s="110"/>
      <c r="B59" s="115"/>
      <c r="C59" s="134"/>
      <c r="E59" s="112"/>
      <c r="F59" s="112"/>
      <c r="G59" s="112"/>
      <c r="H59" s="114"/>
      <c r="I59" s="114"/>
      <c r="J59" s="114"/>
      <c r="K59" s="114"/>
      <c r="L59" s="114"/>
      <c r="M59" s="114"/>
      <c r="N59" s="114"/>
      <c r="O59" s="83"/>
      <c r="P59" s="83"/>
      <c r="Q59" s="84"/>
      <c r="R59" s="83"/>
      <c r="S59" s="84"/>
      <c r="T59" s="83"/>
    </row>
    <row r="60" spans="1:40" x14ac:dyDescent="0.25">
      <c r="A60" s="110"/>
      <c r="B60" s="115"/>
      <c r="C60" s="134"/>
      <c r="E60" s="112"/>
      <c r="F60" s="112"/>
      <c r="G60" s="112"/>
      <c r="H60" s="114"/>
      <c r="I60" s="114"/>
      <c r="J60" s="114"/>
      <c r="K60" s="114"/>
      <c r="L60" s="114"/>
      <c r="M60" s="114"/>
      <c r="N60" s="114"/>
      <c r="O60" s="83"/>
      <c r="P60" s="83"/>
      <c r="Q60" s="84"/>
      <c r="R60" s="83"/>
      <c r="S60" s="84"/>
      <c r="T60" s="83"/>
    </row>
    <row r="61" spans="1:40" x14ac:dyDescent="0.25">
      <c r="A61" s="110"/>
      <c r="B61" s="115"/>
      <c r="C61" s="134"/>
      <c r="E61" s="112"/>
      <c r="F61" s="112"/>
      <c r="G61" s="112"/>
      <c r="H61" s="114"/>
      <c r="I61" s="114"/>
      <c r="J61" s="114"/>
      <c r="K61" s="114"/>
      <c r="L61" s="114"/>
      <c r="M61" s="114"/>
      <c r="N61" s="114"/>
      <c r="O61" s="83"/>
      <c r="P61" s="83"/>
      <c r="Q61" s="84"/>
      <c r="R61" s="83"/>
      <c r="S61" s="84"/>
      <c r="T61" s="83"/>
    </row>
    <row r="62" spans="1:40" x14ac:dyDescent="0.25">
      <c r="A62" s="110"/>
      <c r="B62" s="115"/>
      <c r="C62" s="134"/>
      <c r="E62" s="112"/>
      <c r="F62" s="112"/>
      <c r="G62" s="112"/>
      <c r="H62" s="114"/>
      <c r="I62" s="114"/>
      <c r="J62" s="114"/>
      <c r="K62" s="114"/>
      <c r="L62" s="114"/>
      <c r="M62" s="114"/>
      <c r="N62" s="114"/>
      <c r="O62" s="83"/>
      <c r="P62" s="83"/>
      <c r="Q62" s="84"/>
      <c r="R62" s="83"/>
      <c r="S62" s="84"/>
      <c r="T62" s="83"/>
    </row>
    <row r="63" spans="1:40" x14ac:dyDescent="0.25">
      <c r="A63" s="110"/>
      <c r="B63" s="115"/>
      <c r="C63" s="134"/>
      <c r="E63" s="112"/>
      <c r="F63" s="112"/>
      <c r="G63" s="112"/>
      <c r="H63" s="114"/>
      <c r="I63" s="114"/>
      <c r="J63" s="114"/>
      <c r="K63" s="114"/>
      <c r="L63" s="114"/>
      <c r="M63" s="114"/>
      <c r="N63" s="114"/>
      <c r="O63" s="83"/>
      <c r="P63" s="83"/>
      <c r="Q63" s="84"/>
      <c r="R63" s="83"/>
      <c r="S63" s="84"/>
      <c r="T63" s="83"/>
    </row>
    <row r="64" spans="1:40" x14ac:dyDescent="0.25">
      <c r="A64" s="110"/>
      <c r="B64" s="115"/>
      <c r="C64" s="134"/>
      <c r="E64" s="112"/>
      <c r="F64" s="112"/>
      <c r="G64" s="112"/>
      <c r="H64" s="114"/>
      <c r="I64" s="114"/>
      <c r="J64" s="114"/>
      <c r="K64" s="114"/>
      <c r="L64" s="114"/>
      <c r="M64" s="114"/>
      <c r="N64" s="114"/>
      <c r="O64" s="83"/>
      <c r="P64" s="83"/>
      <c r="Q64" s="84"/>
      <c r="R64" s="83"/>
      <c r="S64" s="84"/>
      <c r="T64" s="83"/>
    </row>
    <row r="65" spans="1:20" x14ac:dyDescent="0.25">
      <c r="A65" s="110"/>
      <c r="B65" s="115"/>
      <c r="C65" s="134"/>
      <c r="E65" s="112"/>
      <c r="F65" s="112"/>
      <c r="G65" s="112"/>
      <c r="H65" s="114"/>
      <c r="I65" s="114"/>
      <c r="J65" s="114"/>
      <c r="K65" s="114"/>
      <c r="L65" s="114"/>
      <c r="M65" s="114"/>
      <c r="N65" s="114"/>
      <c r="O65" s="83"/>
      <c r="P65" s="83"/>
      <c r="Q65" s="84"/>
      <c r="R65" s="83"/>
      <c r="S65" s="84"/>
      <c r="T65" s="83"/>
    </row>
    <row r="66" spans="1:20" x14ac:dyDescent="0.25">
      <c r="A66" s="110"/>
      <c r="B66" s="115"/>
      <c r="C66" s="134"/>
      <c r="E66" s="112"/>
      <c r="F66" s="112"/>
      <c r="G66" s="112"/>
      <c r="H66" s="114"/>
      <c r="I66" s="114"/>
      <c r="J66" s="114"/>
      <c r="K66" s="114"/>
      <c r="L66" s="114"/>
      <c r="M66" s="114"/>
      <c r="N66" s="114"/>
      <c r="O66" s="83"/>
      <c r="P66" s="83"/>
      <c r="Q66" s="84"/>
      <c r="R66" s="83"/>
      <c r="S66" s="84"/>
      <c r="T66" s="83"/>
    </row>
    <row r="67" spans="1:20" x14ac:dyDescent="0.25">
      <c r="A67" s="116"/>
      <c r="E67" s="79"/>
      <c r="F67" s="79"/>
      <c r="G67" s="79"/>
      <c r="H67" s="114"/>
      <c r="I67" s="114"/>
      <c r="J67" s="114"/>
      <c r="K67" s="114"/>
      <c r="L67" s="114"/>
      <c r="M67" s="114"/>
      <c r="N67" s="114"/>
      <c r="O67" s="83"/>
      <c r="P67" s="83"/>
      <c r="Q67" s="84"/>
      <c r="R67" s="83"/>
      <c r="S67" s="84"/>
      <c r="T67" s="83"/>
    </row>
    <row r="68" spans="1:20" x14ac:dyDescent="0.25">
      <c r="A68" s="110"/>
      <c r="B68" s="115"/>
      <c r="C68" s="134"/>
      <c r="E68" s="112"/>
      <c r="F68" s="112"/>
      <c r="G68" s="112"/>
      <c r="H68" s="114"/>
      <c r="I68" s="114"/>
      <c r="J68" s="114"/>
      <c r="K68" s="114"/>
      <c r="L68" s="114"/>
      <c r="M68" s="114"/>
      <c r="N68" s="114"/>
      <c r="O68" s="83"/>
      <c r="P68" s="83"/>
      <c r="Q68" s="84"/>
      <c r="R68" s="83"/>
      <c r="S68" s="84"/>
      <c r="T68" s="83"/>
    </row>
    <row r="69" spans="1:20" x14ac:dyDescent="0.25">
      <c r="B69" s="117"/>
      <c r="C69" s="120"/>
      <c r="D69" s="118"/>
      <c r="E69" s="111"/>
      <c r="F69" s="111"/>
      <c r="G69" s="111"/>
      <c r="H69" s="111"/>
      <c r="I69" s="111"/>
      <c r="J69" s="111"/>
      <c r="K69" s="111"/>
      <c r="L69" s="114"/>
      <c r="M69" s="114"/>
      <c r="N69" s="114"/>
      <c r="O69" s="114"/>
      <c r="P69" s="83"/>
      <c r="Q69" s="84"/>
      <c r="R69" s="83"/>
      <c r="S69" s="84"/>
      <c r="T69" s="83"/>
    </row>
    <row r="70" spans="1:20" x14ac:dyDescent="0.25">
      <c r="B70" s="117"/>
      <c r="C70" s="120"/>
      <c r="D70" s="118"/>
      <c r="E70" s="111"/>
      <c r="F70" s="111"/>
      <c r="G70" s="111"/>
      <c r="H70" s="111"/>
      <c r="I70" s="111"/>
      <c r="J70" s="111"/>
      <c r="K70" s="111"/>
      <c r="L70" s="114"/>
      <c r="M70" s="114"/>
      <c r="N70" s="114"/>
      <c r="O70" s="114"/>
      <c r="P70" s="83"/>
      <c r="Q70" s="84"/>
      <c r="R70" s="83"/>
      <c r="S70" s="84"/>
      <c r="T70" s="83"/>
    </row>
    <row r="71" spans="1:20" x14ac:dyDescent="0.25">
      <c r="B71" s="117"/>
      <c r="C71" s="120"/>
      <c r="D71" s="118"/>
      <c r="E71" s="111"/>
      <c r="F71" s="111"/>
      <c r="G71" s="111"/>
      <c r="H71" s="111"/>
      <c r="I71" s="111"/>
      <c r="J71" s="111"/>
      <c r="K71" s="111"/>
      <c r="L71" s="114"/>
      <c r="M71" s="114"/>
      <c r="N71" s="114"/>
      <c r="O71" s="114"/>
      <c r="P71" s="83"/>
      <c r="Q71" s="84"/>
      <c r="R71" s="83"/>
      <c r="S71" s="84"/>
      <c r="T71" s="83"/>
    </row>
    <row r="72" spans="1:20" x14ac:dyDescent="0.25">
      <c r="B72" s="117"/>
      <c r="C72" s="120"/>
      <c r="D72" s="118"/>
      <c r="E72" s="111"/>
      <c r="F72" s="111"/>
      <c r="G72" s="111"/>
      <c r="H72" s="111"/>
      <c r="I72" s="111"/>
      <c r="J72" s="111"/>
      <c r="K72" s="111"/>
      <c r="L72" s="114"/>
      <c r="M72" s="114"/>
      <c r="N72" s="114"/>
      <c r="O72" s="114"/>
      <c r="P72" s="83"/>
      <c r="Q72" s="84"/>
      <c r="R72" s="83"/>
      <c r="S72" s="84"/>
      <c r="T72" s="83"/>
    </row>
    <row r="73" spans="1:20" x14ac:dyDescent="0.25">
      <c r="B73" s="117"/>
      <c r="C73" s="120"/>
      <c r="D73" s="118"/>
      <c r="E73" s="111"/>
      <c r="F73" s="111"/>
      <c r="G73" s="111"/>
      <c r="H73" s="111"/>
      <c r="I73" s="111"/>
      <c r="J73" s="111"/>
      <c r="K73" s="111"/>
      <c r="L73" s="114"/>
      <c r="M73" s="114"/>
      <c r="N73" s="114"/>
      <c r="O73" s="114"/>
      <c r="P73" s="83"/>
      <c r="Q73" s="84"/>
      <c r="R73" s="83"/>
      <c r="S73" s="84"/>
      <c r="T73" s="83"/>
    </row>
    <row r="74" spans="1:20" x14ac:dyDescent="0.25">
      <c r="B74" s="117"/>
      <c r="C74" s="120"/>
      <c r="D74" s="118"/>
      <c r="E74" s="111"/>
      <c r="F74" s="111"/>
      <c r="G74" s="111"/>
      <c r="H74" s="111"/>
      <c r="I74" s="111"/>
      <c r="J74" s="111"/>
      <c r="K74" s="111"/>
      <c r="L74" s="114"/>
      <c r="M74" s="114"/>
      <c r="N74" s="114"/>
      <c r="O74" s="114"/>
      <c r="P74" s="83"/>
      <c r="Q74" s="84"/>
      <c r="R74" s="83"/>
      <c r="S74" s="84"/>
      <c r="T74" s="83"/>
    </row>
    <row r="75" spans="1:20" x14ac:dyDescent="0.25">
      <c r="B75" s="117"/>
      <c r="C75" s="120"/>
      <c r="D75" s="118"/>
      <c r="E75" s="111"/>
      <c r="F75" s="111"/>
      <c r="G75" s="111"/>
      <c r="H75" s="111"/>
      <c r="I75" s="111"/>
      <c r="J75" s="111"/>
      <c r="K75" s="111"/>
      <c r="L75" s="114"/>
      <c r="M75" s="114"/>
      <c r="N75" s="114"/>
      <c r="O75" s="114"/>
      <c r="P75" s="83"/>
      <c r="Q75" s="84"/>
      <c r="R75" s="83"/>
      <c r="S75" s="84"/>
      <c r="T75" s="83"/>
    </row>
    <row r="76" spans="1:20" x14ac:dyDescent="0.25">
      <c r="B76" s="117"/>
      <c r="C76" s="120"/>
      <c r="D76" s="118"/>
      <c r="E76" s="111"/>
      <c r="F76" s="111"/>
      <c r="G76" s="111"/>
      <c r="H76" s="111"/>
      <c r="I76" s="111"/>
      <c r="J76" s="111"/>
      <c r="K76" s="111"/>
      <c r="L76" s="114"/>
      <c r="M76" s="114"/>
      <c r="N76" s="114"/>
      <c r="O76" s="114"/>
      <c r="P76" s="83"/>
      <c r="Q76" s="84"/>
      <c r="R76" s="83"/>
      <c r="S76" s="84"/>
      <c r="T76" s="83"/>
    </row>
    <row r="77" spans="1:20" x14ac:dyDescent="0.25">
      <c r="B77" s="117"/>
      <c r="C77" s="120"/>
      <c r="D77" s="118"/>
      <c r="E77" s="111"/>
      <c r="F77" s="111"/>
      <c r="G77" s="111"/>
      <c r="H77" s="111"/>
      <c r="I77" s="111"/>
      <c r="J77" s="111"/>
      <c r="K77" s="111"/>
      <c r="L77" s="114"/>
      <c r="M77" s="114"/>
      <c r="N77" s="114"/>
      <c r="O77" s="114"/>
      <c r="P77" s="83"/>
      <c r="Q77" s="84"/>
      <c r="R77" s="83"/>
      <c r="S77" s="84"/>
      <c r="T77" s="83"/>
    </row>
    <row r="78" spans="1:20" x14ac:dyDescent="0.25">
      <c r="B78" s="117"/>
      <c r="C78" s="120"/>
      <c r="D78" s="118"/>
      <c r="E78" s="111"/>
      <c r="F78" s="111"/>
      <c r="G78" s="111"/>
      <c r="H78" s="111"/>
      <c r="I78" s="111"/>
      <c r="J78" s="111"/>
      <c r="K78" s="111"/>
      <c r="L78" s="114"/>
      <c r="M78" s="114"/>
      <c r="N78" s="114"/>
      <c r="O78" s="114"/>
      <c r="P78" s="83"/>
      <c r="Q78" s="84"/>
      <c r="R78" s="83"/>
      <c r="S78" s="84"/>
      <c r="T78" s="83"/>
    </row>
    <row r="79" spans="1:20" x14ac:dyDescent="0.25">
      <c r="B79" s="117"/>
      <c r="C79" s="120"/>
      <c r="D79" s="118"/>
      <c r="E79" s="111"/>
      <c r="F79" s="111"/>
      <c r="G79" s="111"/>
      <c r="H79" s="111"/>
      <c r="I79" s="111"/>
      <c r="J79" s="111"/>
      <c r="K79" s="111"/>
      <c r="L79" s="114"/>
      <c r="M79" s="114"/>
      <c r="N79" s="114"/>
      <c r="O79" s="114"/>
      <c r="P79" s="83"/>
      <c r="Q79" s="84"/>
      <c r="R79" s="83"/>
      <c r="S79" s="84"/>
      <c r="T79" s="83"/>
    </row>
    <row r="80" spans="1:20" x14ac:dyDescent="0.25">
      <c r="B80" s="117"/>
      <c r="C80" s="120"/>
      <c r="D80" s="118"/>
      <c r="E80" s="111"/>
      <c r="F80" s="111"/>
      <c r="G80" s="111"/>
      <c r="H80" s="111"/>
      <c r="I80" s="111"/>
      <c r="J80" s="111"/>
      <c r="K80" s="111"/>
      <c r="L80" s="114"/>
      <c r="M80" s="114"/>
      <c r="N80" s="114"/>
      <c r="O80" s="114"/>
      <c r="P80" s="83"/>
      <c r="Q80" s="84"/>
      <c r="R80" s="83"/>
      <c r="S80" s="84"/>
      <c r="T80" s="83"/>
    </row>
    <row r="81" spans="2:20" ht="13.8" thickBot="1" x14ac:dyDescent="0.3">
      <c r="B81" s="117"/>
      <c r="C81" s="120"/>
      <c r="D81" s="121"/>
      <c r="E81" s="111"/>
      <c r="F81" s="111"/>
      <c r="G81" s="111"/>
      <c r="H81" s="114"/>
      <c r="I81" s="114"/>
      <c r="J81" s="114"/>
      <c r="K81" s="114"/>
      <c r="L81" s="114"/>
      <c r="M81" s="114"/>
      <c r="N81" s="114"/>
      <c r="O81" s="114"/>
      <c r="P81" s="83"/>
      <c r="Q81" s="84"/>
      <c r="R81" s="83"/>
      <c r="S81" s="84"/>
      <c r="T81" s="83"/>
    </row>
    <row r="82" spans="2:20" x14ac:dyDescent="0.25">
      <c r="B82" s="117"/>
      <c r="C82" s="120"/>
      <c r="D82" s="122"/>
      <c r="E82" s="111"/>
      <c r="F82" s="111"/>
      <c r="G82" s="111"/>
      <c r="H82" s="114"/>
      <c r="I82" s="114"/>
      <c r="J82" s="114"/>
      <c r="K82" s="114"/>
      <c r="L82" s="114"/>
      <c r="M82" s="114"/>
      <c r="N82" s="114"/>
      <c r="O82" s="114"/>
      <c r="P82" s="83"/>
      <c r="Q82" s="84"/>
      <c r="R82" s="83"/>
      <c r="S82" s="84"/>
      <c r="T82" s="83"/>
    </row>
    <row r="83" spans="2:20" ht="13.8" thickBot="1" x14ac:dyDescent="0.3">
      <c r="B83" s="117"/>
      <c r="C83" s="120"/>
      <c r="D83" s="123"/>
      <c r="E83" s="111"/>
      <c r="F83" s="111"/>
      <c r="G83" s="111"/>
      <c r="H83" s="114"/>
      <c r="I83" s="114"/>
      <c r="J83" s="114"/>
      <c r="K83" s="114"/>
      <c r="L83" s="114"/>
      <c r="M83" s="114"/>
      <c r="N83" s="114"/>
      <c r="O83" s="114"/>
      <c r="P83" s="83"/>
      <c r="Q83" s="84"/>
      <c r="R83" s="83"/>
      <c r="S83" s="84"/>
      <c r="T83" s="83"/>
    </row>
    <row r="84" spans="2:20" ht="13.8" thickBot="1" x14ac:dyDescent="0.3">
      <c r="B84" s="124"/>
      <c r="C84" s="125"/>
      <c r="D84" s="123"/>
      <c r="E84" s="111"/>
      <c r="F84" s="111"/>
      <c r="G84" s="111"/>
      <c r="H84" s="114"/>
      <c r="I84" s="114"/>
      <c r="J84" s="114"/>
      <c r="K84" s="114"/>
      <c r="L84" s="114"/>
      <c r="M84" s="114"/>
      <c r="N84" s="114"/>
      <c r="O84" s="114"/>
      <c r="P84" s="83"/>
      <c r="Q84" s="84"/>
      <c r="R84" s="83"/>
      <c r="S84" s="84"/>
      <c r="T84" s="83"/>
    </row>
    <row r="85" spans="2:20" x14ac:dyDescent="0.25">
      <c r="B85" s="124"/>
      <c r="C85" s="125"/>
      <c r="D85" s="126"/>
      <c r="E85" s="111"/>
      <c r="F85" s="111"/>
      <c r="G85" s="111"/>
      <c r="H85" s="83"/>
      <c r="I85" s="83"/>
      <c r="J85" s="83"/>
      <c r="K85" s="83"/>
      <c r="L85" s="83"/>
      <c r="M85" s="83"/>
      <c r="N85" s="83"/>
      <c r="O85" s="83"/>
      <c r="P85" s="83"/>
      <c r="Q85" s="84"/>
      <c r="R85" s="83"/>
      <c r="S85" s="84"/>
      <c r="T85" s="83"/>
    </row>
    <row r="86" spans="2:20" x14ac:dyDescent="0.25">
      <c r="B86" s="124"/>
      <c r="C86" s="125"/>
      <c r="D86" s="126"/>
      <c r="E86" s="111"/>
      <c r="F86" s="111"/>
      <c r="G86" s="111"/>
      <c r="H86" s="83"/>
      <c r="I86" s="83"/>
      <c r="J86" s="83"/>
      <c r="K86" s="83"/>
      <c r="L86" s="83"/>
      <c r="M86" s="83"/>
      <c r="N86" s="83"/>
      <c r="O86" s="83"/>
      <c r="P86" s="83"/>
      <c r="Q86" s="84"/>
      <c r="R86" s="83"/>
      <c r="S86" s="84"/>
      <c r="T86" s="83"/>
    </row>
    <row r="87" spans="2:20" x14ac:dyDescent="0.25">
      <c r="B87" s="124"/>
      <c r="C87" s="125"/>
      <c r="D87" s="126"/>
      <c r="E87" s="111"/>
      <c r="F87" s="111"/>
      <c r="G87" s="111"/>
      <c r="H87" s="83"/>
      <c r="I87" s="83"/>
      <c r="J87" s="83"/>
      <c r="K87" s="83"/>
      <c r="L87" s="83"/>
      <c r="M87" s="83"/>
      <c r="N87" s="83"/>
      <c r="O87" s="83"/>
      <c r="P87" s="83"/>
      <c r="Q87" s="84"/>
      <c r="R87" s="83"/>
      <c r="S87" s="84"/>
      <c r="T87" s="83"/>
    </row>
    <row r="88" spans="2:20" x14ac:dyDescent="0.25">
      <c r="B88" s="124"/>
      <c r="C88" s="125"/>
      <c r="D88" s="126"/>
      <c r="E88" s="111"/>
      <c r="F88" s="111"/>
      <c r="G88" s="111"/>
      <c r="H88" s="83"/>
      <c r="I88" s="83"/>
      <c r="J88" s="83"/>
      <c r="K88" s="83"/>
      <c r="L88" s="83"/>
      <c r="M88" s="83"/>
      <c r="N88" s="83"/>
      <c r="O88" s="83"/>
      <c r="P88" s="83"/>
      <c r="Q88" s="84"/>
      <c r="R88" s="83"/>
      <c r="S88" s="84"/>
      <c r="T88" s="83"/>
    </row>
    <row r="89" spans="2:20" x14ac:dyDescent="0.25">
      <c r="B89" s="124"/>
      <c r="C89" s="125"/>
      <c r="D89" s="126"/>
      <c r="E89" s="111"/>
      <c r="F89" s="111"/>
      <c r="G89" s="111"/>
      <c r="H89" s="83"/>
      <c r="I89" s="83"/>
      <c r="J89" s="83"/>
      <c r="K89" s="83"/>
      <c r="L89" s="83"/>
      <c r="M89" s="83"/>
      <c r="N89" s="83"/>
      <c r="O89" s="83"/>
      <c r="P89" s="83"/>
      <c r="Q89" s="84"/>
      <c r="R89" s="83"/>
      <c r="S89" s="84"/>
      <c r="T89" s="83"/>
    </row>
    <row r="90" spans="2:20" x14ac:dyDescent="0.25">
      <c r="B90" s="124"/>
      <c r="C90" s="125"/>
      <c r="D90" s="126"/>
      <c r="E90" s="111"/>
      <c r="F90" s="111"/>
      <c r="G90" s="111"/>
      <c r="L90" s="83"/>
      <c r="M90" s="83"/>
      <c r="N90" s="83"/>
      <c r="O90" s="83"/>
      <c r="P90" s="83"/>
      <c r="Q90" s="84"/>
      <c r="R90" s="83"/>
      <c r="S90" s="84"/>
      <c r="T90" s="83"/>
    </row>
    <row r="91" spans="2:20" x14ac:dyDescent="0.25">
      <c r="B91" s="124"/>
      <c r="C91" s="125"/>
      <c r="D91" s="126"/>
      <c r="E91" s="111"/>
      <c r="F91" s="111"/>
      <c r="G91" s="111"/>
      <c r="H91" s="83"/>
      <c r="I91" s="83"/>
      <c r="J91" s="83"/>
      <c r="K91" s="83"/>
      <c r="L91" s="83"/>
      <c r="M91" s="83"/>
      <c r="N91" s="83"/>
      <c r="O91" s="83"/>
      <c r="P91" s="83"/>
      <c r="Q91" s="84"/>
      <c r="R91" s="83"/>
      <c r="S91" s="84"/>
      <c r="T91" s="83"/>
    </row>
    <row r="92" spans="2:20" x14ac:dyDescent="0.25">
      <c r="B92" s="124"/>
      <c r="C92" s="125"/>
      <c r="D92" s="126"/>
      <c r="E92" s="111"/>
      <c r="F92" s="111"/>
      <c r="G92" s="111"/>
      <c r="H92" s="83"/>
      <c r="I92" s="83"/>
      <c r="J92" s="83"/>
      <c r="K92" s="83"/>
      <c r="L92" s="83"/>
      <c r="M92" s="83"/>
      <c r="N92" s="83"/>
      <c r="O92" s="83"/>
      <c r="P92" s="83"/>
      <c r="Q92" s="84"/>
      <c r="R92" s="83"/>
      <c r="S92" s="84"/>
      <c r="T92" s="83"/>
    </row>
    <row r="93" spans="2:20" x14ac:dyDescent="0.25">
      <c r="B93" s="124"/>
      <c r="C93" s="125"/>
      <c r="D93" s="126"/>
      <c r="E93" s="111"/>
      <c r="F93" s="111"/>
      <c r="G93" s="111"/>
      <c r="H93" s="83"/>
      <c r="I93" s="83"/>
      <c r="J93" s="83"/>
      <c r="K93" s="83"/>
      <c r="L93" s="83"/>
      <c r="M93" s="83"/>
      <c r="N93" s="83"/>
      <c r="O93" s="83"/>
      <c r="P93" s="83"/>
      <c r="Q93" s="84"/>
      <c r="R93" s="83"/>
      <c r="S93" s="84"/>
      <c r="T93" s="83"/>
    </row>
    <row r="94" spans="2:20" x14ac:dyDescent="0.25">
      <c r="B94" s="124"/>
      <c r="C94" s="125"/>
      <c r="D94" s="126"/>
      <c r="E94" s="111"/>
      <c r="F94" s="111"/>
      <c r="G94" s="111"/>
      <c r="H94" s="83"/>
      <c r="I94" s="83"/>
      <c r="J94" s="83"/>
      <c r="K94" s="83"/>
      <c r="L94" s="83"/>
      <c r="M94" s="83"/>
      <c r="N94" s="83"/>
      <c r="O94" s="83"/>
      <c r="P94" s="83"/>
      <c r="Q94" s="84"/>
      <c r="R94" s="83"/>
      <c r="S94" s="84"/>
      <c r="T94" s="83"/>
    </row>
    <row r="95" spans="2:20" x14ac:dyDescent="0.25">
      <c r="B95" s="124"/>
      <c r="C95" s="125"/>
      <c r="D95" s="126"/>
      <c r="E95" s="111"/>
      <c r="F95" s="111"/>
      <c r="G95" s="111"/>
      <c r="H95" s="83"/>
      <c r="I95" s="83"/>
      <c r="J95" s="83"/>
      <c r="K95" s="83"/>
      <c r="L95" s="83"/>
      <c r="M95" s="83"/>
      <c r="N95" s="83"/>
      <c r="O95" s="83"/>
      <c r="P95" s="83"/>
      <c r="Q95" s="84"/>
      <c r="R95" s="83"/>
      <c r="S95" s="84"/>
      <c r="T95" s="83"/>
    </row>
    <row r="96" spans="2:20" x14ac:dyDescent="0.25">
      <c r="B96" s="124"/>
      <c r="C96" s="125"/>
      <c r="D96" s="126"/>
      <c r="E96" s="111"/>
      <c r="F96" s="111"/>
      <c r="G96" s="111"/>
      <c r="H96" s="83"/>
      <c r="I96" s="83"/>
      <c r="J96" s="83"/>
      <c r="K96" s="83"/>
      <c r="L96" s="83"/>
      <c r="M96" s="83"/>
      <c r="N96" s="83"/>
      <c r="O96" s="83"/>
      <c r="P96" s="83"/>
      <c r="Q96" s="84"/>
      <c r="R96" s="83"/>
      <c r="S96" s="84"/>
      <c r="T96" s="83"/>
    </row>
    <row r="97" spans="2:20" x14ac:dyDescent="0.25">
      <c r="B97" s="124"/>
      <c r="C97" s="125"/>
      <c r="D97" s="126"/>
      <c r="E97" s="111"/>
      <c r="F97" s="111"/>
      <c r="G97" s="111"/>
      <c r="H97" s="83"/>
      <c r="I97" s="83"/>
      <c r="J97" s="83"/>
      <c r="K97" s="83"/>
      <c r="L97" s="83"/>
      <c r="M97" s="83"/>
      <c r="N97" s="83"/>
      <c r="O97" s="83"/>
      <c r="P97" s="83"/>
      <c r="Q97" s="84"/>
      <c r="R97" s="83"/>
      <c r="S97" s="84"/>
      <c r="T97" s="83"/>
    </row>
    <row r="98" spans="2:20" x14ac:dyDescent="0.25">
      <c r="B98" s="124"/>
      <c r="C98" s="125"/>
      <c r="D98" s="126"/>
      <c r="E98" s="111"/>
      <c r="F98" s="111"/>
      <c r="G98" s="111"/>
      <c r="H98" s="83"/>
      <c r="I98" s="83"/>
      <c r="J98" s="83"/>
      <c r="K98" s="83"/>
      <c r="L98" s="83"/>
      <c r="M98" s="83"/>
      <c r="N98" s="83"/>
      <c r="O98" s="83"/>
      <c r="P98" s="83"/>
      <c r="Q98" s="84"/>
      <c r="R98" s="83"/>
      <c r="S98" s="84"/>
      <c r="T98" s="83"/>
    </row>
    <row r="99" spans="2:20" x14ac:dyDescent="0.25">
      <c r="B99" s="124"/>
      <c r="C99" s="125"/>
      <c r="D99" s="126"/>
      <c r="E99" s="111"/>
      <c r="F99" s="111"/>
      <c r="G99" s="111"/>
      <c r="H99" s="83"/>
      <c r="I99" s="83"/>
      <c r="J99" s="83"/>
      <c r="K99" s="83"/>
      <c r="L99" s="83"/>
      <c r="M99" s="83"/>
      <c r="N99" s="83"/>
      <c r="O99" s="83"/>
      <c r="P99" s="83"/>
      <c r="Q99" s="84"/>
      <c r="R99" s="83"/>
      <c r="S99" s="84"/>
      <c r="T99" s="83"/>
    </row>
    <row r="100" spans="2:20" x14ac:dyDescent="0.25">
      <c r="B100" s="124"/>
      <c r="C100" s="125"/>
      <c r="D100" s="126"/>
      <c r="E100" s="111"/>
      <c r="F100" s="111"/>
      <c r="G100" s="111"/>
      <c r="H100" s="83"/>
      <c r="I100" s="83"/>
      <c r="J100" s="83"/>
      <c r="K100" s="83"/>
      <c r="L100" s="83"/>
      <c r="M100" s="83"/>
      <c r="N100" s="83"/>
      <c r="O100" s="83"/>
      <c r="P100" s="83"/>
      <c r="Q100" s="84"/>
      <c r="R100" s="83"/>
      <c r="S100" s="84"/>
      <c r="T100" s="83"/>
    </row>
    <row r="101" spans="2:20" x14ac:dyDescent="0.25">
      <c r="B101" s="124"/>
      <c r="C101" s="125"/>
      <c r="D101" s="126"/>
      <c r="E101" s="111"/>
      <c r="F101" s="111"/>
      <c r="G101" s="111"/>
      <c r="H101" s="83"/>
      <c r="I101" s="83"/>
      <c r="J101" s="83"/>
      <c r="K101" s="83"/>
      <c r="L101" s="83"/>
      <c r="M101" s="83"/>
      <c r="N101" s="83"/>
      <c r="O101" s="83"/>
      <c r="P101" s="83"/>
      <c r="Q101" s="84"/>
      <c r="R101" s="83"/>
      <c r="S101" s="84"/>
      <c r="T101" s="83"/>
    </row>
    <row r="102" spans="2:20" x14ac:dyDescent="0.25">
      <c r="B102" s="124"/>
      <c r="C102" s="125"/>
      <c r="D102" s="126"/>
      <c r="E102" s="111"/>
      <c r="F102" s="111"/>
      <c r="G102" s="111"/>
      <c r="H102" s="83"/>
      <c r="I102" s="83"/>
      <c r="J102" s="83"/>
      <c r="K102" s="83"/>
      <c r="L102" s="83"/>
      <c r="M102" s="83"/>
      <c r="N102" s="83"/>
      <c r="O102" s="83"/>
      <c r="P102" s="83"/>
      <c r="Q102" s="84"/>
      <c r="R102" s="83"/>
      <c r="S102" s="84"/>
      <c r="T102" s="83"/>
    </row>
    <row r="103" spans="2:20" x14ac:dyDescent="0.25">
      <c r="B103" s="124"/>
      <c r="C103" s="125"/>
      <c r="D103" s="126"/>
      <c r="E103" s="111"/>
      <c r="F103" s="111"/>
      <c r="G103" s="111"/>
      <c r="H103" s="83"/>
      <c r="I103" s="83"/>
      <c r="J103" s="83"/>
      <c r="K103" s="83"/>
      <c r="L103" s="83"/>
      <c r="M103" s="83"/>
      <c r="N103" s="83"/>
      <c r="O103" s="83"/>
      <c r="P103" s="83"/>
      <c r="Q103" s="84"/>
      <c r="R103" s="83"/>
      <c r="S103" s="84"/>
      <c r="T103" s="83"/>
    </row>
    <row r="104" spans="2:20" x14ac:dyDescent="0.25">
      <c r="B104" s="124"/>
      <c r="C104" s="125"/>
      <c r="D104" s="126"/>
      <c r="E104" s="111"/>
      <c r="F104" s="111"/>
      <c r="G104" s="111"/>
      <c r="H104" s="83"/>
      <c r="I104" s="83"/>
      <c r="J104" s="83"/>
      <c r="K104" s="83"/>
      <c r="L104" s="83"/>
      <c r="M104" s="83"/>
      <c r="N104" s="83"/>
      <c r="O104" s="83"/>
      <c r="P104" s="83"/>
      <c r="Q104" s="84"/>
      <c r="R104" s="83"/>
      <c r="S104" s="84"/>
      <c r="T104" s="83"/>
    </row>
    <row r="105" spans="2:20" x14ac:dyDescent="0.25">
      <c r="B105" s="124"/>
      <c r="C105" s="125"/>
      <c r="D105" s="126"/>
      <c r="E105" s="111"/>
      <c r="F105" s="111"/>
      <c r="G105" s="111"/>
      <c r="H105" s="83"/>
      <c r="I105" s="83"/>
      <c r="J105" s="83"/>
      <c r="K105" s="83"/>
      <c r="L105" s="83"/>
      <c r="M105" s="83"/>
      <c r="N105" s="83"/>
      <c r="O105" s="83"/>
      <c r="P105" s="83"/>
      <c r="Q105" s="84"/>
      <c r="R105" s="83"/>
      <c r="S105" s="84"/>
      <c r="T105" s="83"/>
    </row>
    <row r="106" spans="2:20" x14ac:dyDescent="0.25">
      <c r="B106" s="124"/>
      <c r="C106" s="125"/>
      <c r="D106" s="126"/>
      <c r="E106" s="111"/>
      <c r="F106" s="111"/>
      <c r="G106" s="111"/>
      <c r="H106" s="83"/>
      <c r="I106" s="83"/>
      <c r="J106" s="83"/>
      <c r="K106" s="83"/>
      <c r="L106" s="83"/>
      <c r="M106" s="83"/>
      <c r="N106" s="83"/>
      <c r="O106" s="83"/>
      <c r="P106" s="83"/>
      <c r="Q106" s="84"/>
      <c r="R106" s="83"/>
      <c r="S106" s="84"/>
      <c r="T106" s="83"/>
    </row>
    <row r="107" spans="2:20" x14ac:dyDescent="0.25">
      <c r="B107" s="124"/>
      <c r="C107" s="125"/>
      <c r="D107" s="126"/>
      <c r="E107" s="111"/>
      <c r="F107" s="111"/>
      <c r="G107" s="111"/>
      <c r="H107" s="83"/>
      <c r="I107" s="83"/>
      <c r="J107" s="83"/>
      <c r="K107" s="83"/>
      <c r="L107" s="83"/>
      <c r="M107" s="83"/>
      <c r="N107" s="83"/>
      <c r="O107" s="83"/>
      <c r="P107" s="83"/>
      <c r="Q107" s="84"/>
      <c r="R107" s="83"/>
      <c r="S107" s="84"/>
      <c r="T107" s="83"/>
    </row>
    <row r="108" spans="2:20" x14ac:dyDescent="0.25">
      <c r="B108" s="124"/>
      <c r="C108" s="125"/>
      <c r="D108" s="126"/>
      <c r="E108" s="111"/>
      <c r="F108" s="111"/>
      <c r="G108" s="111"/>
      <c r="H108" s="83"/>
      <c r="I108" s="83"/>
      <c r="J108" s="83"/>
      <c r="K108" s="83"/>
      <c r="L108" s="83"/>
      <c r="M108" s="83"/>
      <c r="N108" s="83"/>
      <c r="O108" s="83"/>
      <c r="P108" s="83"/>
      <c r="Q108" s="84"/>
      <c r="R108" s="83"/>
      <c r="S108" s="84"/>
      <c r="T108" s="83"/>
    </row>
    <row r="109" spans="2:20" x14ac:dyDescent="0.25">
      <c r="B109" s="124"/>
      <c r="C109" s="125"/>
      <c r="D109" s="126"/>
      <c r="E109" s="111"/>
      <c r="F109" s="111"/>
      <c r="G109" s="111"/>
      <c r="H109" s="83"/>
      <c r="I109" s="83"/>
      <c r="J109" s="83"/>
      <c r="K109" s="83"/>
      <c r="L109" s="83"/>
      <c r="M109" s="83"/>
      <c r="N109" s="83"/>
      <c r="O109" s="83"/>
      <c r="P109" s="83"/>
      <c r="Q109" s="84"/>
      <c r="R109" s="83"/>
      <c r="S109" s="84"/>
      <c r="T109" s="83"/>
    </row>
    <row r="110" spans="2:20" x14ac:dyDescent="0.25">
      <c r="B110" s="124"/>
      <c r="C110" s="125"/>
      <c r="D110" s="126"/>
      <c r="E110" s="111"/>
      <c r="F110" s="111"/>
      <c r="G110" s="111"/>
      <c r="H110" s="83"/>
      <c r="I110" s="83"/>
      <c r="J110" s="83"/>
      <c r="K110" s="83"/>
      <c r="L110" s="83"/>
      <c r="M110" s="83"/>
      <c r="N110" s="83"/>
      <c r="O110" s="83"/>
      <c r="P110" s="83"/>
      <c r="Q110" s="84"/>
      <c r="R110" s="83"/>
      <c r="S110" s="84"/>
      <c r="T110" s="83"/>
    </row>
    <row r="111" spans="2:20" x14ac:dyDescent="0.25">
      <c r="B111" s="124"/>
      <c r="C111" s="125"/>
      <c r="D111" s="126"/>
      <c r="E111" s="111"/>
      <c r="F111" s="111"/>
      <c r="G111" s="111"/>
      <c r="H111" s="83"/>
      <c r="I111" s="83"/>
      <c r="J111" s="83"/>
      <c r="K111" s="83"/>
      <c r="L111" s="83"/>
      <c r="M111" s="83"/>
      <c r="N111" s="83"/>
      <c r="O111" s="83"/>
      <c r="P111" s="83"/>
      <c r="Q111" s="84"/>
      <c r="R111" s="83"/>
      <c r="S111" s="84"/>
      <c r="T111" s="83"/>
    </row>
    <row r="112" spans="2:20" x14ac:dyDescent="0.25">
      <c r="B112" s="124"/>
      <c r="C112" s="125"/>
      <c r="D112" s="126"/>
      <c r="E112" s="111"/>
      <c r="F112" s="111"/>
      <c r="G112" s="111"/>
      <c r="H112" s="83"/>
      <c r="I112" s="83"/>
      <c r="J112" s="83"/>
      <c r="K112" s="83"/>
      <c r="L112" s="83"/>
      <c r="M112" s="83"/>
      <c r="N112" s="83"/>
      <c r="O112" s="83"/>
      <c r="P112" s="83"/>
      <c r="Q112" s="84"/>
      <c r="R112" s="83"/>
      <c r="S112" s="84"/>
      <c r="T112" s="83"/>
    </row>
    <row r="113" spans="2:20" x14ac:dyDescent="0.25">
      <c r="B113" s="124"/>
      <c r="C113" s="125"/>
      <c r="D113" s="126"/>
      <c r="E113" s="111"/>
      <c r="F113" s="111"/>
      <c r="G113" s="111"/>
      <c r="H113" s="83"/>
      <c r="I113" s="83"/>
      <c r="J113" s="83"/>
      <c r="K113" s="83"/>
      <c r="L113" s="83"/>
      <c r="M113" s="83"/>
      <c r="N113" s="83"/>
      <c r="O113" s="83"/>
      <c r="P113" s="83"/>
      <c r="Q113" s="84"/>
      <c r="R113" s="83"/>
      <c r="S113" s="84"/>
      <c r="T113" s="83"/>
    </row>
    <row r="114" spans="2:20" x14ac:dyDescent="0.25">
      <c r="B114" s="124"/>
      <c r="C114" s="125"/>
      <c r="D114" s="126"/>
      <c r="E114" s="111"/>
      <c r="F114" s="111"/>
      <c r="G114" s="111"/>
      <c r="H114" s="83"/>
      <c r="I114" s="83"/>
      <c r="J114" s="83"/>
      <c r="K114" s="83"/>
      <c r="L114" s="83"/>
      <c r="M114" s="83"/>
      <c r="N114" s="83"/>
      <c r="O114" s="83"/>
      <c r="P114" s="83"/>
      <c r="Q114" s="84"/>
      <c r="R114" s="83"/>
      <c r="S114" s="84"/>
      <c r="T114" s="83"/>
    </row>
    <row r="115" spans="2:20" x14ac:dyDescent="0.25">
      <c r="B115" s="127"/>
      <c r="C115" s="135"/>
      <c r="D115" s="126"/>
      <c r="E115" s="111"/>
      <c r="F115" s="111"/>
      <c r="G115" s="111"/>
      <c r="H115" s="83"/>
      <c r="I115" s="83"/>
      <c r="J115" s="83"/>
      <c r="K115" s="83"/>
      <c r="L115" s="83"/>
      <c r="M115" s="83"/>
      <c r="N115" s="83"/>
      <c r="O115" s="83"/>
      <c r="P115" s="83"/>
      <c r="Q115" s="84"/>
      <c r="R115" s="83"/>
      <c r="S115" s="84"/>
      <c r="T115" s="83"/>
    </row>
    <row r="116" spans="2:20" x14ac:dyDescent="0.25">
      <c r="B116" s="127"/>
      <c r="C116" s="135"/>
      <c r="D116" s="126"/>
      <c r="E116" s="111"/>
      <c r="F116" s="111"/>
      <c r="G116" s="111"/>
      <c r="H116" s="83"/>
      <c r="I116" s="83"/>
      <c r="J116" s="83"/>
      <c r="K116" s="83"/>
      <c r="L116" s="83"/>
      <c r="M116" s="83"/>
      <c r="N116" s="83"/>
      <c r="O116" s="83"/>
      <c r="P116" s="83"/>
      <c r="Q116" s="84"/>
      <c r="R116" s="83"/>
      <c r="S116" s="84"/>
      <c r="T116" s="83"/>
    </row>
    <row r="117" spans="2:20" x14ac:dyDescent="0.25">
      <c r="B117" s="127"/>
      <c r="C117" s="135"/>
      <c r="D117" s="126"/>
      <c r="E117" s="111"/>
      <c r="F117" s="111"/>
      <c r="G117" s="111"/>
      <c r="H117" s="83"/>
      <c r="I117" s="83"/>
      <c r="J117" s="83"/>
      <c r="K117" s="83"/>
      <c r="L117" s="83"/>
      <c r="M117" s="83"/>
      <c r="N117" s="83"/>
      <c r="O117" s="83"/>
      <c r="P117" s="83"/>
      <c r="Q117" s="84"/>
      <c r="R117" s="83"/>
      <c r="S117" s="84"/>
      <c r="T117" s="83"/>
    </row>
    <row r="118" spans="2:20" x14ac:dyDescent="0.25">
      <c r="B118" s="127"/>
      <c r="C118" s="135"/>
      <c r="D118" s="126"/>
      <c r="E118" s="111"/>
      <c r="F118" s="111"/>
      <c r="G118" s="111"/>
      <c r="H118" s="83"/>
      <c r="I118" s="83"/>
      <c r="J118" s="83"/>
      <c r="K118" s="83"/>
      <c r="L118" s="83"/>
      <c r="M118" s="83"/>
      <c r="N118" s="83"/>
      <c r="O118" s="83"/>
      <c r="P118" s="83"/>
      <c r="Q118" s="84"/>
      <c r="R118" s="83"/>
      <c r="S118" s="84"/>
      <c r="T118" s="83"/>
    </row>
    <row r="119" spans="2:20" x14ac:dyDescent="0.25">
      <c r="B119" s="127"/>
      <c r="C119" s="135"/>
      <c r="D119" s="126"/>
      <c r="E119" s="111"/>
      <c r="F119" s="111"/>
      <c r="G119" s="111"/>
      <c r="H119" s="83"/>
      <c r="I119" s="83"/>
      <c r="J119" s="83"/>
      <c r="K119" s="83"/>
      <c r="L119" s="83"/>
      <c r="M119" s="83"/>
      <c r="N119" s="83"/>
      <c r="O119" s="83"/>
      <c r="P119" s="83"/>
      <c r="Q119" s="84"/>
      <c r="R119" s="83"/>
      <c r="S119" s="84"/>
      <c r="T119" s="83"/>
    </row>
    <row r="120" spans="2:20" x14ac:dyDescent="0.25">
      <c r="B120" s="127"/>
      <c r="C120" s="135"/>
      <c r="D120" s="126"/>
      <c r="E120" s="111"/>
      <c r="F120" s="111"/>
      <c r="G120" s="111"/>
      <c r="H120" s="83"/>
      <c r="I120" s="83"/>
      <c r="J120" s="83"/>
      <c r="K120" s="83"/>
      <c r="L120" s="83"/>
      <c r="M120" s="83"/>
      <c r="N120" s="83"/>
      <c r="O120" s="83"/>
      <c r="P120" s="83"/>
      <c r="Q120" s="84"/>
      <c r="R120" s="83"/>
      <c r="S120" s="84"/>
      <c r="T120" s="83"/>
    </row>
    <row r="121" spans="2:20" x14ac:dyDescent="0.25">
      <c r="B121" s="127"/>
      <c r="C121" s="135"/>
      <c r="D121" s="126"/>
      <c r="E121" s="111"/>
      <c r="F121" s="111"/>
      <c r="G121" s="111"/>
      <c r="H121" s="83"/>
      <c r="I121" s="83"/>
      <c r="J121" s="83"/>
      <c r="K121" s="83"/>
      <c r="L121" s="83"/>
      <c r="M121" s="83"/>
      <c r="N121" s="83"/>
      <c r="O121" s="83"/>
      <c r="P121" s="83"/>
      <c r="Q121" s="84"/>
      <c r="R121" s="83"/>
      <c r="S121" s="84"/>
      <c r="T121" s="83"/>
    </row>
    <row r="122" spans="2:20" x14ac:dyDescent="0.25">
      <c r="B122" s="127"/>
      <c r="C122" s="135"/>
      <c r="D122" s="126"/>
      <c r="E122" s="111"/>
      <c r="F122" s="111"/>
      <c r="G122" s="111"/>
      <c r="H122" s="83"/>
      <c r="I122" s="83"/>
      <c r="J122" s="83"/>
      <c r="K122" s="83"/>
      <c r="L122" s="83"/>
      <c r="M122" s="83"/>
      <c r="N122" s="83"/>
      <c r="O122" s="83"/>
      <c r="P122" s="83"/>
      <c r="Q122" s="84"/>
      <c r="R122" s="83"/>
      <c r="S122" s="84"/>
      <c r="T122" s="83"/>
    </row>
    <row r="123" spans="2:20" x14ac:dyDescent="0.25">
      <c r="B123" s="127"/>
      <c r="C123" s="135"/>
      <c r="D123" s="126"/>
      <c r="E123" s="111"/>
      <c r="F123" s="111"/>
      <c r="G123" s="111"/>
      <c r="H123" s="83"/>
      <c r="I123" s="83"/>
      <c r="J123" s="83"/>
      <c r="K123" s="83"/>
      <c r="L123" s="83"/>
      <c r="M123" s="83"/>
      <c r="N123" s="83"/>
      <c r="O123" s="83"/>
      <c r="P123" s="83"/>
      <c r="Q123" s="84"/>
      <c r="R123" s="83"/>
      <c r="S123" s="84"/>
      <c r="T123" s="83"/>
    </row>
    <row r="124" spans="2:20" x14ac:dyDescent="0.25">
      <c r="B124" s="127"/>
      <c r="C124" s="135"/>
      <c r="D124" s="126"/>
      <c r="E124" s="111"/>
      <c r="F124" s="111"/>
      <c r="G124" s="111"/>
      <c r="H124" s="83"/>
      <c r="I124" s="83"/>
      <c r="J124" s="83"/>
      <c r="K124" s="83"/>
      <c r="L124" s="83"/>
      <c r="M124" s="83"/>
      <c r="N124" s="83"/>
      <c r="O124" s="83"/>
      <c r="P124" s="83"/>
      <c r="Q124" s="84"/>
      <c r="R124" s="83"/>
      <c r="S124" s="84"/>
      <c r="T124" s="83"/>
    </row>
    <row r="125" spans="2:20" x14ac:dyDescent="0.25">
      <c r="B125" s="127"/>
      <c r="C125" s="135"/>
      <c r="D125" s="126"/>
      <c r="E125" s="111"/>
      <c r="F125" s="111"/>
      <c r="G125" s="111"/>
      <c r="H125" s="83"/>
      <c r="I125" s="83"/>
      <c r="J125" s="83"/>
      <c r="K125" s="83"/>
      <c r="L125" s="83"/>
      <c r="M125" s="83"/>
      <c r="N125" s="83"/>
      <c r="O125" s="83"/>
      <c r="P125" s="83"/>
      <c r="Q125" s="84"/>
      <c r="R125" s="83"/>
      <c r="S125" s="84"/>
      <c r="T125" s="83"/>
    </row>
    <row r="126" spans="2:20" x14ac:dyDescent="0.25">
      <c r="B126" s="127"/>
      <c r="C126" s="135"/>
      <c r="D126" s="126"/>
      <c r="E126" s="111"/>
      <c r="F126" s="111"/>
      <c r="G126" s="111"/>
      <c r="H126" s="83"/>
      <c r="I126" s="83"/>
      <c r="J126" s="83"/>
      <c r="K126" s="83"/>
      <c r="L126" s="83"/>
      <c r="M126" s="83"/>
      <c r="N126" s="83"/>
      <c r="O126" s="83"/>
      <c r="P126" s="83"/>
      <c r="Q126" s="84"/>
      <c r="R126" s="83"/>
      <c r="S126" s="84"/>
      <c r="T126" s="83"/>
    </row>
    <row r="127" spans="2:20" x14ac:dyDescent="0.25">
      <c r="B127" s="127"/>
      <c r="C127" s="135"/>
      <c r="D127" s="126"/>
      <c r="E127" s="111"/>
      <c r="F127" s="111"/>
      <c r="G127" s="111"/>
      <c r="H127" s="83"/>
      <c r="I127" s="83"/>
      <c r="J127" s="83"/>
      <c r="K127" s="83"/>
      <c r="L127" s="83"/>
      <c r="M127" s="83"/>
      <c r="N127" s="83"/>
      <c r="O127" s="83"/>
      <c r="P127" s="83"/>
      <c r="Q127" s="84"/>
      <c r="R127" s="83"/>
      <c r="S127" s="84"/>
      <c r="T127" s="83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8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3.2" x14ac:dyDescent="0.25"/>
  <cols>
    <col min="1" max="2" width="9.109375" style="25" customWidth="1"/>
    <col min="3" max="3" width="11.5546875" style="27" customWidth="1"/>
    <col min="4" max="5" width="9.109375" style="26" customWidth="1"/>
    <col min="6" max="6" width="11.44140625" style="26" customWidth="1"/>
    <col min="7" max="7" width="10.5546875" style="26" customWidth="1"/>
    <col min="8" max="9" width="9.109375" style="26" customWidth="1"/>
    <col min="10" max="10" width="13.109375" style="26" customWidth="1"/>
    <col min="11" max="11" width="13" style="26" customWidth="1"/>
    <col min="12" max="12" width="10.33203125" style="26" customWidth="1"/>
    <col min="13" max="13" width="9.6640625" style="26" customWidth="1"/>
    <col min="14" max="14" width="11.88671875" style="26" customWidth="1"/>
    <col min="15" max="15" width="10.109375" style="26" customWidth="1"/>
    <col min="16" max="16" width="11.33203125" style="25" customWidth="1"/>
    <col min="17" max="17" width="11.109375" style="25" customWidth="1"/>
    <col min="18" max="18" width="9" style="25" customWidth="1"/>
    <col min="19" max="19" width="11.33203125" style="25" customWidth="1"/>
    <col min="20" max="20" width="9.44140625" style="25" customWidth="1"/>
    <col min="21" max="21" width="14.33203125" style="25" customWidth="1"/>
    <col min="22" max="22" width="10.88671875" style="25" customWidth="1"/>
    <col min="23" max="23" width="9.109375" style="25" customWidth="1"/>
    <col min="24" max="24" width="13.109375" style="25" customWidth="1"/>
    <col min="25" max="101" width="9.109375" style="25" customWidth="1"/>
  </cols>
  <sheetData>
    <row r="1" spans="1:62" x14ac:dyDescent="0.25">
      <c r="D1" s="26" t="str">
        <f>D3</f>
        <v>NG</v>
      </c>
      <c r="E1" s="26" t="str">
        <f t="shared" ref="E1:BE1" si="0">E3</f>
        <v>NG</v>
      </c>
      <c r="F1" s="26" t="str">
        <f t="shared" si="0"/>
        <v>INTNS</v>
      </c>
      <c r="G1" s="26" t="str">
        <f t="shared" si="0"/>
        <v>IF-ANR/OK</v>
      </c>
      <c r="H1" s="26" t="str">
        <f t="shared" si="0"/>
        <v>IF-NGPL/MIDCON</v>
      </c>
      <c r="I1" s="26" t="str">
        <f t="shared" si="0"/>
        <v>IF-NNG/DEMARCAT</v>
      </c>
      <c r="J1" s="26" t="str">
        <f t="shared" si="0"/>
        <v>IF-NNG/TOK</v>
      </c>
      <c r="K1" s="26" t="str">
        <f t="shared" si="0"/>
        <v>IF-NNG/VENT</v>
      </c>
      <c r="L1" s="26" t="str">
        <f t="shared" si="0"/>
        <v>IF-NGPL/LA</v>
      </c>
      <c r="M1" s="26" t="str">
        <f t="shared" si="0"/>
        <v>IF-NORAM/EAST</v>
      </c>
      <c r="N1" s="26" t="str">
        <f t="shared" si="0"/>
        <v>IF-ONG/OKLAHOMA</v>
      </c>
      <c r="O1" s="26" t="str">
        <f t="shared" si="0"/>
        <v>IF-PAN/TX/OK</v>
      </c>
      <c r="P1" s="26" t="str">
        <f t="shared" si="0"/>
        <v>IF-WNG/TOK</v>
      </c>
      <c r="Q1" s="26" t="str">
        <f t="shared" si="0"/>
        <v>IF-TRUNKL/FLDZN</v>
      </c>
      <c r="R1" s="26" t="str">
        <f t="shared" si="0"/>
        <v>IF-TRUNKL/LA</v>
      </c>
      <c r="S1" s="26" t="str">
        <f t="shared" si="0"/>
        <v>MICH_CG-GD</v>
      </c>
      <c r="T1" s="26" t="str">
        <f t="shared" si="0"/>
        <v>ML7/CG</v>
      </c>
      <c r="U1" s="26" t="str">
        <f t="shared" si="0"/>
        <v>NGI/CHI. GATE</v>
      </c>
      <c r="V1" s="26" t="str">
        <f t="shared" si="0"/>
        <v>NGI-PGE/CG</v>
      </c>
      <c r="W1" s="26" t="str">
        <f t="shared" si="0"/>
        <v>IF-CGT/APPALAC</v>
      </c>
      <c r="X1" s="26" t="str">
        <f t="shared" si="0"/>
        <v>IF-CNG/APPALACH</v>
      </c>
      <c r="Y1" s="26" t="str">
        <f t="shared" si="0"/>
        <v>IF-COLGULF/LA</v>
      </c>
      <c r="Z1" s="26" t="str">
        <f t="shared" si="0"/>
        <v>IF-FGT/Z1</v>
      </c>
      <c r="AA1" s="26" t="str">
        <f t="shared" si="0"/>
        <v>IF-FGT/Z2</v>
      </c>
      <c r="AB1" s="26" t="str">
        <f t="shared" si="0"/>
        <v>IF-FGT/Z3</v>
      </c>
      <c r="AC1" s="26" t="str">
        <f t="shared" si="0"/>
        <v>IF-HEHUB</v>
      </c>
      <c r="AD1" s="26" t="str">
        <f t="shared" si="0"/>
        <v>IF-SONAT/LA</v>
      </c>
      <c r="AE1" s="26" t="str">
        <f t="shared" si="0"/>
        <v>IF-TENN/LA</v>
      </c>
      <c r="AF1" s="26" t="str">
        <f t="shared" si="0"/>
        <v>IF-TETCO/ELA</v>
      </c>
      <c r="AG1" s="26" t="str">
        <f t="shared" si="0"/>
        <v>IF-TETCO/WLA</v>
      </c>
      <c r="AH1" s="26" t="str">
        <f t="shared" si="0"/>
        <v>IF-TGT/Z1</v>
      </c>
      <c r="AI1" s="26" t="str">
        <f t="shared" si="0"/>
        <v>IF-TRANSCO/Z1</v>
      </c>
      <c r="AJ1" s="26" t="str">
        <f t="shared" si="0"/>
        <v>IF-TRUNKL/TX</v>
      </c>
      <c r="AK1" s="26" t="str">
        <f t="shared" si="0"/>
        <v>IF-TRANSCO/Z2</v>
      </c>
      <c r="AL1" s="26" t="str">
        <f t="shared" si="0"/>
        <v>IF-TRANSCO/Z3</v>
      </c>
      <c r="AM1" s="26" t="str">
        <f t="shared" si="0"/>
        <v>IF-TRANSCO/Z6</v>
      </c>
      <c r="AN1" s="26" t="str">
        <f t="shared" si="0"/>
        <v>IF-HPL/SHPCHAN</v>
      </c>
      <c r="AO1" s="26" t="str">
        <f t="shared" si="0"/>
        <v>IF-CIG/RKYMTN</v>
      </c>
      <c r="AP1" s="26" t="str">
        <f t="shared" si="0"/>
        <v>IF-ELPO/PERMIAN</v>
      </c>
      <c r="AQ1" s="26" t="str">
        <f t="shared" si="0"/>
        <v>IF-ELPO/SJ</v>
      </c>
      <c r="AR1" s="26" t="str">
        <f t="shared" si="0"/>
        <v>IF-NTHWST/CANBR</v>
      </c>
      <c r="AS1" s="26" t="str">
        <f t="shared" si="0"/>
        <v>IF-NWPL_ROCKY_M</v>
      </c>
      <c r="AT1" s="26" t="str">
        <f t="shared" si="0"/>
        <v>IF-QUESTAR</v>
      </c>
      <c r="AU1" s="26" t="str">
        <f t="shared" si="0"/>
        <v>NGI-SOCAL</v>
      </c>
      <c r="AV1" s="26" t="str">
        <f t="shared" si="0"/>
        <v>DJ/BASIN/CIG</v>
      </c>
      <c r="AW1" s="26" t="str">
        <f t="shared" si="0"/>
        <v>IF-VALERO/TX</v>
      </c>
      <c r="AX1" s="26" t="str">
        <f t="shared" si="0"/>
        <v>IF-WAHA-TX</v>
      </c>
      <c r="AY1" s="26" t="str">
        <f t="shared" si="0"/>
        <v>IF-TETCO/STX</v>
      </c>
      <c r="AZ1" s="26" t="str">
        <f t="shared" si="0"/>
        <v>IF-ANR/LA</v>
      </c>
      <c r="BA1" s="26" t="str">
        <f t="shared" si="0"/>
        <v>IF-TENN/TX</v>
      </c>
      <c r="BB1" s="26" t="str">
        <f t="shared" si="0"/>
        <v>IF-TGT/ZSL</v>
      </c>
      <c r="BC1" s="26" t="str">
        <f t="shared" si="0"/>
        <v>IF-NGPLTXOK</v>
      </c>
      <c r="BD1" s="26" t="str">
        <f t="shared" si="0"/>
        <v>IF-KATY</v>
      </c>
      <c r="BE1" s="26" t="str">
        <f t="shared" si="0"/>
        <v>IF-TENN/LA_OFF</v>
      </c>
      <c r="BF1" s="26" t="str">
        <f>BF3</f>
        <v>NGI-MALIN</v>
      </c>
      <c r="BG1" s="26" t="str">
        <f>BG3</f>
        <v>GDM-DAWN</v>
      </c>
      <c r="BH1" s="26" t="str">
        <f>BH3</f>
        <v>ANR/ML7-GDM</v>
      </c>
      <c r="BI1" s="26" t="str">
        <f>BI3</f>
        <v>MICH/CONS</v>
      </c>
      <c r="BJ1" s="26" t="str">
        <f>BJ3</f>
        <v>IF-TETCO/M3</v>
      </c>
    </row>
    <row r="2" spans="1:62" x14ac:dyDescent="0.25">
      <c r="D2" s="26">
        <v>2</v>
      </c>
      <c r="E2" s="26">
        <f>D2+1</f>
        <v>3</v>
      </c>
      <c r="F2" s="26">
        <f t="shared" ref="F2:BI2" si="1">E2+1</f>
        <v>4</v>
      </c>
      <c r="G2" s="26">
        <f t="shared" si="1"/>
        <v>5</v>
      </c>
      <c r="H2" s="26">
        <f t="shared" si="1"/>
        <v>6</v>
      </c>
      <c r="I2" s="26">
        <f t="shared" si="1"/>
        <v>7</v>
      </c>
      <c r="J2" s="26">
        <f t="shared" si="1"/>
        <v>8</v>
      </c>
      <c r="K2" s="26">
        <f t="shared" si="1"/>
        <v>9</v>
      </c>
      <c r="L2" s="26">
        <f t="shared" si="1"/>
        <v>10</v>
      </c>
      <c r="M2" s="26">
        <f t="shared" si="1"/>
        <v>11</v>
      </c>
      <c r="N2" s="26">
        <f t="shared" si="1"/>
        <v>12</v>
      </c>
      <c r="O2" s="26">
        <f t="shared" si="1"/>
        <v>13</v>
      </c>
      <c r="P2" s="26">
        <f t="shared" si="1"/>
        <v>14</v>
      </c>
      <c r="Q2" s="26">
        <f t="shared" si="1"/>
        <v>15</v>
      </c>
      <c r="R2" s="26">
        <f t="shared" si="1"/>
        <v>16</v>
      </c>
      <c r="S2" s="26">
        <f t="shared" si="1"/>
        <v>17</v>
      </c>
      <c r="T2" s="26">
        <f t="shared" si="1"/>
        <v>18</v>
      </c>
      <c r="U2" s="26">
        <f t="shared" si="1"/>
        <v>19</v>
      </c>
      <c r="V2" s="26">
        <f t="shared" si="1"/>
        <v>20</v>
      </c>
      <c r="W2" s="26">
        <f t="shared" si="1"/>
        <v>21</v>
      </c>
      <c r="X2" s="26">
        <f t="shared" si="1"/>
        <v>22</v>
      </c>
      <c r="Y2" s="26">
        <f t="shared" si="1"/>
        <v>23</v>
      </c>
      <c r="Z2" s="26">
        <f t="shared" si="1"/>
        <v>24</v>
      </c>
      <c r="AA2" s="26">
        <f t="shared" si="1"/>
        <v>25</v>
      </c>
      <c r="AB2" s="26">
        <f t="shared" si="1"/>
        <v>26</v>
      </c>
      <c r="AC2" s="26">
        <f t="shared" si="1"/>
        <v>27</v>
      </c>
      <c r="AD2" s="26">
        <f t="shared" si="1"/>
        <v>28</v>
      </c>
      <c r="AE2" s="26">
        <f t="shared" si="1"/>
        <v>29</v>
      </c>
      <c r="AF2" s="26">
        <f t="shared" si="1"/>
        <v>30</v>
      </c>
      <c r="AG2" s="26">
        <f t="shared" si="1"/>
        <v>31</v>
      </c>
      <c r="AH2" s="26">
        <f t="shared" si="1"/>
        <v>32</v>
      </c>
      <c r="AI2" s="26">
        <f t="shared" si="1"/>
        <v>33</v>
      </c>
      <c r="AJ2" s="26">
        <f t="shared" si="1"/>
        <v>34</v>
      </c>
      <c r="AK2" s="26">
        <f t="shared" si="1"/>
        <v>35</v>
      </c>
      <c r="AL2" s="26">
        <f t="shared" si="1"/>
        <v>36</v>
      </c>
      <c r="AM2" s="26">
        <f t="shared" si="1"/>
        <v>37</v>
      </c>
      <c r="AN2" s="26">
        <f t="shared" si="1"/>
        <v>38</v>
      </c>
      <c r="AO2" s="26">
        <f t="shared" si="1"/>
        <v>39</v>
      </c>
      <c r="AP2" s="26">
        <f t="shared" si="1"/>
        <v>40</v>
      </c>
      <c r="AQ2" s="26">
        <f t="shared" si="1"/>
        <v>41</v>
      </c>
      <c r="AR2" s="26">
        <f t="shared" si="1"/>
        <v>42</v>
      </c>
      <c r="AS2" s="26">
        <f t="shared" si="1"/>
        <v>43</v>
      </c>
      <c r="AT2" s="26">
        <f t="shared" si="1"/>
        <v>44</v>
      </c>
      <c r="AU2" s="26">
        <f t="shared" si="1"/>
        <v>45</v>
      </c>
      <c r="AV2" s="26">
        <f t="shared" si="1"/>
        <v>46</v>
      </c>
      <c r="AW2" s="26">
        <f t="shared" si="1"/>
        <v>47</v>
      </c>
      <c r="AX2" s="26">
        <f t="shared" si="1"/>
        <v>48</v>
      </c>
      <c r="AY2" s="26">
        <f t="shared" si="1"/>
        <v>49</v>
      </c>
      <c r="AZ2" s="26">
        <f t="shared" si="1"/>
        <v>50</v>
      </c>
      <c r="BA2" s="26">
        <f t="shared" si="1"/>
        <v>51</v>
      </c>
      <c r="BB2" s="26">
        <f t="shared" si="1"/>
        <v>52</v>
      </c>
      <c r="BC2" s="26">
        <f t="shared" si="1"/>
        <v>53</v>
      </c>
      <c r="BD2" s="26">
        <f t="shared" si="1"/>
        <v>54</v>
      </c>
      <c r="BE2" s="26">
        <f t="shared" si="1"/>
        <v>55</v>
      </c>
      <c r="BF2" s="26">
        <f t="shared" si="1"/>
        <v>56</v>
      </c>
      <c r="BG2" s="26">
        <f t="shared" si="1"/>
        <v>57</v>
      </c>
      <c r="BH2" s="26">
        <f t="shared" si="1"/>
        <v>58</v>
      </c>
      <c r="BI2" s="26">
        <f t="shared" si="1"/>
        <v>59</v>
      </c>
      <c r="BJ2" s="26">
        <f>BI2+1</f>
        <v>60</v>
      </c>
    </row>
    <row r="3" spans="1:62" x14ac:dyDescent="0.25">
      <c r="C3" s="28" t="s">
        <v>8</v>
      </c>
      <c r="D3" s="26" t="s">
        <v>9</v>
      </c>
      <c r="E3" s="26" t="s">
        <v>9</v>
      </c>
      <c r="F3" s="26" t="s">
        <v>114</v>
      </c>
      <c r="G3" s="26" t="s">
        <v>62</v>
      </c>
      <c r="H3" s="26" t="s">
        <v>63</v>
      </c>
      <c r="I3" s="26" t="s">
        <v>64</v>
      </c>
      <c r="J3" s="26" t="s">
        <v>65</v>
      </c>
      <c r="K3" s="26" t="s">
        <v>66</v>
      </c>
      <c r="L3" s="26" t="s">
        <v>67</v>
      </c>
      <c r="M3" s="26" t="s">
        <v>68</v>
      </c>
      <c r="N3" s="26" t="s">
        <v>69</v>
      </c>
      <c r="O3" s="26" t="s">
        <v>70</v>
      </c>
      <c r="P3" s="25" t="s">
        <v>71</v>
      </c>
      <c r="Q3" s="25" t="s">
        <v>72</v>
      </c>
      <c r="R3" s="25" t="s">
        <v>73</v>
      </c>
      <c r="S3" s="25" t="s">
        <v>74</v>
      </c>
      <c r="T3" s="25" t="s">
        <v>75</v>
      </c>
      <c r="U3" s="25" t="s">
        <v>76</v>
      </c>
      <c r="V3" s="25" t="s">
        <v>77</v>
      </c>
      <c r="W3" s="179" t="s">
        <v>78</v>
      </c>
      <c r="X3" s="179" t="s">
        <v>79</v>
      </c>
      <c r="Y3" s="179" t="s">
        <v>80</v>
      </c>
      <c r="Z3" s="179" t="s">
        <v>81</v>
      </c>
      <c r="AA3" s="179" t="s">
        <v>82</v>
      </c>
      <c r="AB3" s="179" t="s">
        <v>83</v>
      </c>
      <c r="AC3" s="179" t="s">
        <v>84</v>
      </c>
      <c r="AD3" s="179" t="s">
        <v>85</v>
      </c>
      <c r="AE3" s="179" t="s">
        <v>86</v>
      </c>
      <c r="AF3" s="179" t="s">
        <v>87</v>
      </c>
      <c r="AG3" s="180" t="s">
        <v>88</v>
      </c>
      <c r="AH3" s="179" t="s">
        <v>89</v>
      </c>
      <c r="AI3" s="181" t="s">
        <v>90</v>
      </c>
      <c r="AJ3" s="181" t="s">
        <v>91</v>
      </c>
      <c r="AK3" s="29" t="s">
        <v>92</v>
      </c>
      <c r="AL3" s="25" t="s">
        <v>93</v>
      </c>
      <c r="AM3" s="25" t="s">
        <v>94</v>
      </c>
      <c r="AN3" s="25" t="s">
        <v>95</v>
      </c>
      <c r="AO3" s="25" t="s">
        <v>96</v>
      </c>
      <c r="AP3" s="25" t="s">
        <v>97</v>
      </c>
      <c r="AQ3" s="25" t="s">
        <v>98</v>
      </c>
      <c r="AR3" s="25" t="s">
        <v>99</v>
      </c>
      <c r="AS3" s="25" t="s">
        <v>100</v>
      </c>
      <c r="AT3" s="25" t="s">
        <v>101</v>
      </c>
      <c r="AU3" s="25" t="s">
        <v>102</v>
      </c>
      <c r="AV3" s="25" t="s">
        <v>103</v>
      </c>
      <c r="AW3" s="25" t="s">
        <v>104</v>
      </c>
      <c r="AX3" s="25" t="s">
        <v>217</v>
      </c>
      <c r="AY3" s="25" t="s">
        <v>106</v>
      </c>
      <c r="AZ3" s="25" t="s">
        <v>107</v>
      </c>
      <c r="BA3" s="25" t="s">
        <v>108</v>
      </c>
      <c r="BB3" s="25" t="s">
        <v>109</v>
      </c>
      <c r="BC3" s="25" t="s">
        <v>110</v>
      </c>
      <c r="BD3" s="25" t="s">
        <v>111</v>
      </c>
      <c r="BE3" s="25" t="s">
        <v>112</v>
      </c>
      <c r="BF3" s="25" t="s">
        <v>189</v>
      </c>
      <c r="BG3" s="25" t="s">
        <v>218</v>
      </c>
      <c r="BH3" s="25" t="s">
        <v>227</v>
      </c>
      <c r="BI3" s="25" t="s">
        <v>219</v>
      </c>
      <c r="BJ3" s="25" t="s">
        <v>183</v>
      </c>
    </row>
    <row r="4" spans="1:62" x14ac:dyDescent="0.25">
      <c r="C4" s="28" t="s">
        <v>10</v>
      </c>
      <c r="D4" s="26" t="s">
        <v>11</v>
      </c>
      <c r="E4" s="26" t="s">
        <v>12</v>
      </c>
      <c r="F4" s="26" t="s">
        <v>13</v>
      </c>
      <c r="G4" s="26" t="s">
        <v>11</v>
      </c>
      <c r="H4" s="26" t="s">
        <v>11</v>
      </c>
      <c r="I4" s="26" t="s">
        <v>11</v>
      </c>
      <c r="J4" s="26" t="s">
        <v>11</v>
      </c>
      <c r="K4" s="26" t="s">
        <v>11</v>
      </c>
      <c r="L4" s="26" t="s">
        <v>11</v>
      </c>
      <c r="M4" s="26" t="s">
        <v>11</v>
      </c>
      <c r="N4" s="26" t="s">
        <v>11</v>
      </c>
      <c r="O4" s="26" t="s">
        <v>11</v>
      </c>
      <c r="P4" s="25" t="s">
        <v>11</v>
      </c>
      <c r="Q4" s="25" t="s">
        <v>11</v>
      </c>
      <c r="R4" s="25" t="s">
        <v>11</v>
      </c>
      <c r="S4" s="25" t="s">
        <v>11</v>
      </c>
      <c r="T4" s="25" t="s">
        <v>11</v>
      </c>
      <c r="U4" s="25" t="s">
        <v>11</v>
      </c>
      <c r="V4" s="25" t="s">
        <v>11</v>
      </c>
      <c r="W4" s="179" t="s">
        <v>11</v>
      </c>
      <c r="X4" s="179" t="s">
        <v>11</v>
      </c>
      <c r="Y4" s="179" t="s">
        <v>11</v>
      </c>
      <c r="Z4" s="179" t="s">
        <v>11</v>
      </c>
      <c r="AA4" s="179" t="s">
        <v>11</v>
      </c>
      <c r="AB4" s="179" t="s">
        <v>11</v>
      </c>
      <c r="AC4" s="179" t="s">
        <v>11</v>
      </c>
      <c r="AD4" s="179" t="s">
        <v>11</v>
      </c>
      <c r="AE4" s="179" t="s">
        <v>11</v>
      </c>
      <c r="AF4" s="179" t="s">
        <v>11</v>
      </c>
      <c r="AG4" s="180" t="s">
        <v>11</v>
      </c>
      <c r="AH4" s="179" t="s">
        <v>11</v>
      </c>
      <c r="AI4" s="181" t="s">
        <v>11</v>
      </c>
      <c r="AJ4" s="181" t="s">
        <v>11</v>
      </c>
      <c r="AK4" s="29" t="s">
        <v>11</v>
      </c>
      <c r="AL4" s="25" t="s">
        <v>11</v>
      </c>
      <c r="AM4" s="25" t="s">
        <v>11</v>
      </c>
      <c r="AN4" s="25" t="s">
        <v>11</v>
      </c>
      <c r="AO4" s="25" t="s">
        <v>11</v>
      </c>
      <c r="AP4" s="25" t="s">
        <v>11</v>
      </c>
      <c r="AQ4" s="25" t="s">
        <v>11</v>
      </c>
      <c r="AR4" s="25" t="s">
        <v>11</v>
      </c>
      <c r="AS4" s="25" t="s">
        <v>11</v>
      </c>
      <c r="AT4" s="25" t="s">
        <v>11</v>
      </c>
      <c r="AU4" s="25" t="s">
        <v>11</v>
      </c>
      <c r="AV4" s="25" t="s">
        <v>11</v>
      </c>
      <c r="AW4" s="25" t="s">
        <v>11</v>
      </c>
      <c r="AX4" s="25" t="s">
        <v>11</v>
      </c>
      <c r="AY4" s="25" t="s">
        <v>11</v>
      </c>
      <c r="AZ4" s="25" t="s">
        <v>11</v>
      </c>
      <c r="BA4" s="25" t="s">
        <v>11</v>
      </c>
      <c r="BB4" s="25" t="s">
        <v>11</v>
      </c>
      <c r="BC4" s="25" t="s">
        <v>11</v>
      </c>
      <c r="BD4" s="25" t="s">
        <v>11</v>
      </c>
      <c r="BE4" s="25" t="s">
        <v>11</v>
      </c>
      <c r="BF4" s="25" t="s">
        <v>11</v>
      </c>
      <c r="BG4" s="25" t="s">
        <v>11</v>
      </c>
      <c r="BH4" s="25" t="s">
        <v>11</v>
      </c>
      <c r="BI4" s="25" t="s">
        <v>11</v>
      </c>
      <c r="BJ4" s="25" t="s">
        <v>11</v>
      </c>
    </row>
    <row r="5" spans="1:62" x14ac:dyDescent="0.25">
      <c r="C5" s="28" t="s">
        <v>16</v>
      </c>
      <c r="D5" s="26" t="s">
        <v>14</v>
      </c>
      <c r="E5" s="26" t="s">
        <v>14</v>
      </c>
      <c r="F5" s="26" t="s">
        <v>15</v>
      </c>
      <c r="G5" s="26" t="s">
        <v>113</v>
      </c>
      <c r="H5" s="26" t="s">
        <v>113</v>
      </c>
      <c r="I5" s="26" t="s">
        <v>113</v>
      </c>
      <c r="J5" s="26" t="s">
        <v>113</v>
      </c>
      <c r="K5" s="26" t="s">
        <v>113</v>
      </c>
      <c r="L5" s="26" t="s">
        <v>113</v>
      </c>
      <c r="M5" s="26" t="s">
        <v>113</v>
      </c>
      <c r="N5" s="26" t="s">
        <v>113</v>
      </c>
      <c r="O5" s="26" t="s">
        <v>113</v>
      </c>
      <c r="P5" s="25" t="s">
        <v>113</v>
      </c>
      <c r="Q5" s="25" t="s">
        <v>113</v>
      </c>
      <c r="R5" s="25" t="s">
        <v>113</v>
      </c>
      <c r="S5" s="25" t="s">
        <v>113</v>
      </c>
      <c r="T5" s="25" t="s">
        <v>113</v>
      </c>
      <c r="U5" s="25" t="s">
        <v>113</v>
      </c>
      <c r="V5" s="25" t="s">
        <v>113</v>
      </c>
      <c r="W5" s="179" t="s">
        <v>113</v>
      </c>
      <c r="X5" s="179" t="s">
        <v>113</v>
      </c>
      <c r="Y5" s="179" t="s">
        <v>113</v>
      </c>
      <c r="Z5" s="179" t="s">
        <v>113</v>
      </c>
      <c r="AA5" s="179" t="s">
        <v>113</v>
      </c>
      <c r="AB5" s="179" t="s">
        <v>113</v>
      </c>
      <c r="AC5" s="179" t="s">
        <v>113</v>
      </c>
      <c r="AD5" s="179" t="s">
        <v>113</v>
      </c>
      <c r="AE5" s="179" t="s">
        <v>113</v>
      </c>
      <c r="AF5" s="179" t="s">
        <v>113</v>
      </c>
      <c r="AG5" s="180" t="s">
        <v>113</v>
      </c>
      <c r="AH5" s="179" t="s">
        <v>113</v>
      </c>
      <c r="AI5" s="181" t="s">
        <v>113</v>
      </c>
      <c r="AJ5" s="181" t="s">
        <v>113</v>
      </c>
      <c r="AK5" s="29" t="s">
        <v>113</v>
      </c>
      <c r="AL5" s="25" t="s">
        <v>113</v>
      </c>
      <c r="AM5" s="25" t="s">
        <v>113</v>
      </c>
      <c r="AN5" s="25" t="s">
        <v>113</v>
      </c>
      <c r="AO5" s="25" t="s">
        <v>113</v>
      </c>
      <c r="AP5" s="25" t="s">
        <v>113</v>
      </c>
      <c r="AQ5" s="25" t="s">
        <v>113</v>
      </c>
      <c r="AR5" s="25" t="s">
        <v>113</v>
      </c>
      <c r="AS5" s="25" t="s">
        <v>113</v>
      </c>
      <c r="AT5" s="25" t="s">
        <v>113</v>
      </c>
      <c r="AU5" s="25" t="s">
        <v>113</v>
      </c>
      <c r="AV5" s="25" t="s">
        <v>113</v>
      </c>
      <c r="AW5" s="25" t="s">
        <v>113</v>
      </c>
      <c r="AX5" s="25" t="s">
        <v>113</v>
      </c>
      <c r="AY5" s="25" t="s">
        <v>113</v>
      </c>
      <c r="AZ5" s="25" t="s">
        <v>113</v>
      </c>
      <c r="BA5" s="25" t="s">
        <v>113</v>
      </c>
      <c r="BB5" s="25" t="s">
        <v>113</v>
      </c>
      <c r="BC5" s="25" t="s">
        <v>113</v>
      </c>
      <c r="BD5" s="25" t="s">
        <v>113</v>
      </c>
      <c r="BE5" s="25" t="s">
        <v>113</v>
      </c>
      <c r="BF5" s="25" t="s">
        <v>113</v>
      </c>
      <c r="BG5" s="25" t="s">
        <v>113</v>
      </c>
      <c r="BH5" s="25" t="s">
        <v>113</v>
      </c>
      <c r="BI5" s="25" t="s">
        <v>113</v>
      </c>
      <c r="BJ5" s="25" t="s">
        <v>113</v>
      </c>
    </row>
    <row r="6" spans="1:62" x14ac:dyDescent="0.25">
      <c r="A6" s="26" t="e">
        <f>#REF!-B6</f>
        <v>#REF!</v>
      </c>
      <c r="B6" s="26">
        <v>4.3540000000000001</v>
      </c>
      <c r="C6" s="145">
        <v>36770</v>
      </c>
      <c r="D6" s="26">
        <v>4.6180000000000003</v>
      </c>
      <c r="E6" s="26">
        <v>0.4</v>
      </c>
      <c r="F6" s="26">
        <v>6.7041095957371996E-2</v>
      </c>
      <c r="G6" s="26">
        <v>-0.13800000000000001</v>
      </c>
      <c r="H6" s="26">
        <v>-0.158</v>
      </c>
      <c r="I6" s="26">
        <v>-0.10300000000000001</v>
      </c>
      <c r="J6" s="26">
        <v>-0.16800000000000001</v>
      </c>
      <c r="K6" s="26">
        <v>-0.10800000000000001</v>
      </c>
      <c r="L6" s="26">
        <v>-8.8000000000000009E-2</v>
      </c>
      <c r="M6" s="26">
        <v>-9.7999989999999995E-2</v>
      </c>
      <c r="N6" s="26">
        <v>-0.128</v>
      </c>
      <c r="O6" s="26">
        <v>-0.13800000000000001</v>
      </c>
      <c r="P6" s="25">
        <v>-0.13800000000000001</v>
      </c>
      <c r="Q6" s="25">
        <v>-0.13300000000000001</v>
      </c>
      <c r="R6" s="25">
        <v>-0.10800000000000001</v>
      </c>
      <c r="S6" s="25">
        <v>0.11200000000000002</v>
      </c>
      <c r="T6" s="25">
        <v>0.11200000000000002</v>
      </c>
      <c r="U6" s="25">
        <v>5.1999990000000003E-2</v>
      </c>
      <c r="V6" s="25">
        <v>1.585</v>
      </c>
      <c r="W6" s="179">
        <v>0.18</v>
      </c>
      <c r="X6" s="179">
        <v>0.21</v>
      </c>
      <c r="Y6" s="179">
        <v>-0.03</v>
      </c>
      <c r="Z6" s="179">
        <v>-2.75E-2</v>
      </c>
      <c r="AA6" s="179">
        <v>2.5000000000000001E-3</v>
      </c>
      <c r="AB6" s="179">
        <v>-0.03</v>
      </c>
      <c r="AC6" s="179">
        <v>7.000000000000001E-3</v>
      </c>
      <c r="AD6" s="179">
        <v>-0.03</v>
      </c>
      <c r="AE6" s="179">
        <v>-7.4999999999999997E-2</v>
      </c>
      <c r="AF6" s="179">
        <v>-7.4999999999999997E-2</v>
      </c>
      <c r="AG6" s="180">
        <v>-0.09</v>
      </c>
      <c r="AH6" s="179">
        <v>-1.4999999999999999E-2</v>
      </c>
      <c r="AI6" s="181">
        <v>-0.08</v>
      </c>
      <c r="AJ6" s="181">
        <v>-0.158</v>
      </c>
      <c r="AK6" s="29">
        <v>-0.05</v>
      </c>
      <c r="AL6" s="25">
        <v>2.5000000000000001E-3</v>
      </c>
      <c r="AM6" s="25">
        <v>0.32</v>
      </c>
      <c r="AN6" s="25">
        <v>1.2E-2</v>
      </c>
      <c r="AO6" s="25">
        <v>-1.2725</v>
      </c>
      <c r="AP6" s="25">
        <v>-0.185</v>
      </c>
      <c r="AQ6" s="25">
        <v>-1.2050000000000001</v>
      </c>
      <c r="AR6" s="25">
        <v>-1.1599999999999999</v>
      </c>
      <c r="AS6" s="25">
        <v>-1.2150000000000001</v>
      </c>
      <c r="AT6" s="25">
        <v>-1.3025</v>
      </c>
      <c r="AU6" s="25">
        <v>2.605</v>
      </c>
      <c r="AV6" s="25">
        <v>-1.2725</v>
      </c>
      <c r="AW6" s="25">
        <v>-0.155</v>
      </c>
      <c r="AX6" s="25">
        <v>-7.4999999999999997E-2</v>
      </c>
      <c r="AY6" s="25">
        <v>-0.155</v>
      </c>
      <c r="AZ6" s="25">
        <v>-9.8000000000000004E-2</v>
      </c>
      <c r="BA6" s="25">
        <v>-0.13500000000000001</v>
      </c>
      <c r="BB6" s="25">
        <v>-2.5000000000000001E-2</v>
      </c>
      <c r="BC6" s="25">
        <v>-0.10800000000000001</v>
      </c>
      <c r="BD6" s="25">
        <v>-1.8000000000000002E-2</v>
      </c>
      <c r="BE6" s="25">
        <v>-8.7499999999999994E-2</v>
      </c>
      <c r="BF6" s="25">
        <v>1.335</v>
      </c>
      <c r="BG6" s="25">
        <v>0.15</v>
      </c>
      <c r="BH6" s="25">
        <v>0.14450000000000002</v>
      </c>
      <c r="BI6" s="25">
        <v>0.11200000000000002</v>
      </c>
      <c r="BJ6" s="25">
        <v>0.3</v>
      </c>
    </row>
    <row r="7" spans="1:62" x14ac:dyDescent="0.25">
      <c r="A7" s="26" t="e">
        <f>#REF!-B7</f>
        <v>#REF!</v>
      </c>
      <c r="B7" s="26">
        <v>4.34</v>
      </c>
      <c r="C7" s="145">
        <v>36800</v>
      </c>
      <c r="D7" s="26">
        <v>4.782</v>
      </c>
      <c r="E7" s="26">
        <v>0.54</v>
      </c>
      <c r="F7" s="26">
        <v>6.7998663678555019E-2</v>
      </c>
      <c r="G7" s="26">
        <v>-0.14749999999999999</v>
      </c>
      <c r="H7" s="26">
        <v>-0.16250000000000001</v>
      </c>
      <c r="I7" s="26">
        <v>-8.5000000000000006E-2</v>
      </c>
      <c r="J7" s="26">
        <v>-0.17749999999999999</v>
      </c>
      <c r="K7" s="26">
        <v>-0.09</v>
      </c>
      <c r="L7" s="26">
        <v>-0.08</v>
      </c>
      <c r="M7" s="26">
        <v>-0.1075</v>
      </c>
      <c r="N7" s="26">
        <v>-0.13750000000000001</v>
      </c>
      <c r="O7" s="26">
        <v>-0.14749999999999999</v>
      </c>
      <c r="P7" s="25">
        <v>-0.14749999999999999</v>
      </c>
      <c r="Q7" s="25">
        <v>-0.115</v>
      </c>
      <c r="R7" s="25">
        <v>-0.09</v>
      </c>
      <c r="S7" s="25">
        <v>0.13250000000000001</v>
      </c>
      <c r="T7" s="25">
        <v>0.13250000000000001</v>
      </c>
      <c r="U7" s="25">
        <v>5.7500000000000002E-2</v>
      </c>
      <c r="V7" s="25">
        <v>0.8</v>
      </c>
      <c r="W7" s="179">
        <v>0.1925</v>
      </c>
      <c r="X7" s="179">
        <v>0.23749999999999999</v>
      </c>
      <c r="Y7" s="179">
        <v>-2.75E-2</v>
      </c>
      <c r="Z7" s="179">
        <v>-2.75E-2</v>
      </c>
      <c r="AA7" s="179">
        <v>2.5000000000000001E-3</v>
      </c>
      <c r="AB7" s="179">
        <v>-0.03</v>
      </c>
      <c r="AC7" s="179">
        <v>0</v>
      </c>
      <c r="AD7" s="179">
        <v>-7.4999999999999997E-3</v>
      </c>
      <c r="AE7" s="179">
        <v>-8.5000000000000006E-2</v>
      </c>
      <c r="AF7" s="179">
        <v>-7.0000000000000007E-2</v>
      </c>
      <c r="AG7" s="180">
        <v>-0.09</v>
      </c>
      <c r="AH7" s="179">
        <v>-0.02</v>
      </c>
      <c r="AI7" s="181">
        <v>-7.0000000000000007E-2</v>
      </c>
      <c r="AJ7" s="181">
        <v>-0.14000000000000001</v>
      </c>
      <c r="AK7" s="29">
        <v>-0.04</v>
      </c>
      <c r="AL7" s="25">
        <v>0</v>
      </c>
      <c r="AM7" s="25">
        <v>0.44</v>
      </c>
      <c r="AN7" s="25">
        <v>-1.2500000000000001E-2</v>
      </c>
      <c r="AO7" s="25">
        <v>-0.99750000000000005</v>
      </c>
      <c r="AP7" s="25">
        <v>-0.18</v>
      </c>
      <c r="AQ7" s="25">
        <v>-0.91749999999999998</v>
      </c>
      <c r="AR7" s="25">
        <v>-0.52500000000000002</v>
      </c>
      <c r="AS7" s="25">
        <v>-0.94</v>
      </c>
      <c r="AT7" s="25">
        <v>-1.0275000000000001</v>
      </c>
      <c r="AU7" s="25">
        <v>0.9</v>
      </c>
      <c r="AV7" s="25">
        <v>-0.99750000000000005</v>
      </c>
      <c r="AW7" s="25">
        <v>-0.16500000000000001</v>
      </c>
      <c r="AX7" s="25">
        <v>-0.10249999999999999</v>
      </c>
      <c r="AY7" s="25">
        <v>-0.16500000000000001</v>
      </c>
      <c r="AZ7" s="25">
        <v>-0.09</v>
      </c>
      <c r="BA7" s="25">
        <v>-0.14000000000000001</v>
      </c>
      <c r="BB7" s="25">
        <v>-0.03</v>
      </c>
      <c r="BC7" s="25">
        <v>-0.09</v>
      </c>
      <c r="BD7" s="25">
        <v>-4.2500000000000003E-2</v>
      </c>
      <c r="BE7" s="25">
        <v>-8.2500000000000004E-2</v>
      </c>
      <c r="BF7" s="25">
        <v>0.4</v>
      </c>
      <c r="BG7" s="25">
        <v>0.155</v>
      </c>
      <c r="BH7" s="25">
        <v>0.16500000000000001</v>
      </c>
      <c r="BI7" s="25">
        <v>0.13250000000000001</v>
      </c>
      <c r="BJ7" s="25">
        <v>0.34</v>
      </c>
    </row>
    <row r="8" spans="1:62" x14ac:dyDescent="0.25">
      <c r="A8" s="26" t="e">
        <f>#REF!-B8</f>
        <v>#REF!</v>
      </c>
      <c r="B8" s="26">
        <v>4.32</v>
      </c>
      <c r="C8" s="145">
        <v>36831</v>
      </c>
      <c r="D8" s="26">
        <v>4.84</v>
      </c>
      <c r="E8" s="26">
        <v>0.56999999999999995</v>
      </c>
      <c r="F8" s="26">
        <v>6.8040372818879022E-2</v>
      </c>
      <c r="G8" s="26">
        <v>-0.14499999999999999</v>
      </c>
      <c r="H8" s="26">
        <v>-0.16750000000000001</v>
      </c>
      <c r="I8" s="26">
        <v>-0.04</v>
      </c>
      <c r="J8" s="26">
        <v>-0.16500000000000001</v>
      </c>
      <c r="K8" s="26">
        <v>-5.0000000000000001E-3</v>
      </c>
      <c r="L8" s="26">
        <v>-7.7499999999999999E-2</v>
      </c>
      <c r="M8" s="26">
        <v>-0.115</v>
      </c>
      <c r="N8" s="26">
        <v>-0.13500000000000001</v>
      </c>
      <c r="O8" s="26">
        <v>-0.14499999999999999</v>
      </c>
      <c r="P8" s="25">
        <v>-0.14499999999999999</v>
      </c>
      <c r="Q8" s="25">
        <v>-0.11125</v>
      </c>
      <c r="R8" s="25">
        <v>-6.7500000000000004E-2</v>
      </c>
      <c r="S8" s="25">
        <v>0.17499999999999999</v>
      </c>
      <c r="T8" s="25">
        <v>0.17499999999999999</v>
      </c>
      <c r="U8" s="25">
        <v>8.5000000000000006E-2</v>
      </c>
      <c r="V8" s="25">
        <v>0.66249999999999998</v>
      </c>
      <c r="W8" s="179">
        <v>0.27500000000000002</v>
      </c>
      <c r="X8" s="179">
        <v>0.315</v>
      </c>
      <c r="Y8" s="179">
        <v>-2.75E-2</v>
      </c>
      <c r="Z8" s="179">
        <v>-4.2500000000000003E-2</v>
      </c>
      <c r="AA8" s="179">
        <v>-0.01</v>
      </c>
      <c r="AB8" s="179">
        <v>-0.04</v>
      </c>
      <c r="AC8" s="179">
        <v>5.0000000000000001E-3</v>
      </c>
      <c r="AD8" s="179">
        <v>-0.02</v>
      </c>
      <c r="AE8" s="179">
        <v>-6.5000000000000002E-2</v>
      </c>
      <c r="AF8" s="179">
        <v>-5.5E-2</v>
      </c>
      <c r="AG8" s="180">
        <v>-7.2499999999999995E-2</v>
      </c>
      <c r="AH8" s="179">
        <v>-2.2499999999999999E-2</v>
      </c>
      <c r="AI8" s="181">
        <v>-0.08</v>
      </c>
      <c r="AJ8" s="181">
        <v>-0.155</v>
      </c>
      <c r="AK8" s="29">
        <v>-2.2499999999999999E-2</v>
      </c>
      <c r="AL8" s="25">
        <v>1.2500000000000001E-2</v>
      </c>
      <c r="AM8" s="25">
        <v>0.78500000000000003</v>
      </c>
      <c r="AN8" s="25">
        <v>-0.03</v>
      </c>
      <c r="AO8" s="25">
        <v>-0.61750000000000005</v>
      </c>
      <c r="AP8" s="25">
        <v>-0.2</v>
      </c>
      <c r="AQ8" s="25">
        <v>-0.46750000000000003</v>
      </c>
      <c r="AR8" s="25">
        <v>-0.22</v>
      </c>
      <c r="AS8" s="25">
        <v>-0.55249999999999999</v>
      </c>
      <c r="AT8" s="25">
        <v>-0.61750000000000005</v>
      </c>
      <c r="AU8" s="25">
        <v>0.60250000000000004</v>
      </c>
      <c r="AV8" s="25">
        <v>-0.61750000000000005</v>
      </c>
      <c r="AW8" s="25">
        <v>-0.1275</v>
      </c>
      <c r="AX8" s="25">
        <v>-0.14249999999999999</v>
      </c>
      <c r="AY8" s="25">
        <v>-0.1275</v>
      </c>
      <c r="AZ8" s="25">
        <v>-7.7499999999999999E-2</v>
      </c>
      <c r="BA8" s="25">
        <v>-0.1125</v>
      </c>
      <c r="BB8" s="25">
        <v>-2.75E-2</v>
      </c>
      <c r="BC8" s="25">
        <v>-0.105</v>
      </c>
      <c r="BD8" s="25">
        <v>-0.06</v>
      </c>
      <c r="BE8" s="25">
        <v>-6.5000000000000002E-2</v>
      </c>
      <c r="BF8" s="25">
        <v>0.3</v>
      </c>
      <c r="BG8" s="25">
        <v>0.26500000000000001</v>
      </c>
      <c r="BH8" s="25">
        <v>0.22</v>
      </c>
      <c r="BI8" s="25">
        <v>0.17499999999999999</v>
      </c>
      <c r="BJ8" s="25">
        <v>0.53</v>
      </c>
    </row>
    <row r="9" spans="1:62" x14ac:dyDescent="0.25">
      <c r="A9" s="26" t="e">
        <f>#REF!-B9</f>
        <v>#REF!</v>
      </c>
      <c r="B9" s="26">
        <v>4.335</v>
      </c>
      <c r="C9" s="145">
        <v>36861</v>
      </c>
      <c r="D9" s="26">
        <v>4.91</v>
      </c>
      <c r="E9" s="26">
        <v>0.59</v>
      </c>
      <c r="F9" s="26">
        <v>6.8247886953399006E-2</v>
      </c>
      <c r="G9" s="26">
        <v>-0.155</v>
      </c>
      <c r="H9" s="26">
        <v>-0.17749999999999999</v>
      </c>
      <c r="I9" s="26">
        <v>-0.02</v>
      </c>
      <c r="J9" s="26">
        <v>-0.17499999999999999</v>
      </c>
      <c r="K9" s="26">
        <v>1.4999999999999999E-2</v>
      </c>
      <c r="L9" s="26">
        <v>-7.7499999999999999E-2</v>
      </c>
      <c r="M9" s="26">
        <v>-0.125</v>
      </c>
      <c r="N9" s="26">
        <v>-0.14499999999999999</v>
      </c>
      <c r="O9" s="26">
        <v>-0.155</v>
      </c>
      <c r="P9" s="25">
        <v>-0.155</v>
      </c>
      <c r="Q9" s="25">
        <v>-0.115</v>
      </c>
      <c r="R9" s="25">
        <v>-6.7500000000000004E-2</v>
      </c>
      <c r="S9" s="25">
        <v>0.20250000000000001</v>
      </c>
      <c r="T9" s="25">
        <v>0.20250000000000001</v>
      </c>
      <c r="U9" s="25">
        <v>0.10249999999999999</v>
      </c>
      <c r="V9" s="25">
        <v>0.50249999999999995</v>
      </c>
      <c r="W9" s="179">
        <v>0.30499999999999999</v>
      </c>
      <c r="X9" s="179">
        <v>0.39500000000000002</v>
      </c>
      <c r="Y9" s="179">
        <v>-2.75E-2</v>
      </c>
      <c r="Z9" s="179">
        <v>-4.2500000000000003E-2</v>
      </c>
      <c r="AA9" s="179">
        <v>-0.01</v>
      </c>
      <c r="AB9" s="179">
        <v>-0.04</v>
      </c>
      <c r="AC9" s="179">
        <v>5.0000000000000001E-3</v>
      </c>
      <c r="AD9" s="179">
        <v>-0.02</v>
      </c>
      <c r="AE9" s="179">
        <v>-6.5000000000000002E-2</v>
      </c>
      <c r="AF9" s="179">
        <v>-5.5E-2</v>
      </c>
      <c r="AG9" s="180">
        <v>-7.2499999999999995E-2</v>
      </c>
      <c r="AH9" s="179">
        <v>-2.2499999999999999E-2</v>
      </c>
      <c r="AI9" s="181">
        <v>-0.08</v>
      </c>
      <c r="AJ9" s="181">
        <v>-0.16250000000000001</v>
      </c>
      <c r="AK9" s="29">
        <v>-2.2499999999999999E-2</v>
      </c>
      <c r="AL9" s="25">
        <v>1.2500000000000001E-2</v>
      </c>
      <c r="AM9" s="25">
        <v>1.71</v>
      </c>
      <c r="AN9" s="25">
        <v>-6.5000000000000002E-2</v>
      </c>
      <c r="AO9" s="25">
        <v>-0.50749999999999995</v>
      </c>
      <c r="AP9" s="25">
        <v>-0.19500000000000001</v>
      </c>
      <c r="AQ9" s="25">
        <v>-0.42</v>
      </c>
      <c r="AR9" s="25">
        <v>0.49</v>
      </c>
      <c r="AS9" s="25">
        <v>-0.4425</v>
      </c>
      <c r="AT9" s="25">
        <v>-0.50749999999999995</v>
      </c>
      <c r="AU9" s="25">
        <v>0.4425</v>
      </c>
      <c r="AV9" s="25">
        <v>-0.50749999999999995</v>
      </c>
      <c r="AW9" s="25">
        <v>-0.16250000000000001</v>
      </c>
      <c r="AX9" s="25">
        <v>-0.1295</v>
      </c>
      <c r="AY9" s="25">
        <v>-0.16250000000000001</v>
      </c>
      <c r="AZ9" s="25">
        <v>-7.7499999999999999E-2</v>
      </c>
      <c r="BA9" s="25">
        <v>-0.14749999999999999</v>
      </c>
      <c r="BB9" s="25">
        <v>-2.75E-2</v>
      </c>
      <c r="BC9" s="25">
        <v>-0.1125</v>
      </c>
      <c r="BD9" s="25">
        <v>-0.1</v>
      </c>
      <c r="BE9" s="25">
        <v>-6.5000000000000002E-2</v>
      </c>
      <c r="BF9" s="25">
        <v>0.27750000000000002</v>
      </c>
      <c r="BG9" s="25">
        <v>0.23499999999999999</v>
      </c>
      <c r="BH9" s="25">
        <v>0.2475</v>
      </c>
      <c r="BI9" s="25">
        <v>0.20250000000000001</v>
      </c>
      <c r="BJ9" s="25">
        <v>0.86</v>
      </c>
    </row>
    <row r="10" spans="1:62" x14ac:dyDescent="0.25">
      <c r="A10" s="26" t="e">
        <f>#REF!-B10</f>
        <v>#REF!</v>
      </c>
      <c r="B10" s="26">
        <v>4.4340000000000002</v>
      </c>
      <c r="C10" s="145">
        <v>36892</v>
      </c>
      <c r="D10" s="26">
        <v>4.8499999999999996</v>
      </c>
      <c r="E10" s="26">
        <v>0.6</v>
      </c>
      <c r="F10" s="26">
        <v>6.8245902043498008E-2</v>
      </c>
      <c r="G10" s="26">
        <v>-0.16250000000000001</v>
      </c>
      <c r="H10" s="26">
        <v>-0.185</v>
      </c>
      <c r="I10" s="26">
        <v>-7.4999999999999997E-3</v>
      </c>
      <c r="J10" s="26">
        <v>-0.1825</v>
      </c>
      <c r="K10" s="26">
        <v>2.75E-2</v>
      </c>
      <c r="L10" s="26">
        <v>-7.7499999999999999E-2</v>
      </c>
      <c r="M10" s="26">
        <v>-0.13250000000000001</v>
      </c>
      <c r="N10" s="26">
        <v>-0.1525</v>
      </c>
      <c r="O10" s="26">
        <v>-0.16250000000000001</v>
      </c>
      <c r="P10" s="25">
        <v>-0.16250000000000001</v>
      </c>
      <c r="Q10" s="25">
        <v>-0.11874999999999999</v>
      </c>
      <c r="R10" s="25">
        <v>-6.7500000000000004E-2</v>
      </c>
      <c r="S10" s="25">
        <v>0.22750000000000001</v>
      </c>
      <c r="T10" s="25">
        <v>0.22750000000000001</v>
      </c>
      <c r="U10" s="25">
        <v>0.1275</v>
      </c>
      <c r="V10" s="25">
        <v>0.48499999999999999</v>
      </c>
      <c r="W10" s="179">
        <v>0.31</v>
      </c>
      <c r="X10" s="179">
        <v>0.46500000000000002</v>
      </c>
      <c r="Y10" s="179">
        <v>-2.75E-2</v>
      </c>
      <c r="Z10" s="179">
        <v>-4.2500000000000003E-2</v>
      </c>
      <c r="AA10" s="179">
        <v>-0.01</v>
      </c>
      <c r="AB10" s="179">
        <v>-0.04</v>
      </c>
      <c r="AC10" s="179">
        <v>5.0000000000000001E-3</v>
      </c>
      <c r="AD10" s="179">
        <v>-0.02</v>
      </c>
      <c r="AE10" s="179">
        <v>-6.5000000000000002E-2</v>
      </c>
      <c r="AF10" s="179">
        <v>-5.5E-2</v>
      </c>
      <c r="AG10" s="180">
        <v>-7.2499999999999995E-2</v>
      </c>
      <c r="AH10" s="179">
        <v>-2.2499999999999999E-2</v>
      </c>
      <c r="AI10" s="181">
        <v>-0.08</v>
      </c>
      <c r="AJ10" s="181">
        <v>-0.17</v>
      </c>
      <c r="AK10" s="29">
        <v>-2.2499999999999999E-2</v>
      </c>
      <c r="AL10" s="25">
        <v>1.2500000000000001E-2</v>
      </c>
      <c r="AM10" s="25">
        <v>2.2450000000000001</v>
      </c>
      <c r="AN10" s="25">
        <v>-7.0000000000000007E-2</v>
      </c>
      <c r="AO10" s="25">
        <v>-0.51749999999999996</v>
      </c>
      <c r="AP10" s="25">
        <v>-0.19500000000000001</v>
      </c>
      <c r="AQ10" s="25">
        <v>-0.40500000000000003</v>
      </c>
      <c r="AR10" s="25">
        <v>0.49</v>
      </c>
      <c r="AS10" s="25">
        <v>-0.45250000000000001</v>
      </c>
      <c r="AT10" s="25">
        <v>-0.51749999999999996</v>
      </c>
      <c r="AU10" s="25">
        <v>0.42499999999999999</v>
      </c>
      <c r="AV10" s="25">
        <v>-0.51749999999999996</v>
      </c>
      <c r="AW10" s="25">
        <v>-0.14749999999999999</v>
      </c>
      <c r="AX10" s="25">
        <v>-0.1295</v>
      </c>
      <c r="AY10" s="25">
        <v>-0.14749999999999999</v>
      </c>
      <c r="AZ10" s="25">
        <v>-7.7499999999999999E-2</v>
      </c>
      <c r="BA10" s="25">
        <v>-0.1525</v>
      </c>
      <c r="BB10" s="25">
        <v>-2.75E-2</v>
      </c>
      <c r="BC10" s="25">
        <v>-0.12</v>
      </c>
      <c r="BD10" s="25">
        <v>-0.105</v>
      </c>
      <c r="BE10" s="25">
        <v>-6.5000000000000002E-2</v>
      </c>
      <c r="BF10" s="25">
        <v>0.27</v>
      </c>
      <c r="BG10" s="25">
        <v>0.27</v>
      </c>
      <c r="BH10" s="25">
        <v>0.27250000000000002</v>
      </c>
      <c r="BI10" s="25">
        <v>0.22750000000000001</v>
      </c>
      <c r="BJ10" s="25">
        <v>1.08</v>
      </c>
    </row>
    <row r="11" spans="1:62" x14ac:dyDescent="0.25">
      <c r="A11" s="26" t="e">
        <f>#REF!-B11</f>
        <v>#REF!</v>
      </c>
      <c r="B11" s="26">
        <v>4.5330000000000004</v>
      </c>
      <c r="C11" s="145">
        <v>36923</v>
      </c>
      <c r="D11" s="26">
        <v>4.58</v>
      </c>
      <c r="E11" s="26">
        <v>0.59250000000000003</v>
      </c>
      <c r="F11" s="26">
        <v>6.8477342037279024E-2</v>
      </c>
      <c r="G11" s="26">
        <v>-0.14749999999999999</v>
      </c>
      <c r="H11" s="26">
        <v>-0.17</v>
      </c>
      <c r="I11" s="26">
        <v>-2.5000000000000001E-3</v>
      </c>
      <c r="J11" s="26">
        <v>-0.16750000000000001</v>
      </c>
      <c r="K11" s="26">
        <v>3.2500000000000001E-2</v>
      </c>
      <c r="L11" s="26">
        <v>-7.7499999999999999E-2</v>
      </c>
      <c r="M11" s="26">
        <v>-0.11749999999999999</v>
      </c>
      <c r="N11" s="26">
        <v>-0.13750000000000001</v>
      </c>
      <c r="O11" s="26">
        <v>-0.14749999999999999</v>
      </c>
      <c r="P11" s="25">
        <v>-0.14749999999999999</v>
      </c>
      <c r="Q11" s="25">
        <v>-0.11</v>
      </c>
      <c r="R11" s="25">
        <v>-6.7500000000000004E-2</v>
      </c>
      <c r="S11" s="25">
        <v>0.2475</v>
      </c>
      <c r="T11" s="25">
        <v>0.2475</v>
      </c>
      <c r="U11" s="25">
        <v>0.13750000000000001</v>
      </c>
      <c r="V11" s="25">
        <v>0.34499999999999997</v>
      </c>
      <c r="W11" s="179">
        <v>0.315</v>
      </c>
      <c r="X11" s="179">
        <v>0.435</v>
      </c>
      <c r="Y11" s="179">
        <v>-2.75E-2</v>
      </c>
      <c r="Z11" s="179">
        <v>-4.2500000000000003E-2</v>
      </c>
      <c r="AA11" s="179">
        <v>-0.01</v>
      </c>
      <c r="AB11" s="179">
        <v>-0.04</v>
      </c>
      <c r="AC11" s="179">
        <v>5.0000000000000001E-3</v>
      </c>
      <c r="AD11" s="179">
        <v>-0.02</v>
      </c>
      <c r="AE11" s="179">
        <v>-6.5000000000000002E-2</v>
      </c>
      <c r="AF11" s="179">
        <v>-5.5E-2</v>
      </c>
      <c r="AG11" s="180">
        <v>-7.2499999999999995E-2</v>
      </c>
      <c r="AH11" s="179">
        <v>-2.2499999999999999E-2</v>
      </c>
      <c r="AI11" s="181">
        <v>-0.08</v>
      </c>
      <c r="AJ11" s="181">
        <v>-0.1525</v>
      </c>
      <c r="AK11" s="29">
        <v>-2.2499999999999999E-2</v>
      </c>
      <c r="AL11" s="25">
        <v>1.2500000000000001E-2</v>
      </c>
      <c r="AM11" s="25">
        <v>2.1749999999999998</v>
      </c>
      <c r="AN11" s="25">
        <v>-5.2499999999999998E-2</v>
      </c>
      <c r="AO11" s="25">
        <v>-0.53749999999999998</v>
      </c>
      <c r="AP11" s="25">
        <v>-0.19500000000000001</v>
      </c>
      <c r="AQ11" s="25">
        <v>-0.41</v>
      </c>
      <c r="AR11" s="25">
        <v>0.30499999999999999</v>
      </c>
      <c r="AS11" s="25">
        <v>-0.47249999999999998</v>
      </c>
      <c r="AT11" s="25">
        <v>-0.53749999999999998</v>
      </c>
      <c r="AU11" s="25">
        <v>0.28499999999999998</v>
      </c>
      <c r="AV11" s="25">
        <v>-0.53749999999999998</v>
      </c>
      <c r="AW11" s="25">
        <v>-0.15</v>
      </c>
      <c r="AX11" s="25">
        <v>-0.1295</v>
      </c>
      <c r="AY11" s="25">
        <v>-0.15</v>
      </c>
      <c r="AZ11" s="25">
        <v>-7.7499999999999999E-2</v>
      </c>
      <c r="BA11" s="25">
        <v>-0.13500000000000001</v>
      </c>
      <c r="BB11" s="25">
        <v>-2.75E-2</v>
      </c>
      <c r="BC11" s="25">
        <v>-0.10249999999999999</v>
      </c>
      <c r="BD11" s="25">
        <v>-8.7499999999999994E-2</v>
      </c>
      <c r="BE11" s="25">
        <v>-6.5000000000000002E-2</v>
      </c>
      <c r="BF11" s="25">
        <v>0.3</v>
      </c>
      <c r="BG11" s="25">
        <v>0.32</v>
      </c>
      <c r="BH11" s="25">
        <v>0.29249999999999998</v>
      </c>
      <c r="BI11" s="25">
        <v>0.2475</v>
      </c>
      <c r="BJ11" s="25">
        <v>1.08</v>
      </c>
    </row>
    <row r="12" spans="1:62" x14ac:dyDescent="0.25">
      <c r="A12" s="26" t="e">
        <f>#REF!-B12</f>
        <v>#REF!</v>
      </c>
      <c r="B12" s="26">
        <v>4.5410000000000004</v>
      </c>
      <c r="C12" s="145">
        <v>36951</v>
      </c>
      <c r="D12" s="26">
        <v>4.3150000000000004</v>
      </c>
      <c r="E12" s="26">
        <v>0.53</v>
      </c>
      <c r="F12" s="26">
        <v>6.8686384627542008E-2</v>
      </c>
      <c r="G12" s="26">
        <v>-0.14000000000000001</v>
      </c>
      <c r="H12" s="26">
        <v>-0.16250000000000001</v>
      </c>
      <c r="I12" s="26">
        <v>-5.0000000000000001E-3</v>
      </c>
      <c r="J12" s="26">
        <v>-0.16</v>
      </c>
      <c r="K12" s="26">
        <v>0.03</v>
      </c>
      <c r="L12" s="26">
        <v>-7.7499999999999999E-2</v>
      </c>
      <c r="M12" s="26">
        <v>-0.11</v>
      </c>
      <c r="N12" s="26">
        <v>-0.13</v>
      </c>
      <c r="O12" s="26">
        <v>-0.14000000000000001</v>
      </c>
      <c r="P12" s="25">
        <v>-0.14000000000000001</v>
      </c>
      <c r="Q12" s="25">
        <v>-0.10125000000000001</v>
      </c>
      <c r="R12" s="25">
        <v>-6.7500000000000004E-2</v>
      </c>
      <c r="S12" s="25">
        <v>0.23499999999999999</v>
      </c>
      <c r="T12" s="25">
        <v>0.23499999999999999</v>
      </c>
      <c r="U12" s="25">
        <v>0.1225</v>
      </c>
      <c r="V12" s="25">
        <v>0.30499999999999999</v>
      </c>
      <c r="W12" s="179">
        <v>0.29499999999999998</v>
      </c>
      <c r="X12" s="179">
        <v>0.39</v>
      </c>
      <c r="Y12" s="179">
        <v>-2.75E-2</v>
      </c>
      <c r="Z12" s="179">
        <v>-4.2500000000000003E-2</v>
      </c>
      <c r="AA12" s="179">
        <v>-0.01</v>
      </c>
      <c r="AB12" s="179">
        <v>-0.04</v>
      </c>
      <c r="AC12" s="179">
        <v>5.0000000000000001E-3</v>
      </c>
      <c r="AD12" s="179">
        <v>-0.02</v>
      </c>
      <c r="AE12" s="179">
        <v>-6.5000000000000002E-2</v>
      </c>
      <c r="AF12" s="179">
        <v>-5.5E-2</v>
      </c>
      <c r="AG12" s="180">
        <v>-7.2499999999999995E-2</v>
      </c>
      <c r="AH12" s="179">
        <v>-2.2499999999999999E-2</v>
      </c>
      <c r="AI12" s="181">
        <v>-0.08</v>
      </c>
      <c r="AJ12" s="181">
        <v>-0.13500000000000001</v>
      </c>
      <c r="AK12" s="29">
        <v>-2.2499999999999999E-2</v>
      </c>
      <c r="AL12" s="25">
        <v>1.2500000000000001E-2</v>
      </c>
      <c r="AM12" s="25">
        <v>1.135</v>
      </c>
      <c r="AN12" s="25">
        <v>-3.5000000000000003E-2</v>
      </c>
      <c r="AO12" s="25">
        <v>-0.54749999999999999</v>
      </c>
      <c r="AP12" s="25">
        <v>-0.19750000000000001</v>
      </c>
      <c r="AQ12" s="25">
        <v>-0.48249999999999998</v>
      </c>
      <c r="AR12" s="25">
        <v>-6.5000000000000002E-2</v>
      </c>
      <c r="AS12" s="25">
        <v>-0.48249999999999998</v>
      </c>
      <c r="AT12" s="25">
        <v>-0.54749999999999999</v>
      </c>
      <c r="AU12" s="25">
        <v>0.245</v>
      </c>
      <c r="AV12" s="25">
        <v>-0.54749999999999999</v>
      </c>
      <c r="AW12" s="25">
        <v>-0.1275</v>
      </c>
      <c r="AX12" s="25">
        <v>-0.14200000000000002</v>
      </c>
      <c r="AY12" s="25">
        <v>-0.1275</v>
      </c>
      <c r="AZ12" s="25">
        <v>-7.7499999999999999E-2</v>
      </c>
      <c r="BA12" s="25">
        <v>-0.11749999999999999</v>
      </c>
      <c r="BB12" s="25">
        <v>-2.75E-2</v>
      </c>
      <c r="BC12" s="25">
        <v>-8.5000000000000006E-2</v>
      </c>
      <c r="BD12" s="25">
        <v>-7.0000000000000007E-2</v>
      </c>
      <c r="BE12" s="25">
        <v>-6.5000000000000002E-2</v>
      </c>
      <c r="BF12" s="25">
        <v>0.3</v>
      </c>
      <c r="BG12" s="25">
        <v>0.31</v>
      </c>
      <c r="BH12" s="25">
        <v>0.28000000000000003</v>
      </c>
      <c r="BI12" s="25">
        <v>0.23499999999999999</v>
      </c>
      <c r="BJ12" s="25">
        <v>0.75</v>
      </c>
    </row>
    <row r="13" spans="1:62" x14ac:dyDescent="0.25">
      <c r="A13" s="26" t="e">
        <f>#REF!-B13</f>
        <v>#REF!</v>
      </c>
      <c r="B13" s="26">
        <v>4.3210000000000006</v>
      </c>
      <c r="C13" s="145">
        <v>36982</v>
      </c>
      <c r="D13" s="26">
        <v>4.0549999999999997</v>
      </c>
      <c r="E13" s="26">
        <v>0.435</v>
      </c>
      <c r="F13" s="26">
        <v>6.8834971958648017E-2</v>
      </c>
      <c r="G13" s="26">
        <v>-0.15</v>
      </c>
      <c r="H13" s="26">
        <v>-0.16750000000000001</v>
      </c>
      <c r="I13" s="26">
        <v>-0.11</v>
      </c>
      <c r="J13" s="26">
        <v>-0.15</v>
      </c>
      <c r="K13" s="26">
        <v>-0.115</v>
      </c>
      <c r="L13" s="26">
        <v>-0.06</v>
      </c>
      <c r="M13" s="26">
        <v>-9.5000000000000001E-2</v>
      </c>
      <c r="N13" s="26">
        <v>-0.12</v>
      </c>
      <c r="O13" s="26">
        <v>-0.15</v>
      </c>
      <c r="P13" s="25">
        <v>-0.15</v>
      </c>
      <c r="Q13" s="25">
        <v>-9.8750000000000004E-2</v>
      </c>
      <c r="R13" s="25">
        <v>-6.7500000000000004E-2</v>
      </c>
      <c r="S13" s="25">
        <v>0.14000000000000001</v>
      </c>
      <c r="T13" s="25">
        <v>0.14000000000000001</v>
      </c>
      <c r="U13" s="25">
        <v>6.7500000000000004E-2</v>
      </c>
      <c r="V13" s="25">
        <v>0.18</v>
      </c>
      <c r="W13" s="179">
        <v>0.2</v>
      </c>
      <c r="X13" s="179">
        <v>0.23</v>
      </c>
      <c r="Y13" s="179">
        <v>-2.5000000000000001E-2</v>
      </c>
      <c r="Z13" s="179">
        <v>-3.2500000000000001E-2</v>
      </c>
      <c r="AA13" s="179">
        <v>5.0000000000000001E-3</v>
      </c>
      <c r="AB13" s="179">
        <v>-2.2499999999999999E-2</v>
      </c>
      <c r="AC13" s="179">
        <v>5.0000000000000001E-3</v>
      </c>
      <c r="AD13" s="179">
        <v>-7.4999999999999997E-3</v>
      </c>
      <c r="AE13" s="179">
        <v>-6.25E-2</v>
      </c>
      <c r="AF13" s="179">
        <v>-5.5E-2</v>
      </c>
      <c r="AG13" s="180">
        <v>-7.0000000000000007E-2</v>
      </c>
      <c r="AH13" s="179">
        <v>-0.02</v>
      </c>
      <c r="AI13" s="181">
        <v>-7.8E-2</v>
      </c>
      <c r="AJ13" s="181">
        <v>-0.13</v>
      </c>
      <c r="AK13" s="29">
        <v>-0.03</v>
      </c>
      <c r="AL13" s="25">
        <v>5.0000000000000001E-3</v>
      </c>
      <c r="AM13" s="25">
        <v>0.52</v>
      </c>
      <c r="AN13" s="25">
        <v>5.0000000000000001E-3</v>
      </c>
      <c r="AO13" s="25">
        <v>-0.76500000000000001</v>
      </c>
      <c r="AP13" s="25">
        <v>-0.15</v>
      </c>
      <c r="AQ13" s="25">
        <v>-0.48</v>
      </c>
      <c r="AR13" s="25">
        <v>-0.38500000000000001</v>
      </c>
      <c r="AS13" s="25">
        <v>-0.7</v>
      </c>
      <c r="AT13" s="25">
        <v>-0.76500000000000001</v>
      </c>
      <c r="AU13" s="25">
        <v>0.18</v>
      </c>
      <c r="AV13" s="25">
        <v>-0.76500000000000001</v>
      </c>
      <c r="AW13" s="25">
        <v>-0.1225</v>
      </c>
      <c r="AX13" s="25">
        <v>-8.5000000000000006E-2</v>
      </c>
      <c r="AY13" s="25">
        <v>-0.1225</v>
      </c>
      <c r="AZ13" s="25">
        <v>-6.7500000000000004E-2</v>
      </c>
      <c r="BA13" s="25">
        <v>-0.11</v>
      </c>
      <c r="BB13" s="25">
        <v>-2.5000000000000001E-2</v>
      </c>
      <c r="BC13" s="25">
        <v>-7.0000000000000007E-2</v>
      </c>
      <c r="BD13" s="25">
        <v>-0.03</v>
      </c>
      <c r="BE13" s="25">
        <v>-6.25E-2</v>
      </c>
      <c r="BF13" s="25">
        <v>0.2</v>
      </c>
      <c r="BG13" s="25">
        <v>0.14749999999999999</v>
      </c>
      <c r="BH13" s="25">
        <v>0.16500000000000001</v>
      </c>
      <c r="BI13" s="25">
        <v>0.14000000000000001</v>
      </c>
      <c r="BJ13" s="25">
        <v>0.3775</v>
      </c>
    </row>
    <row r="14" spans="1:62" x14ac:dyDescent="0.25">
      <c r="A14" s="26" t="e">
        <f>#REF!-B14</f>
        <v>#REF!</v>
      </c>
      <c r="B14" s="26">
        <v>4.101</v>
      </c>
      <c r="C14" s="145">
        <v>37012</v>
      </c>
      <c r="D14" s="26">
        <v>3.95</v>
      </c>
      <c r="E14" s="26">
        <v>0.4</v>
      </c>
      <c r="F14" s="26">
        <v>6.8844146311537027E-2</v>
      </c>
      <c r="G14" s="26">
        <v>-0.14499999999999999</v>
      </c>
      <c r="H14" s="26">
        <v>-0.16250000000000001</v>
      </c>
      <c r="I14" s="26">
        <v>-0.105</v>
      </c>
      <c r="J14" s="26">
        <v>-0.15</v>
      </c>
      <c r="K14" s="26">
        <v>-0.11</v>
      </c>
      <c r="L14" s="26">
        <v>-0.06</v>
      </c>
      <c r="M14" s="26">
        <v>-0.09</v>
      </c>
      <c r="N14" s="26">
        <v>-0.115</v>
      </c>
      <c r="O14" s="26">
        <v>-0.14499999999999999</v>
      </c>
      <c r="P14" s="25">
        <v>-0.14499999999999999</v>
      </c>
      <c r="Q14" s="25">
        <v>-9.8750000000000004E-2</v>
      </c>
      <c r="R14" s="25">
        <v>-6.7500000000000004E-2</v>
      </c>
      <c r="S14" s="25">
        <v>0.1275</v>
      </c>
      <c r="T14" s="25">
        <v>0.1275</v>
      </c>
      <c r="U14" s="25">
        <v>5.5E-2</v>
      </c>
      <c r="V14" s="25">
        <v>0.21249999999999999</v>
      </c>
      <c r="W14" s="179">
        <v>0.19</v>
      </c>
      <c r="X14" s="179">
        <v>0.22</v>
      </c>
      <c r="Y14" s="179">
        <v>-2.5000000000000001E-2</v>
      </c>
      <c r="Z14" s="179">
        <v>-3.2750000000000001E-2</v>
      </c>
      <c r="AA14" s="179">
        <v>4.7500000000000007E-3</v>
      </c>
      <c r="AB14" s="179">
        <v>-2.2749999999999999E-2</v>
      </c>
      <c r="AC14" s="179">
        <v>5.0000000000000001E-3</v>
      </c>
      <c r="AD14" s="179">
        <v>-7.4999999999999997E-3</v>
      </c>
      <c r="AE14" s="179">
        <v>-6.25E-2</v>
      </c>
      <c r="AF14" s="179">
        <v>-5.5E-2</v>
      </c>
      <c r="AG14" s="180">
        <v>-7.0000000000000007E-2</v>
      </c>
      <c r="AH14" s="179">
        <v>-0.02</v>
      </c>
      <c r="AI14" s="181">
        <v>-7.8E-2</v>
      </c>
      <c r="AJ14" s="181">
        <v>-0.13</v>
      </c>
      <c r="AK14" s="29">
        <v>-0.03</v>
      </c>
      <c r="AL14" s="25">
        <v>5.0000000000000001E-3</v>
      </c>
      <c r="AM14" s="25">
        <v>0.40500000000000003</v>
      </c>
      <c r="AN14" s="25">
        <v>7.4999999999999997E-3</v>
      </c>
      <c r="AO14" s="25">
        <v>-0.76500000000000001</v>
      </c>
      <c r="AP14" s="25">
        <v>-0.15</v>
      </c>
      <c r="AQ14" s="25">
        <v>-0.48</v>
      </c>
      <c r="AR14" s="25">
        <v>-0.38500000000000001</v>
      </c>
      <c r="AS14" s="25">
        <v>-0.7</v>
      </c>
      <c r="AT14" s="25">
        <v>-0.76500000000000001</v>
      </c>
      <c r="AU14" s="25">
        <v>0.21249999999999999</v>
      </c>
      <c r="AV14" s="25">
        <v>-0.76500000000000001</v>
      </c>
      <c r="AW14" s="25">
        <v>-0.12</v>
      </c>
      <c r="AX14" s="25">
        <v>-8.5000000000000006E-2</v>
      </c>
      <c r="AY14" s="25">
        <v>-0.12</v>
      </c>
      <c r="AZ14" s="25">
        <v>-6.7500000000000004E-2</v>
      </c>
      <c r="BA14" s="25">
        <v>-0.1075</v>
      </c>
      <c r="BB14" s="25">
        <v>-2.5000000000000001E-2</v>
      </c>
      <c r="BC14" s="25">
        <v>-7.0000000000000007E-2</v>
      </c>
      <c r="BD14" s="25">
        <v>-2.75E-2</v>
      </c>
      <c r="BE14" s="25">
        <v>-6.25E-2</v>
      </c>
      <c r="BF14" s="25">
        <v>0.2</v>
      </c>
      <c r="BG14" s="25">
        <v>0.14749999999999999</v>
      </c>
      <c r="BH14" s="25">
        <v>0.1525</v>
      </c>
      <c r="BI14" s="25">
        <v>0.1275</v>
      </c>
      <c r="BJ14" s="25">
        <v>0.315</v>
      </c>
    </row>
    <row r="15" spans="1:62" x14ac:dyDescent="0.25">
      <c r="A15" s="26" t="e">
        <f>#REF!-B15</f>
        <v>#REF!</v>
      </c>
      <c r="B15" s="26">
        <v>3.8610000000000002</v>
      </c>
      <c r="C15" s="145">
        <v>37043</v>
      </c>
      <c r="D15" s="26">
        <v>3.9350000000000001</v>
      </c>
      <c r="E15" s="26">
        <v>0.39500000000000002</v>
      </c>
      <c r="F15" s="26">
        <v>6.8853626476217011E-2</v>
      </c>
      <c r="G15" s="26">
        <v>-0.14000000000000001</v>
      </c>
      <c r="H15" s="26">
        <v>-0.1575</v>
      </c>
      <c r="I15" s="26">
        <v>-0.1</v>
      </c>
      <c r="J15" s="26">
        <v>-0.15</v>
      </c>
      <c r="K15" s="26">
        <v>-0.105</v>
      </c>
      <c r="L15" s="26">
        <v>-0.06</v>
      </c>
      <c r="M15" s="26">
        <v>-8.5000000000000006E-2</v>
      </c>
      <c r="N15" s="26">
        <v>-0.11</v>
      </c>
      <c r="O15" s="26">
        <v>-0.14000000000000001</v>
      </c>
      <c r="P15" s="25">
        <v>-0.14000000000000001</v>
      </c>
      <c r="Q15" s="25">
        <v>-9.8750000000000004E-2</v>
      </c>
      <c r="R15" s="25">
        <v>-6.7500000000000004E-2</v>
      </c>
      <c r="S15" s="25">
        <v>0.1225</v>
      </c>
      <c r="T15" s="25">
        <v>0.1225</v>
      </c>
      <c r="U15" s="25">
        <v>5.2499999999999998E-2</v>
      </c>
      <c r="V15" s="25">
        <v>0.23250000000000001</v>
      </c>
      <c r="W15" s="179">
        <v>0.19</v>
      </c>
      <c r="X15" s="179">
        <v>0.22</v>
      </c>
      <c r="Y15" s="179">
        <v>-2.5000000000000001E-2</v>
      </c>
      <c r="Z15" s="179">
        <v>-3.2750000000000001E-2</v>
      </c>
      <c r="AA15" s="179">
        <v>4.7500000000000007E-3</v>
      </c>
      <c r="AB15" s="179">
        <v>-2.2749999999999999E-2</v>
      </c>
      <c r="AC15" s="179">
        <v>5.0000000000000001E-3</v>
      </c>
      <c r="AD15" s="179">
        <v>-7.4999999999999997E-3</v>
      </c>
      <c r="AE15" s="179">
        <v>-6.25E-2</v>
      </c>
      <c r="AF15" s="179">
        <v>-5.5E-2</v>
      </c>
      <c r="AG15" s="180">
        <v>-7.0000000000000007E-2</v>
      </c>
      <c r="AH15" s="179">
        <v>-0.02</v>
      </c>
      <c r="AI15" s="181">
        <v>-9.4E-2</v>
      </c>
      <c r="AJ15" s="181">
        <v>-0.13</v>
      </c>
      <c r="AK15" s="29">
        <v>-0.03</v>
      </c>
      <c r="AL15" s="25">
        <v>5.0000000000000001E-3</v>
      </c>
      <c r="AM15" s="25">
        <v>0.39500000000000002</v>
      </c>
      <c r="AN15" s="25">
        <v>1.4999999999999999E-2</v>
      </c>
      <c r="AO15" s="25">
        <v>-0.76500000000000001</v>
      </c>
      <c r="AP15" s="25">
        <v>-0.15</v>
      </c>
      <c r="AQ15" s="25">
        <v>-0.48</v>
      </c>
      <c r="AR15" s="25">
        <v>-0.38500000000000001</v>
      </c>
      <c r="AS15" s="25">
        <v>-0.7</v>
      </c>
      <c r="AT15" s="25">
        <v>-0.76500000000000001</v>
      </c>
      <c r="AU15" s="25">
        <v>0.23250000000000001</v>
      </c>
      <c r="AV15" s="25">
        <v>-0.76500000000000001</v>
      </c>
      <c r="AW15" s="25">
        <v>-0.1125</v>
      </c>
      <c r="AX15" s="25">
        <v>-8.5000000000000006E-2</v>
      </c>
      <c r="AY15" s="25">
        <v>-0.1125</v>
      </c>
      <c r="AZ15" s="25">
        <v>-6.7500000000000004E-2</v>
      </c>
      <c r="BA15" s="25">
        <v>-0.1</v>
      </c>
      <c r="BB15" s="25">
        <v>-2.5000000000000001E-2</v>
      </c>
      <c r="BC15" s="25">
        <v>-7.0000000000000007E-2</v>
      </c>
      <c r="BD15" s="25">
        <v>-0.02</v>
      </c>
      <c r="BE15" s="25">
        <v>-6.25E-2</v>
      </c>
      <c r="BF15" s="25">
        <v>0.2</v>
      </c>
      <c r="BG15" s="25">
        <v>0.14749999999999999</v>
      </c>
      <c r="BH15" s="25">
        <v>0.14749999999999999</v>
      </c>
      <c r="BI15" s="25">
        <v>0.1225</v>
      </c>
      <c r="BJ15" s="25">
        <v>0.315</v>
      </c>
    </row>
    <row r="16" spans="1:62" x14ac:dyDescent="0.25">
      <c r="A16" s="26" t="e">
        <f>#REF!-B16</f>
        <v>#REF!</v>
      </c>
      <c r="B16" s="26">
        <v>3.7349999999999999</v>
      </c>
      <c r="C16" s="145">
        <v>37073</v>
      </c>
      <c r="D16" s="26">
        <v>3.92</v>
      </c>
      <c r="E16" s="26">
        <v>0.39500000000000002</v>
      </c>
      <c r="F16" s="26">
        <v>6.8863830234299026E-2</v>
      </c>
      <c r="G16" s="26">
        <v>-0.14000000000000001</v>
      </c>
      <c r="H16" s="26">
        <v>-0.1575</v>
      </c>
      <c r="I16" s="26">
        <v>-0.1</v>
      </c>
      <c r="J16" s="26">
        <v>-0.15</v>
      </c>
      <c r="K16" s="26">
        <v>-0.105</v>
      </c>
      <c r="L16" s="26">
        <v>-0.06</v>
      </c>
      <c r="M16" s="26">
        <v>-8.5000000000000006E-2</v>
      </c>
      <c r="N16" s="26">
        <v>-0.11</v>
      </c>
      <c r="O16" s="26">
        <v>-0.14000000000000001</v>
      </c>
      <c r="P16" s="25">
        <v>-0.14000000000000001</v>
      </c>
      <c r="Q16" s="25">
        <v>-9.8750000000000004E-2</v>
      </c>
      <c r="R16" s="25">
        <v>-6.7500000000000004E-2</v>
      </c>
      <c r="S16" s="25">
        <v>0.115</v>
      </c>
      <c r="T16" s="25">
        <v>0.115</v>
      </c>
      <c r="U16" s="25">
        <v>4.2500000000000003E-2</v>
      </c>
      <c r="V16" s="25">
        <v>0.86750000000000005</v>
      </c>
      <c r="W16" s="179">
        <v>0.19</v>
      </c>
      <c r="X16" s="179">
        <v>0.23250000000000001</v>
      </c>
      <c r="Y16" s="179">
        <v>-2.5000000000000001E-2</v>
      </c>
      <c r="Z16" s="179">
        <v>-3.2750000000000001E-2</v>
      </c>
      <c r="AA16" s="179">
        <v>4.7500000000000007E-3</v>
      </c>
      <c r="AB16" s="179">
        <v>-2.2749999999999999E-2</v>
      </c>
      <c r="AC16" s="179">
        <v>5.0000000000000001E-3</v>
      </c>
      <c r="AD16" s="179">
        <v>-7.4999999999999997E-3</v>
      </c>
      <c r="AE16" s="179">
        <v>-6.25E-2</v>
      </c>
      <c r="AF16" s="179">
        <v>-5.5E-2</v>
      </c>
      <c r="AG16" s="180">
        <v>-7.0000000000000007E-2</v>
      </c>
      <c r="AH16" s="179">
        <v>-0.02</v>
      </c>
      <c r="AI16" s="181">
        <v>-8.7000000000000008E-2</v>
      </c>
      <c r="AJ16" s="181">
        <v>-0.13</v>
      </c>
      <c r="AK16" s="29">
        <v>-0.03</v>
      </c>
      <c r="AL16" s="25">
        <v>5.0000000000000001E-3</v>
      </c>
      <c r="AM16" s="25">
        <v>0.46</v>
      </c>
      <c r="AN16" s="25">
        <v>0.02</v>
      </c>
      <c r="AO16" s="25">
        <v>-0.8</v>
      </c>
      <c r="AP16" s="25">
        <v>-0.15</v>
      </c>
      <c r="AQ16" s="25">
        <v>-0.48</v>
      </c>
      <c r="AR16" s="25">
        <v>-0.38500000000000001</v>
      </c>
      <c r="AS16" s="25">
        <v>-0.73499999999999999</v>
      </c>
      <c r="AT16" s="25">
        <v>-0.8</v>
      </c>
      <c r="AU16" s="25">
        <v>0.86750000000000005</v>
      </c>
      <c r="AV16" s="25">
        <v>-0.8</v>
      </c>
      <c r="AW16" s="25">
        <v>-0.12</v>
      </c>
      <c r="AX16" s="25">
        <v>-8.5000000000000006E-2</v>
      </c>
      <c r="AY16" s="25">
        <v>-0.12</v>
      </c>
      <c r="AZ16" s="25">
        <v>-6.7500000000000004E-2</v>
      </c>
      <c r="BA16" s="25">
        <v>-9.5000000000000001E-2</v>
      </c>
      <c r="BB16" s="25">
        <v>-2.5000000000000001E-2</v>
      </c>
      <c r="BC16" s="25">
        <v>-7.0000000000000007E-2</v>
      </c>
      <c r="BD16" s="25">
        <v>-1.4999999999999999E-2</v>
      </c>
      <c r="BE16" s="25">
        <v>-6.25E-2</v>
      </c>
      <c r="BF16" s="25">
        <v>0.2</v>
      </c>
      <c r="BG16" s="25">
        <v>0.14749999999999999</v>
      </c>
      <c r="BH16" s="25">
        <v>0.14000000000000001</v>
      </c>
      <c r="BI16" s="25">
        <v>0.115</v>
      </c>
      <c r="BJ16" s="25">
        <v>0.32750000000000001</v>
      </c>
    </row>
    <row r="17" spans="1:62" x14ac:dyDescent="0.25">
      <c r="A17" s="26" t="e">
        <f>#REF!-B17</f>
        <v>#REF!</v>
      </c>
      <c r="B17" s="26">
        <v>3.71</v>
      </c>
      <c r="C17" s="145">
        <v>37104</v>
      </c>
      <c r="D17" s="26">
        <v>3.92</v>
      </c>
      <c r="E17" s="26">
        <v>0.39500000000000002</v>
      </c>
      <c r="F17" s="26">
        <v>6.8876303277673023E-2</v>
      </c>
      <c r="G17" s="26">
        <v>-0.14000000000000001</v>
      </c>
      <c r="H17" s="26">
        <v>-0.1575</v>
      </c>
      <c r="I17" s="26">
        <v>-0.1</v>
      </c>
      <c r="J17" s="26">
        <v>-0.15</v>
      </c>
      <c r="K17" s="26">
        <v>-0.105</v>
      </c>
      <c r="L17" s="26">
        <v>-0.06</v>
      </c>
      <c r="M17" s="26">
        <v>-8.5000000000000006E-2</v>
      </c>
      <c r="N17" s="26">
        <v>-0.11</v>
      </c>
      <c r="O17" s="26">
        <v>-0.14000000000000001</v>
      </c>
      <c r="P17" s="25">
        <v>-0.14000000000000001</v>
      </c>
      <c r="Q17" s="25">
        <v>-9.8750000000000004E-2</v>
      </c>
      <c r="R17" s="25">
        <v>-6.7500000000000004E-2</v>
      </c>
      <c r="S17" s="25">
        <v>0.1125</v>
      </c>
      <c r="T17" s="25">
        <v>0.1125</v>
      </c>
      <c r="U17" s="25">
        <v>5.5E-2</v>
      </c>
      <c r="V17" s="25">
        <v>0.91749999999999998</v>
      </c>
      <c r="W17" s="179">
        <v>0.19</v>
      </c>
      <c r="X17" s="179">
        <v>0.23250000000000001</v>
      </c>
      <c r="Y17" s="179">
        <v>-2.5000000000000001E-2</v>
      </c>
      <c r="Z17" s="179">
        <v>-3.2750000000000001E-2</v>
      </c>
      <c r="AA17" s="179">
        <v>4.7500000000000007E-3</v>
      </c>
      <c r="AB17" s="179">
        <v>-2.2749999999999999E-2</v>
      </c>
      <c r="AC17" s="179">
        <v>5.0000000000000001E-3</v>
      </c>
      <c r="AD17" s="179">
        <v>-7.4999999999999997E-3</v>
      </c>
      <c r="AE17" s="179">
        <v>-6.25E-2</v>
      </c>
      <c r="AF17" s="179">
        <v>-5.5E-2</v>
      </c>
      <c r="AG17" s="180">
        <v>-7.0000000000000007E-2</v>
      </c>
      <c r="AH17" s="179">
        <v>-0.02</v>
      </c>
      <c r="AI17" s="181">
        <v>-6.8000000000000005E-2</v>
      </c>
      <c r="AJ17" s="181">
        <v>-0.13</v>
      </c>
      <c r="AK17" s="29">
        <v>-0.03</v>
      </c>
      <c r="AL17" s="25">
        <v>5.0000000000000001E-3</v>
      </c>
      <c r="AM17" s="25">
        <v>0.46</v>
      </c>
      <c r="AN17" s="25">
        <v>0.02</v>
      </c>
      <c r="AO17" s="25">
        <v>-0.8</v>
      </c>
      <c r="AP17" s="25">
        <v>-0.15</v>
      </c>
      <c r="AQ17" s="25">
        <v>-0.48</v>
      </c>
      <c r="AR17" s="25">
        <v>-0.38500000000000001</v>
      </c>
      <c r="AS17" s="25">
        <v>-0.73499999999999999</v>
      </c>
      <c r="AT17" s="25">
        <v>-0.8</v>
      </c>
      <c r="AU17" s="25">
        <v>0.91749999999999998</v>
      </c>
      <c r="AV17" s="25">
        <v>-0.8</v>
      </c>
      <c r="AW17" s="25">
        <v>-0.1075</v>
      </c>
      <c r="AX17" s="25">
        <v>-8.5000000000000006E-2</v>
      </c>
      <c r="AY17" s="25">
        <v>-0.1075</v>
      </c>
      <c r="AZ17" s="25">
        <v>-6.7500000000000004E-2</v>
      </c>
      <c r="BA17" s="25">
        <v>-9.5000000000000001E-2</v>
      </c>
      <c r="BB17" s="25">
        <v>-2.5000000000000001E-2</v>
      </c>
      <c r="BC17" s="25">
        <v>-7.0000000000000007E-2</v>
      </c>
      <c r="BD17" s="25">
        <v>-1.4999999999999999E-2</v>
      </c>
      <c r="BE17" s="25">
        <v>-6.25E-2</v>
      </c>
      <c r="BF17" s="25">
        <v>0.2</v>
      </c>
      <c r="BG17" s="25">
        <v>0.14749999999999999</v>
      </c>
      <c r="BH17" s="25">
        <v>0.13750000000000001</v>
      </c>
      <c r="BI17" s="25">
        <v>0.1125</v>
      </c>
      <c r="BJ17" s="25">
        <v>0.32750000000000001</v>
      </c>
    </row>
    <row r="18" spans="1:62" x14ac:dyDescent="0.25">
      <c r="A18" s="26" t="e">
        <f>#REF!-B18</f>
        <v>#REF!</v>
      </c>
      <c r="B18" s="26">
        <v>3.71</v>
      </c>
      <c r="C18" s="145">
        <v>37135</v>
      </c>
      <c r="D18" s="26">
        <v>3.9</v>
      </c>
      <c r="E18" s="26">
        <v>0.39500000000000002</v>
      </c>
      <c r="F18" s="26">
        <v>6.8888776321097023E-2</v>
      </c>
      <c r="G18" s="26">
        <v>-0.13500000000000001</v>
      </c>
      <c r="H18" s="26">
        <v>-0.1525</v>
      </c>
      <c r="I18" s="26">
        <v>-9.5000000000000001E-2</v>
      </c>
      <c r="J18" s="26">
        <v>-0.15</v>
      </c>
      <c r="K18" s="26">
        <v>-0.1</v>
      </c>
      <c r="L18" s="26">
        <v>-0.06</v>
      </c>
      <c r="M18" s="26">
        <v>-0.08</v>
      </c>
      <c r="N18" s="26">
        <v>-0.105</v>
      </c>
      <c r="O18" s="26">
        <v>-0.13500000000000001</v>
      </c>
      <c r="P18" s="25">
        <v>-0.13500000000000001</v>
      </c>
      <c r="Q18" s="25">
        <v>-9.8750000000000004E-2</v>
      </c>
      <c r="R18" s="25">
        <v>-6.7500000000000004E-2</v>
      </c>
      <c r="S18" s="25">
        <v>0.1125</v>
      </c>
      <c r="T18" s="25">
        <v>0.1125</v>
      </c>
      <c r="U18" s="25">
        <v>5.5E-2</v>
      </c>
      <c r="V18" s="25">
        <v>0.89500000000000002</v>
      </c>
      <c r="W18" s="179">
        <v>0.185</v>
      </c>
      <c r="X18" s="179">
        <v>0.21</v>
      </c>
      <c r="Y18" s="179">
        <v>-2.5000000000000001E-2</v>
      </c>
      <c r="Z18" s="179">
        <v>-3.2750000000000001E-2</v>
      </c>
      <c r="AA18" s="179">
        <v>4.7500000000000007E-3</v>
      </c>
      <c r="AB18" s="179">
        <v>-2.2749999999999999E-2</v>
      </c>
      <c r="AC18" s="179">
        <v>5.0000000000000001E-3</v>
      </c>
      <c r="AD18" s="179">
        <v>-7.4999999999999997E-3</v>
      </c>
      <c r="AE18" s="179">
        <v>-6.25E-2</v>
      </c>
      <c r="AF18" s="179">
        <v>-5.2499999999999998E-2</v>
      </c>
      <c r="AG18" s="180">
        <v>-6.7500000000000004E-2</v>
      </c>
      <c r="AH18" s="179">
        <v>-0.02</v>
      </c>
      <c r="AI18" s="181">
        <v>-6.6000000000000003E-2</v>
      </c>
      <c r="AJ18" s="181">
        <v>-0.13</v>
      </c>
      <c r="AK18" s="29">
        <v>-0.03</v>
      </c>
      <c r="AL18" s="25">
        <v>5.0000000000000001E-3</v>
      </c>
      <c r="AM18" s="25">
        <v>0.39500000000000002</v>
      </c>
      <c r="AN18" s="25">
        <v>1.4999999999999999E-2</v>
      </c>
      <c r="AO18" s="25">
        <v>-0.8</v>
      </c>
      <c r="AP18" s="25">
        <v>-0.15</v>
      </c>
      <c r="AQ18" s="25">
        <v>-0.48</v>
      </c>
      <c r="AR18" s="25">
        <v>-0.38500000000000001</v>
      </c>
      <c r="AS18" s="25">
        <v>-0.73499999999999999</v>
      </c>
      <c r="AT18" s="25">
        <v>-0.8</v>
      </c>
      <c r="AU18" s="25">
        <v>0.89500000000000002</v>
      </c>
      <c r="AV18" s="25">
        <v>-0.8</v>
      </c>
      <c r="AW18" s="25">
        <v>-0.1125</v>
      </c>
      <c r="AX18" s="25">
        <v>-8.5000000000000006E-2</v>
      </c>
      <c r="AY18" s="25">
        <v>-0.1125</v>
      </c>
      <c r="AZ18" s="25">
        <v>-6.7500000000000004E-2</v>
      </c>
      <c r="BA18" s="25">
        <v>-0.11</v>
      </c>
      <c r="BB18" s="25">
        <v>-2.5000000000000001E-2</v>
      </c>
      <c r="BC18" s="25">
        <v>-7.0000000000000007E-2</v>
      </c>
      <c r="BD18" s="25">
        <v>-0.02</v>
      </c>
      <c r="BE18" s="25">
        <v>-6.25E-2</v>
      </c>
      <c r="BF18" s="25">
        <v>0.2</v>
      </c>
      <c r="BG18" s="25">
        <v>0.14749999999999999</v>
      </c>
      <c r="BH18" s="25">
        <v>0.13750000000000001</v>
      </c>
      <c r="BI18" s="25">
        <v>0.1125</v>
      </c>
      <c r="BJ18" s="25">
        <v>0.3175</v>
      </c>
    </row>
    <row r="19" spans="1:62" x14ac:dyDescent="0.25">
      <c r="A19" s="26" t="e">
        <f>#REF!-B19</f>
        <v>#REF!</v>
      </c>
      <c r="B19" s="26">
        <v>3.72</v>
      </c>
      <c r="C19" s="145">
        <v>37165</v>
      </c>
      <c r="D19" s="26">
        <v>3.8849999999999998</v>
      </c>
      <c r="E19" s="26">
        <v>0.39750000000000002</v>
      </c>
      <c r="F19" s="26">
        <v>6.890251912361102E-2</v>
      </c>
      <c r="G19" s="26">
        <v>-0.13</v>
      </c>
      <c r="H19" s="26">
        <v>-0.14749999999999999</v>
      </c>
      <c r="I19" s="26">
        <v>-0.09</v>
      </c>
      <c r="J19" s="26">
        <v>-0.15</v>
      </c>
      <c r="K19" s="26">
        <v>-9.5000000000000001E-2</v>
      </c>
      <c r="L19" s="26">
        <v>-0.06</v>
      </c>
      <c r="M19" s="26">
        <v>-7.4999999999999997E-2</v>
      </c>
      <c r="N19" s="26">
        <v>-0.1</v>
      </c>
      <c r="O19" s="26">
        <v>-0.13</v>
      </c>
      <c r="P19" s="25">
        <v>-0.13</v>
      </c>
      <c r="Q19" s="25">
        <v>-9.8750000000000004E-2</v>
      </c>
      <c r="R19" s="25">
        <v>-6.7500000000000004E-2</v>
      </c>
      <c r="S19" s="25">
        <v>0.1275</v>
      </c>
      <c r="T19" s="25">
        <v>0.1275</v>
      </c>
      <c r="U19" s="25">
        <v>7.4999999999999997E-2</v>
      </c>
      <c r="V19" s="25">
        <v>0.34</v>
      </c>
      <c r="W19" s="179">
        <v>0.19</v>
      </c>
      <c r="X19" s="179">
        <v>0.23</v>
      </c>
      <c r="Y19" s="179">
        <v>-2.5000000000000001E-2</v>
      </c>
      <c r="Z19" s="179">
        <v>-3.2750000000000001E-2</v>
      </c>
      <c r="AA19" s="179">
        <v>4.7500000000000007E-3</v>
      </c>
      <c r="AB19" s="179">
        <v>-2.2749999999999999E-2</v>
      </c>
      <c r="AC19" s="179">
        <v>5.0000000000000001E-3</v>
      </c>
      <c r="AD19" s="179">
        <v>-7.4999999999999997E-3</v>
      </c>
      <c r="AE19" s="179">
        <v>-6.25E-2</v>
      </c>
      <c r="AF19" s="179">
        <v>-5.2499999999999998E-2</v>
      </c>
      <c r="AG19" s="180">
        <v>-6.7500000000000004E-2</v>
      </c>
      <c r="AH19" s="179">
        <v>-0.02</v>
      </c>
      <c r="AI19" s="181">
        <v>-6.8000000000000005E-2</v>
      </c>
      <c r="AJ19" s="181">
        <v>-0.13</v>
      </c>
      <c r="AK19" s="29">
        <v>-0.03</v>
      </c>
      <c r="AL19" s="25">
        <v>5.0000000000000001E-3</v>
      </c>
      <c r="AM19" s="25">
        <v>0.46100000000000002</v>
      </c>
      <c r="AN19" s="25">
        <v>5.0000000000000001E-3</v>
      </c>
      <c r="AO19" s="25">
        <v>-0.8</v>
      </c>
      <c r="AP19" s="25">
        <v>-0.15</v>
      </c>
      <c r="AQ19" s="25">
        <v>-0.48</v>
      </c>
      <c r="AR19" s="25">
        <v>-0.38500000000000001</v>
      </c>
      <c r="AS19" s="25">
        <v>-0.73499999999999999</v>
      </c>
      <c r="AT19" s="25">
        <v>-0.8</v>
      </c>
      <c r="AU19" s="25">
        <v>0.34</v>
      </c>
      <c r="AV19" s="25">
        <v>-0.8</v>
      </c>
      <c r="AW19" s="25">
        <v>-0.1225</v>
      </c>
      <c r="AX19" s="25">
        <v>-8.5000000000000006E-2</v>
      </c>
      <c r="AY19" s="25">
        <v>-0.1225</v>
      </c>
      <c r="AZ19" s="25">
        <v>-6.7500000000000004E-2</v>
      </c>
      <c r="BA19" s="25">
        <v>-0.1125</v>
      </c>
      <c r="BB19" s="25">
        <v>-2.5000000000000001E-2</v>
      </c>
      <c r="BC19" s="25">
        <v>-7.0000000000000007E-2</v>
      </c>
      <c r="BD19" s="25">
        <v>-0.03</v>
      </c>
      <c r="BE19" s="25">
        <v>-6.25E-2</v>
      </c>
      <c r="BF19" s="25">
        <v>0.2</v>
      </c>
      <c r="BG19" s="25">
        <v>0.14749999999999999</v>
      </c>
      <c r="BH19" s="25">
        <v>0.1525</v>
      </c>
      <c r="BI19" s="25">
        <v>0.1275</v>
      </c>
      <c r="BJ19" s="25">
        <v>0.33</v>
      </c>
    </row>
    <row r="20" spans="1:62" x14ac:dyDescent="0.25">
      <c r="A20" s="26" t="e">
        <f>#REF!-B20</f>
        <v>#REF!</v>
      </c>
      <c r="B20" s="26">
        <v>3.7149999999999999</v>
      </c>
      <c r="C20" s="145">
        <v>37196</v>
      </c>
      <c r="D20" s="26">
        <v>3.99</v>
      </c>
      <c r="E20" s="26">
        <v>0.40749999999999997</v>
      </c>
      <c r="F20" s="26">
        <v>6.8919453955852014E-2</v>
      </c>
      <c r="G20" s="26">
        <v>-0.13250000000000001</v>
      </c>
      <c r="H20" s="26">
        <v>-0.15</v>
      </c>
      <c r="I20" s="26">
        <v>-3.2500000000000001E-2</v>
      </c>
      <c r="J20" s="26">
        <v>-0.1525</v>
      </c>
      <c r="K20" s="26">
        <v>2.5000000000000001E-3</v>
      </c>
      <c r="L20" s="26">
        <v>-7.7499999999999999E-2</v>
      </c>
      <c r="M20" s="26">
        <v>-9.2499999999999999E-2</v>
      </c>
      <c r="N20" s="26">
        <v>-0.10249999999999999</v>
      </c>
      <c r="O20" s="26">
        <v>-0.13250000000000001</v>
      </c>
      <c r="P20" s="25">
        <v>-0.13250000000000001</v>
      </c>
      <c r="Q20" s="25">
        <v>-0.11125</v>
      </c>
      <c r="R20" s="25">
        <v>-7.0000000000000007E-2</v>
      </c>
      <c r="S20" s="25">
        <v>0.1875</v>
      </c>
      <c r="T20" s="25">
        <v>0.1875</v>
      </c>
      <c r="U20" s="25">
        <v>0.09</v>
      </c>
      <c r="V20" s="25">
        <v>0.53500000000000003</v>
      </c>
      <c r="W20" s="179">
        <v>0.26750000000000002</v>
      </c>
      <c r="X20" s="179">
        <v>0.28499999999999998</v>
      </c>
      <c r="Y20" s="179">
        <v>-2.8000000000000004E-2</v>
      </c>
      <c r="Z20" s="179">
        <v>-4.4999999999999998E-2</v>
      </c>
      <c r="AA20" s="179">
        <v>-0.01</v>
      </c>
      <c r="AB20" s="179">
        <v>-3.7499999999999999E-2</v>
      </c>
      <c r="AC20" s="179">
        <v>5.0000000000000001E-3</v>
      </c>
      <c r="AD20" s="179">
        <v>-1.7500000000000002E-2</v>
      </c>
      <c r="AE20" s="179">
        <v>-6.5000000000000002E-2</v>
      </c>
      <c r="AF20" s="179">
        <v>-5.5E-2</v>
      </c>
      <c r="AG20" s="180">
        <v>-7.0499999999999993E-2</v>
      </c>
      <c r="AH20" s="179">
        <v>-2.1499999999999998E-2</v>
      </c>
      <c r="AI20" s="181">
        <v>-8.5000000000000006E-2</v>
      </c>
      <c r="AJ20" s="181">
        <v>-0.1525</v>
      </c>
      <c r="AK20" s="29">
        <v>-2.2499999999999999E-2</v>
      </c>
      <c r="AL20" s="25">
        <v>1.2500000000000001E-2</v>
      </c>
      <c r="AM20" s="25">
        <v>0.93</v>
      </c>
      <c r="AN20" s="25">
        <v>-4.2500000000000003E-2</v>
      </c>
      <c r="AO20" s="25">
        <v>-0.38</v>
      </c>
      <c r="AP20" s="25">
        <v>-0.14000000000000001</v>
      </c>
      <c r="AQ20" s="25">
        <v>-0.26750000000000002</v>
      </c>
      <c r="AR20" s="25">
        <v>0.11</v>
      </c>
      <c r="AS20" s="25">
        <v>-0.33</v>
      </c>
      <c r="AT20" s="25">
        <v>-0.38</v>
      </c>
      <c r="AU20" s="25">
        <v>0.34</v>
      </c>
      <c r="AV20" s="25">
        <v>-0.38</v>
      </c>
      <c r="AW20" s="25">
        <v>-0.12</v>
      </c>
      <c r="AX20" s="25">
        <v>-0.125</v>
      </c>
      <c r="AY20" s="25">
        <v>-0.12</v>
      </c>
      <c r="AZ20" s="25">
        <v>-7.0000000000000007E-2</v>
      </c>
      <c r="BA20" s="25">
        <v>-0.11</v>
      </c>
      <c r="BB20" s="25">
        <v>-2.6499999999999999E-2</v>
      </c>
      <c r="BC20" s="25">
        <v>-0.10249999999999999</v>
      </c>
      <c r="BD20" s="25">
        <v>-7.7499999999999999E-2</v>
      </c>
      <c r="BE20" s="25">
        <v>-6.5000000000000002E-2</v>
      </c>
      <c r="BF20" s="25">
        <v>0.21</v>
      </c>
      <c r="BG20" s="25">
        <v>0.26500000000000001</v>
      </c>
      <c r="BH20" s="25">
        <v>0.2225</v>
      </c>
      <c r="BI20" s="25">
        <v>0.1875</v>
      </c>
      <c r="BJ20" s="25">
        <v>0.55000000000000004</v>
      </c>
    </row>
    <row r="21" spans="1:62" x14ac:dyDescent="0.25">
      <c r="A21" s="26" t="e">
        <f>#REF!-B21</f>
        <v>#REF!</v>
      </c>
      <c r="B21" s="26">
        <v>3.7349999999999999</v>
      </c>
      <c r="C21" s="145">
        <v>37226</v>
      </c>
      <c r="D21" s="26">
        <v>4.0750000000000002</v>
      </c>
      <c r="E21" s="26">
        <v>0.41249999999999998</v>
      </c>
      <c r="F21" s="26">
        <v>6.8935842503271005E-2</v>
      </c>
      <c r="G21" s="26">
        <v>-0.13500000000000001</v>
      </c>
      <c r="H21" s="26">
        <v>-0.1525</v>
      </c>
      <c r="I21" s="26">
        <v>-1.2500000000000001E-2</v>
      </c>
      <c r="J21" s="26">
        <v>-0.155</v>
      </c>
      <c r="K21" s="26">
        <v>2.2499999999999999E-2</v>
      </c>
      <c r="L21" s="26">
        <v>-7.7499999999999999E-2</v>
      </c>
      <c r="M21" s="26">
        <v>-9.5000000000000001E-2</v>
      </c>
      <c r="N21" s="26">
        <v>-0.105</v>
      </c>
      <c r="O21" s="26">
        <v>-0.13500000000000001</v>
      </c>
      <c r="P21" s="25">
        <v>-0.13500000000000001</v>
      </c>
      <c r="Q21" s="25">
        <v>-0.11125</v>
      </c>
      <c r="R21" s="25">
        <v>-7.0000000000000007E-2</v>
      </c>
      <c r="S21" s="25">
        <v>0.22750000000000001</v>
      </c>
      <c r="T21" s="25">
        <v>0.22750000000000001</v>
      </c>
      <c r="U21" s="25">
        <v>0.13</v>
      </c>
      <c r="V21" s="25">
        <v>0.53500000000000003</v>
      </c>
      <c r="W21" s="179">
        <v>0.30249999999999999</v>
      </c>
      <c r="X21" s="179">
        <v>0.375</v>
      </c>
      <c r="Y21" s="179">
        <v>-2.5500000000000002E-2</v>
      </c>
      <c r="Z21" s="179">
        <v>-4.4999999999999998E-2</v>
      </c>
      <c r="AA21" s="179">
        <v>-0.01</v>
      </c>
      <c r="AB21" s="179">
        <v>-3.7499999999999999E-2</v>
      </c>
      <c r="AC21" s="179">
        <v>5.0000000000000001E-3</v>
      </c>
      <c r="AD21" s="179">
        <v>-1.7500000000000002E-2</v>
      </c>
      <c r="AE21" s="179">
        <v>-6.5000000000000002E-2</v>
      </c>
      <c r="AF21" s="179">
        <v>-5.5E-2</v>
      </c>
      <c r="AG21" s="180">
        <v>-7.0499999999999993E-2</v>
      </c>
      <c r="AH21" s="179">
        <v>-2.1499999999999998E-2</v>
      </c>
      <c r="AI21" s="181">
        <v>-8.5000000000000006E-2</v>
      </c>
      <c r="AJ21" s="181">
        <v>-0.1525</v>
      </c>
      <c r="AK21" s="29">
        <v>-2.2499999999999999E-2</v>
      </c>
      <c r="AL21" s="25">
        <v>1.2500000000000001E-2</v>
      </c>
      <c r="AM21" s="25">
        <v>1.35</v>
      </c>
      <c r="AN21" s="25">
        <v>-6.5000000000000002E-2</v>
      </c>
      <c r="AO21" s="25">
        <v>-0.38</v>
      </c>
      <c r="AP21" s="25">
        <v>-0.13500000000000001</v>
      </c>
      <c r="AQ21" s="25">
        <v>-0.26750000000000002</v>
      </c>
      <c r="AR21" s="25">
        <v>0.215</v>
      </c>
      <c r="AS21" s="25">
        <v>-0.33</v>
      </c>
      <c r="AT21" s="25">
        <v>-0.38</v>
      </c>
      <c r="AU21" s="25">
        <v>0.34</v>
      </c>
      <c r="AV21" s="25">
        <v>-0.38</v>
      </c>
      <c r="AW21" s="25">
        <v>-0.155</v>
      </c>
      <c r="AX21" s="25">
        <v>-0.125</v>
      </c>
      <c r="AY21" s="25">
        <v>-0.155</v>
      </c>
      <c r="AZ21" s="25">
        <v>-7.0000000000000007E-2</v>
      </c>
      <c r="BA21" s="25">
        <v>-0.14499999999999999</v>
      </c>
      <c r="BB21" s="25">
        <v>-2.6499999999999999E-2</v>
      </c>
      <c r="BC21" s="25">
        <v>-0.10249999999999999</v>
      </c>
      <c r="BD21" s="25">
        <v>-0.1</v>
      </c>
      <c r="BE21" s="25">
        <v>-6.5000000000000002E-2</v>
      </c>
      <c r="BF21" s="25">
        <v>0.21</v>
      </c>
      <c r="BG21" s="25">
        <v>0.23499999999999999</v>
      </c>
      <c r="BH21" s="25">
        <v>0.26250000000000001</v>
      </c>
      <c r="BI21" s="25">
        <v>0.22750000000000001</v>
      </c>
      <c r="BJ21" s="25">
        <v>0.87</v>
      </c>
    </row>
    <row r="22" spans="1:62" x14ac:dyDescent="0.25">
      <c r="A22" s="26" t="e">
        <f>#REF!-B22</f>
        <v>#REF!</v>
      </c>
      <c r="B22" s="26">
        <v>3.835</v>
      </c>
      <c r="C22" s="145">
        <v>37257</v>
      </c>
      <c r="D22" s="26">
        <v>4.0449999999999999</v>
      </c>
      <c r="E22" s="26">
        <v>0.41749999999999998</v>
      </c>
      <c r="F22" s="26">
        <v>6.896655729440701E-2</v>
      </c>
      <c r="G22" s="26">
        <v>-0.13750000000000001</v>
      </c>
      <c r="H22" s="26">
        <v>-0.155</v>
      </c>
      <c r="I22" s="26">
        <v>0</v>
      </c>
      <c r="J22" s="26">
        <v>-0.1575</v>
      </c>
      <c r="K22" s="26">
        <v>3.5000000000000003E-2</v>
      </c>
      <c r="L22" s="26">
        <v>-7.7499999999999999E-2</v>
      </c>
      <c r="M22" s="26">
        <v>-9.7500000000000003E-2</v>
      </c>
      <c r="N22" s="26">
        <v>-0.1075</v>
      </c>
      <c r="O22" s="26">
        <v>-0.13750000000000001</v>
      </c>
      <c r="P22" s="25">
        <v>-0.13750000000000001</v>
      </c>
      <c r="Q22" s="25">
        <v>-0.11125</v>
      </c>
      <c r="R22" s="25">
        <v>-7.0000000000000007E-2</v>
      </c>
      <c r="S22" s="25">
        <v>0.24</v>
      </c>
      <c r="T22" s="25">
        <v>0.24</v>
      </c>
      <c r="U22" s="25">
        <v>0.14249999999999999</v>
      </c>
      <c r="V22" s="25">
        <v>0.53500000000000003</v>
      </c>
      <c r="W22" s="179">
        <v>0.3075</v>
      </c>
      <c r="X22" s="179">
        <v>0.45500000000000002</v>
      </c>
      <c r="Y22" s="179">
        <v>-2.5500000000000002E-2</v>
      </c>
      <c r="Z22" s="179">
        <v>-4.4999999999999998E-2</v>
      </c>
      <c r="AA22" s="179">
        <v>-0.01</v>
      </c>
      <c r="AB22" s="179">
        <v>-3.7499999999999999E-2</v>
      </c>
      <c r="AC22" s="179">
        <v>5.0000000000000001E-3</v>
      </c>
      <c r="AD22" s="179">
        <v>-1.7500000000000002E-2</v>
      </c>
      <c r="AE22" s="179">
        <v>-6.5000000000000002E-2</v>
      </c>
      <c r="AF22" s="179">
        <v>-5.5E-2</v>
      </c>
      <c r="AG22" s="180">
        <v>-7.0499999999999993E-2</v>
      </c>
      <c r="AH22" s="179">
        <v>-2.1499999999999998E-2</v>
      </c>
      <c r="AI22" s="181">
        <v>-8.5000000000000006E-2</v>
      </c>
      <c r="AJ22" s="181">
        <v>-0.1525</v>
      </c>
      <c r="AK22" s="29">
        <v>-2.0499999999999997E-2</v>
      </c>
      <c r="AL22" s="25">
        <v>1.2500000000000001E-2</v>
      </c>
      <c r="AM22" s="25">
        <v>1.61</v>
      </c>
      <c r="AN22" s="25">
        <v>-6.7500000000000004E-2</v>
      </c>
      <c r="AO22" s="25">
        <v>-0.38</v>
      </c>
      <c r="AP22" s="25">
        <v>-0.13500000000000001</v>
      </c>
      <c r="AQ22" s="25">
        <v>-0.26750000000000002</v>
      </c>
      <c r="AR22" s="25">
        <v>0.22500000000000001</v>
      </c>
      <c r="AS22" s="25">
        <v>-0.33</v>
      </c>
      <c r="AT22" s="25">
        <v>-0.38</v>
      </c>
      <c r="AU22" s="25">
        <v>0.34</v>
      </c>
      <c r="AV22" s="25">
        <v>-0.38</v>
      </c>
      <c r="AW22" s="25">
        <v>-0.14000000000000001</v>
      </c>
      <c r="AX22" s="25">
        <v>-0.125</v>
      </c>
      <c r="AY22" s="25">
        <v>-0.14000000000000001</v>
      </c>
      <c r="AZ22" s="25">
        <v>-7.0000000000000007E-2</v>
      </c>
      <c r="BA22" s="25">
        <v>-0.15</v>
      </c>
      <c r="BB22" s="25">
        <v>-2.6499999999999999E-2</v>
      </c>
      <c r="BC22" s="25">
        <v>-0.10249999999999999</v>
      </c>
      <c r="BD22" s="25">
        <v>-0.10249999999999999</v>
      </c>
      <c r="BE22" s="25">
        <v>-6.5000000000000002E-2</v>
      </c>
      <c r="BF22" s="25">
        <v>0.21</v>
      </c>
      <c r="BG22" s="25">
        <v>0.27</v>
      </c>
      <c r="BH22" s="25">
        <v>0.27500000000000002</v>
      </c>
      <c r="BI22" s="25">
        <v>0.24</v>
      </c>
      <c r="BJ22" s="25">
        <v>1.02</v>
      </c>
    </row>
    <row r="23" spans="1:62" x14ac:dyDescent="0.25">
      <c r="A23" s="26" t="e">
        <f>#REF!-B23</f>
        <v>#REF!</v>
      </c>
      <c r="B23" s="26">
        <v>3.93</v>
      </c>
      <c r="C23" s="145">
        <v>37288</v>
      </c>
      <c r="D23" s="26">
        <v>3.8740000000000006</v>
      </c>
      <c r="E23" s="26">
        <v>0.4</v>
      </c>
      <c r="F23" s="26">
        <v>6.9016352028977018E-2</v>
      </c>
      <c r="G23" s="26">
        <v>-0.14000000000000001</v>
      </c>
      <c r="H23" s="26">
        <v>-0.1575</v>
      </c>
      <c r="I23" s="26">
        <v>5.0000000000000001E-3</v>
      </c>
      <c r="J23" s="26">
        <v>-0.16</v>
      </c>
      <c r="K23" s="26">
        <v>0.04</v>
      </c>
      <c r="L23" s="26">
        <v>-7.7499999999999999E-2</v>
      </c>
      <c r="M23" s="26">
        <v>-0.1</v>
      </c>
      <c r="N23" s="26">
        <v>-0.11</v>
      </c>
      <c r="O23" s="26">
        <v>-0.14000000000000001</v>
      </c>
      <c r="P23" s="25">
        <v>-0.14000000000000001</v>
      </c>
      <c r="Q23" s="25">
        <v>-0.11125</v>
      </c>
      <c r="R23" s="25">
        <v>-7.0000000000000007E-2</v>
      </c>
      <c r="S23" s="25">
        <v>0.2175</v>
      </c>
      <c r="T23" s="25">
        <v>0.2175</v>
      </c>
      <c r="U23" s="25">
        <v>0.12</v>
      </c>
      <c r="V23" s="25">
        <v>0.53500000000000003</v>
      </c>
      <c r="W23" s="179">
        <v>0.3075</v>
      </c>
      <c r="X23" s="179">
        <v>0.45</v>
      </c>
      <c r="Y23" s="179">
        <v>-2.5500000000000002E-2</v>
      </c>
      <c r="Z23" s="179">
        <v>-4.4999999999999998E-2</v>
      </c>
      <c r="AA23" s="179">
        <v>-0.01</v>
      </c>
      <c r="AB23" s="179">
        <v>-3.7499999999999999E-2</v>
      </c>
      <c r="AC23" s="179">
        <v>5.0000000000000001E-3</v>
      </c>
      <c r="AD23" s="179">
        <v>-1.7500000000000002E-2</v>
      </c>
      <c r="AE23" s="179">
        <v>-6.5000000000000002E-2</v>
      </c>
      <c r="AF23" s="179">
        <v>-5.5E-2</v>
      </c>
      <c r="AG23" s="180">
        <v>-7.0499999999999993E-2</v>
      </c>
      <c r="AH23" s="179">
        <v>-2.1499999999999998E-2</v>
      </c>
      <c r="AI23" s="181">
        <v>-8.5000000000000006E-2</v>
      </c>
      <c r="AJ23" s="181">
        <v>-0.1525</v>
      </c>
      <c r="AK23" s="29">
        <v>-2.0499999999999997E-2</v>
      </c>
      <c r="AL23" s="25">
        <v>1.2500000000000001E-2</v>
      </c>
      <c r="AM23" s="25">
        <v>1.6</v>
      </c>
      <c r="AN23" s="25">
        <v>-0.05</v>
      </c>
      <c r="AO23" s="25">
        <v>-0.38</v>
      </c>
      <c r="AP23" s="25">
        <v>-0.13500000000000001</v>
      </c>
      <c r="AQ23" s="25">
        <v>-0.26750000000000002</v>
      </c>
      <c r="AR23" s="25">
        <v>0.13</v>
      </c>
      <c r="AS23" s="25">
        <v>-0.33</v>
      </c>
      <c r="AT23" s="25">
        <v>-0.38</v>
      </c>
      <c r="AU23" s="25">
        <v>0.34</v>
      </c>
      <c r="AV23" s="25">
        <v>-0.38</v>
      </c>
      <c r="AW23" s="25">
        <v>-0.14249999999999999</v>
      </c>
      <c r="AX23" s="25">
        <v>-0.125</v>
      </c>
      <c r="AY23" s="25">
        <v>-0.14249999999999999</v>
      </c>
      <c r="AZ23" s="25">
        <v>-7.0000000000000007E-2</v>
      </c>
      <c r="BA23" s="25">
        <v>-0.13250000000000001</v>
      </c>
      <c r="BB23" s="25">
        <v>-2.6499999999999999E-2</v>
      </c>
      <c r="BC23" s="25">
        <v>-0.10249999999999999</v>
      </c>
      <c r="BD23" s="25">
        <v>-8.5000000000000006E-2</v>
      </c>
      <c r="BE23" s="25">
        <v>-6.5000000000000002E-2</v>
      </c>
      <c r="BF23" s="25">
        <v>0.21</v>
      </c>
      <c r="BG23" s="25">
        <v>0.32</v>
      </c>
      <c r="BH23" s="25">
        <v>0.2525</v>
      </c>
      <c r="BI23" s="25">
        <v>0.2175</v>
      </c>
      <c r="BJ23" s="25">
        <v>1.02</v>
      </c>
    </row>
    <row r="24" spans="1:62" x14ac:dyDescent="0.25">
      <c r="A24" s="26" t="e">
        <f>#REF!-B24</f>
        <v>#REF!</v>
      </c>
      <c r="B24" s="26">
        <v>3.9430000000000001</v>
      </c>
      <c r="C24" s="145">
        <v>37316</v>
      </c>
      <c r="D24" s="26">
        <v>3.7090000000000005</v>
      </c>
      <c r="E24" s="26">
        <v>0.36749999999999999</v>
      </c>
      <c r="F24" s="26">
        <v>6.9061327918971016E-2</v>
      </c>
      <c r="G24" s="26">
        <v>-0.14249999999999999</v>
      </c>
      <c r="H24" s="26">
        <v>-0.16</v>
      </c>
      <c r="I24" s="26">
        <v>2.5000000000000001E-3</v>
      </c>
      <c r="J24" s="26">
        <v>-0.16250000000000001</v>
      </c>
      <c r="K24" s="26">
        <v>3.7499999999999999E-2</v>
      </c>
      <c r="L24" s="26">
        <v>-7.7499999999999999E-2</v>
      </c>
      <c r="M24" s="26">
        <v>-0.10249999999999999</v>
      </c>
      <c r="N24" s="26">
        <v>-0.1125</v>
      </c>
      <c r="O24" s="26">
        <v>-0.14249999999999999</v>
      </c>
      <c r="P24" s="25">
        <v>-0.14249999999999999</v>
      </c>
      <c r="Q24" s="25">
        <v>-0.11125</v>
      </c>
      <c r="R24" s="25">
        <v>-7.0000000000000007E-2</v>
      </c>
      <c r="S24" s="25">
        <v>0.215</v>
      </c>
      <c r="T24" s="25">
        <v>0.215</v>
      </c>
      <c r="U24" s="25">
        <v>0.11749999999999999</v>
      </c>
      <c r="V24" s="25">
        <v>0.53500000000000003</v>
      </c>
      <c r="W24" s="179">
        <v>0.26650000000000001</v>
      </c>
      <c r="X24" s="179">
        <v>0.34</v>
      </c>
      <c r="Y24" s="179">
        <v>-2.5500000000000002E-2</v>
      </c>
      <c r="Z24" s="179">
        <v>-4.4999999999999998E-2</v>
      </c>
      <c r="AA24" s="179">
        <v>-0.01</v>
      </c>
      <c r="AB24" s="179">
        <v>-3.7499999999999999E-2</v>
      </c>
      <c r="AC24" s="179">
        <v>5.0000000000000001E-3</v>
      </c>
      <c r="AD24" s="179">
        <v>-1.7500000000000002E-2</v>
      </c>
      <c r="AE24" s="179">
        <v>-6.5000000000000002E-2</v>
      </c>
      <c r="AF24" s="179">
        <v>-5.5E-2</v>
      </c>
      <c r="AG24" s="180">
        <v>-7.0499999999999993E-2</v>
      </c>
      <c r="AH24" s="179">
        <v>-2.1499999999999998E-2</v>
      </c>
      <c r="AI24" s="181">
        <v>-8.5000000000000006E-2</v>
      </c>
      <c r="AJ24" s="181">
        <v>-0.1525</v>
      </c>
      <c r="AK24" s="29">
        <v>-2.0499999999999997E-2</v>
      </c>
      <c r="AL24" s="25">
        <v>1.2500000000000001E-2</v>
      </c>
      <c r="AM24" s="25">
        <v>1.03</v>
      </c>
      <c r="AN24" s="25">
        <v>-3.7499999999999999E-2</v>
      </c>
      <c r="AO24" s="25">
        <v>-0.38</v>
      </c>
      <c r="AP24" s="25">
        <v>-0.14000000000000001</v>
      </c>
      <c r="AQ24" s="25">
        <v>-0.26750000000000002</v>
      </c>
      <c r="AR24" s="25">
        <v>-0.08</v>
      </c>
      <c r="AS24" s="25">
        <v>-0.33</v>
      </c>
      <c r="AT24" s="25">
        <v>-0.38</v>
      </c>
      <c r="AU24" s="25">
        <v>0.34</v>
      </c>
      <c r="AV24" s="25">
        <v>-0.38</v>
      </c>
      <c r="AW24" s="25">
        <v>-0.12</v>
      </c>
      <c r="AX24" s="25">
        <v>-0.125</v>
      </c>
      <c r="AY24" s="25">
        <v>-0.12</v>
      </c>
      <c r="AZ24" s="25">
        <v>-7.0000000000000007E-2</v>
      </c>
      <c r="BA24" s="25">
        <v>-0.115</v>
      </c>
      <c r="BB24" s="25">
        <v>-2.6499999999999999E-2</v>
      </c>
      <c r="BC24" s="25">
        <v>-0.10249999999999999</v>
      </c>
      <c r="BD24" s="25">
        <v>-7.2499999999999995E-2</v>
      </c>
      <c r="BE24" s="25">
        <v>-6.5000000000000002E-2</v>
      </c>
      <c r="BF24" s="25">
        <v>0.21</v>
      </c>
      <c r="BG24" s="25">
        <v>0.31</v>
      </c>
      <c r="BH24" s="25">
        <v>0.25</v>
      </c>
      <c r="BI24" s="25">
        <v>0.215</v>
      </c>
      <c r="BJ24" s="25">
        <v>0.70250000000000001</v>
      </c>
    </row>
    <row r="25" spans="1:62" x14ac:dyDescent="0.25">
      <c r="A25" s="26" t="e">
        <f>#REF!-B25</f>
        <v>#REF!</v>
      </c>
      <c r="B25" s="26">
        <v>3.8060000000000005</v>
      </c>
      <c r="C25" s="145">
        <v>37347</v>
      </c>
      <c r="D25" s="26">
        <v>3.532</v>
      </c>
      <c r="E25" s="26">
        <v>0.30249999999999999</v>
      </c>
      <c r="F25" s="26">
        <v>6.9092023437082997E-2</v>
      </c>
      <c r="G25" s="26">
        <v>-0.13250000000000001</v>
      </c>
      <c r="H25" s="26">
        <v>-0.15</v>
      </c>
      <c r="I25" s="26">
        <v>-0.08</v>
      </c>
      <c r="J25" s="26">
        <v>-0.19750000000000001</v>
      </c>
      <c r="K25" s="26">
        <v>-0.06</v>
      </c>
      <c r="L25" s="26">
        <v>-0.06</v>
      </c>
      <c r="M25" s="26">
        <v>-9.2499999999999999E-2</v>
      </c>
      <c r="N25" s="26">
        <v>-0.10249999999999999</v>
      </c>
      <c r="O25" s="26">
        <v>-0.13250000000000001</v>
      </c>
      <c r="P25" s="25">
        <v>-0.13250000000000001</v>
      </c>
      <c r="Q25" s="25">
        <v>-7.4999999999999997E-2</v>
      </c>
      <c r="R25" s="25">
        <v>-0.06</v>
      </c>
      <c r="S25" s="25">
        <v>0.14000000000000001</v>
      </c>
      <c r="T25" s="25">
        <v>0.14000000000000001</v>
      </c>
      <c r="U25" s="25">
        <v>7.0000000000000007E-2</v>
      </c>
      <c r="V25" s="25">
        <v>0.47</v>
      </c>
      <c r="W25" s="179">
        <v>0.19500000000000001</v>
      </c>
      <c r="X25" s="179">
        <v>0.25</v>
      </c>
      <c r="Y25" s="179">
        <v>-2.5000000000000001E-2</v>
      </c>
      <c r="Z25" s="179">
        <v>-0.03</v>
      </c>
      <c r="AA25" s="179">
        <v>5.0000000000000001E-3</v>
      </c>
      <c r="AB25" s="179">
        <v>-0.02</v>
      </c>
      <c r="AC25" s="179">
        <v>6.0000000000000001E-3</v>
      </c>
      <c r="AD25" s="179">
        <v>-7.4999999999999997E-3</v>
      </c>
      <c r="AE25" s="179">
        <v>-6.25E-2</v>
      </c>
      <c r="AF25" s="179">
        <v>-5.5E-2</v>
      </c>
      <c r="AG25" s="180">
        <v>-6.8000000000000005E-2</v>
      </c>
      <c r="AH25" s="179">
        <v>-1.9000000000000003E-2</v>
      </c>
      <c r="AI25" s="181">
        <v>-7.8E-2</v>
      </c>
      <c r="AJ25" s="181">
        <v>-0.09</v>
      </c>
      <c r="AK25" s="29">
        <v>-2.8000000000000004E-2</v>
      </c>
      <c r="AL25" s="25">
        <v>6.0000000000000001E-3</v>
      </c>
      <c r="AM25" s="25">
        <v>0.45</v>
      </c>
      <c r="AN25" s="25">
        <v>1.4999999999999999E-2</v>
      </c>
      <c r="AO25" s="25">
        <v>-0.58499999999999996</v>
      </c>
      <c r="AP25" s="25">
        <v>-0.1275</v>
      </c>
      <c r="AQ25" s="25">
        <v>-0.25</v>
      </c>
      <c r="AR25" s="25">
        <v>-0.38500000000000001</v>
      </c>
      <c r="AS25" s="25">
        <v>-0.53500000000000003</v>
      </c>
      <c r="AT25" s="25">
        <v>-0.58499999999999996</v>
      </c>
      <c r="AU25" s="25">
        <v>0.37</v>
      </c>
      <c r="AV25" s="25">
        <v>-0.58499999999999996</v>
      </c>
      <c r="AW25" s="25">
        <v>-0.115</v>
      </c>
      <c r="AX25" s="25">
        <v>-0.115</v>
      </c>
      <c r="AY25" s="25">
        <v>-0.115</v>
      </c>
      <c r="AZ25" s="25">
        <v>-0.06</v>
      </c>
      <c r="BA25" s="25">
        <v>-0.1075</v>
      </c>
      <c r="BB25" s="25">
        <v>-2.4E-2</v>
      </c>
      <c r="BC25" s="25">
        <v>-6.5000000000000002E-2</v>
      </c>
      <c r="BD25" s="25">
        <v>-0.02</v>
      </c>
      <c r="BE25" s="25">
        <v>-6.25E-2</v>
      </c>
      <c r="BF25" s="25">
        <v>0.12</v>
      </c>
      <c r="BG25" s="25">
        <v>0.14249999999999999</v>
      </c>
      <c r="BH25" s="25">
        <v>0.17</v>
      </c>
      <c r="BI25" s="25">
        <v>0.14000000000000001</v>
      </c>
      <c r="BJ25" s="25">
        <v>0.33500000000000002</v>
      </c>
    </row>
    <row r="26" spans="1:62" x14ac:dyDescent="0.25">
      <c r="A26" s="26" t="e">
        <f>#REF!-B26</f>
        <v>#REF!</v>
      </c>
      <c r="B26" s="26">
        <v>3.6360000000000001</v>
      </c>
      <c r="C26" s="145">
        <v>37377</v>
      </c>
      <c r="D26" s="26">
        <v>3.4470000000000001</v>
      </c>
      <c r="E26" s="26">
        <v>0.28749999999999998</v>
      </c>
      <c r="F26" s="26">
        <v>6.909369805104501E-2</v>
      </c>
      <c r="G26" s="26">
        <v>-0.13250000000000001</v>
      </c>
      <c r="H26" s="26">
        <v>-0.15</v>
      </c>
      <c r="I26" s="26">
        <v>-9.5000000000000001E-2</v>
      </c>
      <c r="J26" s="26">
        <v>-0.19750000000000001</v>
      </c>
      <c r="K26" s="26">
        <v>-7.4999999999999997E-2</v>
      </c>
      <c r="L26" s="26">
        <v>-0.06</v>
      </c>
      <c r="M26" s="26">
        <v>-9.2499999999999999E-2</v>
      </c>
      <c r="N26" s="26">
        <v>-0.10249999999999999</v>
      </c>
      <c r="O26" s="26">
        <v>-0.13250000000000001</v>
      </c>
      <c r="P26" s="25">
        <v>-0.13250000000000001</v>
      </c>
      <c r="Q26" s="25">
        <v>-7.4999999999999997E-2</v>
      </c>
      <c r="R26" s="25">
        <v>-0.06</v>
      </c>
      <c r="S26" s="25">
        <v>0.13</v>
      </c>
      <c r="T26" s="25">
        <v>0.13</v>
      </c>
      <c r="U26" s="25">
        <v>0.06</v>
      </c>
      <c r="V26" s="25">
        <v>0.47</v>
      </c>
      <c r="W26" s="179">
        <v>0.1825</v>
      </c>
      <c r="X26" s="179">
        <v>0.20250000000000001</v>
      </c>
      <c r="Y26" s="179">
        <v>-2.5000000000000001E-2</v>
      </c>
      <c r="Z26" s="179">
        <v>-3.0249999999999999E-2</v>
      </c>
      <c r="AA26" s="179">
        <v>4.7500000000000007E-3</v>
      </c>
      <c r="AB26" s="179">
        <v>-2.0250000000000001E-2</v>
      </c>
      <c r="AC26" s="179">
        <v>6.0000000000000001E-3</v>
      </c>
      <c r="AD26" s="179">
        <v>-7.4999999999999997E-3</v>
      </c>
      <c r="AE26" s="179">
        <v>-6.25E-2</v>
      </c>
      <c r="AF26" s="179">
        <v>-5.5E-2</v>
      </c>
      <c r="AG26" s="180">
        <v>-6.8000000000000005E-2</v>
      </c>
      <c r="AH26" s="179">
        <v>-1.9000000000000003E-2</v>
      </c>
      <c r="AI26" s="181">
        <v>-7.8E-2</v>
      </c>
      <c r="AJ26" s="181">
        <v>-0.09</v>
      </c>
      <c r="AK26" s="29">
        <v>-2.8000000000000004E-2</v>
      </c>
      <c r="AL26" s="25">
        <v>6.0000000000000001E-3</v>
      </c>
      <c r="AM26" s="25">
        <v>0.40500000000000003</v>
      </c>
      <c r="AN26" s="25">
        <v>1.4999999999999999E-2</v>
      </c>
      <c r="AO26" s="25">
        <v>-0.58499999999999996</v>
      </c>
      <c r="AP26" s="25">
        <v>-0.1275</v>
      </c>
      <c r="AQ26" s="25">
        <v>-0.25</v>
      </c>
      <c r="AR26" s="25">
        <v>-0.38500000000000001</v>
      </c>
      <c r="AS26" s="25">
        <v>-0.53500000000000003</v>
      </c>
      <c r="AT26" s="25">
        <v>-0.58499999999999996</v>
      </c>
      <c r="AU26" s="25">
        <v>0.37</v>
      </c>
      <c r="AV26" s="25">
        <v>-0.58499999999999996</v>
      </c>
      <c r="AW26" s="25">
        <v>-0.1125</v>
      </c>
      <c r="AX26" s="25">
        <v>-9.5000000000000001E-2</v>
      </c>
      <c r="AY26" s="25">
        <v>-0.1125</v>
      </c>
      <c r="AZ26" s="25">
        <v>-0.06</v>
      </c>
      <c r="BA26" s="25">
        <v>-0.1075</v>
      </c>
      <c r="BB26" s="25">
        <v>-2.4E-2</v>
      </c>
      <c r="BC26" s="25">
        <v>-6.5000000000000002E-2</v>
      </c>
      <c r="BD26" s="25">
        <v>-0.02</v>
      </c>
      <c r="BE26" s="25">
        <v>-6.25E-2</v>
      </c>
      <c r="BF26" s="25">
        <v>0.12</v>
      </c>
      <c r="BG26" s="25">
        <v>0.14249999999999999</v>
      </c>
      <c r="BH26" s="25">
        <v>0.16</v>
      </c>
      <c r="BI26" s="25">
        <v>0.13</v>
      </c>
      <c r="BJ26" s="25">
        <v>0.26750000000000002</v>
      </c>
    </row>
    <row r="27" spans="1:62" x14ac:dyDescent="0.25">
      <c r="A27" s="26" t="e">
        <f>#REF!-B27</f>
        <v>#REF!</v>
      </c>
      <c r="B27" s="26">
        <v>3.48</v>
      </c>
      <c r="C27" s="145">
        <v>37408</v>
      </c>
      <c r="D27" s="26">
        <v>3.427</v>
      </c>
      <c r="E27" s="26">
        <v>0.28499999999999998</v>
      </c>
      <c r="F27" s="26">
        <v>6.9095428485473995E-2</v>
      </c>
      <c r="G27" s="26">
        <v>-0.13250000000000001</v>
      </c>
      <c r="H27" s="26">
        <v>-0.15</v>
      </c>
      <c r="I27" s="26">
        <v>-0.105</v>
      </c>
      <c r="J27" s="26">
        <v>-0.19750000000000001</v>
      </c>
      <c r="K27" s="26">
        <v>-8.5000000000000006E-2</v>
      </c>
      <c r="L27" s="26">
        <v>-0.06</v>
      </c>
      <c r="M27" s="26">
        <v>-9.2499999999999999E-2</v>
      </c>
      <c r="N27" s="26">
        <v>-0.10249999999999999</v>
      </c>
      <c r="O27" s="26">
        <v>-0.13250000000000001</v>
      </c>
      <c r="P27" s="25">
        <v>-0.13250000000000001</v>
      </c>
      <c r="Q27" s="25">
        <v>-7.2499999999999995E-2</v>
      </c>
      <c r="R27" s="25">
        <v>-0.06</v>
      </c>
      <c r="S27" s="25">
        <v>0.125</v>
      </c>
      <c r="T27" s="25">
        <v>0.125</v>
      </c>
      <c r="U27" s="25">
        <v>5.5E-2</v>
      </c>
      <c r="V27" s="25">
        <v>0.47</v>
      </c>
      <c r="W27" s="179">
        <v>0.1825</v>
      </c>
      <c r="X27" s="179">
        <v>0.20250000000000001</v>
      </c>
      <c r="Y27" s="179">
        <v>-2.5000000000000001E-2</v>
      </c>
      <c r="Z27" s="179">
        <v>-3.0249999999999999E-2</v>
      </c>
      <c r="AA27" s="179">
        <v>4.7500000000000007E-3</v>
      </c>
      <c r="AB27" s="179">
        <v>-2.0250000000000001E-2</v>
      </c>
      <c r="AC27" s="179">
        <v>6.0000000000000001E-3</v>
      </c>
      <c r="AD27" s="179">
        <v>-7.4999999999999997E-3</v>
      </c>
      <c r="AE27" s="179">
        <v>-6.25E-2</v>
      </c>
      <c r="AF27" s="179">
        <v>-5.5E-2</v>
      </c>
      <c r="AG27" s="180">
        <v>-6.8000000000000005E-2</v>
      </c>
      <c r="AH27" s="179">
        <v>-1.9000000000000003E-2</v>
      </c>
      <c r="AI27" s="181">
        <v>-9.4E-2</v>
      </c>
      <c r="AJ27" s="181">
        <v>-8.5000000000000006E-2</v>
      </c>
      <c r="AK27" s="29">
        <v>-2.8000000000000004E-2</v>
      </c>
      <c r="AL27" s="25">
        <v>6.0000000000000001E-3</v>
      </c>
      <c r="AM27" s="25">
        <v>0.39500000000000002</v>
      </c>
      <c r="AN27" s="25">
        <v>0.02</v>
      </c>
      <c r="AO27" s="25">
        <v>-0.58499999999999996</v>
      </c>
      <c r="AP27" s="25">
        <v>-0.1275</v>
      </c>
      <c r="AQ27" s="25">
        <v>-0.25</v>
      </c>
      <c r="AR27" s="25">
        <v>-0.38500000000000001</v>
      </c>
      <c r="AS27" s="25">
        <v>-0.53500000000000003</v>
      </c>
      <c r="AT27" s="25">
        <v>-0.58499999999999996</v>
      </c>
      <c r="AU27" s="25">
        <v>0.37</v>
      </c>
      <c r="AV27" s="25">
        <v>-0.58499999999999996</v>
      </c>
      <c r="AW27" s="25">
        <v>-0.105</v>
      </c>
      <c r="AX27" s="25">
        <v>-9.5000000000000001E-2</v>
      </c>
      <c r="AY27" s="25">
        <v>-0.105</v>
      </c>
      <c r="AZ27" s="25">
        <v>-0.06</v>
      </c>
      <c r="BA27" s="25">
        <v>-9.7500000000000003E-2</v>
      </c>
      <c r="BB27" s="25">
        <v>-2.4E-2</v>
      </c>
      <c r="BC27" s="25">
        <v>-6.5000000000000002E-2</v>
      </c>
      <c r="BD27" s="25">
        <v>-1.4999999999999999E-2</v>
      </c>
      <c r="BE27" s="25">
        <v>-6.25E-2</v>
      </c>
      <c r="BF27" s="25">
        <v>0.12</v>
      </c>
      <c r="BG27" s="25">
        <v>0.14249999999999999</v>
      </c>
      <c r="BH27" s="25">
        <v>0.155</v>
      </c>
      <c r="BI27" s="25">
        <v>0.125</v>
      </c>
      <c r="BJ27" s="25">
        <v>0.26750000000000002</v>
      </c>
    </row>
    <row r="28" spans="1:62" x14ac:dyDescent="0.25">
      <c r="A28" s="26" t="e">
        <f>#REF!-B28</f>
        <v>#REF!</v>
      </c>
      <c r="B28" s="26">
        <v>3.41</v>
      </c>
      <c r="C28" s="145">
        <v>37438</v>
      </c>
      <c r="D28" s="26">
        <v>3.42</v>
      </c>
      <c r="E28" s="26">
        <v>0.28499999999999998</v>
      </c>
      <c r="F28" s="26">
        <v>6.9097118524442017E-2</v>
      </c>
      <c r="G28" s="26">
        <v>-0.13250000000000001</v>
      </c>
      <c r="H28" s="26">
        <v>-0.15</v>
      </c>
      <c r="I28" s="26">
        <v>-0.105</v>
      </c>
      <c r="J28" s="26">
        <v>-0.2175</v>
      </c>
      <c r="K28" s="26">
        <v>-8.5000000000000006E-2</v>
      </c>
      <c r="L28" s="26">
        <v>-0.06</v>
      </c>
      <c r="M28" s="26">
        <v>-9.2499999999999999E-2</v>
      </c>
      <c r="N28" s="26">
        <v>-0.10249999999999999</v>
      </c>
      <c r="O28" s="26">
        <v>-0.13250000000000001</v>
      </c>
      <c r="P28" s="25">
        <v>-0.13250000000000001</v>
      </c>
      <c r="Q28" s="25">
        <v>-7.1249999999999994E-2</v>
      </c>
      <c r="R28" s="25">
        <v>-0.06</v>
      </c>
      <c r="S28" s="25">
        <v>0.115</v>
      </c>
      <c r="T28" s="25">
        <v>0.115</v>
      </c>
      <c r="U28" s="25">
        <v>4.4999999999999998E-2</v>
      </c>
      <c r="V28" s="25">
        <v>0.47</v>
      </c>
      <c r="W28" s="179">
        <v>0.1825</v>
      </c>
      <c r="X28" s="179">
        <v>0.215</v>
      </c>
      <c r="Y28" s="179">
        <v>-2.5000000000000001E-2</v>
      </c>
      <c r="Z28" s="179">
        <v>-3.0249999999999999E-2</v>
      </c>
      <c r="AA28" s="179">
        <v>4.7500000000000007E-3</v>
      </c>
      <c r="AB28" s="179">
        <v>-2.0250000000000001E-2</v>
      </c>
      <c r="AC28" s="179">
        <v>6.0000000000000001E-3</v>
      </c>
      <c r="AD28" s="179">
        <v>-7.4999999999999997E-3</v>
      </c>
      <c r="AE28" s="179">
        <v>-6.25E-2</v>
      </c>
      <c r="AF28" s="179">
        <v>-5.5E-2</v>
      </c>
      <c r="AG28" s="180">
        <v>-6.8000000000000005E-2</v>
      </c>
      <c r="AH28" s="179">
        <v>-1.9000000000000003E-2</v>
      </c>
      <c r="AI28" s="181">
        <v>-8.7000000000000008E-2</v>
      </c>
      <c r="AJ28" s="181">
        <v>-8.2500000000000004E-2</v>
      </c>
      <c r="AK28" s="29">
        <v>-2.8000000000000004E-2</v>
      </c>
      <c r="AL28" s="25">
        <v>6.0000000000000001E-3</v>
      </c>
      <c r="AM28" s="25">
        <v>0.43</v>
      </c>
      <c r="AN28" s="25">
        <v>2.2499999999999999E-2</v>
      </c>
      <c r="AO28" s="25">
        <v>-0.58499999999999996</v>
      </c>
      <c r="AP28" s="25">
        <v>-0.1275</v>
      </c>
      <c r="AQ28" s="25">
        <v>-0.25</v>
      </c>
      <c r="AR28" s="25">
        <v>-0.38500000000000001</v>
      </c>
      <c r="AS28" s="25">
        <v>-0.53500000000000003</v>
      </c>
      <c r="AT28" s="25">
        <v>-0.58499999999999996</v>
      </c>
      <c r="AU28" s="25">
        <v>0.37</v>
      </c>
      <c r="AV28" s="25">
        <v>-0.58499999999999996</v>
      </c>
      <c r="AW28" s="25">
        <v>-0.1125</v>
      </c>
      <c r="AX28" s="25">
        <v>-9.5000000000000001E-2</v>
      </c>
      <c r="AY28" s="25">
        <v>-0.1125</v>
      </c>
      <c r="AZ28" s="25">
        <v>-0.06</v>
      </c>
      <c r="BA28" s="25">
        <v>-9.2499999999999999E-2</v>
      </c>
      <c r="BB28" s="25">
        <v>-2.4E-2</v>
      </c>
      <c r="BC28" s="25">
        <v>-6.5000000000000002E-2</v>
      </c>
      <c r="BD28" s="25">
        <v>-1.2500000000000001E-2</v>
      </c>
      <c r="BE28" s="25">
        <v>-6.25E-2</v>
      </c>
      <c r="BF28" s="25">
        <v>0.12</v>
      </c>
      <c r="BG28" s="25">
        <v>0.14249999999999999</v>
      </c>
      <c r="BH28" s="25">
        <v>0.14499999999999999</v>
      </c>
      <c r="BI28" s="25">
        <v>0.115</v>
      </c>
      <c r="BJ28" s="25">
        <v>0.28000000000000003</v>
      </c>
    </row>
    <row r="29" spans="1:62" x14ac:dyDescent="0.25">
      <c r="A29" s="26" t="e">
        <f>#REF!-B29</f>
        <v>#REF!</v>
      </c>
      <c r="B29" s="26">
        <v>3.375</v>
      </c>
      <c r="C29" s="145">
        <v>37469</v>
      </c>
      <c r="D29" s="26">
        <v>3.4249999999999998</v>
      </c>
      <c r="E29" s="26">
        <v>0.28499999999999998</v>
      </c>
      <c r="F29" s="26">
        <v>6.9098892085220007E-2</v>
      </c>
      <c r="G29" s="26">
        <v>-0.13250000000000001</v>
      </c>
      <c r="H29" s="26">
        <v>-0.15</v>
      </c>
      <c r="I29" s="26">
        <v>-0.105</v>
      </c>
      <c r="J29" s="26">
        <v>-0.2175</v>
      </c>
      <c r="K29" s="26">
        <v>-8.5000000000000006E-2</v>
      </c>
      <c r="L29" s="26">
        <v>-0.06</v>
      </c>
      <c r="M29" s="26">
        <v>-9.2499999999999999E-2</v>
      </c>
      <c r="N29" s="26">
        <v>-0.10249999999999999</v>
      </c>
      <c r="O29" s="26">
        <v>-0.13250000000000001</v>
      </c>
      <c r="P29" s="25">
        <v>-0.13250000000000001</v>
      </c>
      <c r="Q29" s="25">
        <v>-7.0000000000000007E-2</v>
      </c>
      <c r="R29" s="25">
        <v>-0.06</v>
      </c>
      <c r="S29" s="25">
        <v>0.1125</v>
      </c>
      <c r="T29" s="25">
        <v>0.1125</v>
      </c>
      <c r="U29" s="25">
        <v>4.2500000000000003E-2</v>
      </c>
      <c r="V29" s="25">
        <v>0.47</v>
      </c>
      <c r="W29" s="179">
        <v>0.1825</v>
      </c>
      <c r="X29" s="179">
        <v>0.215</v>
      </c>
      <c r="Y29" s="179">
        <v>-2.5000000000000001E-2</v>
      </c>
      <c r="Z29" s="179">
        <v>-3.0249999999999999E-2</v>
      </c>
      <c r="AA29" s="179">
        <v>4.7500000000000007E-3</v>
      </c>
      <c r="AB29" s="179">
        <v>-2.0250000000000001E-2</v>
      </c>
      <c r="AC29" s="179">
        <v>6.0000000000000001E-3</v>
      </c>
      <c r="AD29" s="179">
        <v>-7.4999999999999997E-3</v>
      </c>
      <c r="AE29" s="179">
        <v>-6.25E-2</v>
      </c>
      <c r="AF29" s="179">
        <v>-5.5E-2</v>
      </c>
      <c r="AG29" s="180">
        <v>-6.8000000000000005E-2</v>
      </c>
      <c r="AH29" s="179">
        <v>-1.9000000000000003E-2</v>
      </c>
      <c r="AI29" s="181">
        <v>-6.8000000000000005E-2</v>
      </c>
      <c r="AJ29" s="181">
        <v>-0.08</v>
      </c>
      <c r="AK29" s="29">
        <v>-2.8000000000000004E-2</v>
      </c>
      <c r="AL29" s="25">
        <v>6.0000000000000001E-3</v>
      </c>
      <c r="AM29" s="25">
        <v>0.495</v>
      </c>
      <c r="AN29" s="25">
        <v>2.5000000000000001E-2</v>
      </c>
      <c r="AO29" s="25">
        <v>-0.58499999999999996</v>
      </c>
      <c r="AP29" s="25">
        <v>-0.1275</v>
      </c>
      <c r="AQ29" s="25">
        <v>-0.25</v>
      </c>
      <c r="AR29" s="25">
        <v>-0.38500000000000001</v>
      </c>
      <c r="AS29" s="25">
        <v>-0.53500000000000003</v>
      </c>
      <c r="AT29" s="25">
        <v>-0.58499999999999996</v>
      </c>
      <c r="AU29" s="25">
        <v>0.37</v>
      </c>
      <c r="AV29" s="25">
        <v>-0.58499999999999996</v>
      </c>
      <c r="AW29" s="25">
        <v>-0.1</v>
      </c>
      <c r="AX29" s="25">
        <v>-9.5000000000000001E-2</v>
      </c>
      <c r="AY29" s="25">
        <v>-0.1</v>
      </c>
      <c r="AZ29" s="25">
        <v>-0.06</v>
      </c>
      <c r="BA29" s="25">
        <v>-9.2499999999999999E-2</v>
      </c>
      <c r="BB29" s="25">
        <v>-2.4E-2</v>
      </c>
      <c r="BC29" s="25">
        <v>-6.5000000000000002E-2</v>
      </c>
      <c r="BD29" s="25">
        <v>-0.01</v>
      </c>
      <c r="BE29" s="25">
        <v>-6.25E-2</v>
      </c>
      <c r="BF29" s="25">
        <v>0.12</v>
      </c>
      <c r="BG29" s="25">
        <v>0.14249999999999999</v>
      </c>
      <c r="BH29" s="25">
        <v>0.14249999999999999</v>
      </c>
      <c r="BI29" s="25">
        <v>0.1125</v>
      </c>
      <c r="BJ29" s="25">
        <v>0.28000000000000003</v>
      </c>
    </row>
    <row r="30" spans="1:62" x14ac:dyDescent="0.25">
      <c r="A30" s="26" t="e">
        <f>#REF!-B30</f>
        <v>#REF!</v>
      </c>
      <c r="B30" s="26">
        <v>3.3650000000000002</v>
      </c>
      <c r="C30" s="145">
        <v>37500</v>
      </c>
      <c r="D30" s="26">
        <v>3.42</v>
      </c>
      <c r="E30" s="26">
        <v>0.28499999999999998</v>
      </c>
      <c r="F30" s="26">
        <v>6.9100665646000009E-2</v>
      </c>
      <c r="G30" s="26">
        <v>-0.13250000000000001</v>
      </c>
      <c r="H30" s="26">
        <v>-0.15</v>
      </c>
      <c r="I30" s="26">
        <v>-9.5000000000000001E-2</v>
      </c>
      <c r="J30" s="26">
        <v>-0.2175</v>
      </c>
      <c r="K30" s="26">
        <v>-7.4999999999999997E-2</v>
      </c>
      <c r="L30" s="26">
        <v>-0.06</v>
      </c>
      <c r="M30" s="26">
        <v>-9.2499999999999999E-2</v>
      </c>
      <c r="N30" s="26">
        <v>-0.10249999999999999</v>
      </c>
      <c r="O30" s="26">
        <v>-0.13250000000000001</v>
      </c>
      <c r="P30" s="25">
        <v>-0.13250000000000001</v>
      </c>
      <c r="Q30" s="25">
        <v>-7.3749999999999996E-2</v>
      </c>
      <c r="R30" s="25">
        <v>-0.06</v>
      </c>
      <c r="S30" s="25">
        <v>0.11</v>
      </c>
      <c r="T30" s="25">
        <v>0.11</v>
      </c>
      <c r="U30" s="25">
        <v>0.04</v>
      </c>
      <c r="V30" s="25">
        <v>0.47</v>
      </c>
      <c r="W30" s="179">
        <v>0.1825</v>
      </c>
      <c r="X30" s="179">
        <v>0.19500000000000001</v>
      </c>
      <c r="Y30" s="179">
        <v>-2.5000000000000001E-2</v>
      </c>
      <c r="Z30" s="179">
        <v>-3.0249999999999999E-2</v>
      </c>
      <c r="AA30" s="179">
        <v>4.7500000000000007E-3</v>
      </c>
      <c r="AB30" s="179">
        <v>-2.0250000000000001E-2</v>
      </c>
      <c r="AC30" s="179">
        <v>6.0000000000000001E-3</v>
      </c>
      <c r="AD30" s="179">
        <v>-7.4999999999999997E-3</v>
      </c>
      <c r="AE30" s="179">
        <v>-6.25E-2</v>
      </c>
      <c r="AF30" s="179">
        <v>-5.2499999999999998E-2</v>
      </c>
      <c r="AG30" s="180">
        <v>-6.5500000000000003E-2</v>
      </c>
      <c r="AH30" s="179">
        <v>-1.9000000000000003E-2</v>
      </c>
      <c r="AI30" s="181">
        <v>-6.6000000000000003E-2</v>
      </c>
      <c r="AJ30" s="181">
        <v>-8.7499999999999994E-2</v>
      </c>
      <c r="AK30" s="29">
        <v>-2.8000000000000004E-2</v>
      </c>
      <c r="AL30" s="25">
        <v>6.0000000000000001E-3</v>
      </c>
      <c r="AM30" s="25">
        <v>0.39500000000000002</v>
      </c>
      <c r="AN30" s="25">
        <v>1.7500000000000002E-2</v>
      </c>
      <c r="AO30" s="25">
        <v>-0.58499999999999996</v>
      </c>
      <c r="AP30" s="25">
        <v>-0.1275</v>
      </c>
      <c r="AQ30" s="25">
        <v>-0.25</v>
      </c>
      <c r="AR30" s="25">
        <v>-0.38500000000000001</v>
      </c>
      <c r="AS30" s="25">
        <v>-0.53500000000000003</v>
      </c>
      <c r="AT30" s="25">
        <v>-0.58499999999999996</v>
      </c>
      <c r="AU30" s="25">
        <v>0.37</v>
      </c>
      <c r="AV30" s="25">
        <v>-0.58499999999999996</v>
      </c>
      <c r="AW30" s="25">
        <v>-0.105</v>
      </c>
      <c r="AX30" s="25">
        <v>-9.5000000000000001E-2</v>
      </c>
      <c r="AY30" s="25">
        <v>-0.105</v>
      </c>
      <c r="AZ30" s="25">
        <v>-0.06</v>
      </c>
      <c r="BA30" s="25">
        <v>-0.1075</v>
      </c>
      <c r="BB30" s="25">
        <v>-2.4E-2</v>
      </c>
      <c r="BC30" s="25">
        <v>-6.5000000000000002E-2</v>
      </c>
      <c r="BD30" s="25">
        <v>-1.7500000000000002E-2</v>
      </c>
      <c r="BE30" s="25">
        <v>-6.25E-2</v>
      </c>
      <c r="BF30" s="25">
        <v>0.12</v>
      </c>
      <c r="BG30" s="25">
        <v>0.14249999999999999</v>
      </c>
      <c r="BH30" s="25">
        <v>0.14000000000000001</v>
      </c>
      <c r="BI30" s="25">
        <v>0.11</v>
      </c>
      <c r="BJ30" s="25">
        <v>0.27</v>
      </c>
    </row>
    <row r="31" spans="1:62" x14ac:dyDescent="0.25">
      <c r="A31" s="26" t="e">
        <f>#REF!-B31</f>
        <v>#REF!</v>
      </c>
      <c r="B31" s="26">
        <v>3.36</v>
      </c>
      <c r="C31" s="145">
        <v>37530</v>
      </c>
      <c r="D31" s="26">
        <v>3.4350000000000001</v>
      </c>
      <c r="E31" s="26">
        <v>0.28749999999999998</v>
      </c>
      <c r="F31" s="26">
        <v>6.9099982062237011E-2</v>
      </c>
      <c r="G31" s="26">
        <v>-0.13250000000000001</v>
      </c>
      <c r="H31" s="26">
        <v>-0.15</v>
      </c>
      <c r="I31" s="26">
        <v>-0.08</v>
      </c>
      <c r="J31" s="26">
        <v>-0.2175</v>
      </c>
      <c r="K31" s="26">
        <v>-0.06</v>
      </c>
      <c r="L31" s="26">
        <v>-0.06</v>
      </c>
      <c r="M31" s="26">
        <v>-9.2499999999999999E-2</v>
      </c>
      <c r="N31" s="26">
        <v>-0.10249999999999999</v>
      </c>
      <c r="O31" s="26">
        <v>-0.13250000000000001</v>
      </c>
      <c r="P31" s="25">
        <v>-0.13250000000000001</v>
      </c>
      <c r="Q31" s="25">
        <v>-7.8750000000000001E-2</v>
      </c>
      <c r="R31" s="25">
        <v>-0.06</v>
      </c>
      <c r="S31" s="25">
        <v>0.125</v>
      </c>
      <c r="T31" s="25">
        <v>0.125</v>
      </c>
      <c r="U31" s="25">
        <v>5.5E-2</v>
      </c>
      <c r="V31" s="25">
        <v>0.47</v>
      </c>
      <c r="W31" s="179">
        <v>0.1875</v>
      </c>
      <c r="X31" s="179">
        <v>0.215</v>
      </c>
      <c r="Y31" s="179">
        <v>-2.5000000000000001E-2</v>
      </c>
      <c r="Z31" s="179">
        <v>-3.0249999999999999E-2</v>
      </c>
      <c r="AA31" s="179">
        <v>4.7500000000000007E-3</v>
      </c>
      <c r="AB31" s="179">
        <v>-2.0250000000000001E-2</v>
      </c>
      <c r="AC31" s="179">
        <v>6.0000000000000001E-3</v>
      </c>
      <c r="AD31" s="179">
        <v>-7.4999999999999997E-3</v>
      </c>
      <c r="AE31" s="179">
        <v>-6.25E-2</v>
      </c>
      <c r="AF31" s="179">
        <v>-5.2499999999999998E-2</v>
      </c>
      <c r="AG31" s="180">
        <v>-6.5500000000000003E-2</v>
      </c>
      <c r="AH31" s="179">
        <v>-1.9000000000000003E-2</v>
      </c>
      <c r="AI31" s="181">
        <v>-6.8000000000000005E-2</v>
      </c>
      <c r="AJ31" s="181">
        <v>-9.7500000000000003E-2</v>
      </c>
      <c r="AK31" s="29">
        <v>-2.8000000000000004E-2</v>
      </c>
      <c r="AL31" s="25">
        <v>6.0000000000000001E-3</v>
      </c>
      <c r="AM31" s="25">
        <v>0.46100000000000002</v>
      </c>
      <c r="AN31" s="25">
        <v>7.4999999999999997E-3</v>
      </c>
      <c r="AO31" s="25">
        <v>-0.58499999999999996</v>
      </c>
      <c r="AP31" s="25">
        <v>-0.1275</v>
      </c>
      <c r="AQ31" s="25">
        <v>-0.25</v>
      </c>
      <c r="AR31" s="25">
        <v>-0.38500000000000001</v>
      </c>
      <c r="AS31" s="25">
        <v>-0.53500000000000003</v>
      </c>
      <c r="AT31" s="25">
        <v>-0.58499999999999996</v>
      </c>
      <c r="AU31" s="25">
        <v>0.37</v>
      </c>
      <c r="AV31" s="25">
        <v>-0.58499999999999996</v>
      </c>
      <c r="AW31" s="25">
        <v>-0.115</v>
      </c>
      <c r="AX31" s="25">
        <v>-9.5000000000000001E-2</v>
      </c>
      <c r="AY31" s="25">
        <v>-0.115</v>
      </c>
      <c r="AZ31" s="25">
        <v>-0.06</v>
      </c>
      <c r="BA31" s="25">
        <v>-0.11</v>
      </c>
      <c r="BB31" s="25">
        <v>-2.4E-2</v>
      </c>
      <c r="BC31" s="25">
        <v>-6.5000000000000002E-2</v>
      </c>
      <c r="BD31" s="25">
        <v>-2.75E-2</v>
      </c>
      <c r="BE31" s="25">
        <v>-6.25E-2</v>
      </c>
      <c r="BF31" s="25">
        <v>0.12</v>
      </c>
      <c r="BG31" s="25">
        <v>0.14249999999999999</v>
      </c>
      <c r="BH31" s="25">
        <v>0.155</v>
      </c>
      <c r="BI31" s="25">
        <v>0.125</v>
      </c>
      <c r="BJ31" s="25">
        <v>0.34250000000000003</v>
      </c>
    </row>
    <row r="32" spans="1:62" x14ac:dyDescent="0.25">
      <c r="A32" s="26" t="e">
        <f>#REF!-B32</f>
        <v>#REF!</v>
      </c>
      <c r="B32" s="26">
        <v>3.35</v>
      </c>
      <c r="C32" s="145">
        <v>37561</v>
      </c>
      <c r="D32" s="26">
        <v>3.5270000000000001</v>
      </c>
      <c r="E32" s="26">
        <v>0.29499999999999998</v>
      </c>
      <c r="F32" s="26">
        <v>6.9095832436425003E-2</v>
      </c>
      <c r="G32" s="26">
        <v>-0.125</v>
      </c>
      <c r="H32" s="26">
        <v>-0.14249999999999999</v>
      </c>
      <c r="I32" s="26">
        <v>-2.5000000000000001E-2</v>
      </c>
      <c r="J32" s="26">
        <v>-0.21</v>
      </c>
      <c r="K32" s="26">
        <v>-5.0000000000000001E-3</v>
      </c>
      <c r="L32" s="26">
        <v>-0.06</v>
      </c>
      <c r="M32" s="26">
        <v>-9.5000000000000001E-2</v>
      </c>
      <c r="N32" s="26">
        <v>-9.5000000000000001E-2</v>
      </c>
      <c r="O32" s="26">
        <v>-0.125</v>
      </c>
      <c r="P32" s="25">
        <v>-0.125</v>
      </c>
      <c r="Q32" s="25">
        <v>-0.10375</v>
      </c>
      <c r="R32" s="25">
        <v>-7.0000000000000007E-2</v>
      </c>
      <c r="S32" s="25">
        <v>0.1875</v>
      </c>
      <c r="T32" s="25">
        <v>0.1875</v>
      </c>
      <c r="U32" s="25">
        <v>9.2499999999999999E-2</v>
      </c>
      <c r="V32" s="25">
        <v>0.40500000000000003</v>
      </c>
      <c r="W32" s="179">
        <v>0.27</v>
      </c>
      <c r="X32" s="179">
        <v>0.28749999999999998</v>
      </c>
      <c r="Y32" s="179">
        <v>-2.8000000000000004E-2</v>
      </c>
      <c r="Z32" s="179">
        <v>-0.05</v>
      </c>
      <c r="AA32" s="179">
        <v>-1.2500000000000001E-2</v>
      </c>
      <c r="AB32" s="179">
        <v>-0.04</v>
      </c>
      <c r="AC32" s="179">
        <v>6.0000000000000001E-3</v>
      </c>
      <c r="AD32" s="179">
        <v>-1.5500000000000002E-2</v>
      </c>
      <c r="AE32" s="179">
        <v>-6.5000000000000002E-2</v>
      </c>
      <c r="AF32" s="179">
        <v>-5.5E-2</v>
      </c>
      <c r="AG32" s="180">
        <v>-6.8500000000000005E-2</v>
      </c>
      <c r="AH32" s="179">
        <v>-2.0499999999999997E-2</v>
      </c>
      <c r="AI32" s="181">
        <v>-8.3000000000000004E-2</v>
      </c>
      <c r="AJ32" s="181">
        <v>-0.13750000000000001</v>
      </c>
      <c r="AK32" s="29">
        <v>-2.0499999999999997E-2</v>
      </c>
      <c r="AL32" s="25">
        <v>1.2500000000000001E-2</v>
      </c>
      <c r="AM32" s="25">
        <v>0.75249999999999995</v>
      </c>
      <c r="AN32" s="25">
        <v>-3.2500000000000001E-2</v>
      </c>
      <c r="AO32" s="25">
        <v>-0.33500000000000002</v>
      </c>
      <c r="AP32" s="25">
        <v>-0.14000000000000001</v>
      </c>
      <c r="AQ32" s="25">
        <v>-0.19</v>
      </c>
      <c r="AR32" s="25">
        <v>0</v>
      </c>
      <c r="AS32" s="25">
        <v>-0.28499999999999998</v>
      </c>
      <c r="AT32" s="25">
        <v>-0.33500000000000002</v>
      </c>
      <c r="AU32" s="25">
        <v>0.25</v>
      </c>
      <c r="AV32" s="25">
        <v>-0.33500000000000002</v>
      </c>
      <c r="AW32" s="25">
        <v>-0.11749999999999999</v>
      </c>
      <c r="AX32" s="25">
        <v>-0.1225</v>
      </c>
      <c r="AY32" s="25">
        <v>-0.11749999999999999</v>
      </c>
      <c r="AZ32" s="25">
        <v>-0.06</v>
      </c>
      <c r="BA32" s="25">
        <v>-0.1075</v>
      </c>
      <c r="BB32" s="25">
        <v>-2.5500000000000002E-2</v>
      </c>
      <c r="BC32" s="25">
        <v>-0.08</v>
      </c>
      <c r="BD32" s="25">
        <v>-6.7500000000000004E-2</v>
      </c>
      <c r="BE32" s="25">
        <v>-6.5000000000000002E-2</v>
      </c>
      <c r="BF32" s="25">
        <v>7.0000000000000007E-2</v>
      </c>
      <c r="BG32" s="25">
        <v>0.27500000000000002</v>
      </c>
      <c r="BH32" s="25">
        <v>0.23250000000000001</v>
      </c>
      <c r="BI32" s="25">
        <v>0.1875</v>
      </c>
      <c r="BJ32" s="25">
        <v>0.47</v>
      </c>
    </row>
    <row r="33" spans="1:62" x14ac:dyDescent="0.25">
      <c r="A33" s="26" t="e">
        <f>#REF!-B33</f>
        <v>#REF!</v>
      </c>
      <c r="B33" s="26">
        <v>3.3680000000000003</v>
      </c>
      <c r="C33" s="145">
        <v>37591</v>
      </c>
      <c r="D33" s="26">
        <v>3.6090000000000004</v>
      </c>
      <c r="E33" s="26">
        <v>0.29749999999999999</v>
      </c>
      <c r="F33" s="26">
        <v>6.9091816669514014E-2</v>
      </c>
      <c r="G33" s="26">
        <v>-0.1275</v>
      </c>
      <c r="H33" s="26">
        <v>-0.14499999999999999</v>
      </c>
      <c r="I33" s="26">
        <v>-1.7500000000000002E-2</v>
      </c>
      <c r="J33" s="26">
        <v>-0.21249999999999999</v>
      </c>
      <c r="K33" s="26">
        <v>2.5000000000000001E-3</v>
      </c>
      <c r="L33" s="26">
        <v>-0.06</v>
      </c>
      <c r="M33" s="26">
        <v>-9.7500000000000003E-2</v>
      </c>
      <c r="N33" s="26">
        <v>-9.7500000000000003E-2</v>
      </c>
      <c r="O33" s="26">
        <v>-0.1275</v>
      </c>
      <c r="P33" s="25">
        <v>-0.1275</v>
      </c>
      <c r="Q33" s="25">
        <v>-0.115</v>
      </c>
      <c r="R33" s="25">
        <v>-7.0000000000000007E-2</v>
      </c>
      <c r="S33" s="25">
        <v>0.22750000000000001</v>
      </c>
      <c r="T33" s="25">
        <v>0.22750000000000001</v>
      </c>
      <c r="U33" s="25">
        <v>0.13250000000000001</v>
      </c>
      <c r="V33" s="25">
        <v>0.40500000000000003</v>
      </c>
      <c r="W33" s="179">
        <v>0.30499999999999999</v>
      </c>
      <c r="X33" s="179">
        <v>0.33750000000000002</v>
      </c>
      <c r="Y33" s="179">
        <v>-2.8000000000000004E-2</v>
      </c>
      <c r="Z33" s="179">
        <v>-4.2500000000000003E-2</v>
      </c>
      <c r="AA33" s="179">
        <v>-1.2500000000000001E-2</v>
      </c>
      <c r="AB33" s="179">
        <v>-0.04</v>
      </c>
      <c r="AC33" s="179">
        <v>6.0000000000000001E-3</v>
      </c>
      <c r="AD33" s="179">
        <v>-1.5500000000000002E-2</v>
      </c>
      <c r="AE33" s="179">
        <v>-6.5000000000000002E-2</v>
      </c>
      <c r="AF33" s="179">
        <v>-5.5E-2</v>
      </c>
      <c r="AG33" s="180">
        <v>-6.8500000000000005E-2</v>
      </c>
      <c r="AH33" s="179">
        <v>-2.0499999999999997E-2</v>
      </c>
      <c r="AI33" s="181">
        <v>-8.3000000000000004E-2</v>
      </c>
      <c r="AJ33" s="181">
        <v>-0.16</v>
      </c>
      <c r="AK33" s="29">
        <v>-2.0499999999999997E-2</v>
      </c>
      <c r="AL33" s="25">
        <v>1.2500000000000001E-2</v>
      </c>
      <c r="AM33" s="25">
        <v>1.1599999999999999</v>
      </c>
      <c r="AN33" s="25">
        <v>-5.5E-2</v>
      </c>
      <c r="AO33" s="25">
        <v>-0.33500000000000002</v>
      </c>
      <c r="AP33" s="25">
        <v>-0.13500000000000001</v>
      </c>
      <c r="AQ33" s="25">
        <v>-0.19</v>
      </c>
      <c r="AR33" s="25">
        <v>0.06</v>
      </c>
      <c r="AS33" s="25">
        <v>-0.28499999999999998</v>
      </c>
      <c r="AT33" s="25">
        <v>-0.33500000000000002</v>
      </c>
      <c r="AU33" s="25">
        <v>0.25</v>
      </c>
      <c r="AV33" s="25">
        <v>-0.33500000000000002</v>
      </c>
      <c r="AW33" s="25">
        <v>-0.1525</v>
      </c>
      <c r="AX33" s="25">
        <v>-0.1225</v>
      </c>
      <c r="AY33" s="25">
        <v>-0.1525</v>
      </c>
      <c r="AZ33" s="25">
        <v>-0.06</v>
      </c>
      <c r="BA33" s="25">
        <v>-0.14249999999999999</v>
      </c>
      <c r="BB33" s="25">
        <v>-2.5500000000000002E-2</v>
      </c>
      <c r="BC33" s="25">
        <v>-0.08</v>
      </c>
      <c r="BD33" s="25">
        <v>-0.09</v>
      </c>
      <c r="BE33" s="25">
        <v>-6.5000000000000002E-2</v>
      </c>
      <c r="BF33" s="25">
        <v>7.0000000000000007E-2</v>
      </c>
      <c r="BG33" s="25">
        <v>0.245</v>
      </c>
      <c r="BH33" s="25">
        <v>0.27250000000000002</v>
      </c>
      <c r="BI33" s="25">
        <v>0.22750000000000001</v>
      </c>
      <c r="BJ33" s="25">
        <v>0.81</v>
      </c>
    </row>
    <row r="34" spans="1:62" x14ac:dyDescent="0.25">
      <c r="A34" s="26" t="e">
        <f>#REF!-B34</f>
        <v>#REF!</v>
      </c>
      <c r="B34" s="26">
        <v>3.48</v>
      </c>
      <c r="C34" s="145">
        <v>37622</v>
      </c>
      <c r="D34" s="26">
        <v>3.6019999999999999</v>
      </c>
      <c r="E34" s="26">
        <v>0.28499999999999998</v>
      </c>
      <c r="F34" s="26">
        <v>6.9095762126817992E-2</v>
      </c>
      <c r="G34" s="26">
        <v>-0.13</v>
      </c>
      <c r="H34" s="26">
        <v>-0.14749999999999999</v>
      </c>
      <c r="I34" s="26">
        <v>-2.5000000000000001E-3</v>
      </c>
      <c r="J34" s="26">
        <v>-0.19500000000000001</v>
      </c>
      <c r="K34" s="26">
        <v>1.7500000000000002E-2</v>
      </c>
      <c r="L34" s="26">
        <v>-0.06</v>
      </c>
      <c r="M34" s="26">
        <v>-0.1</v>
      </c>
      <c r="N34" s="26">
        <v>-0.1</v>
      </c>
      <c r="O34" s="26">
        <v>-0.13</v>
      </c>
      <c r="P34" s="25">
        <v>-0.13</v>
      </c>
      <c r="Q34" s="25">
        <v>-0.11625000000000001</v>
      </c>
      <c r="R34" s="25">
        <v>-7.0000000000000007E-2</v>
      </c>
      <c r="S34" s="25">
        <v>0.24</v>
      </c>
      <c r="T34" s="25">
        <v>0.24</v>
      </c>
      <c r="U34" s="25">
        <v>0.14499999999999999</v>
      </c>
      <c r="V34" s="25">
        <v>0.40500000000000003</v>
      </c>
      <c r="W34" s="179">
        <v>0.30499999999999999</v>
      </c>
      <c r="X34" s="179">
        <v>0.4375</v>
      </c>
      <c r="Y34" s="179">
        <v>-2.5500000000000002E-2</v>
      </c>
      <c r="Z34" s="179">
        <v>-4.2500000000000003E-2</v>
      </c>
      <c r="AA34" s="179">
        <v>-1.2500000000000001E-2</v>
      </c>
      <c r="AB34" s="179">
        <v>-0.04</v>
      </c>
      <c r="AC34" s="179">
        <v>5.0000000000000001E-3</v>
      </c>
      <c r="AD34" s="179">
        <v>-1.5500000000000002E-2</v>
      </c>
      <c r="AE34" s="179">
        <v>-6.5000000000000002E-2</v>
      </c>
      <c r="AF34" s="179">
        <v>-5.5E-2</v>
      </c>
      <c r="AG34" s="180">
        <v>-6.8500000000000005E-2</v>
      </c>
      <c r="AH34" s="179">
        <v>-2.0499999999999997E-2</v>
      </c>
      <c r="AI34" s="181">
        <v>-8.3000000000000004E-2</v>
      </c>
      <c r="AJ34" s="181">
        <v>-0.16250000000000001</v>
      </c>
      <c r="AK34" s="29">
        <v>-1.8500000000000003E-2</v>
      </c>
      <c r="AL34" s="25">
        <v>1.2500000000000001E-2</v>
      </c>
      <c r="AM34" s="25">
        <v>1.48</v>
      </c>
      <c r="AN34" s="25">
        <v>-5.7500000000000002E-2</v>
      </c>
      <c r="AO34" s="25">
        <v>-0.33500000000000002</v>
      </c>
      <c r="AP34" s="25">
        <v>-0.13500000000000001</v>
      </c>
      <c r="AQ34" s="25">
        <v>-0.19</v>
      </c>
      <c r="AR34" s="25">
        <v>0.13</v>
      </c>
      <c r="AS34" s="25">
        <v>-0.28499999999999998</v>
      </c>
      <c r="AT34" s="25">
        <v>-0.33500000000000002</v>
      </c>
      <c r="AU34" s="25">
        <v>0.25</v>
      </c>
      <c r="AV34" s="25">
        <v>-0.33500000000000002</v>
      </c>
      <c r="AW34" s="25">
        <v>-0.13750000000000001</v>
      </c>
      <c r="AX34" s="25">
        <v>-0.1225</v>
      </c>
      <c r="AY34" s="25">
        <v>-0.13750000000000001</v>
      </c>
      <c r="AZ34" s="25">
        <v>-0.06</v>
      </c>
      <c r="BA34" s="25">
        <v>-0.14749999999999999</v>
      </c>
      <c r="BB34" s="25">
        <v>-2.5500000000000002E-2</v>
      </c>
      <c r="BC34" s="25">
        <v>-0.08</v>
      </c>
      <c r="BD34" s="25">
        <v>-9.2499999999999999E-2</v>
      </c>
      <c r="BE34" s="25">
        <v>-6.5000000000000002E-2</v>
      </c>
      <c r="BF34" s="25">
        <v>7.0000000000000007E-2</v>
      </c>
      <c r="BG34" s="25">
        <v>0.28000000000000003</v>
      </c>
      <c r="BH34" s="25">
        <v>0.28499999999999998</v>
      </c>
      <c r="BI34" s="25">
        <v>0.28499999999999998</v>
      </c>
      <c r="BJ34" s="25">
        <v>0.97</v>
      </c>
    </row>
    <row r="35" spans="1:62" x14ac:dyDescent="0.25">
      <c r="A35" s="26" t="e">
        <f>#REF!-B35</f>
        <v>#REF!</v>
      </c>
      <c r="B35" s="26">
        <v>3.5890000000000004</v>
      </c>
      <c r="C35" s="145">
        <v>37653</v>
      </c>
      <c r="D35" s="26">
        <v>3.46</v>
      </c>
      <c r="E35" s="26">
        <v>0.28499999999999998</v>
      </c>
      <c r="F35" s="26">
        <v>6.9109537327938009E-2</v>
      </c>
      <c r="G35" s="26">
        <v>-0.13250000000000001</v>
      </c>
      <c r="H35" s="26">
        <v>-0.15</v>
      </c>
      <c r="I35" s="26">
        <v>-2.5000000000000001E-3</v>
      </c>
      <c r="J35" s="26">
        <v>-0.19750000000000001</v>
      </c>
      <c r="K35" s="26">
        <v>1.7500000000000002E-2</v>
      </c>
      <c r="L35" s="26">
        <v>-0.06</v>
      </c>
      <c r="M35" s="26">
        <v>-0.10249999999999999</v>
      </c>
      <c r="N35" s="26">
        <v>-0.10249999999999999</v>
      </c>
      <c r="O35" s="26">
        <v>-0.13250000000000001</v>
      </c>
      <c r="P35" s="25">
        <v>-0.13250000000000001</v>
      </c>
      <c r="Q35" s="25">
        <v>-0.1075</v>
      </c>
      <c r="R35" s="25">
        <v>-7.0000000000000007E-2</v>
      </c>
      <c r="S35" s="25">
        <v>0.2175</v>
      </c>
      <c r="T35" s="25">
        <v>0.2175</v>
      </c>
      <c r="U35" s="25">
        <v>0.1225</v>
      </c>
      <c r="V35" s="25">
        <v>0.40500000000000003</v>
      </c>
      <c r="W35" s="179">
        <v>0.30499999999999999</v>
      </c>
      <c r="X35" s="179">
        <v>0.435</v>
      </c>
      <c r="Y35" s="179">
        <v>-2.5500000000000002E-2</v>
      </c>
      <c r="Z35" s="179">
        <v>-4.2500000000000003E-2</v>
      </c>
      <c r="AA35" s="179">
        <v>-1.2500000000000001E-2</v>
      </c>
      <c r="AB35" s="179">
        <v>-0.04</v>
      </c>
      <c r="AC35" s="179">
        <v>5.0000000000000001E-3</v>
      </c>
      <c r="AD35" s="179">
        <v>-1.5500000000000002E-2</v>
      </c>
      <c r="AE35" s="179">
        <v>-6.5000000000000002E-2</v>
      </c>
      <c r="AF35" s="179">
        <v>-5.5E-2</v>
      </c>
      <c r="AG35" s="180">
        <v>-6.8500000000000005E-2</v>
      </c>
      <c r="AH35" s="179">
        <v>-2.0499999999999997E-2</v>
      </c>
      <c r="AI35" s="181">
        <v>-8.3000000000000004E-2</v>
      </c>
      <c r="AJ35" s="181">
        <v>-0.14499999999999999</v>
      </c>
      <c r="AK35" s="29">
        <v>-1.8500000000000003E-2</v>
      </c>
      <c r="AL35" s="25">
        <v>1.2500000000000001E-2</v>
      </c>
      <c r="AM35" s="25">
        <v>1.41</v>
      </c>
      <c r="AN35" s="25">
        <v>-0.04</v>
      </c>
      <c r="AO35" s="25">
        <v>-0.33500000000000002</v>
      </c>
      <c r="AP35" s="25">
        <v>-0.13500000000000001</v>
      </c>
      <c r="AQ35" s="25">
        <v>-0.19</v>
      </c>
      <c r="AR35" s="25">
        <v>0</v>
      </c>
      <c r="AS35" s="25">
        <v>-0.28499999999999998</v>
      </c>
      <c r="AT35" s="25">
        <v>-0.33500000000000002</v>
      </c>
      <c r="AU35" s="25">
        <v>0.25</v>
      </c>
      <c r="AV35" s="25">
        <v>-0.33500000000000002</v>
      </c>
      <c r="AW35" s="25">
        <v>-0.14000000000000001</v>
      </c>
      <c r="AX35" s="25">
        <v>-0.1225</v>
      </c>
      <c r="AY35" s="25">
        <v>-0.14000000000000001</v>
      </c>
      <c r="AZ35" s="25">
        <v>-0.06</v>
      </c>
      <c r="BA35" s="25">
        <v>-0.13</v>
      </c>
      <c r="BB35" s="25">
        <v>-2.5500000000000002E-2</v>
      </c>
      <c r="BC35" s="25">
        <v>-0.08</v>
      </c>
      <c r="BD35" s="25">
        <v>-7.4999999999999997E-2</v>
      </c>
      <c r="BE35" s="25">
        <v>-6.5000000000000002E-2</v>
      </c>
      <c r="BF35" s="25">
        <v>7.0000000000000007E-2</v>
      </c>
      <c r="BG35" s="25">
        <v>0.33</v>
      </c>
      <c r="BH35" s="25">
        <v>0.26250000000000001</v>
      </c>
      <c r="BI35" s="25">
        <v>0.26250000000000001</v>
      </c>
      <c r="BJ35" s="25">
        <v>0.97</v>
      </c>
    </row>
    <row r="36" spans="1:62" x14ac:dyDescent="0.25">
      <c r="A36" s="26" t="e">
        <f>#REF!-B36</f>
        <v>#REF!</v>
      </c>
      <c r="B36" s="26">
        <v>3.6080000000000001</v>
      </c>
      <c r="C36" s="145">
        <v>37681</v>
      </c>
      <c r="D36" s="26">
        <v>3.29</v>
      </c>
      <c r="E36" s="26">
        <v>0.27500000000000002</v>
      </c>
      <c r="F36" s="26">
        <v>6.9121979445132001E-2</v>
      </c>
      <c r="G36" s="26">
        <v>-0.13500000000000001</v>
      </c>
      <c r="H36" s="26">
        <v>-0.1525</v>
      </c>
      <c r="I36" s="26">
        <v>-2.5000000000000001E-3</v>
      </c>
      <c r="J36" s="26">
        <v>-0.2</v>
      </c>
      <c r="K36" s="26">
        <v>1.7500000000000002E-2</v>
      </c>
      <c r="L36" s="26">
        <v>-0.06</v>
      </c>
      <c r="M36" s="26">
        <v>-0.105</v>
      </c>
      <c r="N36" s="26">
        <v>-0.105</v>
      </c>
      <c r="O36" s="26">
        <v>-0.13500000000000001</v>
      </c>
      <c r="P36" s="25">
        <v>-0.13500000000000001</v>
      </c>
      <c r="Q36" s="25">
        <v>-0.10125000000000001</v>
      </c>
      <c r="R36" s="25">
        <v>-7.0000000000000007E-2</v>
      </c>
      <c r="S36" s="25">
        <v>0.215</v>
      </c>
      <c r="T36" s="25">
        <v>0.215</v>
      </c>
      <c r="U36" s="25">
        <v>0.12</v>
      </c>
      <c r="V36" s="25">
        <v>0.40500000000000003</v>
      </c>
      <c r="W36" s="179">
        <v>0.26500000000000001</v>
      </c>
      <c r="X36" s="179">
        <v>0.30249999999999999</v>
      </c>
      <c r="Y36" s="179">
        <v>-2.5500000000000002E-2</v>
      </c>
      <c r="Z36" s="179">
        <v>-4.2500000000000003E-2</v>
      </c>
      <c r="AA36" s="179">
        <v>-1.2500000000000001E-2</v>
      </c>
      <c r="AB36" s="179">
        <v>-0.04</v>
      </c>
      <c r="AC36" s="179">
        <v>5.0000000000000001E-3</v>
      </c>
      <c r="AD36" s="179">
        <v>-1.5500000000000002E-2</v>
      </c>
      <c r="AE36" s="179">
        <v>-6.5000000000000002E-2</v>
      </c>
      <c r="AF36" s="179">
        <v>-5.5E-2</v>
      </c>
      <c r="AG36" s="180">
        <v>-6.8500000000000005E-2</v>
      </c>
      <c r="AH36" s="179">
        <v>-2.0499999999999997E-2</v>
      </c>
      <c r="AI36" s="181">
        <v>-8.3000000000000004E-2</v>
      </c>
      <c r="AJ36" s="181">
        <v>-0.13250000000000001</v>
      </c>
      <c r="AK36" s="29">
        <v>-1.8500000000000003E-2</v>
      </c>
      <c r="AL36" s="25">
        <v>1.2500000000000001E-2</v>
      </c>
      <c r="AM36" s="25">
        <v>0.82</v>
      </c>
      <c r="AN36" s="25">
        <v>-2.75E-2</v>
      </c>
      <c r="AO36" s="25">
        <v>-0.33500000000000002</v>
      </c>
      <c r="AP36" s="25">
        <v>-0.14000000000000001</v>
      </c>
      <c r="AQ36" s="25">
        <v>-0.19</v>
      </c>
      <c r="AR36" s="25">
        <v>-0.2</v>
      </c>
      <c r="AS36" s="25">
        <v>-0.28499999999999998</v>
      </c>
      <c r="AT36" s="25">
        <v>-0.33500000000000002</v>
      </c>
      <c r="AU36" s="25">
        <v>0.25</v>
      </c>
      <c r="AV36" s="25">
        <v>-0.33500000000000002</v>
      </c>
      <c r="AW36" s="25">
        <v>-0.12</v>
      </c>
      <c r="AX36" s="25">
        <v>-0.1225</v>
      </c>
      <c r="AY36" s="25">
        <v>-0.12</v>
      </c>
      <c r="AZ36" s="25">
        <v>-0.06</v>
      </c>
      <c r="BA36" s="25">
        <v>-0.1125</v>
      </c>
      <c r="BB36" s="25">
        <v>-2.5500000000000002E-2</v>
      </c>
      <c r="BC36" s="25">
        <v>-0.08</v>
      </c>
      <c r="BD36" s="25">
        <v>-6.25E-2</v>
      </c>
      <c r="BE36" s="25">
        <v>-6.5000000000000002E-2</v>
      </c>
      <c r="BF36" s="25">
        <v>7.0000000000000007E-2</v>
      </c>
      <c r="BG36" s="25">
        <v>0.32</v>
      </c>
      <c r="BH36" s="25">
        <v>0.26</v>
      </c>
      <c r="BI36" s="25">
        <v>0.26</v>
      </c>
      <c r="BJ36" s="25">
        <v>0.63249999999999995</v>
      </c>
    </row>
    <row r="37" spans="1:62" x14ac:dyDescent="0.25">
      <c r="A37" s="26" t="e">
        <f>#REF!-B37</f>
        <v>#REF!</v>
      </c>
      <c r="B37" s="26">
        <v>3.4780000000000002</v>
      </c>
      <c r="C37" s="145">
        <v>37712</v>
      </c>
      <c r="D37" s="26">
        <v>3.1120000000000001</v>
      </c>
      <c r="E37" s="26">
        <v>0.26250000000000001</v>
      </c>
      <c r="F37" s="26">
        <v>6.9125864762811004E-2</v>
      </c>
      <c r="G37" s="26">
        <v>-0.185</v>
      </c>
      <c r="H37" s="26">
        <v>-0.20250000000000001</v>
      </c>
      <c r="I37" s="26">
        <v>-8.5000000000000006E-2</v>
      </c>
      <c r="J37" s="26">
        <v>-0.25</v>
      </c>
      <c r="K37" s="26">
        <v>-6.5000000000000002E-2</v>
      </c>
      <c r="L37" s="26">
        <v>-5.7500000000000002E-2</v>
      </c>
      <c r="M37" s="26">
        <v>-0.155</v>
      </c>
      <c r="N37" s="26">
        <v>-0.155</v>
      </c>
      <c r="O37" s="26">
        <v>-0.185</v>
      </c>
      <c r="P37" s="25">
        <v>-0.185</v>
      </c>
      <c r="Q37" s="25">
        <v>-7.8750000000000001E-2</v>
      </c>
      <c r="R37" s="25">
        <v>-6.7500000000000004E-2</v>
      </c>
      <c r="S37" s="25">
        <v>0.16750000000000001</v>
      </c>
      <c r="T37" s="25">
        <v>0.16750000000000001</v>
      </c>
      <c r="U37" s="25">
        <v>7.2499999999999995E-2</v>
      </c>
      <c r="V37" s="25">
        <v>0.435</v>
      </c>
      <c r="W37" s="179">
        <v>0.19500000000000001</v>
      </c>
      <c r="X37" s="179">
        <v>0.25</v>
      </c>
      <c r="Y37" s="179">
        <v>-2.5000000000000001E-2</v>
      </c>
      <c r="Z37" s="179">
        <v>-2.75E-2</v>
      </c>
      <c r="AA37" s="179">
        <v>5.0000000000000001E-3</v>
      </c>
      <c r="AB37" s="179">
        <v>-0.02</v>
      </c>
      <c r="AC37" s="179">
        <v>5.0000000000000001E-3</v>
      </c>
      <c r="AD37" s="179">
        <v>-5.5000000000000005E-3</v>
      </c>
      <c r="AE37" s="179">
        <v>-6.25E-2</v>
      </c>
      <c r="AF37" s="179">
        <v>-5.7500000000000002E-2</v>
      </c>
      <c r="AG37" s="180">
        <v>-6.6000000000000003E-2</v>
      </c>
      <c r="AH37" s="179">
        <v>-1.8000000000000002E-2</v>
      </c>
      <c r="AI37" s="181">
        <v>-7.6000000000000012E-2</v>
      </c>
      <c r="AJ37" s="181">
        <v>-0.09</v>
      </c>
      <c r="AK37" s="29">
        <v>-2.6000000000000002E-2</v>
      </c>
      <c r="AL37" s="25">
        <v>6.0000000000000001E-3</v>
      </c>
      <c r="AM37" s="25">
        <v>0.45</v>
      </c>
      <c r="AN37" s="25">
        <v>1.4999999999999999E-2</v>
      </c>
      <c r="AO37" s="25">
        <v>-0.4</v>
      </c>
      <c r="AP37" s="25">
        <v>-0.125</v>
      </c>
      <c r="AQ37" s="25">
        <v>-0.19500000000000001</v>
      </c>
      <c r="AR37" s="25">
        <v>-0.34</v>
      </c>
      <c r="AS37" s="25">
        <v>-0.35</v>
      </c>
      <c r="AT37" s="25">
        <v>-0.4</v>
      </c>
      <c r="AU37" s="25">
        <v>0.28000000000000003</v>
      </c>
      <c r="AV37" s="25">
        <v>-0.4</v>
      </c>
      <c r="AW37" s="25">
        <v>-0.1125</v>
      </c>
      <c r="AX37" s="25">
        <v>-0.1125</v>
      </c>
      <c r="AY37" s="25">
        <v>-0.1125</v>
      </c>
      <c r="AZ37" s="25">
        <v>-5.7500000000000002E-2</v>
      </c>
      <c r="BA37" s="25">
        <v>-0.105</v>
      </c>
      <c r="BB37" s="25">
        <v>-2.3000000000000003E-2</v>
      </c>
      <c r="BC37" s="25">
        <v>-6.25E-2</v>
      </c>
      <c r="BD37" s="25">
        <v>-0.02</v>
      </c>
      <c r="BE37" s="25">
        <v>-6.25E-2</v>
      </c>
      <c r="BF37" s="25">
        <v>0.12</v>
      </c>
      <c r="BG37" s="25">
        <v>0.14749999999999999</v>
      </c>
      <c r="BH37" s="25">
        <v>0.19750000000000001</v>
      </c>
      <c r="BI37" s="25">
        <v>0.19750000000000001</v>
      </c>
      <c r="BJ37" s="25">
        <v>0.35499999999999998</v>
      </c>
    </row>
    <row r="38" spans="1:62" x14ac:dyDescent="0.25">
      <c r="A38" s="26" t="e">
        <f>#REF!-B38</f>
        <v>#REF!</v>
      </c>
      <c r="B38" s="26">
        <v>3.3230000000000004</v>
      </c>
      <c r="C38" s="145">
        <v>37742</v>
      </c>
      <c r="D38" s="26">
        <v>3.097</v>
      </c>
      <c r="E38" s="26">
        <v>0.25750000000000001</v>
      </c>
      <c r="F38" s="26">
        <v>6.9116714336692017E-2</v>
      </c>
      <c r="G38" s="26">
        <v>-0.185</v>
      </c>
      <c r="H38" s="26">
        <v>-0.20250000000000001</v>
      </c>
      <c r="I38" s="26">
        <v>-0.1</v>
      </c>
      <c r="J38" s="26">
        <v>-0.25</v>
      </c>
      <c r="K38" s="26">
        <v>-0.08</v>
      </c>
      <c r="L38" s="26">
        <v>-5.7500000000000002E-2</v>
      </c>
      <c r="M38" s="26">
        <v>-0.155</v>
      </c>
      <c r="N38" s="26">
        <v>-0.155</v>
      </c>
      <c r="O38" s="26">
        <v>-0.185</v>
      </c>
      <c r="P38" s="25">
        <v>-0.185</v>
      </c>
      <c r="Q38" s="25">
        <v>-7.8750000000000001E-2</v>
      </c>
      <c r="R38" s="25">
        <v>-6.7500000000000004E-2</v>
      </c>
      <c r="S38" s="25">
        <v>0.1575</v>
      </c>
      <c r="T38" s="25">
        <v>0.1575</v>
      </c>
      <c r="U38" s="25">
        <v>6.25E-2</v>
      </c>
      <c r="V38" s="25">
        <v>0.435</v>
      </c>
      <c r="W38" s="179">
        <v>0.1825</v>
      </c>
      <c r="X38" s="179">
        <v>0.20250000000000001</v>
      </c>
      <c r="Y38" s="179">
        <v>-2.5000000000000001E-2</v>
      </c>
      <c r="Z38" s="179">
        <v>-2.775E-2</v>
      </c>
      <c r="AA38" s="179">
        <v>4.7500000000000007E-3</v>
      </c>
      <c r="AB38" s="179">
        <v>-2.0250000000000001E-2</v>
      </c>
      <c r="AC38" s="179">
        <v>5.0000000000000001E-3</v>
      </c>
      <c r="AD38" s="179">
        <v>-5.5000000000000005E-3</v>
      </c>
      <c r="AE38" s="179">
        <v>-6.25E-2</v>
      </c>
      <c r="AF38" s="179">
        <v>-5.7500000000000002E-2</v>
      </c>
      <c r="AG38" s="180">
        <v>-6.6000000000000003E-2</v>
      </c>
      <c r="AH38" s="179">
        <v>-1.8000000000000002E-2</v>
      </c>
      <c r="AI38" s="181">
        <v>-7.6000000000000012E-2</v>
      </c>
      <c r="AJ38" s="181">
        <v>-0.09</v>
      </c>
      <c r="AK38" s="29">
        <v>-2.6000000000000002E-2</v>
      </c>
      <c r="AL38" s="25">
        <v>6.0000000000000001E-3</v>
      </c>
      <c r="AM38" s="25">
        <v>0.40500000000000003</v>
      </c>
      <c r="AN38" s="25">
        <v>1.4999999999999999E-2</v>
      </c>
      <c r="AO38" s="25">
        <v>-0.4</v>
      </c>
      <c r="AP38" s="25">
        <v>-0.125</v>
      </c>
      <c r="AQ38" s="25">
        <v>-0.19500000000000001</v>
      </c>
      <c r="AR38" s="25">
        <v>-0.34</v>
      </c>
      <c r="AS38" s="25">
        <v>-0.35</v>
      </c>
      <c r="AT38" s="25">
        <v>-0.4</v>
      </c>
      <c r="AU38" s="25">
        <v>0.28000000000000003</v>
      </c>
      <c r="AV38" s="25">
        <v>-0.4</v>
      </c>
      <c r="AW38" s="25">
        <v>-0.11</v>
      </c>
      <c r="AX38" s="25">
        <v>-9.2499999999999999E-2</v>
      </c>
      <c r="AY38" s="25">
        <v>-0.11</v>
      </c>
      <c r="AZ38" s="25">
        <v>-5.7500000000000002E-2</v>
      </c>
      <c r="BA38" s="25">
        <v>-0.105</v>
      </c>
      <c r="BB38" s="25">
        <v>-2.3000000000000003E-2</v>
      </c>
      <c r="BC38" s="25">
        <v>-6.25E-2</v>
      </c>
      <c r="BD38" s="25">
        <v>-0.02</v>
      </c>
      <c r="BE38" s="25">
        <v>-6.25E-2</v>
      </c>
      <c r="BF38" s="25">
        <v>0.12</v>
      </c>
      <c r="BG38" s="25">
        <v>0.14749999999999999</v>
      </c>
      <c r="BH38" s="25">
        <v>0.1875</v>
      </c>
      <c r="BI38" s="25">
        <v>0.1875</v>
      </c>
      <c r="BJ38" s="25">
        <v>0.28749999999999998</v>
      </c>
    </row>
    <row r="39" spans="1:62" x14ac:dyDescent="0.25">
      <c r="A39" s="26" t="e">
        <f>#REF!-B39</f>
        <v>#REF!</v>
      </c>
      <c r="B39" s="26">
        <v>3.1680000000000001</v>
      </c>
      <c r="C39" s="145">
        <v>37773</v>
      </c>
      <c r="D39" s="26">
        <v>3.117</v>
      </c>
      <c r="E39" s="26">
        <v>0.255</v>
      </c>
      <c r="F39" s="26">
        <v>6.9107258896399015E-2</v>
      </c>
      <c r="G39" s="26">
        <v>-0.185</v>
      </c>
      <c r="H39" s="26">
        <v>-0.20250000000000001</v>
      </c>
      <c r="I39" s="26">
        <v>-0.11</v>
      </c>
      <c r="J39" s="26">
        <v>-0.25</v>
      </c>
      <c r="K39" s="26">
        <v>-0.09</v>
      </c>
      <c r="L39" s="26">
        <v>-5.7500000000000002E-2</v>
      </c>
      <c r="M39" s="26">
        <v>-0.155</v>
      </c>
      <c r="N39" s="26">
        <v>-0.155</v>
      </c>
      <c r="O39" s="26">
        <v>-0.185</v>
      </c>
      <c r="P39" s="25">
        <v>-0.185</v>
      </c>
      <c r="Q39" s="25">
        <v>-7.6249999999999998E-2</v>
      </c>
      <c r="R39" s="25">
        <v>-6.7500000000000004E-2</v>
      </c>
      <c r="S39" s="25">
        <v>0.1525</v>
      </c>
      <c r="T39" s="25">
        <v>0.1525</v>
      </c>
      <c r="U39" s="25">
        <v>5.7500000000000002E-2</v>
      </c>
      <c r="V39" s="25">
        <v>0.435</v>
      </c>
      <c r="W39" s="179">
        <v>0.1825</v>
      </c>
      <c r="X39" s="179">
        <v>0.20250000000000001</v>
      </c>
      <c r="Y39" s="179">
        <v>-2.5000000000000001E-2</v>
      </c>
      <c r="Z39" s="179">
        <v>-2.775E-2</v>
      </c>
      <c r="AA39" s="179">
        <v>4.7500000000000007E-3</v>
      </c>
      <c r="AB39" s="179">
        <v>-2.0250000000000001E-2</v>
      </c>
      <c r="AC39" s="179">
        <v>5.0000000000000001E-3</v>
      </c>
      <c r="AD39" s="179">
        <v>-5.5000000000000005E-3</v>
      </c>
      <c r="AE39" s="179">
        <v>-6.25E-2</v>
      </c>
      <c r="AF39" s="179">
        <v>-5.7500000000000002E-2</v>
      </c>
      <c r="AG39" s="180">
        <v>-6.6000000000000003E-2</v>
      </c>
      <c r="AH39" s="179">
        <v>-1.8000000000000002E-2</v>
      </c>
      <c r="AI39" s="181">
        <v>-9.2000000000000012E-2</v>
      </c>
      <c r="AJ39" s="181">
        <v>-8.5000000000000006E-2</v>
      </c>
      <c r="AK39" s="29">
        <v>-2.6000000000000002E-2</v>
      </c>
      <c r="AL39" s="25">
        <v>6.0000000000000001E-3</v>
      </c>
      <c r="AM39" s="25">
        <v>0.39500000000000002</v>
      </c>
      <c r="AN39" s="25">
        <v>0.02</v>
      </c>
      <c r="AO39" s="25">
        <v>-0.4</v>
      </c>
      <c r="AP39" s="25">
        <v>-0.125</v>
      </c>
      <c r="AQ39" s="25">
        <v>-0.19500000000000001</v>
      </c>
      <c r="AR39" s="25">
        <v>-0.34</v>
      </c>
      <c r="AS39" s="25">
        <v>-0.35</v>
      </c>
      <c r="AT39" s="25">
        <v>-0.4</v>
      </c>
      <c r="AU39" s="25">
        <v>0.28000000000000003</v>
      </c>
      <c r="AV39" s="25">
        <v>-0.4</v>
      </c>
      <c r="AW39" s="25">
        <v>-0.10249999999999999</v>
      </c>
      <c r="AX39" s="25">
        <v>-9.2499999999999999E-2</v>
      </c>
      <c r="AY39" s="25">
        <v>-0.10249999999999999</v>
      </c>
      <c r="AZ39" s="25">
        <v>-5.7500000000000002E-2</v>
      </c>
      <c r="BA39" s="25">
        <v>-9.5000000000000001E-2</v>
      </c>
      <c r="BB39" s="25">
        <v>-2.3000000000000003E-2</v>
      </c>
      <c r="BC39" s="25">
        <v>-6.25E-2</v>
      </c>
      <c r="BD39" s="25">
        <v>-1.4999999999999999E-2</v>
      </c>
      <c r="BE39" s="25">
        <v>-6.25E-2</v>
      </c>
      <c r="BF39" s="25">
        <v>0.12</v>
      </c>
      <c r="BG39" s="25">
        <v>0.14749999999999999</v>
      </c>
      <c r="BH39" s="25">
        <v>0.1825</v>
      </c>
      <c r="BI39" s="25">
        <v>0.1825</v>
      </c>
      <c r="BJ39" s="25">
        <v>0.28749999999999998</v>
      </c>
    </row>
    <row r="40" spans="1:62" x14ac:dyDescent="0.25">
      <c r="A40" s="26" t="e">
        <f>#REF!-B40</f>
        <v>#REF!</v>
      </c>
      <c r="B40" s="26">
        <v>3.14</v>
      </c>
      <c r="C40" s="145">
        <v>37803</v>
      </c>
      <c r="D40" s="26">
        <v>3.1390000000000002</v>
      </c>
      <c r="E40" s="26">
        <v>0.255</v>
      </c>
      <c r="F40" s="26">
        <v>6.9098977225039007E-2</v>
      </c>
      <c r="G40" s="26">
        <v>-0.185</v>
      </c>
      <c r="H40" s="26">
        <v>-0.20250000000000001</v>
      </c>
      <c r="I40" s="26">
        <v>-0.11</v>
      </c>
      <c r="J40" s="26">
        <v>-0.27</v>
      </c>
      <c r="K40" s="26">
        <v>-0.09</v>
      </c>
      <c r="L40" s="26">
        <v>-5.7500000000000002E-2</v>
      </c>
      <c r="M40" s="26">
        <v>-0.155</v>
      </c>
      <c r="N40" s="26">
        <v>-0.155</v>
      </c>
      <c r="O40" s="26">
        <v>-0.185</v>
      </c>
      <c r="P40" s="25">
        <v>-0.185</v>
      </c>
      <c r="Q40" s="25">
        <v>-7.4999999999999997E-2</v>
      </c>
      <c r="R40" s="25">
        <v>-6.7500000000000004E-2</v>
      </c>
      <c r="S40" s="25">
        <v>0.14249999999999999</v>
      </c>
      <c r="T40" s="25">
        <v>0.14249999999999999</v>
      </c>
      <c r="U40" s="25">
        <v>4.7500000000000001E-2</v>
      </c>
      <c r="V40" s="25">
        <v>0.435</v>
      </c>
      <c r="W40" s="179">
        <v>0.1825</v>
      </c>
      <c r="X40" s="179">
        <v>0.215</v>
      </c>
      <c r="Y40" s="179">
        <v>-2.5000000000000001E-2</v>
      </c>
      <c r="Z40" s="179">
        <v>-2.775E-2</v>
      </c>
      <c r="AA40" s="179">
        <v>4.7500000000000007E-3</v>
      </c>
      <c r="AB40" s="179">
        <v>-2.0250000000000001E-2</v>
      </c>
      <c r="AC40" s="179">
        <v>5.0000000000000001E-3</v>
      </c>
      <c r="AD40" s="179">
        <v>-5.5000000000000005E-3</v>
      </c>
      <c r="AE40" s="179">
        <v>-6.25E-2</v>
      </c>
      <c r="AF40" s="179">
        <v>-5.7500000000000002E-2</v>
      </c>
      <c r="AG40" s="180">
        <v>-6.6000000000000003E-2</v>
      </c>
      <c r="AH40" s="179">
        <v>-1.8000000000000002E-2</v>
      </c>
      <c r="AI40" s="181">
        <v>-8.5000000000000006E-2</v>
      </c>
      <c r="AJ40" s="181">
        <v>-8.2500000000000004E-2</v>
      </c>
      <c r="AK40" s="29">
        <v>-2.6000000000000002E-2</v>
      </c>
      <c r="AL40" s="25">
        <v>6.0000000000000001E-3</v>
      </c>
      <c r="AM40" s="25">
        <v>0.43</v>
      </c>
      <c r="AN40" s="25">
        <v>2.2499999999999999E-2</v>
      </c>
      <c r="AO40" s="25">
        <v>-0.4</v>
      </c>
      <c r="AP40" s="25">
        <v>-0.125</v>
      </c>
      <c r="AQ40" s="25">
        <v>-0.19500000000000001</v>
      </c>
      <c r="AR40" s="25">
        <v>-0.34</v>
      </c>
      <c r="AS40" s="25">
        <v>-0.35</v>
      </c>
      <c r="AT40" s="25">
        <v>-0.4</v>
      </c>
      <c r="AU40" s="25">
        <v>0.28000000000000003</v>
      </c>
      <c r="AV40" s="25">
        <v>-0.4</v>
      </c>
      <c r="AW40" s="25">
        <v>-0.11</v>
      </c>
      <c r="AX40" s="25">
        <v>-9.2499999999999999E-2</v>
      </c>
      <c r="AY40" s="25">
        <v>-0.11</v>
      </c>
      <c r="AZ40" s="25">
        <v>-5.7500000000000002E-2</v>
      </c>
      <c r="BA40" s="25">
        <v>-0.09</v>
      </c>
      <c r="BB40" s="25">
        <v>-2.3000000000000003E-2</v>
      </c>
      <c r="BC40" s="25">
        <v>-6.25E-2</v>
      </c>
      <c r="BD40" s="25">
        <v>-1.2500000000000001E-2</v>
      </c>
      <c r="BE40" s="25">
        <v>-6.25E-2</v>
      </c>
      <c r="BF40" s="25">
        <v>0.12</v>
      </c>
      <c r="BG40" s="25">
        <v>0.14749999999999999</v>
      </c>
      <c r="BH40" s="25">
        <v>0.17249999999999999</v>
      </c>
      <c r="BI40" s="25">
        <v>0.17249999999999999</v>
      </c>
      <c r="BJ40" s="25">
        <v>0.3</v>
      </c>
    </row>
    <row r="41" spans="1:62" x14ac:dyDescent="0.25">
      <c r="A41" s="26" t="e">
        <f>#REF!-B41</f>
        <v>#REF!</v>
      </c>
      <c r="B41" s="26">
        <v>3.12</v>
      </c>
      <c r="C41" s="145">
        <v>37834</v>
      </c>
      <c r="D41" s="26">
        <v>3.16</v>
      </c>
      <c r="E41" s="26">
        <v>0.255</v>
      </c>
      <c r="F41" s="26">
        <v>6.9091668761529015E-2</v>
      </c>
      <c r="G41" s="26">
        <v>-0.185</v>
      </c>
      <c r="H41" s="26">
        <v>-0.20250000000000001</v>
      </c>
      <c r="I41" s="26">
        <v>-0.11</v>
      </c>
      <c r="J41" s="26">
        <v>-0.27</v>
      </c>
      <c r="K41" s="26">
        <v>-0.09</v>
      </c>
      <c r="L41" s="26">
        <v>-5.7500000000000002E-2</v>
      </c>
      <c r="M41" s="26">
        <v>-0.155</v>
      </c>
      <c r="N41" s="26">
        <v>-0.155</v>
      </c>
      <c r="O41" s="26">
        <v>-0.185</v>
      </c>
      <c r="P41" s="25">
        <v>-0.185</v>
      </c>
      <c r="Q41" s="25">
        <v>-7.3749999999999996E-2</v>
      </c>
      <c r="R41" s="25">
        <v>-6.7500000000000004E-2</v>
      </c>
      <c r="S41" s="25">
        <v>0.14000000000000001</v>
      </c>
      <c r="T41" s="25">
        <v>0.14000000000000001</v>
      </c>
      <c r="U41" s="25">
        <v>4.4999999999999998E-2</v>
      </c>
      <c r="V41" s="25">
        <v>0.435</v>
      </c>
      <c r="W41" s="179">
        <v>0.1825</v>
      </c>
      <c r="X41" s="179">
        <v>0.215</v>
      </c>
      <c r="Y41" s="179">
        <v>-2.5000000000000001E-2</v>
      </c>
      <c r="Z41" s="179">
        <v>-2.775E-2</v>
      </c>
      <c r="AA41" s="179">
        <v>4.7500000000000007E-3</v>
      </c>
      <c r="AB41" s="179">
        <v>-2.0250000000000001E-2</v>
      </c>
      <c r="AC41" s="179">
        <v>5.0000000000000001E-3</v>
      </c>
      <c r="AD41" s="179">
        <v>-5.5000000000000005E-3</v>
      </c>
      <c r="AE41" s="179">
        <v>-6.25E-2</v>
      </c>
      <c r="AF41" s="179">
        <v>-5.7500000000000002E-2</v>
      </c>
      <c r="AG41" s="180">
        <v>-6.6000000000000003E-2</v>
      </c>
      <c r="AH41" s="179">
        <v>-1.8000000000000002E-2</v>
      </c>
      <c r="AI41" s="181">
        <v>-6.6000000000000003E-2</v>
      </c>
      <c r="AJ41" s="181">
        <v>-0.08</v>
      </c>
      <c r="AK41" s="29">
        <v>-2.6000000000000002E-2</v>
      </c>
      <c r="AL41" s="25">
        <v>6.0000000000000001E-3</v>
      </c>
      <c r="AM41" s="25">
        <v>0.495</v>
      </c>
      <c r="AN41" s="25">
        <v>2.5000000000000001E-2</v>
      </c>
      <c r="AO41" s="25">
        <v>-0.4</v>
      </c>
      <c r="AP41" s="25">
        <v>-0.125</v>
      </c>
      <c r="AQ41" s="25">
        <v>-0.19500000000000001</v>
      </c>
      <c r="AR41" s="25">
        <v>-0.34</v>
      </c>
      <c r="AS41" s="25">
        <v>-0.35</v>
      </c>
      <c r="AT41" s="25">
        <v>-0.4</v>
      </c>
      <c r="AU41" s="25">
        <v>0.28000000000000003</v>
      </c>
      <c r="AV41" s="25">
        <v>-0.4</v>
      </c>
      <c r="AW41" s="25">
        <v>-9.7500000000000003E-2</v>
      </c>
      <c r="AX41" s="25">
        <v>-9.2499999999999999E-2</v>
      </c>
      <c r="AY41" s="25">
        <v>-9.7500000000000003E-2</v>
      </c>
      <c r="AZ41" s="25">
        <v>-5.7500000000000002E-2</v>
      </c>
      <c r="BA41" s="25">
        <v>-0.09</v>
      </c>
      <c r="BB41" s="25">
        <v>-2.3000000000000003E-2</v>
      </c>
      <c r="BC41" s="25">
        <v>-6.25E-2</v>
      </c>
      <c r="BD41" s="25">
        <v>-0.01</v>
      </c>
      <c r="BE41" s="25">
        <v>-6.25E-2</v>
      </c>
      <c r="BF41" s="25">
        <v>0.12</v>
      </c>
      <c r="BG41" s="25">
        <v>0.14749999999999999</v>
      </c>
      <c r="BH41" s="25">
        <v>0.17</v>
      </c>
      <c r="BI41" s="25">
        <v>0.17</v>
      </c>
      <c r="BJ41" s="25">
        <v>0.3</v>
      </c>
    </row>
    <row r="42" spans="1:62" x14ac:dyDescent="0.25">
      <c r="A42" s="26" t="e">
        <f>#REF!-B42</f>
        <v>#REF!</v>
      </c>
      <c r="B42" s="26">
        <v>3.1850000000000001</v>
      </c>
      <c r="C42" s="145">
        <v>37865</v>
      </c>
      <c r="D42" s="26">
        <v>3.15</v>
      </c>
      <c r="E42" s="26">
        <v>0.255</v>
      </c>
      <c r="F42" s="26">
        <v>6.9084360298035025E-2</v>
      </c>
      <c r="G42" s="26">
        <v>-0.185</v>
      </c>
      <c r="H42" s="26">
        <v>-0.20250000000000001</v>
      </c>
      <c r="I42" s="26">
        <v>-0.1</v>
      </c>
      <c r="J42" s="26">
        <v>-0.27</v>
      </c>
      <c r="K42" s="26">
        <v>-0.08</v>
      </c>
      <c r="L42" s="26">
        <v>-5.7500000000000002E-2</v>
      </c>
      <c r="M42" s="26">
        <v>-0.155</v>
      </c>
      <c r="N42" s="26">
        <v>-0.155</v>
      </c>
      <c r="O42" s="26">
        <v>-0.185</v>
      </c>
      <c r="P42" s="25">
        <v>-0.185</v>
      </c>
      <c r="Q42" s="25">
        <v>-7.7499999999999999E-2</v>
      </c>
      <c r="R42" s="25">
        <v>-6.7500000000000004E-2</v>
      </c>
      <c r="S42" s="25">
        <v>0.13750000000000001</v>
      </c>
      <c r="T42" s="25">
        <v>0.13750000000000001</v>
      </c>
      <c r="U42" s="25">
        <v>4.2500000000000003E-2</v>
      </c>
      <c r="V42" s="25">
        <v>0.435</v>
      </c>
      <c r="W42" s="179">
        <v>0.1825</v>
      </c>
      <c r="X42" s="179">
        <v>0.19500000000000001</v>
      </c>
      <c r="Y42" s="179">
        <v>-2.5000000000000001E-2</v>
      </c>
      <c r="Z42" s="179">
        <v>-2.775E-2</v>
      </c>
      <c r="AA42" s="179">
        <v>4.7500000000000007E-3</v>
      </c>
      <c r="AB42" s="179">
        <v>-2.0250000000000001E-2</v>
      </c>
      <c r="AC42" s="179">
        <v>5.0000000000000001E-3</v>
      </c>
      <c r="AD42" s="179">
        <v>-5.5000000000000005E-3</v>
      </c>
      <c r="AE42" s="179">
        <v>-6.25E-2</v>
      </c>
      <c r="AF42" s="179">
        <v>-5.5E-2</v>
      </c>
      <c r="AG42" s="180">
        <v>-6.3500000000000001E-2</v>
      </c>
      <c r="AH42" s="179">
        <v>-1.8000000000000002E-2</v>
      </c>
      <c r="AI42" s="181">
        <v>-6.4000000000000001E-2</v>
      </c>
      <c r="AJ42" s="181">
        <v>-8.7499999999999994E-2</v>
      </c>
      <c r="AK42" s="29">
        <v>-2.6000000000000002E-2</v>
      </c>
      <c r="AL42" s="25">
        <v>6.0000000000000001E-3</v>
      </c>
      <c r="AM42" s="25">
        <v>0.39500000000000002</v>
      </c>
      <c r="AN42" s="25">
        <v>1.7500000000000002E-2</v>
      </c>
      <c r="AO42" s="25">
        <v>-0.4</v>
      </c>
      <c r="AP42" s="25">
        <v>-0.125</v>
      </c>
      <c r="AQ42" s="25">
        <v>-0.19500000000000001</v>
      </c>
      <c r="AR42" s="25">
        <v>-0.34</v>
      </c>
      <c r="AS42" s="25">
        <v>-0.35</v>
      </c>
      <c r="AT42" s="25">
        <v>-0.4</v>
      </c>
      <c r="AU42" s="25">
        <v>0.28000000000000003</v>
      </c>
      <c r="AV42" s="25">
        <v>-0.4</v>
      </c>
      <c r="AW42" s="25">
        <v>-0.10249999999999999</v>
      </c>
      <c r="AX42" s="25">
        <v>-9.2499999999999999E-2</v>
      </c>
      <c r="AY42" s="25">
        <v>-0.10249999999999999</v>
      </c>
      <c r="AZ42" s="25">
        <v>-5.7500000000000002E-2</v>
      </c>
      <c r="BA42" s="25">
        <v>-0.105</v>
      </c>
      <c r="BB42" s="25">
        <v>-2.3000000000000003E-2</v>
      </c>
      <c r="BC42" s="25">
        <v>-6.25E-2</v>
      </c>
      <c r="BD42" s="25">
        <v>-1.7500000000000002E-2</v>
      </c>
      <c r="BE42" s="25">
        <v>-6.25E-2</v>
      </c>
      <c r="BF42" s="25">
        <v>0.12</v>
      </c>
      <c r="BG42" s="25">
        <v>0.14749999999999999</v>
      </c>
      <c r="BH42" s="25">
        <v>0.16750000000000001</v>
      </c>
      <c r="BI42" s="25">
        <v>0.16750000000000001</v>
      </c>
      <c r="BJ42" s="25">
        <v>0.28999999999999998</v>
      </c>
    </row>
    <row r="43" spans="1:62" x14ac:dyDescent="0.25">
      <c r="A43" s="26" t="e">
        <f>#REF!-B43</f>
        <v>#REF!</v>
      </c>
      <c r="B43" s="26">
        <v>3.18</v>
      </c>
      <c r="C43" s="145">
        <v>37895</v>
      </c>
      <c r="D43" s="26">
        <v>3.1549999999999998</v>
      </c>
      <c r="E43" s="26">
        <v>0.255</v>
      </c>
      <c r="F43" s="26">
        <v>6.9077020617554011E-2</v>
      </c>
      <c r="G43" s="26">
        <v>-0.185</v>
      </c>
      <c r="H43" s="26">
        <v>-0.20250000000000001</v>
      </c>
      <c r="I43" s="26">
        <v>-8.5000000000000006E-2</v>
      </c>
      <c r="J43" s="26">
        <v>-0.27</v>
      </c>
      <c r="K43" s="26">
        <v>-6.5000000000000002E-2</v>
      </c>
      <c r="L43" s="26">
        <v>-5.7500000000000002E-2</v>
      </c>
      <c r="M43" s="26">
        <v>-0.155</v>
      </c>
      <c r="N43" s="26">
        <v>-0.155</v>
      </c>
      <c r="O43" s="26">
        <v>-0.185</v>
      </c>
      <c r="P43" s="25">
        <v>-0.185</v>
      </c>
      <c r="Q43" s="25">
        <v>-8.2500000000000004E-2</v>
      </c>
      <c r="R43" s="25">
        <v>-6.7500000000000004E-2</v>
      </c>
      <c r="S43" s="25">
        <v>0.1525</v>
      </c>
      <c r="T43" s="25">
        <v>0.1525</v>
      </c>
      <c r="U43" s="25">
        <v>5.7500000000000002E-2</v>
      </c>
      <c r="V43" s="25">
        <v>0.435</v>
      </c>
      <c r="W43" s="179">
        <v>0.1875</v>
      </c>
      <c r="X43" s="179">
        <v>0.215</v>
      </c>
      <c r="Y43" s="179">
        <v>-2.5000000000000001E-2</v>
      </c>
      <c r="Z43" s="179">
        <v>-2.775E-2</v>
      </c>
      <c r="AA43" s="179">
        <v>4.7500000000000007E-3</v>
      </c>
      <c r="AB43" s="179">
        <v>-2.0250000000000001E-2</v>
      </c>
      <c r="AC43" s="179">
        <v>5.0000000000000001E-3</v>
      </c>
      <c r="AD43" s="179">
        <v>-5.5000000000000005E-3</v>
      </c>
      <c r="AE43" s="179">
        <v>-6.25E-2</v>
      </c>
      <c r="AF43" s="179">
        <v>-5.5E-2</v>
      </c>
      <c r="AG43" s="180">
        <v>-6.3500000000000001E-2</v>
      </c>
      <c r="AH43" s="179">
        <v>-1.8000000000000002E-2</v>
      </c>
      <c r="AI43" s="181">
        <v>-6.6000000000000003E-2</v>
      </c>
      <c r="AJ43" s="181">
        <v>-9.7500000000000003E-2</v>
      </c>
      <c r="AK43" s="29">
        <v>-2.6000000000000002E-2</v>
      </c>
      <c r="AL43" s="25">
        <v>6.0000000000000001E-3</v>
      </c>
      <c r="AM43" s="25">
        <v>0.46100000000000002</v>
      </c>
      <c r="AN43" s="25">
        <v>7.4999999999999997E-3</v>
      </c>
      <c r="AO43" s="25">
        <v>-0.4</v>
      </c>
      <c r="AP43" s="25">
        <v>-0.125</v>
      </c>
      <c r="AQ43" s="25">
        <v>-0.19500000000000001</v>
      </c>
      <c r="AR43" s="25">
        <v>-0.34</v>
      </c>
      <c r="AS43" s="25">
        <v>-0.35</v>
      </c>
      <c r="AT43" s="25">
        <v>-0.4</v>
      </c>
      <c r="AU43" s="25">
        <v>0.28000000000000003</v>
      </c>
      <c r="AV43" s="25">
        <v>-0.4</v>
      </c>
      <c r="AW43" s="25">
        <v>-0.1125</v>
      </c>
      <c r="AX43" s="25">
        <v>-9.2499999999999999E-2</v>
      </c>
      <c r="AY43" s="25">
        <v>-0.1125</v>
      </c>
      <c r="AZ43" s="25">
        <v>-5.7500000000000002E-2</v>
      </c>
      <c r="BA43" s="25">
        <v>-0.1075</v>
      </c>
      <c r="BB43" s="25">
        <v>-2.3000000000000003E-2</v>
      </c>
      <c r="BC43" s="25">
        <v>-6.25E-2</v>
      </c>
      <c r="BD43" s="25">
        <v>-2.75E-2</v>
      </c>
      <c r="BE43" s="25">
        <v>-6.25E-2</v>
      </c>
      <c r="BF43" s="25">
        <v>0.12</v>
      </c>
      <c r="BG43" s="25">
        <v>0.14749999999999999</v>
      </c>
      <c r="BH43" s="25">
        <v>0.1825</v>
      </c>
      <c r="BI43" s="25">
        <v>0.1825</v>
      </c>
      <c r="BJ43" s="25">
        <v>0.36249999999999999</v>
      </c>
    </row>
    <row r="44" spans="1:62" x14ac:dyDescent="0.25">
      <c r="A44" s="26" t="e">
        <f>#REF!-B44</f>
        <v>#REF!</v>
      </c>
      <c r="B44" s="26">
        <v>3.17</v>
      </c>
      <c r="C44" s="145">
        <v>37926</v>
      </c>
      <c r="D44" s="26">
        <v>3.2469999999999999</v>
      </c>
      <c r="E44" s="26">
        <v>0.26500000000000001</v>
      </c>
      <c r="F44" s="26">
        <v>6.9069100944941009E-2</v>
      </c>
      <c r="G44" s="26">
        <v>-0.19</v>
      </c>
      <c r="H44" s="26">
        <v>-0.20499999999999999</v>
      </c>
      <c r="I44" s="26">
        <v>-0.04</v>
      </c>
      <c r="J44" s="26">
        <v>-0.27500000000000002</v>
      </c>
      <c r="K44" s="26">
        <v>-0.02</v>
      </c>
      <c r="L44" s="26">
        <v>-0.06</v>
      </c>
      <c r="M44" s="26">
        <v>-0.16</v>
      </c>
      <c r="N44" s="26">
        <v>-0.16</v>
      </c>
      <c r="O44" s="26">
        <v>-0.19</v>
      </c>
      <c r="P44" s="25">
        <v>-0.19</v>
      </c>
      <c r="Q44" s="25">
        <v>-9.6250000000000002E-2</v>
      </c>
      <c r="R44" s="25">
        <v>-7.0000000000000007E-2</v>
      </c>
      <c r="S44" s="25">
        <v>0.20250000000000001</v>
      </c>
      <c r="T44" s="25">
        <v>0.20250000000000001</v>
      </c>
      <c r="U44" s="25">
        <v>0.1075</v>
      </c>
      <c r="V44" s="25">
        <v>0.33500000000000002</v>
      </c>
      <c r="W44" s="179">
        <v>0.27</v>
      </c>
      <c r="X44" s="179">
        <v>0.28749999999999998</v>
      </c>
      <c r="Y44" s="179">
        <v>-2.8000000000000004E-2</v>
      </c>
      <c r="Z44" s="179">
        <v>-4.4999999999999998E-2</v>
      </c>
      <c r="AA44" s="179">
        <v>-1.4499999999999999E-2</v>
      </c>
      <c r="AB44" s="179">
        <v>-3.4500000000000003E-2</v>
      </c>
      <c r="AC44" s="179">
        <v>5.0000000000000001E-3</v>
      </c>
      <c r="AD44" s="179">
        <v>-1.3500000000000002E-2</v>
      </c>
      <c r="AE44" s="179">
        <v>-6.5000000000000002E-2</v>
      </c>
      <c r="AF44" s="179">
        <v>-5.5E-2</v>
      </c>
      <c r="AG44" s="180">
        <v>-6.6500000000000004E-2</v>
      </c>
      <c r="AH44" s="179">
        <v>-1.95E-2</v>
      </c>
      <c r="AI44" s="181">
        <v>-8.1000000000000003E-2</v>
      </c>
      <c r="AJ44" s="181">
        <v>-0.1225</v>
      </c>
      <c r="AK44" s="29">
        <v>-1.8500000000000003E-2</v>
      </c>
      <c r="AL44" s="25">
        <v>1.2500000000000001E-2</v>
      </c>
      <c r="AM44" s="25">
        <v>0.75749999999999995</v>
      </c>
      <c r="AN44" s="25">
        <v>-3.2500000000000001E-2</v>
      </c>
      <c r="AO44" s="25">
        <v>-0.32</v>
      </c>
      <c r="AP44" s="25">
        <v>-0.13750000000000001</v>
      </c>
      <c r="AQ44" s="25">
        <v>-0.17499999999999999</v>
      </c>
      <c r="AR44" s="25">
        <v>0</v>
      </c>
      <c r="AS44" s="25">
        <v>-0.27</v>
      </c>
      <c r="AT44" s="25">
        <v>-0.32</v>
      </c>
      <c r="AU44" s="25">
        <v>0.18</v>
      </c>
      <c r="AV44" s="25">
        <v>-0.32</v>
      </c>
      <c r="AW44" s="25">
        <v>-0.11749999999999999</v>
      </c>
      <c r="AX44" s="25">
        <v>-0.12</v>
      </c>
      <c r="AY44" s="25">
        <v>-0.11749999999999999</v>
      </c>
      <c r="AZ44" s="25">
        <v>-0.06</v>
      </c>
      <c r="BA44" s="25">
        <v>-0.105</v>
      </c>
      <c r="BB44" s="25">
        <v>-2.4500000000000001E-2</v>
      </c>
      <c r="BC44" s="25">
        <v>-0.08</v>
      </c>
      <c r="BD44" s="25">
        <v>-6.7500000000000004E-2</v>
      </c>
      <c r="BE44" s="25">
        <v>-6.5000000000000002E-2</v>
      </c>
      <c r="BF44" s="25">
        <v>0.13</v>
      </c>
      <c r="BG44" s="25">
        <v>0.27500000000000002</v>
      </c>
      <c r="BH44" s="25">
        <v>0.2475</v>
      </c>
      <c r="BI44" s="25">
        <v>0.2475</v>
      </c>
      <c r="BJ44" s="25">
        <v>0.495</v>
      </c>
    </row>
    <row r="45" spans="1:62" x14ac:dyDescent="0.25">
      <c r="A45" s="26" t="e">
        <f>#REF!-B45</f>
        <v>#REF!</v>
      </c>
      <c r="B45" s="26">
        <v>3.1880000000000002</v>
      </c>
      <c r="C45" s="145">
        <v>37956</v>
      </c>
      <c r="D45" s="26">
        <v>3.3290000000000006</v>
      </c>
      <c r="E45" s="26">
        <v>0.27</v>
      </c>
      <c r="F45" s="26">
        <v>6.9061436745656998E-2</v>
      </c>
      <c r="G45" s="26">
        <v>-0.19750000000000001</v>
      </c>
      <c r="H45" s="26">
        <v>-0.21249999999999999</v>
      </c>
      <c r="I45" s="26">
        <v>-3.2500000000000001E-2</v>
      </c>
      <c r="J45" s="26">
        <v>-0.28249999999999997</v>
      </c>
      <c r="K45" s="26">
        <v>-1.2500000000000001E-2</v>
      </c>
      <c r="L45" s="26">
        <v>-0.06</v>
      </c>
      <c r="M45" s="26">
        <v>-0.16750000000000001</v>
      </c>
      <c r="N45" s="26">
        <v>-0.16750000000000001</v>
      </c>
      <c r="O45" s="26">
        <v>-0.19750000000000001</v>
      </c>
      <c r="P45" s="25">
        <v>-0.19750000000000001</v>
      </c>
      <c r="Q45" s="25">
        <v>-0.1075</v>
      </c>
      <c r="R45" s="25">
        <v>-7.0000000000000007E-2</v>
      </c>
      <c r="S45" s="25">
        <v>0.24249999999999999</v>
      </c>
      <c r="T45" s="25">
        <v>0.24249999999999999</v>
      </c>
      <c r="U45" s="25">
        <v>0.14749999999999999</v>
      </c>
      <c r="V45" s="25">
        <v>0.33500000000000002</v>
      </c>
      <c r="W45" s="179">
        <v>0.30499999999999999</v>
      </c>
      <c r="X45" s="179">
        <v>0.33750000000000002</v>
      </c>
      <c r="Y45" s="179">
        <v>-2.8000000000000004E-2</v>
      </c>
      <c r="Z45" s="179">
        <v>-3.7499999999999999E-2</v>
      </c>
      <c r="AA45" s="179">
        <v>-1.4499999999999999E-2</v>
      </c>
      <c r="AB45" s="179">
        <v>-3.4500000000000003E-2</v>
      </c>
      <c r="AC45" s="179">
        <v>5.0000000000000001E-3</v>
      </c>
      <c r="AD45" s="179">
        <v>-1.3500000000000002E-2</v>
      </c>
      <c r="AE45" s="179">
        <v>-6.5000000000000002E-2</v>
      </c>
      <c r="AF45" s="179">
        <v>-5.5E-2</v>
      </c>
      <c r="AG45" s="180">
        <v>-6.6500000000000004E-2</v>
      </c>
      <c r="AH45" s="179">
        <v>-1.95E-2</v>
      </c>
      <c r="AI45" s="181">
        <v>-8.1000000000000003E-2</v>
      </c>
      <c r="AJ45" s="181">
        <v>-0.14499999999999999</v>
      </c>
      <c r="AK45" s="29">
        <v>-1.8500000000000003E-2</v>
      </c>
      <c r="AL45" s="25">
        <v>1.2500000000000001E-2</v>
      </c>
      <c r="AM45" s="25">
        <v>1.17</v>
      </c>
      <c r="AN45" s="25">
        <v>-5.5E-2</v>
      </c>
      <c r="AO45" s="25">
        <v>-0.32</v>
      </c>
      <c r="AP45" s="25">
        <v>-0.13250000000000001</v>
      </c>
      <c r="AQ45" s="25">
        <v>-0.17499999999999999</v>
      </c>
      <c r="AR45" s="25">
        <v>0.06</v>
      </c>
      <c r="AS45" s="25">
        <v>-0.27</v>
      </c>
      <c r="AT45" s="25">
        <v>-0.32</v>
      </c>
      <c r="AU45" s="25">
        <v>0.18</v>
      </c>
      <c r="AV45" s="25">
        <v>-0.32</v>
      </c>
      <c r="AW45" s="25">
        <v>-0.15</v>
      </c>
      <c r="AX45" s="25">
        <v>-0.12</v>
      </c>
      <c r="AY45" s="25">
        <v>-0.15</v>
      </c>
      <c r="AZ45" s="25">
        <v>-0.06</v>
      </c>
      <c r="BA45" s="25">
        <v>-0.14000000000000001</v>
      </c>
      <c r="BB45" s="25">
        <v>-2.4500000000000001E-2</v>
      </c>
      <c r="BC45" s="25">
        <v>-0.08</v>
      </c>
      <c r="BD45" s="25">
        <v>-0.09</v>
      </c>
      <c r="BE45" s="25">
        <v>-6.5000000000000002E-2</v>
      </c>
      <c r="BF45" s="25">
        <v>0.13</v>
      </c>
      <c r="BG45" s="25">
        <v>0.245</v>
      </c>
      <c r="BH45" s="25">
        <v>0.28749999999999998</v>
      </c>
      <c r="BI45" s="25">
        <v>0.28749999999999998</v>
      </c>
      <c r="BJ45" s="25">
        <v>0.84</v>
      </c>
    </row>
    <row r="46" spans="1:62" x14ac:dyDescent="0.25">
      <c r="A46" s="26" t="e">
        <f>#REF!-B46</f>
        <v>#REF!</v>
      </c>
      <c r="B46" s="26">
        <v>3.3</v>
      </c>
      <c r="C46" s="145">
        <v>37987</v>
      </c>
      <c r="D46" s="26">
        <v>3.4740000000000002</v>
      </c>
      <c r="E46" s="26">
        <v>0.28749999999999998</v>
      </c>
      <c r="F46" s="26">
        <v>6.9060876284692999E-2</v>
      </c>
      <c r="G46" s="26">
        <v>-0.2</v>
      </c>
      <c r="H46" s="26">
        <v>-0.215</v>
      </c>
      <c r="I46" s="26">
        <v>-1.7500000000000002E-2</v>
      </c>
      <c r="J46" s="26">
        <v>-0.26500000000000001</v>
      </c>
      <c r="K46" s="26">
        <v>2.5000000000000001E-3</v>
      </c>
      <c r="L46" s="26">
        <v>-0.06</v>
      </c>
      <c r="M46" s="26">
        <v>-0.17</v>
      </c>
      <c r="N46" s="26">
        <v>-0.17</v>
      </c>
      <c r="O46" s="26">
        <v>-0.2</v>
      </c>
      <c r="P46" s="25">
        <v>-0.2</v>
      </c>
      <c r="Q46" s="25">
        <v>-0.10875</v>
      </c>
      <c r="R46" s="25">
        <v>-7.0000000000000007E-2</v>
      </c>
      <c r="S46" s="25">
        <v>0.27750000000000002</v>
      </c>
      <c r="T46" s="25">
        <v>0.27750000000000002</v>
      </c>
      <c r="U46" s="25">
        <v>0.1825</v>
      </c>
      <c r="V46" s="25">
        <v>0.33500000000000002</v>
      </c>
      <c r="W46" s="179">
        <v>0.30499999999999999</v>
      </c>
      <c r="X46" s="179">
        <v>0.4375</v>
      </c>
      <c r="Y46" s="179">
        <v>-2.8000000000000004E-2</v>
      </c>
      <c r="Z46" s="179">
        <v>-3.7499999999999999E-2</v>
      </c>
      <c r="AA46" s="179">
        <v>-1.4499999999999999E-2</v>
      </c>
      <c r="AB46" s="179">
        <v>-3.4500000000000003E-2</v>
      </c>
      <c r="AC46" s="179">
        <v>5.0000000000000001E-3</v>
      </c>
      <c r="AD46" s="179">
        <v>-1.3500000000000002E-2</v>
      </c>
      <c r="AE46" s="179">
        <v>-6.5000000000000002E-2</v>
      </c>
      <c r="AF46" s="179">
        <v>-5.2999999999999999E-2</v>
      </c>
      <c r="AG46" s="180">
        <v>-6.6500000000000004E-2</v>
      </c>
      <c r="AH46" s="179">
        <v>-1.95E-2</v>
      </c>
      <c r="AI46" s="181">
        <v>-7.400000000000001E-2</v>
      </c>
      <c r="AJ46" s="181">
        <v>-0.14749999999999999</v>
      </c>
      <c r="AK46" s="29">
        <v>-1.6500000000000001E-2</v>
      </c>
      <c r="AL46" s="25">
        <v>1.2500000000000001E-2</v>
      </c>
      <c r="AM46" s="25">
        <v>1.4950000000000001</v>
      </c>
      <c r="AN46" s="25">
        <v>-5.7500000000000002E-2</v>
      </c>
      <c r="AO46" s="25">
        <v>-0.32</v>
      </c>
      <c r="AP46" s="25">
        <v>-0.13250000000000001</v>
      </c>
      <c r="AQ46" s="25">
        <v>-0.17499999999999999</v>
      </c>
      <c r="AR46" s="25">
        <v>0.13</v>
      </c>
      <c r="AS46" s="25">
        <v>-0.27</v>
      </c>
      <c r="AT46" s="25">
        <v>-0.32</v>
      </c>
      <c r="AU46" s="25">
        <v>0.18</v>
      </c>
      <c r="AV46" s="25">
        <v>-0.32</v>
      </c>
      <c r="AW46" s="25">
        <v>-0.13500000000000001</v>
      </c>
      <c r="AX46" s="25">
        <v>-0.12</v>
      </c>
      <c r="AY46" s="25">
        <v>-0.13500000000000001</v>
      </c>
      <c r="AZ46" s="25">
        <v>-0.06</v>
      </c>
      <c r="BA46" s="25">
        <v>-0.14499999999999999</v>
      </c>
      <c r="BB46" s="25">
        <v>-2.4500000000000001E-2</v>
      </c>
      <c r="BC46" s="25">
        <v>-0.08</v>
      </c>
      <c r="BD46" s="25">
        <v>-9.2499999999999999E-2</v>
      </c>
      <c r="BE46" s="25">
        <v>-6.5000000000000002E-2</v>
      </c>
      <c r="BF46" s="25">
        <v>0.13</v>
      </c>
      <c r="BG46" s="25">
        <v>0.28000000000000003</v>
      </c>
      <c r="BH46" s="25">
        <v>0.32250000000000001</v>
      </c>
      <c r="BI46" s="25">
        <v>0.32250000000000001</v>
      </c>
      <c r="BJ46" s="25">
        <v>0.98499999999999999</v>
      </c>
    </row>
    <row r="47" spans="1:62" x14ac:dyDescent="0.25">
      <c r="A47" s="26" t="e">
        <f>#REF!-B47</f>
        <v>#REF!</v>
      </c>
      <c r="B47" s="26">
        <v>3.4090000000000003</v>
      </c>
      <c r="C47" s="145">
        <v>38018</v>
      </c>
      <c r="D47" s="26">
        <v>3.3360000000000003</v>
      </c>
      <c r="E47" s="26">
        <v>0.27500000000000002</v>
      </c>
      <c r="F47" s="26">
        <v>6.9068165649462027E-2</v>
      </c>
      <c r="G47" s="26">
        <v>-0.20250000000000001</v>
      </c>
      <c r="H47" s="26">
        <v>-0.2175</v>
      </c>
      <c r="I47" s="26">
        <v>-1.7500000000000002E-2</v>
      </c>
      <c r="J47" s="26">
        <v>-0.26750000000000002</v>
      </c>
      <c r="K47" s="26">
        <v>2.5000000000000001E-3</v>
      </c>
      <c r="L47" s="26">
        <v>-0.06</v>
      </c>
      <c r="M47" s="26">
        <v>-0.17249999999999999</v>
      </c>
      <c r="N47" s="26">
        <v>-0.17249999999999999</v>
      </c>
      <c r="O47" s="26">
        <v>-0.20250000000000001</v>
      </c>
      <c r="P47" s="25">
        <v>-0.20250000000000001</v>
      </c>
      <c r="Q47" s="25">
        <v>-0.1</v>
      </c>
      <c r="R47" s="25">
        <v>-7.0000000000000007E-2</v>
      </c>
      <c r="S47" s="25">
        <v>0.2525</v>
      </c>
      <c r="T47" s="25">
        <v>0.2525</v>
      </c>
      <c r="U47" s="25">
        <v>0.1575</v>
      </c>
      <c r="V47" s="25">
        <v>0.33500000000000002</v>
      </c>
      <c r="W47" s="179">
        <v>0.30499999999999999</v>
      </c>
      <c r="X47" s="179">
        <v>0.435</v>
      </c>
      <c r="Y47" s="179">
        <v>-2.8000000000000004E-2</v>
      </c>
      <c r="Z47" s="179">
        <v>-3.7499999999999999E-2</v>
      </c>
      <c r="AA47" s="179">
        <v>-1.4499999999999999E-2</v>
      </c>
      <c r="AB47" s="179">
        <v>-3.4500000000000003E-2</v>
      </c>
      <c r="AC47" s="179">
        <v>5.0000000000000001E-3</v>
      </c>
      <c r="AD47" s="179">
        <v>-1.3500000000000002E-2</v>
      </c>
      <c r="AE47" s="179">
        <v>-6.5000000000000002E-2</v>
      </c>
      <c r="AF47" s="179">
        <v>-5.2999999999999999E-2</v>
      </c>
      <c r="AG47" s="180">
        <v>-6.6500000000000004E-2</v>
      </c>
      <c r="AH47" s="179">
        <v>-1.95E-2</v>
      </c>
      <c r="AI47" s="181">
        <v>-7.400000000000001E-2</v>
      </c>
      <c r="AJ47" s="181">
        <v>-0.13</v>
      </c>
      <c r="AK47" s="29">
        <v>-1.6500000000000001E-2</v>
      </c>
      <c r="AL47" s="25">
        <v>1.2500000000000001E-2</v>
      </c>
      <c r="AM47" s="25">
        <v>1.425</v>
      </c>
      <c r="AN47" s="25">
        <v>-0.04</v>
      </c>
      <c r="AO47" s="25">
        <v>-0.32</v>
      </c>
      <c r="AP47" s="25">
        <v>-0.13250000000000001</v>
      </c>
      <c r="AQ47" s="25">
        <v>-0.17499999999999999</v>
      </c>
      <c r="AR47" s="25">
        <v>0</v>
      </c>
      <c r="AS47" s="25">
        <v>-0.27</v>
      </c>
      <c r="AT47" s="25">
        <v>-0.32</v>
      </c>
      <c r="AU47" s="25">
        <v>0.18</v>
      </c>
      <c r="AV47" s="25">
        <v>-0.32</v>
      </c>
      <c r="AW47" s="25">
        <v>-0.13750000000000001</v>
      </c>
      <c r="AX47" s="25">
        <v>-0.12</v>
      </c>
      <c r="AY47" s="25">
        <v>-0.13750000000000001</v>
      </c>
      <c r="AZ47" s="25">
        <v>-0.06</v>
      </c>
      <c r="BA47" s="25">
        <v>-0.1275</v>
      </c>
      <c r="BB47" s="25">
        <v>-2.4500000000000001E-2</v>
      </c>
      <c r="BC47" s="25">
        <v>-0.08</v>
      </c>
      <c r="BD47" s="25">
        <v>-7.4999999999999997E-2</v>
      </c>
      <c r="BE47" s="25">
        <v>-6.5000000000000002E-2</v>
      </c>
      <c r="BF47" s="25">
        <v>0.13</v>
      </c>
      <c r="BG47" s="25">
        <v>0.33</v>
      </c>
      <c r="BH47" s="25">
        <v>0.29749999999999999</v>
      </c>
      <c r="BI47" s="25">
        <v>0.29749999999999999</v>
      </c>
      <c r="BJ47" s="25">
        <v>0.98499999999999999</v>
      </c>
    </row>
    <row r="48" spans="1:62" x14ac:dyDescent="0.25">
      <c r="A48" s="26" t="e">
        <f>#REF!-B48</f>
        <v>#REF!</v>
      </c>
      <c r="B48" s="26">
        <v>3.5449999999999999</v>
      </c>
      <c r="C48" s="145">
        <v>38047</v>
      </c>
      <c r="D48" s="26">
        <v>3.1690000000000005</v>
      </c>
      <c r="E48" s="26">
        <v>0.27250000000000002</v>
      </c>
      <c r="F48" s="26">
        <v>6.9074984732649017E-2</v>
      </c>
      <c r="G48" s="26">
        <v>-0.20499999999999999</v>
      </c>
      <c r="H48" s="26">
        <v>-0.22</v>
      </c>
      <c r="I48" s="26">
        <v>-1.7500000000000002E-2</v>
      </c>
      <c r="J48" s="26">
        <v>-0.27</v>
      </c>
      <c r="K48" s="26">
        <v>2.5000000000000001E-3</v>
      </c>
      <c r="L48" s="26">
        <v>-0.06</v>
      </c>
      <c r="M48" s="26">
        <v>-0.17499999999999999</v>
      </c>
      <c r="N48" s="26">
        <v>-0.17499999999999999</v>
      </c>
      <c r="O48" s="26">
        <v>-0.20499999999999999</v>
      </c>
      <c r="P48" s="25">
        <v>-0.20499999999999999</v>
      </c>
      <c r="Q48" s="25">
        <v>-9.375E-2</v>
      </c>
      <c r="R48" s="25">
        <v>-7.0000000000000007E-2</v>
      </c>
      <c r="S48" s="25">
        <v>0.25</v>
      </c>
      <c r="T48" s="25">
        <v>0.25</v>
      </c>
      <c r="U48" s="25">
        <v>0.155</v>
      </c>
      <c r="V48" s="25">
        <v>0.33500000000000002</v>
      </c>
      <c r="W48" s="179">
        <v>0.26500000000000001</v>
      </c>
      <c r="X48" s="179">
        <v>0.30249999999999999</v>
      </c>
      <c r="Y48" s="179">
        <v>-2.8000000000000004E-2</v>
      </c>
      <c r="Z48" s="179">
        <v>-3.7499999999999999E-2</v>
      </c>
      <c r="AA48" s="179">
        <v>-1.4499999999999999E-2</v>
      </c>
      <c r="AB48" s="179">
        <v>-3.4500000000000003E-2</v>
      </c>
      <c r="AC48" s="179">
        <v>5.0000000000000001E-3</v>
      </c>
      <c r="AD48" s="179">
        <v>-1.3500000000000002E-2</v>
      </c>
      <c r="AE48" s="179">
        <v>-6.5000000000000002E-2</v>
      </c>
      <c r="AF48" s="179">
        <v>-5.2999999999999999E-2</v>
      </c>
      <c r="AG48" s="180">
        <v>-6.6500000000000004E-2</v>
      </c>
      <c r="AH48" s="179">
        <v>-1.95E-2</v>
      </c>
      <c r="AI48" s="181">
        <v>-8.1000000000000003E-2</v>
      </c>
      <c r="AJ48" s="181">
        <v>-0.11749999999999999</v>
      </c>
      <c r="AK48" s="29">
        <v>-1.6500000000000001E-2</v>
      </c>
      <c r="AL48" s="25">
        <v>1.2500000000000001E-2</v>
      </c>
      <c r="AM48" s="25">
        <v>0.82499999999999996</v>
      </c>
      <c r="AN48" s="25">
        <v>-2.75E-2</v>
      </c>
      <c r="AO48" s="25">
        <v>-0.32</v>
      </c>
      <c r="AP48" s="25">
        <v>-0.13750000000000001</v>
      </c>
      <c r="AQ48" s="25">
        <v>-0.17499999999999999</v>
      </c>
      <c r="AR48" s="25">
        <v>-0.18</v>
      </c>
      <c r="AS48" s="25">
        <v>-0.27</v>
      </c>
      <c r="AT48" s="25">
        <v>-0.32</v>
      </c>
      <c r="AU48" s="25">
        <v>0.18</v>
      </c>
      <c r="AV48" s="25">
        <v>-0.32</v>
      </c>
      <c r="AW48" s="25">
        <v>-0.11749999999999999</v>
      </c>
      <c r="AX48" s="25">
        <v>-0.12</v>
      </c>
      <c r="AY48" s="25">
        <v>-0.11749999999999999</v>
      </c>
      <c r="AZ48" s="25">
        <v>-0.06</v>
      </c>
      <c r="BA48" s="25">
        <v>-0.11</v>
      </c>
      <c r="BB48" s="25">
        <v>-2.4500000000000001E-2</v>
      </c>
      <c r="BC48" s="25">
        <v>-0.08</v>
      </c>
      <c r="BD48" s="25">
        <v>-6.25E-2</v>
      </c>
      <c r="BE48" s="25">
        <v>-6.5000000000000002E-2</v>
      </c>
      <c r="BF48" s="25">
        <v>0.13</v>
      </c>
      <c r="BG48" s="25">
        <v>0.32</v>
      </c>
      <c r="BH48" s="25">
        <v>0.29499999999999998</v>
      </c>
      <c r="BI48" s="25">
        <v>0.29499999999999998</v>
      </c>
      <c r="BJ48" s="25">
        <v>0.63749999999999996</v>
      </c>
    </row>
    <row r="49" spans="1:62" x14ac:dyDescent="0.25">
      <c r="A49" s="26" t="e">
        <f>#REF!-B49</f>
        <v>#REF!</v>
      </c>
      <c r="B49" s="26">
        <v>3.4220000000000002</v>
      </c>
      <c r="C49" s="145">
        <v>38078</v>
      </c>
      <c r="D49" s="26">
        <v>2.9940000000000002</v>
      </c>
      <c r="E49" s="26">
        <v>0.2525</v>
      </c>
      <c r="F49" s="26">
        <v>6.9075819107611999E-2</v>
      </c>
      <c r="G49" s="26">
        <v>-0.19500000000000001</v>
      </c>
      <c r="H49" s="26">
        <v>-0.21</v>
      </c>
      <c r="I49" s="26">
        <v>-0.105</v>
      </c>
      <c r="J49" s="26">
        <v>-0.26</v>
      </c>
      <c r="K49" s="26">
        <v>-8.5000000000000006E-2</v>
      </c>
      <c r="L49" s="26">
        <v>-5.7500000000000002E-2</v>
      </c>
      <c r="M49" s="26">
        <v>-0.16500000000000001</v>
      </c>
      <c r="N49" s="26">
        <v>-0.16500000000000001</v>
      </c>
      <c r="O49" s="26">
        <v>-0.19500000000000001</v>
      </c>
      <c r="P49" s="25">
        <v>-0.19500000000000001</v>
      </c>
      <c r="Q49" s="25">
        <v>-7.1249999999999994E-2</v>
      </c>
      <c r="R49" s="25">
        <v>-6.7500000000000004E-2</v>
      </c>
      <c r="S49" s="25">
        <v>0.16750000000000001</v>
      </c>
      <c r="T49" s="25">
        <v>0.16750000000000001</v>
      </c>
      <c r="U49" s="25">
        <v>7.2499999999999995E-2</v>
      </c>
      <c r="V49" s="25">
        <v>0.21</v>
      </c>
      <c r="W49" s="179">
        <v>0.19500000000000001</v>
      </c>
      <c r="X49" s="179">
        <v>0.25</v>
      </c>
      <c r="Y49" s="179">
        <v>-2.75E-2</v>
      </c>
      <c r="Z49" s="179">
        <v>-2.5000000000000001E-2</v>
      </c>
      <c r="AA49" s="179">
        <v>4.0000000000000001E-3</v>
      </c>
      <c r="AB49" s="179">
        <v>-1.3500000000000002E-2</v>
      </c>
      <c r="AC49" s="179">
        <v>5.0000000000000001E-3</v>
      </c>
      <c r="AD49" s="179">
        <v>-3.5000000000000005E-3</v>
      </c>
      <c r="AE49" s="179">
        <v>-6.25E-2</v>
      </c>
      <c r="AF49" s="179">
        <v>-5.5500000000000001E-2</v>
      </c>
      <c r="AG49" s="180">
        <v>-6.4000000000000001E-2</v>
      </c>
      <c r="AH49" s="179">
        <v>-1.7000000000000001E-2</v>
      </c>
      <c r="AI49" s="181">
        <v>-7.400000000000001E-2</v>
      </c>
      <c r="AJ49" s="181">
        <v>-7.4999999999999997E-2</v>
      </c>
      <c r="AK49" s="29">
        <v>-2.4E-2</v>
      </c>
      <c r="AL49" s="25">
        <v>6.0000000000000001E-3</v>
      </c>
      <c r="AM49" s="25">
        <v>0.45</v>
      </c>
      <c r="AN49" s="25">
        <v>1.4999999999999999E-2</v>
      </c>
      <c r="AO49" s="25">
        <v>-0.39500000000000002</v>
      </c>
      <c r="AP49" s="25">
        <v>-0.1225</v>
      </c>
      <c r="AQ49" s="25">
        <v>-0.17499999999999999</v>
      </c>
      <c r="AR49" s="25">
        <v>-0.33</v>
      </c>
      <c r="AS49" s="25">
        <v>-0.34499999999999997</v>
      </c>
      <c r="AT49" s="25">
        <v>-0.39500000000000002</v>
      </c>
      <c r="AU49" s="25">
        <v>0.31</v>
      </c>
      <c r="AV49" s="25">
        <v>-0.39500000000000002</v>
      </c>
      <c r="AW49" s="25">
        <v>-0.1125</v>
      </c>
      <c r="AX49" s="25">
        <v>-0.11</v>
      </c>
      <c r="AY49" s="25">
        <v>-0.1125</v>
      </c>
      <c r="AZ49" s="25">
        <v>-5.7500000000000002E-2</v>
      </c>
      <c r="BA49" s="25">
        <v>-0.10249999999999999</v>
      </c>
      <c r="BB49" s="25">
        <v>-2.2000000000000002E-2</v>
      </c>
      <c r="BC49" s="25">
        <v>-6.25E-2</v>
      </c>
      <c r="BD49" s="25">
        <v>-0.02</v>
      </c>
      <c r="BE49" s="25">
        <v>-6.25E-2</v>
      </c>
      <c r="BF49" s="25">
        <v>0.12</v>
      </c>
      <c r="BG49" s="25">
        <v>0.14749999999999999</v>
      </c>
      <c r="BH49" s="25">
        <v>0.19750000000000001</v>
      </c>
      <c r="BI49" s="25">
        <v>0.19750000000000001</v>
      </c>
      <c r="BJ49" s="25">
        <v>0.35499999999999998</v>
      </c>
    </row>
    <row r="50" spans="1:62" x14ac:dyDescent="0.25">
      <c r="A50" s="26" t="e">
        <f>#REF!-B50</f>
        <v>#REF!</v>
      </c>
      <c r="B50" s="26">
        <v>3.2669999999999999</v>
      </c>
      <c r="C50" s="145">
        <v>38108</v>
      </c>
      <c r="D50" s="26">
        <v>2.98</v>
      </c>
      <c r="E50" s="26">
        <v>0.2525</v>
      </c>
      <c r="F50" s="26">
        <v>6.9069963351949024E-2</v>
      </c>
      <c r="G50" s="26">
        <v>-0.19500000000000001</v>
      </c>
      <c r="H50" s="26">
        <v>-0.21</v>
      </c>
      <c r="I50" s="26">
        <v>-0.12</v>
      </c>
      <c r="J50" s="26">
        <v>-0.26</v>
      </c>
      <c r="K50" s="26">
        <v>-0.1</v>
      </c>
      <c r="L50" s="26">
        <v>-5.7500000000000002E-2</v>
      </c>
      <c r="M50" s="26">
        <v>-0.16500000000000001</v>
      </c>
      <c r="N50" s="26">
        <v>-0.16500000000000001</v>
      </c>
      <c r="O50" s="26">
        <v>-0.19500000000000001</v>
      </c>
      <c r="P50" s="25">
        <v>-0.19500000000000001</v>
      </c>
      <c r="Q50" s="25">
        <v>-7.1249999999999994E-2</v>
      </c>
      <c r="R50" s="25">
        <v>-6.7500000000000004E-2</v>
      </c>
      <c r="S50" s="25">
        <v>0.1575</v>
      </c>
      <c r="T50" s="25">
        <v>0.1575</v>
      </c>
      <c r="U50" s="25">
        <v>6.25E-2</v>
      </c>
      <c r="V50" s="25">
        <v>0.21</v>
      </c>
      <c r="W50" s="179">
        <v>0.1825</v>
      </c>
      <c r="X50" s="179">
        <v>0.20250000000000001</v>
      </c>
      <c r="Y50" s="179">
        <v>-2.75E-2</v>
      </c>
      <c r="Z50" s="179">
        <v>-2.5249999999999998E-2</v>
      </c>
      <c r="AA50" s="179">
        <v>3.7499999999999999E-3</v>
      </c>
      <c r="AB50" s="179">
        <v>-1.375E-2</v>
      </c>
      <c r="AC50" s="179">
        <v>5.0000000000000001E-3</v>
      </c>
      <c r="AD50" s="179">
        <v>-3.5000000000000005E-3</v>
      </c>
      <c r="AE50" s="179">
        <v>-6.25E-2</v>
      </c>
      <c r="AF50" s="179">
        <v>-5.5500000000000001E-2</v>
      </c>
      <c r="AG50" s="180">
        <v>-6.4000000000000001E-2</v>
      </c>
      <c r="AH50" s="179">
        <v>-1.7000000000000001E-2</v>
      </c>
      <c r="AI50" s="181">
        <v>-7.400000000000001E-2</v>
      </c>
      <c r="AJ50" s="181">
        <v>-7.4999999999999997E-2</v>
      </c>
      <c r="AK50" s="29">
        <v>-2.4E-2</v>
      </c>
      <c r="AL50" s="25">
        <v>6.0000000000000001E-3</v>
      </c>
      <c r="AM50" s="25">
        <v>0.40500000000000003</v>
      </c>
      <c r="AN50" s="25">
        <v>1.4999999999999999E-2</v>
      </c>
      <c r="AO50" s="25">
        <v>-0.39500000000000002</v>
      </c>
      <c r="AP50" s="25">
        <v>-0.1225</v>
      </c>
      <c r="AQ50" s="25">
        <v>-0.17499999999999999</v>
      </c>
      <c r="AR50" s="25">
        <v>-0.33</v>
      </c>
      <c r="AS50" s="25">
        <v>-0.34499999999999997</v>
      </c>
      <c r="AT50" s="25">
        <v>-0.39500000000000002</v>
      </c>
      <c r="AU50" s="25">
        <v>0.31</v>
      </c>
      <c r="AV50" s="25">
        <v>-0.39500000000000002</v>
      </c>
      <c r="AW50" s="25">
        <v>-0.11</v>
      </c>
      <c r="AX50" s="25">
        <v>-0.09</v>
      </c>
      <c r="AY50" s="25">
        <v>-0.11</v>
      </c>
      <c r="AZ50" s="25">
        <v>-5.7500000000000002E-2</v>
      </c>
      <c r="BA50" s="25">
        <v>-0.10249999999999999</v>
      </c>
      <c r="BB50" s="25">
        <v>-2.2000000000000002E-2</v>
      </c>
      <c r="BC50" s="25">
        <v>-6.25E-2</v>
      </c>
      <c r="BD50" s="25">
        <v>-0.02</v>
      </c>
      <c r="BE50" s="25">
        <v>-6.25E-2</v>
      </c>
      <c r="BF50" s="25">
        <v>0.12</v>
      </c>
      <c r="BG50" s="25">
        <v>0.14749999999999999</v>
      </c>
      <c r="BH50" s="25">
        <v>0.1875</v>
      </c>
      <c r="BI50" s="25">
        <v>0.1875</v>
      </c>
      <c r="BJ50" s="25">
        <v>0.28749999999999998</v>
      </c>
    </row>
    <row r="51" spans="1:62" x14ac:dyDescent="0.25">
      <c r="A51" s="26" t="e">
        <f>#REF!-B51</f>
        <v>#REF!</v>
      </c>
      <c r="B51" s="26">
        <v>3.1150000000000002</v>
      </c>
      <c r="C51" s="145">
        <v>38139</v>
      </c>
      <c r="D51" s="26">
        <v>3.0010000000000003</v>
      </c>
      <c r="E51" s="26">
        <v>0.2525</v>
      </c>
      <c r="F51" s="26">
        <v>6.9063912404441014E-2</v>
      </c>
      <c r="G51" s="26">
        <v>-0.19500000000000001</v>
      </c>
      <c r="H51" s="26">
        <v>-0.21</v>
      </c>
      <c r="I51" s="26">
        <v>-0.13</v>
      </c>
      <c r="J51" s="26">
        <v>-0.26</v>
      </c>
      <c r="K51" s="26">
        <v>-0.11</v>
      </c>
      <c r="L51" s="26">
        <v>-5.7500000000000002E-2</v>
      </c>
      <c r="M51" s="26">
        <v>-0.16500000000000001</v>
      </c>
      <c r="N51" s="26">
        <v>-0.16500000000000001</v>
      </c>
      <c r="O51" s="26">
        <v>-0.19500000000000001</v>
      </c>
      <c r="P51" s="25">
        <v>-0.19500000000000001</v>
      </c>
      <c r="Q51" s="25">
        <v>-6.8750000000000006E-2</v>
      </c>
      <c r="R51" s="25">
        <v>-6.7500000000000004E-2</v>
      </c>
      <c r="S51" s="25">
        <v>0.1525</v>
      </c>
      <c r="T51" s="25">
        <v>0.1525</v>
      </c>
      <c r="U51" s="25">
        <v>5.7500000000000002E-2</v>
      </c>
      <c r="V51" s="25">
        <v>0.21</v>
      </c>
      <c r="W51" s="179">
        <v>0.1825</v>
      </c>
      <c r="X51" s="179">
        <v>0.20250000000000001</v>
      </c>
      <c r="Y51" s="179">
        <v>-2.75E-2</v>
      </c>
      <c r="Z51" s="179">
        <v>-2.5249999999999998E-2</v>
      </c>
      <c r="AA51" s="179">
        <v>3.7499999999999999E-3</v>
      </c>
      <c r="AB51" s="179">
        <v>-1.375E-2</v>
      </c>
      <c r="AC51" s="179">
        <v>5.0000000000000001E-3</v>
      </c>
      <c r="AD51" s="179">
        <v>-3.5000000000000005E-3</v>
      </c>
      <c r="AE51" s="179">
        <v>-6.25E-2</v>
      </c>
      <c r="AF51" s="179">
        <v>-5.5500000000000001E-2</v>
      </c>
      <c r="AG51" s="180">
        <v>-6.4000000000000001E-2</v>
      </c>
      <c r="AH51" s="179">
        <v>-1.7000000000000001E-2</v>
      </c>
      <c r="AI51" s="181">
        <v>-0.09</v>
      </c>
      <c r="AJ51" s="181">
        <v>-7.0000000000000007E-2</v>
      </c>
      <c r="AK51" s="29">
        <v>-2.4E-2</v>
      </c>
      <c r="AL51" s="25">
        <v>6.0000000000000001E-3</v>
      </c>
      <c r="AM51" s="25">
        <v>0.39500000000000002</v>
      </c>
      <c r="AN51" s="25">
        <v>0.02</v>
      </c>
      <c r="AO51" s="25">
        <v>-0.39500000000000002</v>
      </c>
      <c r="AP51" s="25">
        <v>-0.1225</v>
      </c>
      <c r="AQ51" s="25">
        <v>-0.17499999999999999</v>
      </c>
      <c r="AR51" s="25">
        <v>-0.33</v>
      </c>
      <c r="AS51" s="25">
        <v>-0.34499999999999997</v>
      </c>
      <c r="AT51" s="25">
        <v>-0.39500000000000002</v>
      </c>
      <c r="AU51" s="25">
        <v>0.31</v>
      </c>
      <c r="AV51" s="25">
        <v>-0.39500000000000002</v>
      </c>
      <c r="AW51" s="25">
        <v>-0.10249999999999999</v>
      </c>
      <c r="AX51" s="25">
        <v>-0.09</v>
      </c>
      <c r="AY51" s="25">
        <v>-0.10249999999999999</v>
      </c>
      <c r="AZ51" s="25">
        <v>-5.7500000000000002E-2</v>
      </c>
      <c r="BA51" s="25">
        <v>-9.2499999999999999E-2</v>
      </c>
      <c r="BB51" s="25">
        <v>-2.2000000000000002E-2</v>
      </c>
      <c r="BC51" s="25">
        <v>-6.25E-2</v>
      </c>
      <c r="BD51" s="25">
        <v>-1.4999999999999999E-2</v>
      </c>
      <c r="BE51" s="25">
        <v>-6.25E-2</v>
      </c>
      <c r="BF51" s="25">
        <v>0.12</v>
      </c>
      <c r="BG51" s="25">
        <v>0.14749999999999999</v>
      </c>
      <c r="BH51" s="25">
        <v>0.1825</v>
      </c>
      <c r="BI51" s="25">
        <v>0.1825</v>
      </c>
      <c r="BJ51" s="25">
        <v>0.28749999999999998</v>
      </c>
    </row>
    <row r="52" spans="1:62" x14ac:dyDescent="0.25">
      <c r="A52" s="26" t="e">
        <f>#REF!-B52</f>
        <v>#REF!</v>
      </c>
      <c r="B52" s="26">
        <v>3.0880000000000001</v>
      </c>
      <c r="C52" s="145">
        <v>38169</v>
      </c>
      <c r="D52" s="26">
        <v>3.0230000000000001</v>
      </c>
      <c r="E52" s="26">
        <v>0.25</v>
      </c>
      <c r="F52" s="26">
        <v>6.9069004174273016E-2</v>
      </c>
      <c r="G52" s="26">
        <v>-0.19500000000000001</v>
      </c>
      <c r="H52" s="26">
        <v>-0.21</v>
      </c>
      <c r="I52" s="26">
        <v>-0.13</v>
      </c>
      <c r="J52" s="26">
        <v>-0.28000000000000003</v>
      </c>
      <c r="K52" s="26">
        <v>-0.11</v>
      </c>
      <c r="L52" s="26">
        <v>-5.7500000000000002E-2</v>
      </c>
      <c r="M52" s="26">
        <v>-0.16500000000000001</v>
      </c>
      <c r="N52" s="26">
        <v>-0.16500000000000001</v>
      </c>
      <c r="O52" s="26">
        <v>-0.19500000000000001</v>
      </c>
      <c r="P52" s="25">
        <v>-0.19500000000000001</v>
      </c>
      <c r="Q52" s="25">
        <v>-6.7500000000000004E-2</v>
      </c>
      <c r="R52" s="25">
        <v>-6.7500000000000004E-2</v>
      </c>
      <c r="S52" s="25">
        <v>0.14249999999999999</v>
      </c>
      <c r="T52" s="25">
        <v>0.14249999999999999</v>
      </c>
      <c r="U52" s="25">
        <v>4.7500000000000001E-2</v>
      </c>
      <c r="V52" s="25">
        <v>0.21</v>
      </c>
      <c r="W52" s="179">
        <v>0.1825</v>
      </c>
      <c r="X52" s="179">
        <v>0.215</v>
      </c>
      <c r="Y52" s="179">
        <v>-2.75E-2</v>
      </c>
      <c r="Z52" s="179">
        <v>-2.5249999999999998E-2</v>
      </c>
      <c r="AA52" s="179">
        <v>3.7499999999999999E-3</v>
      </c>
      <c r="AB52" s="179">
        <v>-1.375E-2</v>
      </c>
      <c r="AC52" s="179">
        <v>5.0000000000000001E-3</v>
      </c>
      <c r="AD52" s="179">
        <v>-3.5000000000000005E-3</v>
      </c>
      <c r="AE52" s="179">
        <v>-6.25E-2</v>
      </c>
      <c r="AF52" s="179">
        <v>-5.5500000000000001E-2</v>
      </c>
      <c r="AG52" s="180">
        <v>-6.4000000000000001E-2</v>
      </c>
      <c r="AH52" s="179">
        <v>-1.7000000000000001E-2</v>
      </c>
      <c r="AI52" s="181">
        <v>-8.3000000000000004E-2</v>
      </c>
      <c r="AJ52" s="181">
        <v>-6.7500000000000004E-2</v>
      </c>
      <c r="AK52" s="29">
        <v>-2.4E-2</v>
      </c>
      <c r="AL52" s="25">
        <v>6.0000000000000001E-3</v>
      </c>
      <c r="AM52" s="25">
        <v>0.43</v>
      </c>
      <c r="AN52" s="25">
        <v>2.2499999999999999E-2</v>
      </c>
      <c r="AO52" s="25">
        <v>-0.39500000000000002</v>
      </c>
      <c r="AP52" s="25">
        <v>-0.1225</v>
      </c>
      <c r="AQ52" s="25">
        <v>-0.17499999999999999</v>
      </c>
      <c r="AR52" s="25">
        <v>-0.33</v>
      </c>
      <c r="AS52" s="25">
        <v>-0.34499999999999997</v>
      </c>
      <c r="AT52" s="25">
        <v>-0.39500000000000002</v>
      </c>
      <c r="AU52" s="25">
        <v>0.31</v>
      </c>
      <c r="AV52" s="25">
        <v>-0.39500000000000002</v>
      </c>
      <c r="AW52" s="25">
        <v>-0.11</v>
      </c>
      <c r="AX52" s="25">
        <v>-0.09</v>
      </c>
      <c r="AY52" s="25">
        <v>-0.11</v>
      </c>
      <c r="AZ52" s="25">
        <v>-5.7500000000000002E-2</v>
      </c>
      <c r="BA52" s="25">
        <v>-8.7499999999999994E-2</v>
      </c>
      <c r="BB52" s="25">
        <v>-2.2000000000000002E-2</v>
      </c>
      <c r="BC52" s="25">
        <v>-6.25E-2</v>
      </c>
      <c r="BD52" s="25">
        <v>-1.2500000000000001E-2</v>
      </c>
      <c r="BE52" s="25">
        <v>-6.25E-2</v>
      </c>
      <c r="BF52" s="25">
        <v>0.12</v>
      </c>
      <c r="BG52" s="25">
        <v>0.14749999999999999</v>
      </c>
      <c r="BH52" s="25">
        <v>0.17249999999999999</v>
      </c>
      <c r="BI52" s="25">
        <v>0.17249999999999999</v>
      </c>
      <c r="BJ52" s="25">
        <v>0.3</v>
      </c>
    </row>
    <row r="53" spans="1:62" x14ac:dyDescent="0.25">
      <c r="A53" s="26" t="e">
        <f>#REF!-B53</f>
        <v>#REF!</v>
      </c>
      <c r="B53" s="26">
        <v>3.0690000000000004</v>
      </c>
      <c r="C53" s="145">
        <v>38200</v>
      </c>
      <c r="D53" s="26">
        <v>3.0440000000000005</v>
      </c>
      <c r="E53" s="26">
        <v>0.25</v>
      </c>
      <c r="F53" s="26">
        <v>6.9087194176122024E-2</v>
      </c>
      <c r="G53" s="26">
        <v>-0.19500000000000001</v>
      </c>
      <c r="H53" s="26">
        <v>-0.21</v>
      </c>
      <c r="I53" s="26">
        <v>-0.13</v>
      </c>
      <c r="J53" s="26">
        <v>-0.28000000000000003</v>
      </c>
      <c r="K53" s="26">
        <v>-0.11</v>
      </c>
      <c r="L53" s="26">
        <v>-5.7500000000000002E-2</v>
      </c>
      <c r="M53" s="26">
        <v>-0.16500000000000001</v>
      </c>
      <c r="N53" s="26">
        <v>-0.16500000000000001</v>
      </c>
      <c r="O53" s="26">
        <v>-0.19500000000000001</v>
      </c>
      <c r="P53" s="25">
        <v>-0.19500000000000001</v>
      </c>
      <c r="Q53" s="25">
        <v>-6.6250000000000003E-2</v>
      </c>
      <c r="R53" s="25">
        <v>-6.7500000000000004E-2</v>
      </c>
      <c r="S53" s="25">
        <v>0.14000000000000001</v>
      </c>
      <c r="T53" s="25">
        <v>0.14000000000000001</v>
      </c>
      <c r="U53" s="25">
        <v>4.4999999999999998E-2</v>
      </c>
      <c r="V53" s="25">
        <v>0.21</v>
      </c>
      <c r="W53" s="179">
        <v>0.1825</v>
      </c>
      <c r="X53" s="179">
        <v>0.215</v>
      </c>
      <c r="Y53" s="179">
        <v>-2.75E-2</v>
      </c>
      <c r="Z53" s="179">
        <v>-2.5249999999999998E-2</v>
      </c>
      <c r="AA53" s="179">
        <v>3.7499999999999999E-3</v>
      </c>
      <c r="AB53" s="179">
        <v>-1.375E-2</v>
      </c>
      <c r="AC53" s="179">
        <v>5.0000000000000001E-3</v>
      </c>
      <c r="AD53" s="179">
        <v>-3.5000000000000005E-3</v>
      </c>
      <c r="AE53" s="179">
        <v>-6.25E-2</v>
      </c>
      <c r="AF53" s="179">
        <v>-5.5500000000000001E-2</v>
      </c>
      <c r="AG53" s="180">
        <v>-6.4000000000000001E-2</v>
      </c>
      <c r="AH53" s="179">
        <v>-1.7000000000000001E-2</v>
      </c>
      <c r="AI53" s="181">
        <v>-6.4000000000000001E-2</v>
      </c>
      <c r="AJ53" s="181">
        <v>-6.5000000000000002E-2</v>
      </c>
      <c r="AK53" s="29">
        <v>-2.4E-2</v>
      </c>
      <c r="AL53" s="25">
        <v>6.0000000000000001E-3</v>
      </c>
      <c r="AM53" s="25">
        <v>0.495</v>
      </c>
      <c r="AN53" s="25">
        <v>2.5000000000000001E-2</v>
      </c>
      <c r="AO53" s="25">
        <v>-0.39500000000000002</v>
      </c>
      <c r="AP53" s="25">
        <v>-0.1225</v>
      </c>
      <c r="AQ53" s="25">
        <v>-0.17499999999999999</v>
      </c>
      <c r="AR53" s="25">
        <v>-0.33</v>
      </c>
      <c r="AS53" s="25">
        <v>-0.34499999999999997</v>
      </c>
      <c r="AT53" s="25">
        <v>-0.39500000000000002</v>
      </c>
      <c r="AU53" s="25">
        <v>0.31</v>
      </c>
      <c r="AV53" s="25">
        <v>-0.39500000000000002</v>
      </c>
      <c r="AW53" s="25">
        <v>-9.7500000000000003E-2</v>
      </c>
      <c r="AX53" s="25">
        <v>-0.09</v>
      </c>
      <c r="AY53" s="25">
        <v>-9.7500000000000003E-2</v>
      </c>
      <c r="AZ53" s="25">
        <v>-5.7500000000000002E-2</v>
      </c>
      <c r="BA53" s="25">
        <v>-8.7499999999999994E-2</v>
      </c>
      <c r="BB53" s="25">
        <v>-2.2000000000000002E-2</v>
      </c>
      <c r="BC53" s="25">
        <v>-6.25E-2</v>
      </c>
      <c r="BD53" s="25">
        <v>-0.01</v>
      </c>
      <c r="BE53" s="25">
        <v>-6.25E-2</v>
      </c>
      <c r="BF53" s="25">
        <v>0.12</v>
      </c>
      <c r="BG53" s="25">
        <v>0.14749999999999999</v>
      </c>
      <c r="BH53" s="25">
        <v>0.17</v>
      </c>
      <c r="BI53" s="25">
        <v>0.17</v>
      </c>
      <c r="BJ53" s="25">
        <v>0.3</v>
      </c>
    </row>
    <row r="54" spans="1:62" x14ac:dyDescent="0.25">
      <c r="A54" s="26" t="e">
        <f>#REF!-B54</f>
        <v>#REF!</v>
      </c>
      <c r="B54" s="26">
        <v>3.1340000000000003</v>
      </c>
      <c r="C54" s="145">
        <v>38231</v>
      </c>
      <c r="D54" s="26">
        <v>3.0330000000000004</v>
      </c>
      <c r="E54" s="26">
        <v>0.25</v>
      </c>
      <c r="F54" s="26">
        <v>6.9105384178080001E-2</v>
      </c>
      <c r="G54" s="26">
        <v>-0.19500000000000001</v>
      </c>
      <c r="H54" s="26">
        <v>-0.21</v>
      </c>
      <c r="I54" s="26">
        <v>-0.12</v>
      </c>
      <c r="J54" s="26">
        <v>-0.28000000000000003</v>
      </c>
      <c r="K54" s="26">
        <v>-0.1</v>
      </c>
      <c r="L54" s="26">
        <v>-5.7500000000000002E-2</v>
      </c>
      <c r="M54" s="26">
        <v>-0.16500000000000001</v>
      </c>
      <c r="N54" s="26">
        <v>-0.16500000000000001</v>
      </c>
      <c r="O54" s="26">
        <v>-0.19500000000000001</v>
      </c>
      <c r="P54" s="25">
        <v>-0.19500000000000001</v>
      </c>
      <c r="Q54" s="25">
        <v>-7.0000000000000007E-2</v>
      </c>
      <c r="R54" s="25">
        <v>-6.7500000000000004E-2</v>
      </c>
      <c r="S54" s="25">
        <v>0.13750000000000001</v>
      </c>
      <c r="T54" s="25">
        <v>0.13750000000000001</v>
      </c>
      <c r="U54" s="25">
        <v>4.2500000000000003E-2</v>
      </c>
      <c r="V54" s="25">
        <v>0.21</v>
      </c>
      <c r="W54" s="179">
        <v>0.1825</v>
      </c>
      <c r="X54" s="179">
        <v>0.19500000000000001</v>
      </c>
      <c r="Y54" s="179">
        <v>-2.75E-2</v>
      </c>
      <c r="Z54" s="179">
        <v>-2.5249999999999998E-2</v>
      </c>
      <c r="AA54" s="179">
        <v>3.7499999999999999E-3</v>
      </c>
      <c r="AB54" s="179">
        <v>-1.375E-2</v>
      </c>
      <c r="AC54" s="179">
        <v>5.0000000000000001E-3</v>
      </c>
      <c r="AD54" s="179">
        <v>-3.5000000000000005E-3</v>
      </c>
      <c r="AE54" s="179">
        <v>-6.25E-2</v>
      </c>
      <c r="AF54" s="179">
        <v>-5.2999999999999999E-2</v>
      </c>
      <c r="AG54" s="180">
        <v>-6.1500000000000006E-2</v>
      </c>
      <c r="AH54" s="179">
        <v>-1.7000000000000001E-2</v>
      </c>
      <c r="AI54" s="181">
        <v>-6.2000000000000006E-2</v>
      </c>
      <c r="AJ54" s="181">
        <v>-7.2499999999999995E-2</v>
      </c>
      <c r="AK54" s="29">
        <v>-2.4E-2</v>
      </c>
      <c r="AL54" s="25">
        <v>6.0000000000000001E-3</v>
      </c>
      <c r="AM54" s="25">
        <v>0.39500000000000002</v>
      </c>
      <c r="AN54" s="25">
        <v>1.7500000000000002E-2</v>
      </c>
      <c r="AO54" s="25">
        <v>-0.39500000000000002</v>
      </c>
      <c r="AP54" s="25">
        <v>-0.1225</v>
      </c>
      <c r="AQ54" s="25">
        <v>-0.17499999999999999</v>
      </c>
      <c r="AR54" s="25">
        <v>-0.33</v>
      </c>
      <c r="AS54" s="25">
        <v>-0.34499999999999997</v>
      </c>
      <c r="AT54" s="25">
        <v>-0.39500000000000002</v>
      </c>
      <c r="AU54" s="25">
        <v>0.31</v>
      </c>
      <c r="AV54" s="25">
        <v>-0.39500000000000002</v>
      </c>
      <c r="AW54" s="25">
        <v>-0.10249999999999999</v>
      </c>
      <c r="AX54" s="25">
        <v>-0.09</v>
      </c>
      <c r="AY54" s="25">
        <v>-0.10249999999999999</v>
      </c>
      <c r="AZ54" s="25">
        <v>-5.7500000000000002E-2</v>
      </c>
      <c r="BA54" s="25">
        <v>-0.10249999999999999</v>
      </c>
      <c r="BB54" s="25">
        <v>-2.2000000000000002E-2</v>
      </c>
      <c r="BC54" s="25">
        <v>-6.25E-2</v>
      </c>
      <c r="BD54" s="25">
        <v>-1.7500000000000002E-2</v>
      </c>
      <c r="BE54" s="25">
        <v>-6.25E-2</v>
      </c>
      <c r="BF54" s="25">
        <v>0.12</v>
      </c>
      <c r="BG54" s="25">
        <v>0.14749999999999999</v>
      </c>
      <c r="BH54" s="25">
        <v>0.16750000000000001</v>
      </c>
      <c r="BI54" s="25">
        <v>0.16750000000000001</v>
      </c>
      <c r="BJ54" s="25">
        <v>0.28999999999999998</v>
      </c>
    </row>
    <row r="55" spans="1:62" x14ac:dyDescent="0.25">
      <c r="A55" s="26" t="e">
        <f>#REF!-B55</f>
        <v>#REF!</v>
      </c>
      <c r="B55" s="26">
        <v>3.1290000000000004</v>
      </c>
      <c r="C55" s="145">
        <v>38261</v>
      </c>
      <c r="D55" s="26">
        <v>3.0369999999999999</v>
      </c>
      <c r="E55" s="26">
        <v>0.25</v>
      </c>
      <c r="F55" s="26">
        <v>6.9122987405887029E-2</v>
      </c>
      <c r="G55" s="26">
        <v>-0.19500000000000001</v>
      </c>
      <c r="H55" s="26">
        <v>-0.21</v>
      </c>
      <c r="I55" s="26">
        <v>-0.105</v>
      </c>
      <c r="J55" s="26">
        <v>-0.28000000000000003</v>
      </c>
      <c r="K55" s="26">
        <v>-8.5000000000000006E-2</v>
      </c>
      <c r="L55" s="26">
        <v>-5.7500000000000002E-2</v>
      </c>
      <c r="M55" s="26">
        <v>-0.16500000000000001</v>
      </c>
      <c r="N55" s="26">
        <v>-0.16500000000000001</v>
      </c>
      <c r="O55" s="26">
        <v>-0.19500000000000001</v>
      </c>
      <c r="P55" s="25">
        <v>-0.19500000000000001</v>
      </c>
      <c r="Q55" s="25">
        <v>-7.4999999999999997E-2</v>
      </c>
      <c r="R55" s="25">
        <v>-6.7500000000000004E-2</v>
      </c>
      <c r="S55" s="25">
        <v>0.1525</v>
      </c>
      <c r="T55" s="25">
        <v>0.1525</v>
      </c>
      <c r="U55" s="25">
        <v>5.7500000000000002E-2</v>
      </c>
      <c r="V55" s="25">
        <v>0.21</v>
      </c>
      <c r="W55" s="179">
        <v>0.1875</v>
      </c>
      <c r="X55" s="179">
        <v>0.215</v>
      </c>
      <c r="Y55" s="179">
        <v>-2.75E-2</v>
      </c>
      <c r="Z55" s="179">
        <v>-2.5249999999999998E-2</v>
      </c>
      <c r="AA55" s="179">
        <v>3.7499999999999999E-3</v>
      </c>
      <c r="AB55" s="179">
        <v>-1.375E-2</v>
      </c>
      <c r="AC55" s="179">
        <v>5.0000000000000001E-3</v>
      </c>
      <c r="AD55" s="179">
        <v>-3.5000000000000005E-3</v>
      </c>
      <c r="AE55" s="179">
        <v>-6.25E-2</v>
      </c>
      <c r="AF55" s="179">
        <v>-5.2999999999999999E-2</v>
      </c>
      <c r="AG55" s="180">
        <v>-6.1500000000000006E-2</v>
      </c>
      <c r="AH55" s="179">
        <v>-1.7000000000000001E-2</v>
      </c>
      <c r="AI55" s="181">
        <v>-6.4000000000000001E-2</v>
      </c>
      <c r="AJ55" s="181">
        <v>-8.2500000000000004E-2</v>
      </c>
      <c r="AK55" s="29">
        <v>-2.4E-2</v>
      </c>
      <c r="AL55" s="25">
        <v>6.0000000000000001E-3</v>
      </c>
      <c r="AM55" s="25">
        <v>0.46100000000000002</v>
      </c>
      <c r="AN55" s="25">
        <v>7.4999999999999997E-3</v>
      </c>
      <c r="AO55" s="25">
        <v>-0.39500000000000002</v>
      </c>
      <c r="AP55" s="25">
        <v>-0.1225</v>
      </c>
      <c r="AQ55" s="25">
        <v>-0.17499999999999999</v>
      </c>
      <c r="AR55" s="25">
        <v>-0.33</v>
      </c>
      <c r="AS55" s="25">
        <v>-0.34499999999999997</v>
      </c>
      <c r="AT55" s="25">
        <v>-0.39500000000000002</v>
      </c>
      <c r="AU55" s="25">
        <v>0.31</v>
      </c>
      <c r="AV55" s="25">
        <v>-0.39500000000000002</v>
      </c>
      <c r="AW55" s="25">
        <v>-0.1125</v>
      </c>
      <c r="AX55" s="25">
        <v>-0.09</v>
      </c>
      <c r="AY55" s="25">
        <v>-0.1125</v>
      </c>
      <c r="AZ55" s="25">
        <v>-5.7500000000000002E-2</v>
      </c>
      <c r="BA55" s="25">
        <v>-0.105</v>
      </c>
      <c r="BB55" s="25">
        <v>-2.2000000000000002E-2</v>
      </c>
      <c r="BC55" s="25">
        <v>-6.25E-2</v>
      </c>
      <c r="BD55" s="25">
        <v>-2.75E-2</v>
      </c>
      <c r="BE55" s="25">
        <v>-6.25E-2</v>
      </c>
      <c r="BF55" s="25">
        <v>0.12</v>
      </c>
      <c r="BG55" s="25">
        <v>0.14749999999999999</v>
      </c>
      <c r="BH55" s="25">
        <v>0.1825</v>
      </c>
      <c r="BI55" s="25">
        <v>0.1825</v>
      </c>
      <c r="BJ55" s="25">
        <v>0.36249999999999999</v>
      </c>
    </row>
    <row r="56" spans="1:62" x14ac:dyDescent="0.25">
      <c r="A56" s="26" t="e">
        <f>#REF!-B56</f>
        <v>#REF!</v>
      </c>
      <c r="B56" s="26">
        <v>3.1180000000000003</v>
      </c>
      <c r="C56" s="145">
        <v>38292</v>
      </c>
      <c r="D56" s="26">
        <v>3.1240000000000006</v>
      </c>
      <c r="E56" s="26">
        <v>0.2525</v>
      </c>
      <c r="F56" s="26">
        <v>6.9141177408060014E-2</v>
      </c>
      <c r="G56" s="26">
        <v>-0.19</v>
      </c>
      <c r="H56" s="26">
        <v>-0.20499999999999999</v>
      </c>
      <c r="I56" s="26">
        <v>-4.4999999999999998E-2</v>
      </c>
      <c r="J56" s="26">
        <v>-0.27500000000000002</v>
      </c>
      <c r="K56" s="26">
        <v>-2.5000000000000001E-2</v>
      </c>
      <c r="L56" s="26">
        <v>-5.2499999999999998E-2</v>
      </c>
      <c r="M56" s="26">
        <v>-0.16</v>
      </c>
      <c r="N56" s="26">
        <v>-0.16</v>
      </c>
      <c r="O56" s="26">
        <v>-0.19</v>
      </c>
      <c r="P56" s="25">
        <v>-0.19</v>
      </c>
      <c r="Q56" s="25">
        <v>-8.7499999999999994E-2</v>
      </c>
      <c r="R56" s="25">
        <v>-5.2499999999999998E-2</v>
      </c>
      <c r="S56" s="25">
        <v>0.20250000000000001</v>
      </c>
      <c r="T56" s="25">
        <v>0.20250000000000001</v>
      </c>
      <c r="U56" s="25">
        <v>0.1075</v>
      </c>
      <c r="V56" s="25">
        <v>0.04</v>
      </c>
      <c r="W56" s="179">
        <v>0.27</v>
      </c>
      <c r="X56" s="179">
        <v>0.28749999999999998</v>
      </c>
      <c r="Y56" s="179">
        <v>-3.0500000000000003E-2</v>
      </c>
      <c r="Z56" s="179">
        <v>-4.2500000000000003E-2</v>
      </c>
      <c r="AA56" s="179">
        <v>-1.3500000000000002E-2</v>
      </c>
      <c r="AB56" s="179">
        <v>-3.1000000000000003E-2</v>
      </c>
      <c r="AC56" s="179">
        <v>5.0000000000000001E-3</v>
      </c>
      <c r="AD56" s="179">
        <v>-1.1500000000000002E-2</v>
      </c>
      <c r="AE56" s="179">
        <v>-6.5000000000000002E-2</v>
      </c>
      <c r="AF56" s="179">
        <v>-5.2999999999999999E-2</v>
      </c>
      <c r="AG56" s="180">
        <v>-6.4500000000000002E-2</v>
      </c>
      <c r="AH56" s="179">
        <v>-1.8500000000000003E-2</v>
      </c>
      <c r="AI56" s="181">
        <v>-7.9000000000000001E-2</v>
      </c>
      <c r="AJ56" s="181">
        <v>-0.1225</v>
      </c>
      <c r="AK56" s="29">
        <v>-1.6500000000000001E-2</v>
      </c>
      <c r="AL56" s="25">
        <v>1.2500000000000001E-2</v>
      </c>
      <c r="AM56" s="25">
        <v>0.76249999999999996</v>
      </c>
      <c r="AN56" s="25">
        <v>-3.2500000000000001E-2</v>
      </c>
      <c r="AO56" s="25">
        <v>-0.31</v>
      </c>
      <c r="AP56" s="25">
        <v>-0.13500000000000001</v>
      </c>
      <c r="AQ56" s="25">
        <v>-0.17</v>
      </c>
      <c r="AR56" s="25">
        <v>0</v>
      </c>
      <c r="AS56" s="25">
        <v>-0.26</v>
      </c>
      <c r="AT56" s="25">
        <v>-0.31</v>
      </c>
      <c r="AU56" s="25">
        <v>0.14000000000000001</v>
      </c>
      <c r="AV56" s="25">
        <v>-0.31</v>
      </c>
      <c r="AW56" s="25">
        <v>-0.11749999999999999</v>
      </c>
      <c r="AX56" s="25">
        <v>-0.11749999999999999</v>
      </c>
      <c r="AY56" s="25">
        <v>-0.11749999999999999</v>
      </c>
      <c r="AZ56" s="25">
        <v>-5.2499999999999998E-2</v>
      </c>
      <c r="BA56" s="25">
        <v>-0.10249999999999999</v>
      </c>
      <c r="BB56" s="25">
        <v>-2.35E-2</v>
      </c>
      <c r="BC56" s="25">
        <v>-7.2499999999999995E-2</v>
      </c>
      <c r="BD56" s="25">
        <v>-6.7500000000000004E-2</v>
      </c>
      <c r="BE56" s="25">
        <v>-6.5000000000000002E-2</v>
      </c>
      <c r="BF56" s="25">
        <v>0.09</v>
      </c>
      <c r="BG56" s="25">
        <v>0.27500000000000002</v>
      </c>
      <c r="BH56" s="25">
        <v>0.2475</v>
      </c>
      <c r="BI56" s="25">
        <v>0.2475</v>
      </c>
      <c r="BJ56" s="25">
        <v>0.46</v>
      </c>
    </row>
    <row r="57" spans="1:62" x14ac:dyDescent="0.25">
      <c r="A57" s="26" t="e">
        <f>#REF!-B57</f>
        <v>#REF!</v>
      </c>
      <c r="B57" s="26">
        <v>3.1349999999999998</v>
      </c>
      <c r="C57" s="145">
        <v>38322</v>
      </c>
      <c r="D57" s="26">
        <v>3.2030000000000003</v>
      </c>
      <c r="E57" s="26">
        <v>0.255</v>
      </c>
      <c r="F57" s="26">
        <v>6.9158780636075001E-2</v>
      </c>
      <c r="G57" s="26">
        <v>-0.19750000000000001</v>
      </c>
      <c r="H57" s="26">
        <v>-0.21249999999999999</v>
      </c>
      <c r="I57" s="26">
        <v>-3.7499999999999999E-2</v>
      </c>
      <c r="J57" s="26">
        <v>-0.28249999999999997</v>
      </c>
      <c r="K57" s="26">
        <v>-1.7500000000000002E-2</v>
      </c>
      <c r="L57" s="26">
        <v>-5.2499999999999998E-2</v>
      </c>
      <c r="M57" s="26">
        <v>-0.16750000000000001</v>
      </c>
      <c r="N57" s="26">
        <v>-0.16750000000000001</v>
      </c>
      <c r="O57" s="26">
        <v>-0.19750000000000001</v>
      </c>
      <c r="P57" s="25">
        <v>-0.19750000000000001</v>
      </c>
      <c r="Q57" s="25">
        <v>-9.8750000000000004E-2</v>
      </c>
      <c r="R57" s="25">
        <v>-5.2499999999999998E-2</v>
      </c>
      <c r="S57" s="25">
        <v>0.24249999999999999</v>
      </c>
      <c r="T57" s="25">
        <v>0.24249999999999999</v>
      </c>
      <c r="U57" s="25">
        <v>0.14749999999999999</v>
      </c>
      <c r="V57" s="25">
        <v>0.04</v>
      </c>
      <c r="W57" s="179">
        <v>0.30499999999999999</v>
      </c>
      <c r="X57" s="179">
        <v>0.33750000000000002</v>
      </c>
      <c r="Y57" s="179">
        <v>-3.0500000000000003E-2</v>
      </c>
      <c r="Z57" s="179">
        <v>-3.5000000000000003E-2</v>
      </c>
      <c r="AA57" s="179">
        <v>-1.3500000000000002E-2</v>
      </c>
      <c r="AB57" s="179">
        <v>-3.1000000000000003E-2</v>
      </c>
      <c r="AC57" s="179">
        <v>5.0000000000000001E-3</v>
      </c>
      <c r="AD57" s="179">
        <v>-1.1500000000000002E-2</v>
      </c>
      <c r="AE57" s="179">
        <v>-6.5000000000000002E-2</v>
      </c>
      <c r="AF57" s="179">
        <v>-5.2999999999999999E-2</v>
      </c>
      <c r="AG57" s="180">
        <v>-6.4500000000000002E-2</v>
      </c>
      <c r="AH57" s="179">
        <v>-1.8500000000000003E-2</v>
      </c>
      <c r="AI57" s="181">
        <v>-7.9000000000000001E-2</v>
      </c>
      <c r="AJ57" s="181">
        <v>-0.14499999999999999</v>
      </c>
      <c r="AK57" s="29">
        <v>-1.6500000000000001E-2</v>
      </c>
      <c r="AL57" s="25">
        <v>1.2500000000000001E-2</v>
      </c>
      <c r="AM57" s="25">
        <v>1.18</v>
      </c>
      <c r="AN57" s="25">
        <v>-5.5E-2</v>
      </c>
      <c r="AO57" s="25">
        <v>-0.31</v>
      </c>
      <c r="AP57" s="25">
        <v>-0.13</v>
      </c>
      <c r="AQ57" s="25">
        <v>-0.17</v>
      </c>
      <c r="AR57" s="25">
        <v>0.06</v>
      </c>
      <c r="AS57" s="25">
        <v>-0.26</v>
      </c>
      <c r="AT57" s="25">
        <v>-0.31</v>
      </c>
      <c r="AU57" s="25">
        <v>0.14000000000000001</v>
      </c>
      <c r="AV57" s="25">
        <v>-0.31</v>
      </c>
      <c r="AW57" s="25">
        <v>-0.14749999999999999</v>
      </c>
      <c r="AX57" s="25">
        <v>-0.11749999999999999</v>
      </c>
      <c r="AY57" s="25">
        <v>-0.14749999999999999</v>
      </c>
      <c r="AZ57" s="25">
        <v>-5.2499999999999998E-2</v>
      </c>
      <c r="BA57" s="25">
        <v>-0.13750000000000001</v>
      </c>
      <c r="BB57" s="25">
        <v>-2.35E-2</v>
      </c>
      <c r="BC57" s="25">
        <v>-7.2499999999999995E-2</v>
      </c>
      <c r="BD57" s="25">
        <v>-0.09</v>
      </c>
      <c r="BE57" s="25">
        <v>-6.5000000000000002E-2</v>
      </c>
      <c r="BF57" s="25">
        <v>0.09</v>
      </c>
      <c r="BG57" s="25">
        <v>0.245</v>
      </c>
      <c r="BH57" s="25">
        <v>0.28749999999999998</v>
      </c>
      <c r="BI57" s="25">
        <v>0.28749999999999998</v>
      </c>
      <c r="BJ57" s="25">
        <v>0.79</v>
      </c>
    </row>
    <row r="58" spans="1:62" x14ac:dyDescent="0.25">
      <c r="A58" s="26" t="e">
        <f>#REF!-B58</f>
        <v>#REF!</v>
      </c>
      <c r="B58" s="26">
        <v>3.242</v>
      </c>
      <c r="C58" s="145">
        <v>38353</v>
      </c>
      <c r="D58" s="26">
        <v>3.4160000000000004</v>
      </c>
      <c r="E58" s="26">
        <v>0.26</v>
      </c>
      <c r="F58" s="26">
        <v>6.9176970638464022E-2</v>
      </c>
      <c r="G58" s="26">
        <v>-0.2</v>
      </c>
      <c r="H58" s="26">
        <v>-0.215</v>
      </c>
      <c r="I58" s="26">
        <v>-2.2499999999999999E-2</v>
      </c>
      <c r="J58" s="26">
        <v>-0.26500000000000001</v>
      </c>
      <c r="K58" s="26">
        <v>-2.5000000000000001E-3</v>
      </c>
      <c r="L58" s="26">
        <v>-5.2499999999999998E-2</v>
      </c>
      <c r="M58" s="26">
        <v>-0.17</v>
      </c>
      <c r="N58" s="26">
        <v>-0.17</v>
      </c>
      <c r="O58" s="26">
        <v>-0.2</v>
      </c>
      <c r="P58" s="25">
        <v>-0.2</v>
      </c>
      <c r="Q58" s="25">
        <v>-0.1</v>
      </c>
      <c r="R58" s="25">
        <v>-5.2499999999999998E-2</v>
      </c>
      <c r="S58" s="25">
        <v>0.27750000000000002</v>
      </c>
      <c r="T58" s="25">
        <v>0.27750000000000002</v>
      </c>
      <c r="U58" s="25">
        <v>0.1825</v>
      </c>
      <c r="V58" s="25">
        <v>0.04</v>
      </c>
      <c r="W58" s="179">
        <v>0.30499999999999999</v>
      </c>
      <c r="X58" s="179">
        <v>0.4375</v>
      </c>
      <c r="Y58" s="179">
        <v>-2.8000000000000004E-2</v>
      </c>
      <c r="Z58" s="179">
        <v>-3.5000000000000003E-2</v>
      </c>
      <c r="AA58" s="179">
        <v>-1.3500000000000002E-2</v>
      </c>
      <c r="AB58" s="179">
        <v>-3.1000000000000003E-2</v>
      </c>
      <c r="AC58" s="179">
        <v>5.0000000000000001E-3</v>
      </c>
      <c r="AD58" s="179">
        <v>-1.1500000000000002E-2</v>
      </c>
      <c r="AE58" s="179">
        <v>-6.5000000000000002E-2</v>
      </c>
      <c r="AF58" s="179">
        <v>-5.1000000000000004E-2</v>
      </c>
      <c r="AG58" s="180">
        <v>-6.4500000000000002E-2</v>
      </c>
      <c r="AH58" s="179">
        <v>-1.8500000000000003E-2</v>
      </c>
      <c r="AI58" s="181">
        <v>-7.2000000000000008E-2</v>
      </c>
      <c r="AJ58" s="181">
        <v>-0.14749999999999999</v>
      </c>
      <c r="AK58" s="29">
        <v>-1.4499999999999999E-2</v>
      </c>
      <c r="AL58" s="25">
        <v>1.2500000000000001E-2</v>
      </c>
      <c r="AM58" s="25">
        <v>1.51</v>
      </c>
      <c r="AN58" s="25">
        <v>-5.7500000000000002E-2</v>
      </c>
      <c r="AO58" s="25">
        <v>-0.31</v>
      </c>
      <c r="AP58" s="25">
        <v>-0.13</v>
      </c>
      <c r="AQ58" s="25">
        <v>-0.17</v>
      </c>
      <c r="AR58" s="25">
        <v>0.13</v>
      </c>
      <c r="AS58" s="25">
        <v>-0.26</v>
      </c>
      <c r="AT58" s="25">
        <v>-0.31</v>
      </c>
      <c r="AU58" s="25">
        <v>0.14000000000000001</v>
      </c>
      <c r="AV58" s="25">
        <v>-0.31</v>
      </c>
      <c r="AW58" s="25">
        <v>-0.13250000000000001</v>
      </c>
      <c r="AX58" s="25">
        <v>-0.11749999999999999</v>
      </c>
      <c r="AY58" s="25">
        <v>-0.13250000000000001</v>
      </c>
      <c r="AZ58" s="25">
        <v>-5.2499999999999998E-2</v>
      </c>
      <c r="BA58" s="25">
        <v>-0.14300000000000002</v>
      </c>
      <c r="BB58" s="25">
        <v>-2.35E-2</v>
      </c>
      <c r="BC58" s="25">
        <v>-7.2499999999999995E-2</v>
      </c>
      <c r="BD58" s="25">
        <v>-9.2499999999999999E-2</v>
      </c>
      <c r="BE58" s="25">
        <v>-6.5000000000000002E-2</v>
      </c>
      <c r="BF58" s="25">
        <v>0.09</v>
      </c>
      <c r="BG58" s="25">
        <v>0.28000000000000003</v>
      </c>
      <c r="BH58" s="25">
        <v>0.32250000000000001</v>
      </c>
      <c r="BI58" s="25">
        <v>0.32250000000000001</v>
      </c>
      <c r="BJ58" s="25">
        <v>0.96</v>
      </c>
    </row>
    <row r="59" spans="1:62" x14ac:dyDescent="0.25">
      <c r="A59" s="26" t="e">
        <f>#REF!-B59</f>
        <v>#REF!</v>
      </c>
      <c r="B59" s="26">
        <v>3.3480000000000003</v>
      </c>
      <c r="C59" s="145">
        <v>38384</v>
      </c>
      <c r="D59" s="26">
        <v>3.282</v>
      </c>
      <c r="E59" s="26">
        <v>0.2475</v>
      </c>
      <c r="F59" s="26">
        <v>6.9195160640961997E-2</v>
      </c>
      <c r="G59" s="26">
        <v>-0.20250000000000001</v>
      </c>
      <c r="H59" s="26">
        <v>-0.2175</v>
      </c>
      <c r="I59" s="26">
        <v>-2.2499999999999999E-2</v>
      </c>
      <c r="J59" s="26">
        <v>-0.26750000000000002</v>
      </c>
      <c r="K59" s="26">
        <v>-2.5000000000000001E-3</v>
      </c>
      <c r="L59" s="26">
        <v>-5.2499999999999998E-2</v>
      </c>
      <c r="M59" s="26">
        <v>-0.17249999999999999</v>
      </c>
      <c r="N59" s="26">
        <v>-0.17249999999999999</v>
      </c>
      <c r="O59" s="26">
        <v>-0.20250000000000001</v>
      </c>
      <c r="P59" s="25">
        <v>-0.20250000000000001</v>
      </c>
      <c r="Q59" s="25">
        <v>-9.1249999999999998E-2</v>
      </c>
      <c r="R59" s="25">
        <v>-5.2499999999999998E-2</v>
      </c>
      <c r="S59" s="25">
        <v>0.25750000000000001</v>
      </c>
      <c r="T59" s="25">
        <v>0.25750000000000001</v>
      </c>
      <c r="U59" s="25">
        <v>0.16250000000000001</v>
      </c>
      <c r="V59" s="25">
        <v>0.04</v>
      </c>
      <c r="W59" s="179">
        <v>0.30499999999999999</v>
      </c>
      <c r="X59" s="179">
        <v>0.435</v>
      </c>
      <c r="Y59" s="179">
        <v>-2.8000000000000004E-2</v>
      </c>
      <c r="Z59" s="179">
        <v>-3.5000000000000003E-2</v>
      </c>
      <c r="AA59" s="179">
        <v>-1.3500000000000002E-2</v>
      </c>
      <c r="AB59" s="179">
        <v>-3.1000000000000003E-2</v>
      </c>
      <c r="AC59" s="179">
        <v>5.0000000000000001E-3</v>
      </c>
      <c r="AD59" s="179">
        <v>-1.1500000000000002E-2</v>
      </c>
      <c r="AE59" s="179">
        <v>-6.5000000000000002E-2</v>
      </c>
      <c r="AF59" s="179">
        <v>-5.1000000000000004E-2</v>
      </c>
      <c r="AG59" s="180">
        <v>-6.4500000000000002E-2</v>
      </c>
      <c r="AH59" s="179">
        <v>-1.8500000000000003E-2</v>
      </c>
      <c r="AI59" s="181">
        <v>-7.2000000000000008E-2</v>
      </c>
      <c r="AJ59" s="181">
        <v>-0.13</v>
      </c>
      <c r="AK59" s="29">
        <v>-1.4499999999999999E-2</v>
      </c>
      <c r="AL59" s="25">
        <v>1.2500000000000001E-2</v>
      </c>
      <c r="AM59" s="25">
        <v>1.44</v>
      </c>
      <c r="AN59" s="25">
        <v>-0.04</v>
      </c>
      <c r="AO59" s="25">
        <v>-0.31</v>
      </c>
      <c r="AP59" s="25">
        <v>-0.13</v>
      </c>
      <c r="AQ59" s="25">
        <v>-0.17</v>
      </c>
      <c r="AR59" s="25">
        <v>0</v>
      </c>
      <c r="AS59" s="25">
        <v>-0.26</v>
      </c>
      <c r="AT59" s="25">
        <v>-0.31</v>
      </c>
      <c r="AU59" s="25">
        <v>0.14000000000000001</v>
      </c>
      <c r="AV59" s="25">
        <v>-0.31</v>
      </c>
      <c r="AW59" s="25">
        <v>-0.13500000000000001</v>
      </c>
      <c r="AX59" s="25">
        <v>-0.11749999999999999</v>
      </c>
      <c r="AY59" s="25">
        <v>-0.13500000000000001</v>
      </c>
      <c r="AZ59" s="25">
        <v>-5.2499999999999998E-2</v>
      </c>
      <c r="BA59" s="25">
        <v>-0.1255</v>
      </c>
      <c r="BB59" s="25">
        <v>-2.35E-2</v>
      </c>
      <c r="BC59" s="25">
        <v>-7.2499999999999995E-2</v>
      </c>
      <c r="BD59" s="25">
        <v>-7.4999999999999997E-2</v>
      </c>
      <c r="BE59" s="25">
        <v>-6.5000000000000002E-2</v>
      </c>
      <c r="BF59" s="25">
        <v>0.09</v>
      </c>
      <c r="BG59" s="25">
        <v>0.33</v>
      </c>
      <c r="BH59" s="25">
        <v>0.30249999999999999</v>
      </c>
      <c r="BI59" s="25">
        <v>0.30249999999999999</v>
      </c>
      <c r="BJ59" s="25">
        <v>0.96</v>
      </c>
    </row>
    <row r="60" spans="1:62" x14ac:dyDescent="0.25">
      <c r="A60" s="26" t="e">
        <f>#REF!-B60</f>
        <v>#REF!</v>
      </c>
      <c r="B60" s="26">
        <v>3.5369999999999999</v>
      </c>
      <c r="C60" s="145">
        <v>38412</v>
      </c>
      <c r="D60" s="26">
        <v>3.1180000000000003</v>
      </c>
      <c r="E60" s="26">
        <v>0.24249999999999999</v>
      </c>
      <c r="F60" s="26">
        <v>6.9211590320732999E-2</v>
      </c>
      <c r="G60" s="26">
        <v>-0.20499999999999999</v>
      </c>
      <c r="H60" s="26">
        <v>-0.22</v>
      </c>
      <c r="I60" s="26">
        <v>-2.2499999999999999E-2</v>
      </c>
      <c r="J60" s="26">
        <v>-0.27</v>
      </c>
      <c r="K60" s="26">
        <v>-2.5000000000000001E-3</v>
      </c>
      <c r="L60" s="26">
        <v>-5.2499999999999998E-2</v>
      </c>
      <c r="M60" s="26">
        <v>-0.17499999999999999</v>
      </c>
      <c r="N60" s="26">
        <v>-0.17499999999999999</v>
      </c>
      <c r="O60" s="26">
        <v>-0.20499999999999999</v>
      </c>
      <c r="P60" s="25">
        <v>-0.20499999999999999</v>
      </c>
      <c r="Q60" s="25">
        <v>-8.5000000000000006E-2</v>
      </c>
      <c r="R60" s="25">
        <v>-5.2499999999999998E-2</v>
      </c>
      <c r="S60" s="25">
        <v>0.25750000000000001</v>
      </c>
      <c r="T60" s="25">
        <v>0.25750000000000001</v>
      </c>
      <c r="U60" s="25">
        <v>0.16250000000000001</v>
      </c>
      <c r="V60" s="25">
        <v>0.04</v>
      </c>
      <c r="W60" s="179">
        <v>0.26500000000000001</v>
      </c>
      <c r="X60" s="179">
        <v>0.30249999999999999</v>
      </c>
      <c r="Y60" s="179">
        <v>-2.8000000000000004E-2</v>
      </c>
      <c r="Z60" s="179">
        <v>-3.5000000000000003E-2</v>
      </c>
      <c r="AA60" s="179">
        <v>-1.3500000000000002E-2</v>
      </c>
      <c r="AB60" s="179">
        <v>-3.1000000000000003E-2</v>
      </c>
      <c r="AC60" s="179">
        <v>5.0000000000000001E-3</v>
      </c>
      <c r="AD60" s="179">
        <v>-1.1500000000000002E-2</v>
      </c>
      <c r="AE60" s="179">
        <v>-6.5000000000000002E-2</v>
      </c>
      <c r="AF60" s="179">
        <v>-5.1000000000000004E-2</v>
      </c>
      <c r="AG60" s="180">
        <v>-6.4500000000000002E-2</v>
      </c>
      <c r="AH60" s="179">
        <v>-1.8500000000000003E-2</v>
      </c>
      <c r="AI60" s="181">
        <v>-7.9000000000000001E-2</v>
      </c>
      <c r="AJ60" s="181">
        <v>-0.11749999999999999</v>
      </c>
      <c r="AK60" s="29">
        <v>-1.4499999999999999E-2</v>
      </c>
      <c r="AL60" s="25">
        <v>1.2500000000000001E-2</v>
      </c>
      <c r="AM60" s="25">
        <v>0.83</v>
      </c>
      <c r="AN60" s="25">
        <v>-2.75E-2</v>
      </c>
      <c r="AO60" s="25">
        <v>-0.31</v>
      </c>
      <c r="AP60" s="25">
        <v>-0.13500000000000001</v>
      </c>
      <c r="AQ60" s="25">
        <v>-0.17</v>
      </c>
      <c r="AR60" s="25">
        <v>-0.18</v>
      </c>
      <c r="AS60" s="25">
        <v>-0.26</v>
      </c>
      <c r="AT60" s="25">
        <v>-0.31</v>
      </c>
      <c r="AU60" s="25">
        <v>0.14000000000000001</v>
      </c>
      <c r="AV60" s="25">
        <v>-0.31</v>
      </c>
      <c r="AW60" s="25">
        <v>-0.115</v>
      </c>
      <c r="AX60" s="25">
        <v>-0.11749999999999999</v>
      </c>
      <c r="AY60" s="25">
        <v>-0.115</v>
      </c>
      <c r="AZ60" s="25">
        <v>-5.2499999999999998E-2</v>
      </c>
      <c r="BA60" s="25">
        <v>-0.10800000000000001</v>
      </c>
      <c r="BB60" s="25">
        <v>-2.35E-2</v>
      </c>
      <c r="BC60" s="25">
        <v>-7.2499999999999995E-2</v>
      </c>
      <c r="BD60" s="25">
        <v>-6.25E-2</v>
      </c>
      <c r="BE60" s="25">
        <v>-6.5000000000000002E-2</v>
      </c>
      <c r="BF60" s="25">
        <v>0.09</v>
      </c>
      <c r="BG60" s="25">
        <v>0.32</v>
      </c>
      <c r="BH60" s="25">
        <v>0.30249999999999999</v>
      </c>
      <c r="BI60" s="25">
        <v>0.30249999999999999</v>
      </c>
      <c r="BJ60" s="25">
        <v>0.60250000000000004</v>
      </c>
    </row>
    <row r="61" spans="1:62" x14ac:dyDescent="0.25">
      <c r="A61" s="26" t="e">
        <f>#REF!-B61</f>
        <v>#REF!</v>
      </c>
      <c r="B61" s="26">
        <v>3.4180000000000001</v>
      </c>
      <c r="C61" s="145">
        <v>38443</v>
      </c>
      <c r="D61" s="26">
        <v>2.9460000000000002</v>
      </c>
      <c r="E61" s="26">
        <v>0.23</v>
      </c>
      <c r="F61" s="26">
        <v>6.9229780323440002E-2</v>
      </c>
      <c r="G61" s="26">
        <v>-0.19500000000000001</v>
      </c>
      <c r="H61" s="26">
        <v>-0.21</v>
      </c>
      <c r="I61" s="26">
        <v>-0.11</v>
      </c>
      <c r="J61" s="26">
        <v>-0.26</v>
      </c>
      <c r="K61" s="26">
        <v>-0.09</v>
      </c>
      <c r="L61" s="26">
        <v>-5.5E-2</v>
      </c>
      <c r="M61" s="26">
        <v>-0.16500000000000001</v>
      </c>
      <c r="N61" s="26">
        <v>-0.16500000000000001</v>
      </c>
      <c r="O61" s="26">
        <v>-0.19500000000000001</v>
      </c>
      <c r="P61" s="25">
        <v>-0.19500000000000001</v>
      </c>
      <c r="Q61" s="25">
        <v>-6.5000000000000002E-2</v>
      </c>
      <c r="R61" s="25">
        <v>-5.5E-2</v>
      </c>
      <c r="S61" s="25">
        <v>0.16250000000000001</v>
      </c>
      <c r="T61" s="25">
        <v>0.16250000000000001</v>
      </c>
      <c r="U61" s="25">
        <v>6.7500000000000004E-2</v>
      </c>
      <c r="V61" s="25">
        <v>0.215</v>
      </c>
      <c r="W61" s="179">
        <v>0.19500000000000001</v>
      </c>
      <c r="X61" s="179">
        <v>0.25</v>
      </c>
      <c r="Y61" s="179">
        <v>-2.75E-2</v>
      </c>
      <c r="Z61" s="179">
        <v>-2.5000000000000001E-2</v>
      </c>
      <c r="AA61" s="179">
        <v>5.0000000000000001E-3</v>
      </c>
      <c r="AB61" s="179">
        <v>-1.2500000000000001E-2</v>
      </c>
      <c r="AC61" s="179">
        <v>5.0000000000000001E-3</v>
      </c>
      <c r="AD61" s="179">
        <v>-1.5E-3</v>
      </c>
      <c r="AE61" s="179">
        <v>-6.25E-2</v>
      </c>
      <c r="AF61" s="179">
        <v>-5.3500000000000006E-2</v>
      </c>
      <c r="AG61" s="180">
        <v>-6.2000000000000006E-2</v>
      </c>
      <c r="AH61" s="179">
        <v>-1.6E-2</v>
      </c>
      <c r="AI61" s="181">
        <v>-7.2000000000000008E-2</v>
      </c>
      <c r="AJ61" s="181">
        <v>-7.4999999999999997E-2</v>
      </c>
      <c r="AK61" s="29">
        <v>-2.2000000000000002E-2</v>
      </c>
      <c r="AL61" s="25">
        <v>6.0000000000000001E-3</v>
      </c>
      <c r="AM61" s="25">
        <v>0.45</v>
      </c>
      <c r="AN61" s="25">
        <v>1.4999999999999999E-2</v>
      </c>
      <c r="AO61" s="25">
        <v>-0.38500000000000001</v>
      </c>
      <c r="AP61" s="25">
        <v>-0.12</v>
      </c>
      <c r="AQ61" s="25">
        <v>-0.17</v>
      </c>
      <c r="AR61" s="25">
        <v>-0.28999999999999998</v>
      </c>
      <c r="AS61" s="25">
        <v>-0.33500000000000002</v>
      </c>
      <c r="AT61" s="25">
        <v>-0.38500000000000001</v>
      </c>
      <c r="AU61" s="25">
        <v>0.315</v>
      </c>
      <c r="AV61" s="25">
        <v>-0.38500000000000001</v>
      </c>
      <c r="AW61" s="25">
        <v>-0.11050000000000001</v>
      </c>
      <c r="AX61" s="25">
        <v>-0.11749999999999999</v>
      </c>
      <c r="AY61" s="25">
        <v>-0.11050000000000001</v>
      </c>
      <c r="AZ61" s="25">
        <v>-5.5E-2</v>
      </c>
      <c r="BA61" s="25">
        <v>-0.10050000000000001</v>
      </c>
      <c r="BB61" s="25">
        <v>-2.1000000000000001E-2</v>
      </c>
      <c r="BC61" s="25">
        <v>-0.06</v>
      </c>
      <c r="BD61" s="25">
        <v>-0.02</v>
      </c>
      <c r="BE61" s="25">
        <v>-6.25E-2</v>
      </c>
      <c r="BF61" s="25">
        <v>0.12</v>
      </c>
      <c r="BG61" s="25">
        <v>0.14749999999999999</v>
      </c>
      <c r="BH61" s="25">
        <v>0.1925</v>
      </c>
      <c r="BI61" s="25">
        <v>0.1925</v>
      </c>
      <c r="BJ61" s="25">
        <v>0.35499999999999998</v>
      </c>
    </row>
    <row r="62" spans="1:62" x14ac:dyDescent="0.25">
      <c r="A62" s="26" t="e">
        <f>#REF!-B62</f>
        <v>#REF!</v>
      </c>
      <c r="B62" s="26">
        <v>3.2660000000000005</v>
      </c>
      <c r="C62" s="145">
        <v>38473</v>
      </c>
      <c r="D62" s="26">
        <v>2.9330000000000003</v>
      </c>
      <c r="E62" s="26">
        <v>0.23</v>
      </c>
      <c r="F62" s="26">
        <v>6.9247383551970007E-2</v>
      </c>
      <c r="G62" s="26">
        <v>-0.19500000000000001</v>
      </c>
      <c r="H62" s="26">
        <v>-0.21</v>
      </c>
      <c r="I62" s="26">
        <v>-0.125</v>
      </c>
      <c r="J62" s="26">
        <v>-0.26</v>
      </c>
      <c r="K62" s="26">
        <v>-0.105</v>
      </c>
      <c r="L62" s="26">
        <v>-5.5E-2</v>
      </c>
      <c r="M62" s="26">
        <v>-0.16500000000000001</v>
      </c>
      <c r="N62" s="26">
        <v>-0.16500000000000001</v>
      </c>
      <c r="O62" s="26">
        <v>-0.19500000000000001</v>
      </c>
      <c r="P62" s="25">
        <v>-0.19500000000000001</v>
      </c>
      <c r="Q62" s="25">
        <v>-6.5000000000000002E-2</v>
      </c>
      <c r="R62" s="25">
        <v>-5.5E-2</v>
      </c>
      <c r="S62" s="25">
        <v>0.17249999999999999</v>
      </c>
      <c r="T62" s="25">
        <v>0.17249999999999999</v>
      </c>
      <c r="U62" s="25">
        <v>7.7499999999999999E-2</v>
      </c>
      <c r="V62" s="25">
        <v>0.215</v>
      </c>
      <c r="W62" s="179">
        <v>0.1825</v>
      </c>
      <c r="X62" s="179">
        <v>0.20250000000000001</v>
      </c>
      <c r="Y62" s="179">
        <v>-2.75E-2</v>
      </c>
      <c r="Z62" s="179">
        <v>-2.5249999999999998E-2</v>
      </c>
      <c r="AA62" s="179">
        <v>4.7500000000000007E-3</v>
      </c>
      <c r="AB62" s="179">
        <v>-1.2750000000000001E-2</v>
      </c>
      <c r="AC62" s="179">
        <v>5.0000000000000001E-3</v>
      </c>
      <c r="AD62" s="179">
        <v>-1.5E-3</v>
      </c>
      <c r="AE62" s="179">
        <v>-6.25E-2</v>
      </c>
      <c r="AF62" s="179">
        <v>-5.3500000000000006E-2</v>
      </c>
      <c r="AG62" s="180">
        <v>-6.2000000000000006E-2</v>
      </c>
      <c r="AH62" s="179">
        <v>-1.6E-2</v>
      </c>
      <c r="AI62" s="181">
        <v>-7.2000000000000008E-2</v>
      </c>
      <c r="AJ62" s="181">
        <v>-7.4999999999999997E-2</v>
      </c>
      <c r="AK62" s="29">
        <v>-2.2000000000000002E-2</v>
      </c>
      <c r="AL62" s="25">
        <v>6.0000000000000001E-3</v>
      </c>
      <c r="AM62" s="25">
        <v>0.40500000000000003</v>
      </c>
      <c r="AN62" s="25">
        <v>1.4999999999999999E-2</v>
      </c>
      <c r="AO62" s="25">
        <v>-0.38500000000000001</v>
      </c>
      <c r="AP62" s="25">
        <v>-0.12</v>
      </c>
      <c r="AQ62" s="25">
        <v>-0.17</v>
      </c>
      <c r="AR62" s="25">
        <v>-0.28999999999999998</v>
      </c>
      <c r="AS62" s="25">
        <v>-0.33500000000000002</v>
      </c>
      <c r="AT62" s="25">
        <v>-0.38500000000000001</v>
      </c>
      <c r="AU62" s="25">
        <v>0.315</v>
      </c>
      <c r="AV62" s="25">
        <v>-0.38500000000000001</v>
      </c>
      <c r="AW62" s="25">
        <v>-0.10800000000000001</v>
      </c>
      <c r="AX62" s="25">
        <v>-0.11749999999999999</v>
      </c>
      <c r="AY62" s="25">
        <v>-0.10800000000000001</v>
      </c>
      <c r="AZ62" s="25">
        <v>-5.5E-2</v>
      </c>
      <c r="BA62" s="25">
        <v>-0.10050000000000001</v>
      </c>
      <c r="BB62" s="25">
        <v>-2.1000000000000001E-2</v>
      </c>
      <c r="BC62" s="25">
        <v>-0.06</v>
      </c>
      <c r="BD62" s="25">
        <v>-0.02</v>
      </c>
      <c r="BE62" s="25">
        <v>-6.25E-2</v>
      </c>
      <c r="BF62" s="25">
        <v>0.12</v>
      </c>
      <c r="BG62" s="25">
        <v>0.14749999999999999</v>
      </c>
      <c r="BH62" s="25">
        <v>0.20250000000000001</v>
      </c>
      <c r="BI62" s="25">
        <v>0.20250000000000001</v>
      </c>
      <c r="BJ62" s="25">
        <v>0.28749999999999998</v>
      </c>
    </row>
    <row r="63" spans="1:62" x14ac:dyDescent="0.25">
      <c r="A63" s="26" t="e">
        <f>#REF!-B63</f>
        <v>#REF!</v>
      </c>
      <c r="B63" s="26">
        <v>3.117</v>
      </c>
      <c r="C63" s="145">
        <v>38504</v>
      </c>
      <c r="D63" s="26">
        <v>2.9550000000000001</v>
      </c>
      <c r="E63" s="26">
        <v>0.23</v>
      </c>
      <c r="F63" s="26">
        <v>6.9265573554892018E-2</v>
      </c>
      <c r="G63" s="26">
        <v>-0.19500000000000001</v>
      </c>
      <c r="H63" s="26">
        <v>-0.21</v>
      </c>
      <c r="I63" s="26">
        <v>-0.13500000000000001</v>
      </c>
      <c r="J63" s="26">
        <v>-0.26</v>
      </c>
      <c r="K63" s="26">
        <v>-0.115</v>
      </c>
      <c r="L63" s="26">
        <v>-5.5E-2</v>
      </c>
      <c r="M63" s="26">
        <v>-0.16500000000000001</v>
      </c>
      <c r="N63" s="26">
        <v>-0.16500000000000001</v>
      </c>
      <c r="O63" s="26">
        <v>-0.19500000000000001</v>
      </c>
      <c r="P63" s="25">
        <v>-0.19500000000000001</v>
      </c>
      <c r="Q63" s="25">
        <v>-6.25E-2</v>
      </c>
      <c r="R63" s="25">
        <v>-5.5E-2</v>
      </c>
      <c r="S63" s="25">
        <v>0.16750000000000001</v>
      </c>
      <c r="T63" s="25">
        <v>0.16750000000000001</v>
      </c>
      <c r="U63" s="25">
        <v>7.2499999999999995E-2</v>
      </c>
      <c r="V63" s="25">
        <v>0.215</v>
      </c>
      <c r="W63" s="179">
        <v>0.1825</v>
      </c>
      <c r="X63" s="179">
        <v>0.20250000000000001</v>
      </c>
      <c r="Y63" s="179">
        <v>-2.75E-2</v>
      </c>
      <c r="Z63" s="179">
        <v>-2.5249999999999998E-2</v>
      </c>
      <c r="AA63" s="179">
        <v>4.7500000000000007E-3</v>
      </c>
      <c r="AB63" s="179">
        <v>-1.2750000000000001E-2</v>
      </c>
      <c r="AC63" s="179">
        <v>5.0000000000000001E-3</v>
      </c>
      <c r="AD63" s="179">
        <v>-1.5E-3</v>
      </c>
      <c r="AE63" s="179">
        <v>-6.25E-2</v>
      </c>
      <c r="AF63" s="179">
        <v>-5.3500000000000006E-2</v>
      </c>
      <c r="AG63" s="180">
        <v>-6.2000000000000006E-2</v>
      </c>
      <c r="AH63" s="179">
        <v>-1.6E-2</v>
      </c>
      <c r="AI63" s="181">
        <v>-8.8000000000000009E-2</v>
      </c>
      <c r="AJ63" s="181">
        <v>-7.0000000000000007E-2</v>
      </c>
      <c r="AK63" s="29">
        <v>-2.2000000000000002E-2</v>
      </c>
      <c r="AL63" s="25">
        <v>6.0000000000000001E-3</v>
      </c>
      <c r="AM63" s="25">
        <v>0.39500000000000002</v>
      </c>
      <c r="AN63" s="25">
        <v>0.02</v>
      </c>
      <c r="AO63" s="25">
        <v>-0.38500000000000001</v>
      </c>
      <c r="AP63" s="25">
        <v>-0.12</v>
      </c>
      <c r="AQ63" s="25">
        <v>-0.17</v>
      </c>
      <c r="AR63" s="25">
        <v>-0.28999999999999998</v>
      </c>
      <c r="AS63" s="25">
        <v>-0.33500000000000002</v>
      </c>
      <c r="AT63" s="25">
        <v>-0.38500000000000001</v>
      </c>
      <c r="AU63" s="25">
        <v>0.315</v>
      </c>
      <c r="AV63" s="25">
        <v>-0.38500000000000001</v>
      </c>
      <c r="AW63" s="25">
        <v>-0.10050000000000001</v>
      </c>
      <c r="AX63" s="25">
        <v>-8.7499999999999994E-2</v>
      </c>
      <c r="AY63" s="25">
        <v>-0.10050000000000001</v>
      </c>
      <c r="AZ63" s="25">
        <v>-5.5E-2</v>
      </c>
      <c r="BA63" s="25">
        <v>-9.0500000000000011E-2</v>
      </c>
      <c r="BB63" s="25">
        <v>-2.1000000000000001E-2</v>
      </c>
      <c r="BC63" s="25">
        <v>-0.06</v>
      </c>
      <c r="BD63" s="25">
        <v>-1.4999999999999999E-2</v>
      </c>
      <c r="BE63" s="25">
        <v>-6.25E-2</v>
      </c>
      <c r="BF63" s="25">
        <v>0.12</v>
      </c>
      <c r="BG63" s="25">
        <v>0.14749999999999999</v>
      </c>
      <c r="BH63" s="25">
        <v>0.19750000000000001</v>
      </c>
      <c r="BI63" s="25">
        <v>0.19750000000000001</v>
      </c>
      <c r="BJ63" s="25">
        <v>0.28749999999999998</v>
      </c>
    </row>
    <row r="64" spans="1:62" x14ac:dyDescent="0.25">
      <c r="A64" s="26" t="e">
        <f>#REF!-B64</f>
        <v>#REF!</v>
      </c>
      <c r="B64" s="26">
        <v>3.0910000000000002</v>
      </c>
      <c r="C64" s="145">
        <v>38534</v>
      </c>
      <c r="D64" s="26">
        <v>2.9769999999999999</v>
      </c>
      <c r="E64" s="26">
        <v>0.23</v>
      </c>
      <c r="F64" s="26">
        <v>6.9283176783631023E-2</v>
      </c>
      <c r="G64" s="26">
        <v>-0.19500000000000001</v>
      </c>
      <c r="H64" s="26">
        <v>-0.21</v>
      </c>
      <c r="I64" s="26">
        <v>-0.13500000000000001</v>
      </c>
      <c r="J64" s="26">
        <v>-0.28000000000000003</v>
      </c>
      <c r="K64" s="26">
        <v>-0.115</v>
      </c>
      <c r="L64" s="26">
        <v>-5.5E-2</v>
      </c>
      <c r="M64" s="26">
        <v>-0.16500000000000001</v>
      </c>
      <c r="N64" s="26">
        <v>-0.16500000000000001</v>
      </c>
      <c r="O64" s="26">
        <v>-0.19500000000000001</v>
      </c>
      <c r="P64" s="25">
        <v>-0.19500000000000001</v>
      </c>
      <c r="Q64" s="25">
        <v>-6.1249999999999999E-2</v>
      </c>
      <c r="R64" s="25">
        <v>-5.5E-2</v>
      </c>
      <c r="S64" s="25">
        <v>0.1575</v>
      </c>
      <c r="T64" s="25">
        <v>0.1575</v>
      </c>
      <c r="U64" s="25">
        <v>6.25E-2</v>
      </c>
      <c r="V64" s="25">
        <v>0.215</v>
      </c>
      <c r="W64" s="179">
        <v>0.1825</v>
      </c>
      <c r="X64" s="179">
        <v>0.215</v>
      </c>
      <c r="Y64" s="179">
        <v>-2.75E-2</v>
      </c>
      <c r="Z64" s="179">
        <v>-2.5249999999999998E-2</v>
      </c>
      <c r="AA64" s="179">
        <v>4.7500000000000007E-3</v>
      </c>
      <c r="AB64" s="179">
        <v>-1.2750000000000001E-2</v>
      </c>
      <c r="AC64" s="179">
        <v>5.0000000000000001E-3</v>
      </c>
      <c r="AD64" s="179">
        <v>-1.5E-3</v>
      </c>
      <c r="AE64" s="179">
        <v>-6.25E-2</v>
      </c>
      <c r="AF64" s="179">
        <v>-5.3500000000000006E-2</v>
      </c>
      <c r="AG64" s="180">
        <v>-6.2000000000000006E-2</v>
      </c>
      <c r="AH64" s="179">
        <v>-1.6E-2</v>
      </c>
      <c r="AI64" s="181">
        <v>-8.1000000000000003E-2</v>
      </c>
      <c r="AJ64" s="181">
        <v>-6.7500000000000004E-2</v>
      </c>
      <c r="AK64" s="29">
        <v>-2.2000000000000002E-2</v>
      </c>
      <c r="AL64" s="25">
        <v>6.0000000000000001E-3</v>
      </c>
      <c r="AM64" s="25">
        <v>0.43</v>
      </c>
      <c r="AN64" s="25">
        <v>2.2499999999999999E-2</v>
      </c>
      <c r="AO64" s="25">
        <v>-0.38500000000000001</v>
      </c>
      <c r="AP64" s="25">
        <v>-0.12</v>
      </c>
      <c r="AQ64" s="25">
        <v>-0.17</v>
      </c>
      <c r="AR64" s="25">
        <v>-0.28999999999999998</v>
      </c>
      <c r="AS64" s="25">
        <v>-0.33500000000000002</v>
      </c>
      <c r="AT64" s="25">
        <v>-0.38500000000000001</v>
      </c>
      <c r="AU64" s="25">
        <v>0.315</v>
      </c>
      <c r="AV64" s="25">
        <v>-0.38500000000000001</v>
      </c>
      <c r="AW64" s="25">
        <v>-0.10800000000000001</v>
      </c>
      <c r="AX64" s="25">
        <v>-8.7499999999999994E-2</v>
      </c>
      <c r="AY64" s="25">
        <v>-0.10800000000000001</v>
      </c>
      <c r="AZ64" s="25">
        <v>-5.5E-2</v>
      </c>
      <c r="BA64" s="25">
        <v>-8.5500000000000007E-2</v>
      </c>
      <c r="BB64" s="25">
        <v>-2.1000000000000001E-2</v>
      </c>
      <c r="BC64" s="25">
        <v>-0.06</v>
      </c>
      <c r="BD64" s="25">
        <v>-1.2500000000000001E-2</v>
      </c>
      <c r="BE64" s="25">
        <v>-6.25E-2</v>
      </c>
      <c r="BF64" s="25">
        <v>0.12</v>
      </c>
      <c r="BG64" s="25">
        <v>0.14749999999999999</v>
      </c>
      <c r="BH64" s="25">
        <v>0.1875</v>
      </c>
      <c r="BI64" s="25">
        <v>0.1875</v>
      </c>
      <c r="BJ64" s="25">
        <v>0.3</v>
      </c>
    </row>
    <row r="65" spans="1:62" x14ac:dyDescent="0.25">
      <c r="A65" s="26" t="e">
        <f>#REF!-B65</f>
        <v>#REF!</v>
      </c>
      <c r="B65" s="26">
        <v>3.0730000000000004</v>
      </c>
      <c r="C65" s="145">
        <v>38565</v>
      </c>
      <c r="D65" s="26">
        <v>2.9980000000000002</v>
      </c>
      <c r="E65" s="26">
        <v>0.23</v>
      </c>
      <c r="F65" s="26">
        <v>6.9301366786768015E-2</v>
      </c>
      <c r="G65" s="26">
        <v>-0.19500000000000001</v>
      </c>
      <c r="H65" s="26">
        <v>-0.21</v>
      </c>
      <c r="I65" s="26">
        <v>-0.13500000000000001</v>
      </c>
      <c r="J65" s="26">
        <v>-0.28000000000000003</v>
      </c>
      <c r="K65" s="26">
        <v>-0.115</v>
      </c>
      <c r="L65" s="26">
        <v>-5.5E-2</v>
      </c>
      <c r="M65" s="26">
        <v>-0.16500000000000001</v>
      </c>
      <c r="N65" s="26">
        <v>-0.16500000000000001</v>
      </c>
      <c r="O65" s="26">
        <v>-0.19500000000000001</v>
      </c>
      <c r="P65" s="25">
        <v>-0.19500000000000001</v>
      </c>
      <c r="Q65" s="25">
        <v>-0.06</v>
      </c>
      <c r="R65" s="25">
        <v>-5.5E-2</v>
      </c>
      <c r="S65" s="25">
        <v>0.155</v>
      </c>
      <c r="T65" s="25">
        <v>0.155</v>
      </c>
      <c r="U65" s="25">
        <v>0.06</v>
      </c>
      <c r="V65" s="25">
        <v>0.215</v>
      </c>
      <c r="W65" s="179">
        <v>0.1825</v>
      </c>
      <c r="X65" s="179">
        <v>0.215</v>
      </c>
      <c r="Y65" s="179">
        <v>-2.75E-2</v>
      </c>
      <c r="Z65" s="179">
        <v>-2.5249999999999998E-2</v>
      </c>
      <c r="AA65" s="179">
        <v>4.7500000000000007E-3</v>
      </c>
      <c r="AB65" s="179">
        <v>-1.2750000000000001E-2</v>
      </c>
      <c r="AC65" s="179">
        <v>5.0000000000000001E-3</v>
      </c>
      <c r="AD65" s="179">
        <v>-1.5E-3</v>
      </c>
      <c r="AE65" s="179">
        <v>-6.25E-2</v>
      </c>
      <c r="AF65" s="179">
        <v>-5.3500000000000006E-2</v>
      </c>
      <c r="AG65" s="180">
        <v>-6.2000000000000006E-2</v>
      </c>
      <c r="AH65" s="179">
        <v>-1.6E-2</v>
      </c>
      <c r="AI65" s="181">
        <v>-6.2000000000000006E-2</v>
      </c>
      <c r="AJ65" s="181">
        <v>-6.5000000000000002E-2</v>
      </c>
      <c r="AK65" s="29">
        <v>-2.2000000000000002E-2</v>
      </c>
      <c r="AL65" s="25">
        <v>6.0000000000000001E-3</v>
      </c>
      <c r="AM65" s="25">
        <v>0.495</v>
      </c>
      <c r="AN65" s="25">
        <v>2.5000000000000001E-2</v>
      </c>
      <c r="AO65" s="25">
        <v>-0.38500000000000001</v>
      </c>
      <c r="AP65" s="25">
        <v>-0.12</v>
      </c>
      <c r="AQ65" s="25">
        <v>-0.17</v>
      </c>
      <c r="AR65" s="25">
        <v>-0.28999999999999998</v>
      </c>
      <c r="AS65" s="25">
        <v>-0.33500000000000002</v>
      </c>
      <c r="AT65" s="25">
        <v>-0.38500000000000001</v>
      </c>
      <c r="AU65" s="25">
        <v>0.315</v>
      </c>
      <c r="AV65" s="25">
        <v>-0.38500000000000001</v>
      </c>
      <c r="AW65" s="25">
        <v>-9.5500000000000015E-2</v>
      </c>
      <c r="AX65" s="25">
        <v>-8.7499999999999994E-2</v>
      </c>
      <c r="AY65" s="25">
        <v>-9.5500000000000015E-2</v>
      </c>
      <c r="AZ65" s="25">
        <v>-5.5E-2</v>
      </c>
      <c r="BA65" s="25">
        <v>-8.5500000000000007E-2</v>
      </c>
      <c r="BB65" s="25">
        <v>-2.1000000000000001E-2</v>
      </c>
      <c r="BC65" s="25">
        <v>-0.06</v>
      </c>
      <c r="BD65" s="25">
        <v>-0.01</v>
      </c>
      <c r="BE65" s="25">
        <v>-6.25E-2</v>
      </c>
      <c r="BF65" s="25">
        <v>0.12</v>
      </c>
      <c r="BG65" s="25">
        <v>0.14749999999999999</v>
      </c>
      <c r="BH65" s="25">
        <v>0.185</v>
      </c>
      <c r="BI65" s="25">
        <v>0.185</v>
      </c>
      <c r="BJ65" s="25">
        <v>0.3</v>
      </c>
    </row>
    <row r="66" spans="1:62" x14ac:dyDescent="0.25">
      <c r="A66" s="26" t="e">
        <f>#REF!-B66</f>
        <v>#REF!</v>
      </c>
      <c r="B66" s="26">
        <v>3.1380000000000003</v>
      </c>
      <c r="C66" s="145">
        <v>38596</v>
      </c>
      <c r="D66" s="26">
        <v>2.9860000000000002</v>
      </c>
      <c r="E66" s="26">
        <v>0.23</v>
      </c>
      <c r="F66" s="26">
        <v>6.9319556790016015E-2</v>
      </c>
      <c r="G66" s="26">
        <v>-0.19500000000000001</v>
      </c>
      <c r="H66" s="26">
        <v>-0.21</v>
      </c>
      <c r="I66" s="26">
        <v>-0.125</v>
      </c>
      <c r="J66" s="26">
        <v>-0.28000000000000003</v>
      </c>
      <c r="K66" s="26">
        <v>-0.105</v>
      </c>
      <c r="L66" s="26">
        <v>-5.5E-2</v>
      </c>
      <c r="M66" s="26">
        <v>-0.16500000000000001</v>
      </c>
      <c r="N66" s="26">
        <v>-0.16500000000000001</v>
      </c>
      <c r="O66" s="26">
        <v>-0.19500000000000001</v>
      </c>
      <c r="P66" s="25">
        <v>-0.19500000000000001</v>
      </c>
      <c r="Q66" s="25">
        <v>-6.3750000000000001E-2</v>
      </c>
      <c r="R66" s="25">
        <v>-5.5E-2</v>
      </c>
      <c r="S66" s="25">
        <v>0.1525</v>
      </c>
      <c r="T66" s="25">
        <v>0.1525</v>
      </c>
      <c r="U66" s="25">
        <v>5.7500000000000002E-2</v>
      </c>
      <c r="V66" s="25">
        <v>0.215</v>
      </c>
      <c r="W66" s="179">
        <v>0.1825</v>
      </c>
      <c r="X66" s="179">
        <v>0.19500000000000001</v>
      </c>
      <c r="Y66" s="179">
        <v>-2.75E-2</v>
      </c>
      <c r="Z66" s="179">
        <v>-2.5249999999999998E-2</v>
      </c>
      <c r="AA66" s="179">
        <v>4.7500000000000007E-3</v>
      </c>
      <c r="AB66" s="179">
        <v>-1.2750000000000001E-2</v>
      </c>
      <c r="AC66" s="179">
        <v>5.0000000000000001E-3</v>
      </c>
      <c r="AD66" s="179">
        <v>-1.5E-3</v>
      </c>
      <c r="AE66" s="179">
        <v>-6.25E-2</v>
      </c>
      <c r="AF66" s="179">
        <v>-5.1000000000000004E-2</v>
      </c>
      <c r="AG66" s="180">
        <v>-5.9500000000000004E-2</v>
      </c>
      <c r="AH66" s="179">
        <v>-1.6E-2</v>
      </c>
      <c r="AI66" s="181">
        <v>-0.06</v>
      </c>
      <c r="AJ66" s="181">
        <v>-7.2499999999999995E-2</v>
      </c>
      <c r="AK66" s="29">
        <v>-2.2000000000000002E-2</v>
      </c>
      <c r="AL66" s="25">
        <v>6.0000000000000001E-3</v>
      </c>
      <c r="AM66" s="25">
        <v>0.39500000000000002</v>
      </c>
      <c r="AN66" s="25">
        <v>1.7500000000000002E-2</v>
      </c>
      <c r="AO66" s="25">
        <v>-0.38500000000000001</v>
      </c>
      <c r="AP66" s="25">
        <v>-0.12</v>
      </c>
      <c r="AQ66" s="25">
        <v>-0.17</v>
      </c>
      <c r="AR66" s="25">
        <v>-0.28999999999999998</v>
      </c>
      <c r="AS66" s="25">
        <v>-0.33500000000000002</v>
      </c>
      <c r="AT66" s="25">
        <v>-0.38500000000000001</v>
      </c>
      <c r="AU66" s="25">
        <v>0.315</v>
      </c>
      <c r="AV66" s="25">
        <v>-0.38500000000000001</v>
      </c>
      <c r="AW66" s="25">
        <v>-0.10050000000000001</v>
      </c>
      <c r="AX66" s="25">
        <v>-8.7499999999999994E-2</v>
      </c>
      <c r="AY66" s="25">
        <v>-0.10050000000000001</v>
      </c>
      <c r="AZ66" s="25">
        <v>-5.5E-2</v>
      </c>
      <c r="BA66" s="25">
        <v>-0.10050000000000001</v>
      </c>
      <c r="BB66" s="25">
        <v>-2.1000000000000001E-2</v>
      </c>
      <c r="BC66" s="25">
        <v>-0.06</v>
      </c>
      <c r="BD66" s="25">
        <v>-1.7500000000000002E-2</v>
      </c>
      <c r="BE66" s="25">
        <v>-6.25E-2</v>
      </c>
      <c r="BF66" s="25">
        <v>0.12</v>
      </c>
      <c r="BG66" s="25">
        <v>0.14749999999999999</v>
      </c>
      <c r="BH66" s="25">
        <v>0.1825</v>
      </c>
      <c r="BI66" s="25">
        <v>0.1825</v>
      </c>
      <c r="BJ66" s="25">
        <v>0.28999999999999998</v>
      </c>
    </row>
    <row r="67" spans="1:62" x14ac:dyDescent="0.25">
      <c r="A67" s="26" t="e">
        <f>#REF!-B67</f>
        <v>#REF!</v>
      </c>
      <c r="B67" s="26">
        <v>3.133</v>
      </c>
      <c r="C67" s="145">
        <v>38626</v>
      </c>
      <c r="D67" s="26">
        <v>2.9890000000000003</v>
      </c>
      <c r="E67" s="26">
        <v>0.23</v>
      </c>
      <c r="F67" s="26">
        <v>6.9335600640494002E-2</v>
      </c>
      <c r="G67" s="26">
        <v>-0.19500000000000001</v>
      </c>
      <c r="H67" s="26">
        <v>-0.21</v>
      </c>
      <c r="I67" s="26">
        <v>-0.11</v>
      </c>
      <c r="J67" s="26">
        <v>-0.28000000000000003</v>
      </c>
      <c r="K67" s="26">
        <v>-0.09</v>
      </c>
      <c r="L67" s="26">
        <v>-5.5E-2</v>
      </c>
      <c r="M67" s="26">
        <v>-0.16500000000000001</v>
      </c>
      <c r="N67" s="26">
        <v>-0.16500000000000001</v>
      </c>
      <c r="O67" s="26">
        <v>-0.19500000000000001</v>
      </c>
      <c r="P67" s="25">
        <v>-0.19500000000000001</v>
      </c>
      <c r="Q67" s="25">
        <v>-6.8750000000000006E-2</v>
      </c>
      <c r="R67" s="25">
        <v>-5.5E-2</v>
      </c>
      <c r="S67" s="25">
        <v>0.16750000000000001</v>
      </c>
      <c r="T67" s="25">
        <v>0.16750000000000001</v>
      </c>
      <c r="U67" s="25">
        <v>7.2499999999999995E-2</v>
      </c>
      <c r="V67" s="25">
        <v>0.215</v>
      </c>
      <c r="W67" s="179">
        <v>0.1875</v>
      </c>
      <c r="X67" s="179">
        <v>0.215</v>
      </c>
      <c r="Y67" s="179">
        <v>-2.75E-2</v>
      </c>
      <c r="Z67" s="179">
        <v>-2.5249999999999998E-2</v>
      </c>
      <c r="AA67" s="179">
        <v>4.7500000000000007E-3</v>
      </c>
      <c r="AB67" s="179">
        <v>-1.2750000000000001E-2</v>
      </c>
      <c r="AC67" s="179">
        <v>5.0000000000000001E-3</v>
      </c>
      <c r="AD67" s="179">
        <v>-1.5E-3</v>
      </c>
      <c r="AE67" s="179">
        <v>-6.25E-2</v>
      </c>
      <c r="AF67" s="179">
        <v>-5.1000000000000004E-2</v>
      </c>
      <c r="AG67" s="180">
        <v>-5.9500000000000004E-2</v>
      </c>
      <c r="AH67" s="179">
        <v>-1.6E-2</v>
      </c>
      <c r="AI67" s="181">
        <v>-6.2000000000000006E-2</v>
      </c>
      <c r="AJ67" s="181">
        <v>-8.2500000000000004E-2</v>
      </c>
      <c r="AK67" s="29">
        <v>-2.2000000000000002E-2</v>
      </c>
      <c r="AL67" s="25">
        <v>6.0000000000000001E-3</v>
      </c>
      <c r="AM67" s="25">
        <v>0.46100000000000002</v>
      </c>
      <c r="AN67" s="25">
        <v>7.4999999999999997E-3</v>
      </c>
      <c r="AO67" s="25">
        <v>-0.38500000000000001</v>
      </c>
      <c r="AP67" s="25">
        <v>-0.12</v>
      </c>
      <c r="AQ67" s="25">
        <v>-0.17</v>
      </c>
      <c r="AR67" s="25">
        <v>-0.28999999999999998</v>
      </c>
      <c r="AS67" s="25">
        <v>-0.33500000000000002</v>
      </c>
      <c r="AT67" s="25">
        <v>-0.38500000000000001</v>
      </c>
      <c r="AU67" s="25">
        <v>0.315</v>
      </c>
      <c r="AV67" s="25">
        <v>-0.38500000000000001</v>
      </c>
      <c r="AW67" s="25">
        <v>-0.11050000000000001</v>
      </c>
      <c r="AX67" s="25">
        <v>-8.7499999999999994E-2</v>
      </c>
      <c r="AY67" s="25">
        <v>-0.11050000000000001</v>
      </c>
      <c r="AZ67" s="25">
        <v>-5.5E-2</v>
      </c>
      <c r="BA67" s="25">
        <v>-0.10300000000000001</v>
      </c>
      <c r="BB67" s="25">
        <v>-2.1000000000000001E-2</v>
      </c>
      <c r="BC67" s="25">
        <v>-0.06</v>
      </c>
      <c r="BD67" s="25">
        <v>-2.75E-2</v>
      </c>
      <c r="BE67" s="25">
        <v>-6.25E-2</v>
      </c>
      <c r="BF67" s="25">
        <v>0.12</v>
      </c>
      <c r="BG67" s="25">
        <v>0.14749999999999999</v>
      </c>
      <c r="BH67" s="25">
        <v>0.19750000000000001</v>
      </c>
      <c r="BI67" s="25">
        <v>0.19750000000000001</v>
      </c>
      <c r="BJ67" s="25">
        <v>0.36249999999999999</v>
      </c>
    </row>
    <row r="68" spans="1:62" x14ac:dyDescent="0.25">
      <c r="A68" s="26" t="e">
        <f>#REF!-B68</f>
        <v>#REF!</v>
      </c>
      <c r="B68" s="26">
        <v>3.1210000000000004</v>
      </c>
      <c r="C68" s="145">
        <v>38657</v>
      </c>
      <c r="D68" s="26">
        <v>3.0710000000000002</v>
      </c>
      <c r="E68" s="26">
        <v>0.23</v>
      </c>
      <c r="F68" s="26">
        <v>6.9351857014504012E-2</v>
      </c>
      <c r="G68" s="26">
        <v>-0.19</v>
      </c>
      <c r="H68" s="26">
        <v>-0.20499999999999999</v>
      </c>
      <c r="I68" s="26">
        <v>-4.4999999999999998E-2</v>
      </c>
      <c r="J68" s="26">
        <v>-0.27500000000000002</v>
      </c>
      <c r="K68" s="26">
        <v>-2.5000000000000001E-2</v>
      </c>
      <c r="L68" s="26">
        <v>-0.06</v>
      </c>
      <c r="M68" s="26">
        <v>-0.16</v>
      </c>
      <c r="N68" s="26">
        <v>-0.16</v>
      </c>
      <c r="O68" s="26">
        <v>-0.19</v>
      </c>
      <c r="P68" s="25">
        <v>-0.19</v>
      </c>
      <c r="Q68" s="25">
        <v>-9.1249999999999998E-2</v>
      </c>
      <c r="R68" s="25">
        <v>-0.06</v>
      </c>
      <c r="S68" s="25">
        <v>0.22500000000000001</v>
      </c>
      <c r="T68" s="25">
        <v>0.22500000000000001</v>
      </c>
      <c r="U68" s="25">
        <v>0.13</v>
      </c>
      <c r="V68" s="25">
        <v>0.04</v>
      </c>
      <c r="W68" s="179">
        <v>0.27</v>
      </c>
      <c r="X68" s="179">
        <v>0.28749999999999998</v>
      </c>
      <c r="Y68" s="179">
        <v>-3.0500000000000003E-2</v>
      </c>
      <c r="Z68" s="179">
        <v>-4.2500000000000003E-2</v>
      </c>
      <c r="AA68" s="179">
        <v>-1.3500000000000002E-2</v>
      </c>
      <c r="AB68" s="179">
        <v>-3.1000000000000003E-2</v>
      </c>
      <c r="AC68" s="179">
        <v>5.0000000000000001E-3</v>
      </c>
      <c r="AD68" s="179">
        <v>-9.5000000000000015E-3</v>
      </c>
      <c r="AE68" s="179">
        <v>-6.5000000000000002E-2</v>
      </c>
      <c r="AF68" s="179">
        <v>-5.1000000000000004E-2</v>
      </c>
      <c r="AG68" s="180">
        <v>-6.25E-2</v>
      </c>
      <c r="AH68" s="179">
        <v>-1.7500000000000002E-2</v>
      </c>
      <c r="AI68" s="181">
        <v>-7.6999999999999999E-2</v>
      </c>
      <c r="AJ68" s="181">
        <v>-0.1225</v>
      </c>
      <c r="AK68" s="29">
        <v>-1.4499999999999999E-2</v>
      </c>
      <c r="AL68" s="25">
        <v>1.3500000000000002E-2</v>
      </c>
      <c r="AM68" s="25">
        <v>0.76749999999999996</v>
      </c>
      <c r="AN68" s="25">
        <v>-3.2500000000000001E-2</v>
      </c>
      <c r="AO68" s="25">
        <v>-0.31</v>
      </c>
      <c r="AP68" s="25">
        <v>-0.13250000000000001</v>
      </c>
      <c r="AQ68" s="25">
        <v>-0.17</v>
      </c>
      <c r="AR68" s="25">
        <v>0</v>
      </c>
      <c r="AS68" s="25">
        <v>-0.26</v>
      </c>
      <c r="AT68" s="25">
        <v>-0.31</v>
      </c>
      <c r="AU68" s="25">
        <v>0.14000000000000001</v>
      </c>
      <c r="AV68" s="25">
        <v>-0.31</v>
      </c>
      <c r="AW68" s="25">
        <v>-0.11550000000000001</v>
      </c>
      <c r="AX68" s="25">
        <v>-0.125</v>
      </c>
      <c r="AY68" s="25">
        <v>-0.11550000000000001</v>
      </c>
      <c r="AZ68" s="25">
        <v>-0.06</v>
      </c>
      <c r="BA68" s="25">
        <v>-0.10050000000000001</v>
      </c>
      <c r="BB68" s="25">
        <v>-2.2499999999999999E-2</v>
      </c>
      <c r="BC68" s="25">
        <v>-0.08</v>
      </c>
      <c r="BD68" s="25">
        <v>-6.7500000000000004E-2</v>
      </c>
      <c r="BE68" s="25">
        <v>-6.5000000000000002E-2</v>
      </c>
      <c r="BF68" s="25">
        <v>0.09</v>
      </c>
      <c r="BG68" s="25">
        <v>0.27500000000000002</v>
      </c>
      <c r="BH68" s="25">
        <v>0.27</v>
      </c>
      <c r="BI68" s="25">
        <v>0.27</v>
      </c>
      <c r="BJ68" s="25">
        <v>0.46500000000000002</v>
      </c>
    </row>
    <row r="69" spans="1:62" x14ac:dyDescent="0.25">
      <c r="A69" s="26" t="e">
        <f>#REF!-B69</f>
        <v>#REF!</v>
      </c>
      <c r="B69" s="26">
        <v>3.137</v>
      </c>
      <c r="C69" s="145">
        <v>38687</v>
      </c>
      <c r="D69" s="26">
        <v>3.1469999999999998</v>
      </c>
      <c r="E69" s="26">
        <v>0.23250000000000001</v>
      </c>
      <c r="F69" s="26">
        <v>6.9367588989436013E-2</v>
      </c>
      <c r="G69" s="26">
        <v>-0.19750000000000001</v>
      </c>
      <c r="H69" s="26">
        <v>-0.21249999999999999</v>
      </c>
      <c r="I69" s="26">
        <v>-3.7499999999999999E-2</v>
      </c>
      <c r="J69" s="26">
        <v>-0.28249999999999997</v>
      </c>
      <c r="K69" s="26">
        <v>-1.7500000000000002E-2</v>
      </c>
      <c r="L69" s="26">
        <v>-0.06</v>
      </c>
      <c r="M69" s="26">
        <v>-0.16750000000000001</v>
      </c>
      <c r="N69" s="26">
        <v>-0.16750000000000001</v>
      </c>
      <c r="O69" s="26">
        <v>-0.19750000000000001</v>
      </c>
      <c r="P69" s="25">
        <v>-0.19750000000000001</v>
      </c>
      <c r="Q69" s="25">
        <v>-0.10249999999999999</v>
      </c>
      <c r="R69" s="25">
        <v>-0.06</v>
      </c>
      <c r="S69" s="25">
        <v>0.26500000000000001</v>
      </c>
      <c r="T69" s="25">
        <v>0.26500000000000001</v>
      </c>
      <c r="U69" s="25">
        <v>0.17</v>
      </c>
      <c r="V69" s="25">
        <v>0.04</v>
      </c>
      <c r="W69" s="179">
        <v>0.30499999999999999</v>
      </c>
      <c r="X69" s="179">
        <v>0.33750000000000002</v>
      </c>
      <c r="Y69" s="179">
        <v>-3.0500000000000003E-2</v>
      </c>
      <c r="Z69" s="179">
        <v>-3.5000000000000003E-2</v>
      </c>
      <c r="AA69" s="179">
        <v>-1.3500000000000002E-2</v>
      </c>
      <c r="AB69" s="179">
        <v>-3.1000000000000003E-2</v>
      </c>
      <c r="AC69" s="179">
        <v>5.0000000000000001E-3</v>
      </c>
      <c r="AD69" s="179">
        <v>-9.5000000000000015E-3</v>
      </c>
      <c r="AE69" s="179">
        <v>-6.5000000000000002E-2</v>
      </c>
      <c r="AF69" s="179">
        <v>-5.1000000000000004E-2</v>
      </c>
      <c r="AG69" s="180">
        <v>-6.25E-2</v>
      </c>
      <c r="AH69" s="179">
        <v>-1.7500000000000002E-2</v>
      </c>
      <c r="AI69" s="181">
        <v>-7.6999999999999999E-2</v>
      </c>
      <c r="AJ69" s="181">
        <v>-0.14499999999999999</v>
      </c>
      <c r="AK69" s="29">
        <v>-1.4499999999999999E-2</v>
      </c>
      <c r="AL69" s="25">
        <v>1.3500000000000002E-2</v>
      </c>
      <c r="AM69" s="25">
        <v>1.19</v>
      </c>
      <c r="AN69" s="25">
        <v>-5.5E-2</v>
      </c>
      <c r="AO69" s="25">
        <v>-0.31</v>
      </c>
      <c r="AP69" s="25">
        <v>-0.1275</v>
      </c>
      <c r="AQ69" s="25">
        <v>-0.17</v>
      </c>
      <c r="AR69" s="25">
        <v>0.06</v>
      </c>
      <c r="AS69" s="25">
        <v>-0.26</v>
      </c>
      <c r="AT69" s="25">
        <v>-0.31</v>
      </c>
      <c r="AU69" s="25">
        <v>0.14000000000000001</v>
      </c>
      <c r="AV69" s="25">
        <v>-0.31</v>
      </c>
      <c r="AW69" s="25">
        <v>-0.14550000000000002</v>
      </c>
      <c r="AX69" s="25">
        <v>-0.125</v>
      </c>
      <c r="AY69" s="25">
        <v>-0.14550000000000002</v>
      </c>
      <c r="AZ69" s="25">
        <v>-0.06</v>
      </c>
      <c r="BA69" s="25">
        <v>-0.13550000000000001</v>
      </c>
      <c r="BB69" s="25">
        <v>-2.2499999999999999E-2</v>
      </c>
      <c r="BC69" s="25">
        <v>-0.08</v>
      </c>
      <c r="BD69" s="25">
        <v>-0.09</v>
      </c>
      <c r="BE69" s="25">
        <v>-6.5000000000000002E-2</v>
      </c>
      <c r="BF69" s="25">
        <v>0.09</v>
      </c>
      <c r="BG69" s="25">
        <v>0.245</v>
      </c>
      <c r="BH69" s="25">
        <v>0.31</v>
      </c>
      <c r="BI69" s="25">
        <v>0.31</v>
      </c>
      <c r="BJ69" s="25">
        <v>0.8</v>
      </c>
    </row>
    <row r="70" spans="1:62" x14ac:dyDescent="0.25">
      <c r="A70" s="26" t="e">
        <f>#REF!-B70</f>
        <v>#REF!</v>
      </c>
      <c r="B70" s="26">
        <v>3.2390000000000003</v>
      </c>
      <c r="C70" s="145">
        <v>38718</v>
      </c>
      <c r="D70" s="26">
        <v>3.403</v>
      </c>
      <c r="E70" s="26">
        <v>0.23250000000000001</v>
      </c>
      <c r="F70" s="26">
        <v>6.9383845363617996E-2</v>
      </c>
      <c r="G70" s="26">
        <v>-0.2</v>
      </c>
      <c r="H70" s="26">
        <v>-0.215</v>
      </c>
      <c r="I70" s="26">
        <v>-2.2499999999999999E-2</v>
      </c>
      <c r="J70" s="26">
        <v>-0.26500000000000001</v>
      </c>
      <c r="K70" s="26">
        <v>-2.5000000000000001E-3</v>
      </c>
      <c r="L70" s="26">
        <v>-0.06</v>
      </c>
      <c r="M70" s="26">
        <v>-0.17</v>
      </c>
      <c r="N70" s="26">
        <v>-0.17</v>
      </c>
      <c r="O70" s="26">
        <v>-0.2</v>
      </c>
      <c r="P70" s="25">
        <v>-0.2</v>
      </c>
      <c r="Q70" s="25">
        <v>-0.10375</v>
      </c>
      <c r="R70" s="25">
        <v>-0.06</v>
      </c>
      <c r="S70" s="25">
        <v>0.31</v>
      </c>
      <c r="T70" s="25">
        <v>0.31</v>
      </c>
      <c r="U70" s="25">
        <v>0.215</v>
      </c>
      <c r="V70" s="25">
        <v>0.04</v>
      </c>
      <c r="W70" s="179">
        <v>0.30499999999999999</v>
      </c>
      <c r="X70" s="179">
        <v>0.4375</v>
      </c>
      <c r="Y70" s="179">
        <v>-2.6000000000000002E-2</v>
      </c>
      <c r="Z70" s="179">
        <v>-3.5000000000000003E-2</v>
      </c>
      <c r="AA70" s="179">
        <v>-1.3500000000000002E-2</v>
      </c>
      <c r="AB70" s="179">
        <v>-3.1000000000000003E-2</v>
      </c>
      <c r="AC70" s="179">
        <v>5.0000000000000001E-3</v>
      </c>
      <c r="AD70" s="179">
        <v>-9.5000000000000015E-3</v>
      </c>
      <c r="AE70" s="179">
        <v>-6.5000000000000002E-2</v>
      </c>
      <c r="AF70" s="179">
        <v>-4.9000000000000002E-2</v>
      </c>
      <c r="AG70" s="180">
        <v>-6.25E-2</v>
      </c>
      <c r="AH70" s="179">
        <v>-1.7500000000000002E-2</v>
      </c>
      <c r="AI70" s="181">
        <v>-7.0000000000000007E-2</v>
      </c>
      <c r="AJ70" s="181">
        <v>-0.14749999999999999</v>
      </c>
      <c r="AK70" s="29">
        <v>-1.2500000000000001E-2</v>
      </c>
      <c r="AL70" s="25">
        <v>1.3500000000000002E-2</v>
      </c>
      <c r="AM70" s="25">
        <v>1.5249999999999999</v>
      </c>
      <c r="AN70" s="25">
        <v>-5.7500000000000002E-2</v>
      </c>
      <c r="AO70" s="25">
        <v>-0.31</v>
      </c>
      <c r="AP70" s="25">
        <v>-0.1275</v>
      </c>
      <c r="AQ70" s="25">
        <v>-0.17</v>
      </c>
      <c r="AR70" s="25">
        <v>0.13</v>
      </c>
      <c r="AS70" s="25">
        <v>-0.26</v>
      </c>
      <c r="AT70" s="25">
        <v>-0.31</v>
      </c>
      <c r="AU70" s="25">
        <v>0.14000000000000001</v>
      </c>
      <c r="AV70" s="25">
        <v>-0.31</v>
      </c>
      <c r="AW70" s="25">
        <v>-0.1305</v>
      </c>
      <c r="AX70" s="25">
        <v>-0.125</v>
      </c>
      <c r="AY70" s="25">
        <v>-0.1305</v>
      </c>
      <c r="AZ70" s="25">
        <v>-0.06</v>
      </c>
      <c r="BA70" s="25">
        <v>-0.14099999999999999</v>
      </c>
      <c r="BB70" s="25">
        <v>-2.2499999999999999E-2</v>
      </c>
      <c r="BC70" s="25">
        <v>-0.08</v>
      </c>
      <c r="BD70" s="25">
        <v>-9.2499999999999999E-2</v>
      </c>
      <c r="BE70" s="25">
        <v>-6.5000000000000002E-2</v>
      </c>
      <c r="BF70" s="25">
        <v>0.09</v>
      </c>
      <c r="BG70" s="25">
        <v>0.28000000000000003</v>
      </c>
      <c r="BH70" s="25">
        <v>0.35499999999999998</v>
      </c>
      <c r="BI70" s="25">
        <v>0.35499999999999998</v>
      </c>
      <c r="BJ70" s="25">
        <v>0.97499999999999998</v>
      </c>
    </row>
    <row r="71" spans="1:62" x14ac:dyDescent="0.25">
      <c r="A71" s="26" t="e">
        <f>#REF!-B71</f>
        <v>#REF!</v>
      </c>
      <c r="B71" s="26">
        <v>3.3420000000000001</v>
      </c>
      <c r="C71" s="145">
        <v>38749</v>
      </c>
      <c r="D71" s="26">
        <v>3.2730000000000001</v>
      </c>
      <c r="E71" s="26">
        <v>0.23</v>
      </c>
      <c r="F71" s="26">
        <v>6.9400101737888006E-2</v>
      </c>
      <c r="G71" s="26">
        <v>-0.20250000000000001</v>
      </c>
      <c r="H71" s="26">
        <v>-0.2175</v>
      </c>
      <c r="I71" s="26">
        <v>-2.2499999999999999E-2</v>
      </c>
      <c r="J71" s="26">
        <v>-0.26750000000000002</v>
      </c>
      <c r="K71" s="26">
        <v>-2.5000000000000001E-3</v>
      </c>
      <c r="L71" s="26">
        <v>-0.06</v>
      </c>
      <c r="M71" s="26">
        <v>-0.17249999999999999</v>
      </c>
      <c r="N71" s="26">
        <v>-0.17249999999999999</v>
      </c>
      <c r="O71" s="26">
        <v>-0.20250000000000001</v>
      </c>
      <c r="P71" s="25">
        <v>-0.20250000000000001</v>
      </c>
      <c r="Q71" s="25">
        <v>-9.5000000000000001E-2</v>
      </c>
      <c r="R71" s="25">
        <v>-0.06</v>
      </c>
      <c r="S71" s="25">
        <v>0.28499999999999998</v>
      </c>
      <c r="T71" s="25">
        <v>0.28499999999999998</v>
      </c>
      <c r="U71" s="25">
        <v>0.19</v>
      </c>
      <c r="V71" s="25">
        <v>0.04</v>
      </c>
      <c r="W71" s="179">
        <v>0.30499999999999999</v>
      </c>
      <c r="X71" s="179">
        <v>0.435</v>
      </c>
      <c r="Y71" s="179">
        <v>-2.6000000000000002E-2</v>
      </c>
      <c r="Z71" s="179">
        <v>-3.5000000000000003E-2</v>
      </c>
      <c r="AA71" s="179">
        <v>-1.3500000000000002E-2</v>
      </c>
      <c r="AB71" s="179">
        <v>-3.1000000000000003E-2</v>
      </c>
      <c r="AC71" s="179">
        <v>5.0000000000000001E-3</v>
      </c>
      <c r="AD71" s="179">
        <v>-9.5000000000000015E-3</v>
      </c>
      <c r="AE71" s="179">
        <v>-6.5000000000000002E-2</v>
      </c>
      <c r="AF71" s="179">
        <v>-4.9000000000000002E-2</v>
      </c>
      <c r="AG71" s="180">
        <v>-6.25E-2</v>
      </c>
      <c r="AH71" s="179">
        <v>-1.7500000000000002E-2</v>
      </c>
      <c r="AI71" s="181">
        <v>-7.0000000000000007E-2</v>
      </c>
      <c r="AJ71" s="181">
        <v>-0.13</v>
      </c>
      <c r="AK71" s="29">
        <v>-1.2500000000000001E-2</v>
      </c>
      <c r="AL71" s="25">
        <v>1.3500000000000002E-2</v>
      </c>
      <c r="AM71" s="25">
        <v>1.4550000000000001</v>
      </c>
      <c r="AN71" s="25">
        <v>-0.04</v>
      </c>
      <c r="AO71" s="25">
        <v>-0.31</v>
      </c>
      <c r="AP71" s="25">
        <v>-0.1275</v>
      </c>
      <c r="AQ71" s="25">
        <v>-0.17</v>
      </c>
      <c r="AR71" s="25">
        <v>0</v>
      </c>
      <c r="AS71" s="25">
        <v>-0.26</v>
      </c>
      <c r="AT71" s="25">
        <v>-0.31</v>
      </c>
      <c r="AU71" s="25">
        <v>0.14000000000000001</v>
      </c>
      <c r="AV71" s="25">
        <v>-0.31</v>
      </c>
      <c r="AW71" s="25">
        <v>-0.13300000000000001</v>
      </c>
      <c r="AX71" s="25">
        <v>-0.125</v>
      </c>
      <c r="AY71" s="25">
        <v>-0.13300000000000001</v>
      </c>
      <c r="AZ71" s="25">
        <v>-0.06</v>
      </c>
      <c r="BA71" s="25">
        <v>-0.1235</v>
      </c>
      <c r="BB71" s="25">
        <v>-2.2499999999999999E-2</v>
      </c>
      <c r="BC71" s="25">
        <v>-0.08</v>
      </c>
      <c r="BD71" s="25">
        <v>-7.4999999999999997E-2</v>
      </c>
      <c r="BE71" s="25">
        <v>-6.5000000000000002E-2</v>
      </c>
      <c r="BF71" s="25">
        <v>0.09</v>
      </c>
      <c r="BG71" s="25">
        <v>0.33</v>
      </c>
      <c r="BH71" s="25">
        <v>0.33</v>
      </c>
      <c r="BI71" s="25">
        <v>0.33</v>
      </c>
      <c r="BJ71" s="25">
        <v>0.97499999999999998</v>
      </c>
    </row>
    <row r="72" spans="1:62" x14ac:dyDescent="0.25">
      <c r="A72" s="26" t="e">
        <f>#REF!-B72</f>
        <v>#REF!</v>
      </c>
      <c r="B72" s="26">
        <v>3.5440000000000005</v>
      </c>
      <c r="C72" s="145">
        <v>38777</v>
      </c>
      <c r="D72" s="26">
        <v>3.1120000000000001</v>
      </c>
      <c r="E72" s="26">
        <v>0.22750000000000001</v>
      </c>
      <c r="F72" s="26">
        <v>6.9414784914722985E-2</v>
      </c>
      <c r="G72" s="26">
        <v>-0.20499999999999999</v>
      </c>
      <c r="H72" s="26">
        <v>-0.22</v>
      </c>
      <c r="I72" s="26">
        <v>-2.2499999999999999E-2</v>
      </c>
      <c r="J72" s="26">
        <v>-0.27</v>
      </c>
      <c r="K72" s="26">
        <v>-2.5000000000000001E-3</v>
      </c>
      <c r="L72" s="26">
        <v>-0.06</v>
      </c>
      <c r="M72" s="26">
        <v>-0.17499999999999999</v>
      </c>
      <c r="N72" s="26">
        <v>-0.17499999999999999</v>
      </c>
      <c r="O72" s="26">
        <v>-0.20499999999999999</v>
      </c>
      <c r="P72" s="25">
        <v>-0.20499999999999999</v>
      </c>
      <c r="Q72" s="25">
        <v>-8.8749999999999996E-2</v>
      </c>
      <c r="R72" s="25">
        <v>-0.06</v>
      </c>
      <c r="S72" s="25">
        <v>0.28249999999999997</v>
      </c>
      <c r="T72" s="25">
        <v>0.28249999999999997</v>
      </c>
      <c r="U72" s="25">
        <v>0.1875</v>
      </c>
      <c r="V72" s="25">
        <v>0.04</v>
      </c>
      <c r="W72" s="179">
        <v>0.26500000000000001</v>
      </c>
      <c r="X72" s="179">
        <v>0.30249999999999999</v>
      </c>
      <c r="Y72" s="179">
        <v>-2.6000000000000002E-2</v>
      </c>
      <c r="Z72" s="179">
        <v>-3.5000000000000003E-2</v>
      </c>
      <c r="AA72" s="179">
        <v>5.0000000000000001E-3</v>
      </c>
      <c r="AB72" s="179">
        <v>-1.2500000000000001E-2</v>
      </c>
      <c r="AC72" s="179">
        <v>5.0000000000000001E-3</v>
      </c>
      <c r="AD72" s="179">
        <v>-9.5000000000000015E-3</v>
      </c>
      <c r="AE72" s="179">
        <v>-6.5000000000000002E-2</v>
      </c>
      <c r="AF72" s="179">
        <v>-4.9000000000000002E-2</v>
      </c>
      <c r="AG72" s="180">
        <v>-6.25E-2</v>
      </c>
      <c r="AH72" s="179">
        <v>-1.7500000000000002E-2</v>
      </c>
      <c r="AI72" s="181">
        <v>-7.6999999999999999E-2</v>
      </c>
      <c r="AJ72" s="181">
        <v>-0.11749999999999999</v>
      </c>
      <c r="AK72" s="29">
        <v>-1.2500000000000001E-2</v>
      </c>
      <c r="AL72" s="25">
        <v>1.3500000000000002E-2</v>
      </c>
      <c r="AM72" s="25">
        <v>0.83499999999999996</v>
      </c>
      <c r="AN72" s="25">
        <v>-2.75E-2</v>
      </c>
      <c r="AO72" s="25">
        <v>-0.31</v>
      </c>
      <c r="AP72" s="25">
        <v>-0.13250000000000001</v>
      </c>
      <c r="AQ72" s="25">
        <v>-0.17</v>
      </c>
      <c r="AR72" s="25">
        <v>-0.18</v>
      </c>
      <c r="AS72" s="25">
        <v>-0.26</v>
      </c>
      <c r="AT72" s="25">
        <v>-0.31</v>
      </c>
      <c r="AU72" s="25">
        <v>0.14000000000000001</v>
      </c>
      <c r="AV72" s="25">
        <v>-0.31</v>
      </c>
      <c r="AW72" s="25">
        <v>-0.113</v>
      </c>
      <c r="AX72" s="25">
        <v>-0.125</v>
      </c>
      <c r="AY72" s="25">
        <v>-0.113</v>
      </c>
      <c r="AZ72" s="25">
        <v>-0.06</v>
      </c>
      <c r="BA72" s="25">
        <v>-0.106</v>
      </c>
      <c r="BB72" s="25">
        <v>-2.2499999999999999E-2</v>
      </c>
      <c r="BC72" s="25">
        <v>-0.08</v>
      </c>
      <c r="BD72" s="25">
        <v>-6.25E-2</v>
      </c>
      <c r="BE72" s="25">
        <v>-6.5000000000000002E-2</v>
      </c>
      <c r="BF72" s="25">
        <v>0.09</v>
      </c>
      <c r="BG72" s="25">
        <v>0.32</v>
      </c>
      <c r="BH72" s="25">
        <v>0.32750000000000001</v>
      </c>
      <c r="BI72" s="25">
        <v>0.32750000000000001</v>
      </c>
      <c r="BJ72" s="25">
        <v>0.60750000000000004</v>
      </c>
    </row>
    <row r="73" spans="1:62" x14ac:dyDescent="0.25">
      <c r="A73" s="26" t="e">
        <f>#REF!-B73</f>
        <v>#REF!</v>
      </c>
      <c r="B73" s="26">
        <v>3.4290000000000003</v>
      </c>
      <c r="C73" s="145">
        <v>38808</v>
      </c>
      <c r="D73" s="26">
        <v>2.9430000000000001</v>
      </c>
      <c r="E73" s="26">
        <v>0.22750000000000001</v>
      </c>
      <c r="F73" s="26">
        <v>6.9431041289159015E-2</v>
      </c>
      <c r="G73" s="26">
        <v>-0.19500000000000001</v>
      </c>
      <c r="H73" s="26">
        <v>-0.21</v>
      </c>
      <c r="I73" s="26">
        <v>-0.15</v>
      </c>
      <c r="J73" s="26">
        <v>-0.26</v>
      </c>
      <c r="K73" s="26">
        <v>-0.13</v>
      </c>
      <c r="L73" s="26">
        <v>-5.7500000000000002E-2</v>
      </c>
      <c r="M73" s="26">
        <v>-0.16500000000000001</v>
      </c>
      <c r="N73" s="26">
        <v>-0.16500000000000001</v>
      </c>
      <c r="O73" s="26">
        <v>-0.19500000000000001</v>
      </c>
      <c r="P73" s="25">
        <v>-0.19500000000000001</v>
      </c>
      <c r="Q73" s="25">
        <v>-6.6250000000000003E-2</v>
      </c>
      <c r="R73" s="25">
        <v>-5.7500000000000002E-2</v>
      </c>
      <c r="S73" s="25">
        <v>0.1825</v>
      </c>
      <c r="T73" s="25">
        <v>0.1825</v>
      </c>
      <c r="U73" s="25">
        <v>8.7499999999999994E-2</v>
      </c>
      <c r="V73" s="25">
        <v>0.215</v>
      </c>
      <c r="W73" s="179">
        <v>0.19500000000000001</v>
      </c>
      <c r="X73" s="179">
        <v>0.25</v>
      </c>
      <c r="Y73" s="179">
        <v>-2.5500000000000002E-2</v>
      </c>
      <c r="Z73" s="179">
        <v>-2.5000000000000001E-2</v>
      </c>
      <c r="AA73" s="179">
        <v>4.7500000000000007E-3</v>
      </c>
      <c r="AB73" s="179">
        <v>-1.2750000000000001E-2</v>
      </c>
      <c r="AC73" s="179">
        <v>5.0000000000000001E-3</v>
      </c>
      <c r="AD73" s="179">
        <v>5.0000000000000001E-4</v>
      </c>
      <c r="AE73" s="179">
        <v>-6.25E-2</v>
      </c>
      <c r="AF73" s="179">
        <v>-5.1500000000000004E-2</v>
      </c>
      <c r="AG73" s="180">
        <v>-0.06</v>
      </c>
      <c r="AH73" s="179">
        <v>-0.02</v>
      </c>
      <c r="AI73" s="181">
        <v>-7.0000000000000007E-2</v>
      </c>
      <c r="AJ73" s="181">
        <v>-7.4999999999999997E-2</v>
      </c>
      <c r="AK73" s="29">
        <v>-0.02</v>
      </c>
      <c r="AL73" s="25">
        <v>6.5000000000000006E-3</v>
      </c>
      <c r="AM73" s="25">
        <v>0.45</v>
      </c>
      <c r="AN73" s="25">
        <v>1.4999999999999999E-2</v>
      </c>
      <c r="AO73" s="25">
        <v>-0.38500000000000001</v>
      </c>
      <c r="AP73" s="25">
        <v>-0.12</v>
      </c>
      <c r="AQ73" s="25">
        <v>-0.17</v>
      </c>
      <c r="AR73" s="25">
        <v>-0.28999999999999998</v>
      </c>
      <c r="AS73" s="25">
        <v>-0.33500000000000002</v>
      </c>
      <c r="AT73" s="25">
        <v>-0.38500000000000001</v>
      </c>
      <c r="AU73" s="25">
        <v>0.315</v>
      </c>
      <c r="AV73" s="25">
        <v>-0.38500000000000001</v>
      </c>
      <c r="AW73" s="25">
        <v>-0.1085</v>
      </c>
      <c r="AX73" s="25">
        <v>-0.1075</v>
      </c>
      <c r="AY73" s="25">
        <v>-0.1085</v>
      </c>
      <c r="AZ73" s="25">
        <v>-5.7500000000000002E-2</v>
      </c>
      <c r="BA73" s="25">
        <v>-9.8500000000000004E-2</v>
      </c>
      <c r="BB73" s="25">
        <v>-0.02</v>
      </c>
      <c r="BC73" s="25">
        <v>-6.25E-2</v>
      </c>
      <c r="BD73" s="25">
        <v>-0.02</v>
      </c>
      <c r="BE73" s="25">
        <v>-6.25E-2</v>
      </c>
      <c r="BF73" s="25">
        <v>0.12</v>
      </c>
      <c r="BG73" s="25">
        <v>0.14749999999999999</v>
      </c>
      <c r="BH73" s="25">
        <v>0.21249999999999999</v>
      </c>
      <c r="BI73" s="25">
        <v>0.21249999999999999</v>
      </c>
      <c r="BJ73" s="25">
        <v>0.35499999999999998</v>
      </c>
    </row>
    <row r="74" spans="1:62" x14ac:dyDescent="0.25">
      <c r="A74" s="26" t="e">
        <f>#REF!-B74</f>
        <v>#REF!</v>
      </c>
      <c r="B74" s="26">
        <v>3.28</v>
      </c>
      <c r="C74" s="145">
        <v>38838</v>
      </c>
      <c r="D74" s="26">
        <v>2.9310000000000005</v>
      </c>
      <c r="E74" s="26">
        <v>0.22750000000000001</v>
      </c>
      <c r="F74" s="26">
        <v>6.9446773264503006E-2</v>
      </c>
      <c r="G74" s="26">
        <v>-0.19500000000000001</v>
      </c>
      <c r="H74" s="26">
        <v>-0.21</v>
      </c>
      <c r="I74" s="26">
        <v>-0.16500000000000001</v>
      </c>
      <c r="J74" s="26">
        <v>-0.26</v>
      </c>
      <c r="K74" s="26">
        <v>-0.14499999999999999</v>
      </c>
      <c r="L74" s="26">
        <v>-5.7500000000000002E-2</v>
      </c>
      <c r="M74" s="26">
        <v>-0.16500000000000001</v>
      </c>
      <c r="N74" s="26">
        <v>-0.16500000000000001</v>
      </c>
      <c r="O74" s="26">
        <v>-0.19500000000000001</v>
      </c>
      <c r="P74" s="25">
        <v>-0.19500000000000001</v>
      </c>
      <c r="Q74" s="25">
        <v>-6.6250000000000003E-2</v>
      </c>
      <c r="R74" s="25">
        <v>-5.7500000000000002E-2</v>
      </c>
      <c r="S74" s="25">
        <v>0.1925</v>
      </c>
      <c r="T74" s="25">
        <v>0.1925</v>
      </c>
      <c r="U74" s="25">
        <v>9.7500000000000003E-2</v>
      </c>
      <c r="V74" s="25">
        <v>0.215</v>
      </c>
      <c r="W74" s="179">
        <v>0.1825</v>
      </c>
      <c r="X74" s="179">
        <v>0.20250000000000001</v>
      </c>
      <c r="Y74" s="179">
        <v>-2.5500000000000002E-2</v>
      </c>
      <c r="Z74" s="179">
        <v>-2.5249999999999998E-2</v>
      </c>
      <c r="AA74" s="179">
        <v>4.7500000000000007E-3</v>
      </c>
      <c r="AB74" s="179">
        <v>-1.2750000000000001E-2</v>
      </c>
      <c r="AC74" s="179">
        <v>5.0000000000000001E-3</v>
      </c>
      <c r="AD74" s="179">
        <v>5.0000000000000001E-4</v>
      </c>
      <c r="AE74" s="179">
        <v>-6.25E-2</v>
      </c>
      <c r="AF74" s="179">
        <v>-5.1500000000000004E-2</v>
      </c>
      <c r="AG74" s="180">
        <v>-0.06</v>
      </c>
      <c r="AH74" s="179">
        <v>-0.02</v>
      </c>
      <c r="AI74" s="181">
        <v>-7.0000000000000007E-2</v>
      </c>
      <c r="AJ74" s="181">
        <v>-7.4999999999999997E-2</v>
      </c>
      <c r="AK74" s="29">
        <v>-0.02</v>
      </c>
      <c r="AL74" s="25">
        <v>6.5000000000000006E-3</v>
      </c>
      <c r="AM74" s="25">
        <v>0.40500000000000003</v>
      </c>
      <c r="AN74" s="25">
        <v>1.4999999999999999E-2</v>
      </c>
      <c r="AO74" s="25">
        <v>-0.38500000000000001</v>
      </c>
      <c r="AP74" s="25">
        <v>-0.12</v>
      </c>
      <c r="AQ74" s="25">
        <v>-0.17</v>
      </c>
      <c r="AR74" s="25">
        <v>-0.28999999999999998</v>
      </c>
      <c r="AS74" s="25">
        <v>-0.33500000000000002</v>
      </c>
      <c r="AT74" s="25">
        <v>-0.38500000000000001</v>
      </c>
      <c r="AU74" s="25">
        <v>0.315</v>
      </c>
      <c r="AV74" s="25">
        <v>-0.38500000000000001</v>
      </c>
      <c r="AW74" s="25">
        <v>-0.106</v>
      </c>
      <c r="AX74" s="25">
        <v>-8.7499999999999994E-2</v>
      </c>
      <c r="AY74" s="25">
        <v>-0.106</v>
      </c>
      <c r="AZ74" s="25">
        <v>-5.7500000000000002E-2</v>
      </c>
      <c r="BA74" s="25">
        <v>-9.8500000000000004E-2</v>
      </c>
      <c r="BB74" s="25">
        <v>-0.02</v>
      </c>
      <c r="BC74" s="25">
        <v>-6.25E-2</v>
      </c>
      <c r="BD74" s="25">
        <v>-0.02</v>
      </c>
      <c r="BE74" s="25">
        <v>-6.25E-2</v>
      </c>
      <c r="BF74" s="25">
        <v>0.12</v>
      </c>
      <c r="BG74" s="25">
        <v>0.14749999999999999</v>
      </c>
      <c r="BH74" s="25">
        <v>0.2225</v>
      </c>
      <c r="BI74" s="25">
        <v>0.2225</v>
      </c>
      <c r="BJ74" s="25">
        <v>0.28749999999999998</v>
      </c>
    </row>
    <row r="75" spans="1:62" x14ac:dyDescent="0.25">
      <c r="A75" s="26" t="e">
        <f>#REF!-B75</f>
        <v>#REF!</v>
      </c>
      <c r="B75" s="26">
        <v>3.1340000000000003</v>
      </c>
      <c r="C75" s="145">
        <v>38869</v>
      </c>
      <c r="D75" s="26">
        <v>2.9540000000000002</v>
      </c>
      <c r="E75" s="26">
        <v>0.22750000000000001</v>
      </c>
      <c r="F75" s="26">
        <v>6.9463029639110024E-2</v>
      </c>
      <c r="G75" s="26">
        <v>-0.19500000000000001</v>
      </c>
      <c r="H75" s="26">
        <v>-0.21</v>
      </c>
      <c r="I75" s="26">
        <v>-0.17499999999999999</v>
      </c>
      <c r="J75" s="26">
        <v>-0.26</v>
      </c>
      <c r="K75" s="26">
        <v>-0.155</v>
      </c>
      <c r="L75" s="26">
        <v>-5.7500000000000002E-2</v>
      </c>
      <c r="M75" s="26">
        <v>-0.16500000000000001</v>
      </c>
      <c r="N75" s="26">
        <v>-0.16500000000000001</v>
      </c>
      <c r="O75" s="26">
        <v>-0.19500000000000001</v>
      </c>
      <c r="P75" s="25">
        <v>-0.19500000000000001</v>
      </c>
      <c r="Q75" s="25">
        <v>-6.3750000000000001E-2</v>
      </c>
      <c r="R75" s="25">
        <v>-5.7500000000000002E-2</v>
      </c>
      <c r="S75" s="25">
        <v>0.1875</v>
      </c>
      <c r="T75" s="25">
        <v>0.1875</v>
      </c>
      <c r="U75" s="25">
        <v>9.2499999999999999E-2</v>
      </c>
      <c r="V75" s="25">
        <v>0.215</v>
      </c>
      <c r="W75" s="179">
        <v>0.1825</v>
      </c>
      <c r="X75" s="179">
        <v>0.20250000000000001</v>
      </c>
      <c r="Y75" s="179">
        <v>-2.5500000000000002E-2</v>
      </c>
      <c r="Z75" s="179">
        <v>-2.5249999999999998E-2</v>
      </c>
      <c r="AA75" s="179">
        <v>4.7500000000000007E-3</v>
      </c>
      <c r="AB75" s="179">
        <v>-1.2750000000000001E-2</v>
      </c>
      <c r="AC75" s="179">
        <v>5.0000000000000001E-3</v>
      </c>
      <c r="AD75" s="179">
        <v>5.0000000000000001E-4</v>
      </c>
      <c r="AE75" s="179">
        <v>-6.25E-2</v>
      </c>
      <c r="AF75" s="179">
        <v>-5.1500000000000004E-2</v>
      </c>
      <c r="AG75" s="180">
        <v>-0.06</v>
      </c>
      <c r="AH75" s="179">
        <v>-0.02</v>
      </c>
      <c r="AI75" s="181">
        <v>-8.5999999999999993E-2</v>
      </c>
      <c r="AJ75" s="181">
        <v>-7.0000000000000007E-2</v>
      </c>
      <c r="AK75" s="29">
        <v>-0.02</v>
      </c>
      <c r="AL75" s="25">
        <v>6.5000000000000006E-3</v>
      </c>
      <c r="AM75" s="25">
        <v>0.39500000000000002</v>
      </c>
      <c r="AN75" s="25">
        <v>0.02</v>
      </c>
      <c r="AO75" s="25">
        <v>-0.38500000000000001</v>
      </c>
      <c r="AP75" s="25">
        <v>-0.12</v>
      </c>
      <c r="AQ75" s="25">
        <v>-0.17</v>
      </c>
      <c r="AR75" s="25">
        <v>-0.28999999999999998</v>
      </c>
      <c r="AS75" s="25">
        <v>-0.33500000000000002</v>
      </c>
      <c r="AT75" s="25">
        <v>-0.38500000000000001</v>
      </c>
      <c r="AU75" s="25">
        <v>0.315</v>
      </c>
      <c r="AV75" s="25">
        <v>-0.38500000000000001</v>
      </c>
      <c r="AW75" s="25">
        <v>-9.8500000000000004E-2</v>
      </c>
      <c r="AX75" s="25">
        <v>-8.7499999999999994E-2</v>
      </c>
      <c r="AY75" s="25">
        <v>-9.8500000000000004E-2</v>
      </c>
      <c r="AZ75" s="25">
        <v>-5.7500000000000002E-2</v>
      </c>
      <c r="BA75" s="25">
        <v>-8.8499999999999995E-2</v>
      </c>
      <c r="BB75" s="25">
        <v>-0.02</v>
      </c>
      <c r="BC75" s="25">
        <v>-6.25E-2</v>
      </c>
      <c r="BD75" s="25">
        <v>-1.4999999999999999E-2</v>
      </c>
      <c r="BE75" s="25">
        <v>-6.25E-2</v>
      </c>
      <c r="BF75" s="25">
        <v>0.12</v>
      </c>
      <c r="BG75" s="25">
        <v>0.14749999999999999</v>
      </c>
      <c r="BH75" s="25">
        <v>0.2175</v>
      </c>
      <c r="BI75" s="25">
        <v>0.2175</v>
      </c>
      <c r="BJ75" s="25">
        <v>0.28749999999999998</v>
      </c>
    </row>
    <row r="76" spans="1:62" x14ac:dyDescent="0.25">
      <c r="A76" s="26" t="e">
        <f>#REF!-B76</f>
        <v>#REF!</v>
      </c>
      <c r="B76" s="26">
        <v>3.1090000000000004</v>
      </c>
      <c r="C76" s="145">
        <v>38899</v>
      </c>
      <c r="D76" s="26">
        <v>2.9760000000000004</v>
      </c>
      <c r="E76" s="26">
        <v>0.22750000000000001</v>
      </c>
      <c r="F76" s="26">
        <v>6.9478761614621021E-2</v>
      </c>
      <c r="G76" s="26">
        <v>-0.19500000000000001</v>
      </c>
      <c r="H76" s="26">
        <v>-0.21</v>
      </c>
      <c r="I76" s="26">
        <v>-0.17499999999999999</v>
      </c>
      <c r="J76" s="26">
        <v>-0.28000000000000003</v>
      </c>
      <c r="K76" s="26">
        <v>-0.155</v>
      </c>
      <c r="L76" s="26">
        <v>-5.7500000000000002E-2</v>
      </c>
      <c r="M76" s="26">
        <v>-0.16500000000000001</v>
      </c>
      <c r="N76" s="26">
        <v>-0.16500000000000001</v>
      </c>
      <c r="O76" s="26">
        <v>-0.19500000000000001</v>
      </c>
      <c r="P76" s="25">
        <v>-0.19500000000000001</v>
      </c>
      <c r="Q76" s="25">
        <v>-6.25E-2</v>
      </c>
      <c r="R76" s="25">
        <v>-5.7500000000000002E-2</v>
      </c>
      <c r="S76" s="25">
        <v>0.17749999999999999</v>
      </c>
      <c r="T76" s="25">
        <v>0.17749999999999999</v>
      </c>
      <c r="U76" s="25">
        <v>8.2500000000000004E-2</v>
      </c>
      <c r="V76" s="25">
        <v>0.215</v>
      </c>
      <c r="W76" s="179">
        <v>0.1825</v>
      </c>
      <c r="X76" s="179">
        <v>0.215</v>
      </c>
      <c r="Y76" s="179">
        <v>-2.5500000000000002E-2</v>
      </c>
      <c r="Z76" s="179">
        <v>-2.5249999999999998E-2</v>
      </c>
      <c r="AA76" s="179">
        <v>4.7500000000000007E-3</v>
      </c>
      <c r="AB76" s="179">
        <v>-1.2750000000000001E-2</v>
      </c>
      <c r="AC76" s="179">
        <v>5.0000000000000001E-3</v>
      </c>
      <c r="AD76" s="179">
        <v>5.0000000000000001E-4</v>
      </c>
      <c r="AE76" s="179">
        <v>-6.25E-2</v>
      </c>
      <c r="AF76" s="179">
        <v>-5.1500000000000004E-2</v>
      </c>
      <c r="AG76" s="180">
        <v>-0.06</v>
      </c>
      <c r="AH76" s="179">
        <v>-0.02</v>
      </c>
      <c r="AI76" s="181">
        <v>-7.9000000000000001E-2</v>
      </c>
      <c r="AJ76" s="181">
        <v>-6.7500000000000004E-2</v>
      </c>
      <c r="AK76" s="29">
        <v>-0.02</v>
      </c>
      <c r="AL76" s="25">
        <v>6.5000000000000006E-3</v>
      </c>
      <c r="AM76" s="25">
        <v>0.43</v>
      </c>
      <c r="AN76" s="25">
        <v>2.2499999999999999E-2</v>
      </c>
      <c r="AO76" s="25">
        <v>-0.38500000000000001</v>
      </c>
      <c r="AP76" s="25">
        <v>-0.12</v>
      </c>
      <c r="AQ76" s="25">
        <v>-0.17</v>
      </c>
      <c r="AR76" s="25">
        <v>-0.28999999999999998</v>
      </c>
      <c r="AS76" s="25">
        <v>-0.33500000000000002</v>
      </c>
      <c r="AT76" s="25">
        <v>-0.38500000000000001</v>
      </c>
      <c r="AU76" s="25">
        <v>0.315</v>
      </c>
      <c r="AV76" s="25">
        <v>-0.38500000000000001</v>
      </c>
      <c r="AW76" s="25">
        <v>-0.106</v>
      </c>
      <c r="AX76" s="25">
        <v>-8.7499999999999994E-2</v>
      </c>
      <c r="AY76" s="25">
        <v>-0.106</v>
      </c>
      <c r="AZ76" s="25">
        <v>-5.7500000000000002E-2</v>
      </c>
      <c r="BA76" s="25">
        <v>-8.3500000000000005E-2</v>
      </c>
      <c r="BB76" s="25">
        <v>-0.02</v>
      </c>
      <c r="BC76" s="25">
        <v>-6.25E-2</v>
      </c>
      <c r="BD76" s="25">
        <v>-1.2500000000000001E-2</v>
      </c>
      <c r="BE76" s="25">
        <v>-6.25E-2</v>
      </c>
      <c r="BF76" s="25">
        <v>0.12</v>
      </c>
      <c r="BG76" s="25">
        <v>0.14749999999999999</v>
      </c>
      <c r="BH76" s="25">
        <v>0.20749999999999999</v>
      </c>
      <c r="BI76" s="25">
        <v>0.20749999999999999</v>
      </c>
      <c r="BJ76" s="25">
        <v>0.3</v>
      </c>
    </row>
    <row r="77" spans="1:62" x14ac:dyDescent="0.25">
      <c r="A77" s="26" t="e">
        <f>#REF!-B77</f>
        <v>#REF!</v>
      </c>
      <c r="B77" s="26">
        <v>3.0920000000000001</v>
      </c>
      <c r="C77" s="145">
        <v>38930</v>
      </c>
      <c r="D77" s="26">
        <v>2.9969999999999999</v>
      </c>
      <c r="E77" s="26">
        <v>0.22750000000000001</v>
      </c>
      <c r="F77" s="26">
        <v>6.9495017989401012E-2</v>
      </c>
      <c r="G77" s="26">
        <v>-0.19500000000000001</v>
      </c>
      <c r="H77" s="26">
        <v>-0.21</v>
      </c>
      <c r="I77" s="26">
        <v>-0.17499999999999999</v>
      </c>
      <c r="J77" s="26">
        <v>-0.28000000000000003</v>
      </c>
      <c r="K77" s="26">
        <v>-0.155</v>
      </c>
      <c r="L77" s="26">
        <v>-5.7500000000000002E-2</v>
      </c>
      <c r="M77" s="26">
        <v>-0.16500000000000001</v>
      </c>
      <c r="N77" s="26">
        <v>-0.16500000000000001</v>
      </c>
      <c r="O77" s="26">
        <v>-0.19500000000000001</v>
      </c>
      <c r="P77" s="25">
        <v>-0.19500000000000001</v>
      </c>
      <c r="Q77" s="25">
        <v>-6.1249999999999999E-2</v>
      </c>
      <c r="R77" s="25">
        <v>-5.7500000000000002E-2</v>
      </c>
      <c r="S77" s="25">
        <v>0.17499999999999999</v>
      </c>
      <c r="T77" s="25">
        <v>0.17499999999999999</v>
      </c>
      <c r="U77" s="25">
        <v>0.08</v>
      </c>
      <c r="V77" s="25">
        <v>0.215</v>
      </c>
      <c r="W77" s="179">
        <v>0.1825</v>
      </c>
      <c r="X77" s="179">
        <v>0.215</v>
      </c>
      <c r="Y77" s="179">
        <v>-2.5500000000000002E-2</v>
      </c>
      <c r="Z77" s="179">
        <v>-2.5249999999999998E-2</v>
      </c>
      <c r="AA77" s="179">
        <v>4.7500000000000007E-3</v>
      </c>
      <c r="AB77" s="179">
        <v>-1.2750000000000001E-2</v>
      </c>
      <c r="AC77" s="179">
        <v>5.0000000000000001E-3</v>
      </c>
      <c r="AD77" s="179">
        <v>5.0000000000000001E-4</v>
      </c>
      <c r="AE77" s="179">
        <v>-6.25E-2</v>
      </c>
      <c r="AF77" s="179">
        <v>-5.1500000000000004E-2</v>
      </c>
      <c r="AG77" s="180">
        <v>-0.06</v>
      </c>
      <c r="AH77" s="179">
        <v>-0.02</v>
      </c>
      <c r="AI77" s="181">
        <v>-0.06</v>
      </c>
      <c r="AJ77" s="181">
        <v>-6.5000000000000002E-2</v>
      </c>
      <c r="AK77" s="29">
        <v>-0.02</v>
      </c>
      <c r="AL77" s="25">
        <v>6.5000000000000006E-3</v>
      </c>
      <c r="AM77" s="25">
        <v>0.495</v>
      </c>
      <c r="AN77" s="25">
        <v>2.5000000000000001E-2</v>
      </c>
      <c r="AO77" s="25">
        <v>-0.38500000000000001</v>
      </c>
      <c r="AP77" s="25">
        <v>-0.12</v>
      </c>
      <c r="AQ77" s="25">
        <v>-0.17</v>
      </c>
      <c r="AR77" s="25">
        <v>-0.28999999999999998</v>
      </c>
      <c r="AS77" s="25">
        <v>-0.33500000000000002</v>
      </c>
      <c r="AT77" s="25">
        <v>-0.38500000000000001</v>
      </c>
      <c r="AU77" s="25">
        <v>0.315</v>
      </c>
      <c r="AV77" s="25">
        <v>-0.38500000000000001</v>
      </c>
      <c r="AW77" s="25">
        <v>-9.35E-2</v>
      </c>
      <c r="AX77" s="25">
        <v>-8.7499999999999994E-2</v>
      </c>
      <c r="AY77" s="25">
        <v>-9.35E-2</v>
      </c>
      <c r="AZ77" s="25">
        <v>-5.7500000000000002E-2</v>
      </c>
      <c r="BA77" s="25">
        <v>-8.3500000000000005E-2</v>
      </c>
      <c r="BB77" s="25">
        <v>-0.02</v>
      </c>
      <c r="BC77" s="25">
        <v>-6.25E-2</v>
      </c>
      <c r="BD77" s="25">
        <v>-0.01</v>
      </c>
      <c r="BE77" s="25">
        <v>-6.25E-2</v>
      </c>
      <c r="BF77" s="25">
        <v>0.12</v>
      </c>
      <c r="BG77" s="25">
        <v>0.14749999999999999</v>
      </c>
      <c r="BH77" s="25">
        <v>0.20499999999999999</v>
      </c>
      <c r="BI77" s="25">
        <v>0.20499999999999999</v>
      </c>
      <c r="BJ77" s="25">
        <v>0.3</v>
      </c>
    </row>
    <row r="78" spans="1:62" x14ac:dyDescent="0.25">
      <c r="A78" s="26" t="e">
        <f>#REF!-B78</f>
        <v>#REF!</v>
      </c>
      <c r="B78" s="26">
        <v>3.157</v>
      </c>
      <c r="C78" s="145">
        <v>38961</v>
      </c>
      <c r="D78" s="26">
        <v>2.9840000000000004</v>
      </c>
      <c r="E78" s="26">
        <v>0.22750000000000001</v>
      </c>
      <c r="F78" s="26">
        <v>6.951127436426903E-2</v>
      </c>
      <c r="G78" s="26">
        <v>-0.19500000000000001</v>
      </c>
      <c r="H78" s="26">
        <v>-0.21</v>
      </c>
      <c r="I78" s="26">
        <v>-0.16500000000000001</v>
      </c>
      <c r="J78" s="26">
        <v>-0.28000000000000003</v>
      </c>
      <c r="K78" s="26">
        <v>-0.14499999999999999</v>
      </c>
      <c r="L78" s="26">
        <v>-5.7500000000000002E-2</v>
      </c>
      <c r="M78" s="26">
        <v>-0.16500000000000001</v>
      </c>
      <c r="N78" s="26">
        <v>-0.16500000000000001</v>
      </c>
      <c r="O78" s="26">
        <v>-0.19500000000000001</v>
      </c>
      <c r="P78" s="25">
        <v>-0.19500000000000001</v>
      </c>
      <c r="Q78" s="25">
        <v>-6.5000000000000002E-2</v>
      </c>
      <c r="R78" s="25">
        <v>-5.7500000000000002E-2</v>
      </c>
      <c r="S78" s="25">
        <v>0.17249999999999999</v>
      </c>
      <c r="T78" s="25">
        <v>0.17249999999999999</v>
      </c>
      <c r="U78" s="25">
        <v>7.7499999999999999E-2</v>
      </c>
      <c r="V78" s="25">
        <v>0.215</v>
      </c>
      <c r="W78" s="179">
        <v>0.1825</v>
      </c>
      <c r="X78" s="179">
        <v>0.19500000000000001</v>
      </c>
      <c r="Y78" s="179">
        <v>-2.5500000000000002E-2</v>
      </c>
      <c r="Z78" s="179">
        <v>-2.5249999999999998E-2</v>
      </c>
      <c r="AA78" s="179">
        <v>4.7500000000000007E-3</v>
      </c>
      <c r="AB78" s="179">
        <v>-1.2750000000000001E-2</v>
      </c>
      <c r="AC78" s="179">
        <v>5.0000000000000001E-3</v>
      </c>
      <c r="AD78" s="179">
        <v>5.0000000000000001E-4</v>
      </c>
      <c r="AE78" s="179">
        <v>-6.25E-2</v>
      </c>
      <c r="AF78" s="179">
        <v>-4.9000000000000002E-2</v>
      </c>
      <c r="AG78" s="180">
        <v>-5.7500000000000002E-2</v>
      </c>
      <c r="AH78" s="179">
        <v>-0.02</v>
      </c>
      <c r="AI78" s="181">
        <v>-5.7999999999999996E-2</v>
      </c>
      <c r="AJ78" s="181">
        <v>-7.2499999999999995E-2</v>
      </c>
      <c r="AK78" s="29">
        <v>-0.02</v>
      </c>
      <c r="AL78" s="25">
        <v>6.5000000000000006E-3</v>
      </c>
      <c r="AM78" s="25">
        <v>0.39500000000000002</v>
      </c>
      <c r="AN78" s="25">
        <v>1.7500000000000002E-2</v>
      </c>
      <c r="AO78" s="25">
        <v>-0.38500000000000001</v>
      </c>
      <c r="AP78" s="25">
        <v>-0.12</v>
      </c>
      <c r="AQ78" s="25">
        <v>-0.17</v>
      </c>
      <c r="AR78" s="25">
        <v>-0.28999999999999998</v>
      </c>
      <c r="AS78" s="25">
        <v>-0.33500000000000002</v>
      </c>
      <c r="AT78" s="25">
        <v>-0.38500000000000001</v>
      </c>
      <c r="AU78" s="25">
        <v>0.315</v>
      </c>
      <c r="AV78" s="25">
        <v>-0.38500000000000001</v>
      </c>
      <c r="AW78" s="25">
        <v>-9.8500000000000004E-2</v>
      </c>
      <c r="AX78" s="25">
        <v>-8.7499999999999994E-2</v>
      </c>
      <c r="AY78" s="25">
        <v>-9.8500000000000004E-2</v>
      </c>
      <c r="AZ78" s="25">
        <v>-5.7500000000000002E-2</v>
      </c>
      <c r="BA78" s="25">
        <v>-9.8500000000000004E-2</v>
      </c>
      <c r="BB78" s="25">
        <v>-0.02</v>
      </c>
      <c r="BC78" s="25">
        <v>-6.25E-2</v>
      </c>
      <c r="BD78" s="25">
        <v>-1.7500000000000002E-2</v>
      </c>
      <c r="BE78" s="25">
        <v>-6.25E-2</v>
      </c>
      <c r="BF78" s="25">
        <v>0.12</v>
      </c>
      <c r="BG78" s="25">
        <v>0.14749999999999999</v>
      </c>
      <c r="BH78" s="25">
        <v>0.20250000000000001</v>
      </c>
      <c r="BI78" s="25">
        <v>0.20250000000000001</v>
      </c>
      <c r="BJ78" s="25">
        <v>0.28999999999999998</v>
      </c>
    </row>
    <row r="79" spans="1:62" x14ac:dyDescent="0.25">
      <c r="A79" s="26" t="e">
        <f>#REF!-B79</f>
        <v>#REF!</v>
      </c>
      <c r="B79" s="26">
        <v>3.1520000000000001</v>
      </c>
      <c r="C79" s="145">
        <v>38991</v>
      </c>
      <c r="D79" s="26">
        <v>2.9860000000000002</v>
      </c>
      <c r="E79" s="26">
        <v>0.22750000000000001</v>
      </c>
      <c r="F79" s="26">
        <v>6.9527006340030006E-2</v>
      </c>
      <c r="G79" s="26">
        <v>-0.19500000000000001</v>
      </c>
      <c r="H79" s="26">
        <v>-0.21</v>
      </c>
      <c r="I79" s="26">
        <v>-0.15</v>
      </c>
      <c r="J79" s="26">
        <v>-0.28000000000000003</v>
      </c>
      <c r="K79" s="26">
        <v>-0.13</v>
      </c>
      <c r="L79" s="26">
        <v>-5.7500000000000002E-2</v>
      </c>
      <c r="M79" s="26">
        <v>-0.16500000000000001</v>
      </c>
      <c r="N79" s="26">
        <v>-0.16500000000000001</v>
      </c>
      <c r="O79" s="26">
        <v>-0.19500000000000001</v>
      </c>
      <c r="P79" s="25">
        <v>-0.19500000000000001</v>
      </c>
      <c r="Q79" s="25">
        <v>-7.0000000000000007E-2</v>
      </c>
      <c r="R79" s="25">
        <v>-5.7500000000000002E-2</v>
      </c>
      <c r="S79" s="25">
        <v>0.1875</v>
      </c>
      <c r="T79" s="25">
        <v>0.1875</v>
      </c>
      <c r="U79" s="25">
        <v>9.2499999999999999E-2</v>
      </c>
      <c r="V79" s="25">
        <v>0.215</v>
      </c>
      <c r="W79" s="179">
        <v>0.1875</v>
      </c>
      <c r="X79" s="179">
        <v>0.215</v>
      </c>
      <c r="Y79" s="179">
        <v>-2.5500000000000002E-2</v>
      </c>
      <c r="Z79" s="179">
        <v>-2.5249999999999998E-2</v>
      </c>
      <c r="AA79" s="179">
        <v>-1.3500000000000002E-2</v>
      </c>
      <c r="AB79" s="179">
        <v>-3.1000000000000003E-2</v>
      </c>
      <c r="AC79" s="179">
        <v>5.0000000000000001E-3</v>
      </c>
      <c r="AD79" s="179">
        <v>5.0000000000000001E-4</v>
      </c>
      <c r="AE79" s="179">
        <v>-6.25E-2</v>
      </c>
      <c r="AF79" s="179">
        <v>-4.9000000000000002E-2</v>
      </c>
      <c r="AG79" s="180">
        <v>-5.7500000000000002E-2</v>
      </c>
      <c r="AH79" s="179">
        <v>-0.02</v>
      </c>
      <c r="AI79" s="181">
        <v>-0.06</v>
      </c>
      <c r="AJ79" s="181">
        <v>-8.2500000000000004E-2</v>
      </c>
      <c r="AK79" s="29">
        <v>-0.02</v>
      </c>
      <c r="AL79" s="25">
        <v>6.5000000000000006E-3</v>
      </c>
      <c r="AM79" s="25">
        <v>0.46100000000000002</v>
      </c>
      <c r="AN79" s="25">
        <v>7.4999999999999997E-3</v>
      </c>
      <c r="AO79" s="25">
        <v>-0.38500000000000001</v>
      </c>
      <c r="AP79" s="25">
        <v>-0.12</v>
      </c>
      <c r="AQ79" s="25">
        <v>-0.17</v>
      </c>
      <c r="AR79" s="25">
        <v>-0.28999999999999998</v>
      </c>
      <c r="AS79" s="25">
        <v>-0.33500000000000002</v>
      </c>
      <c r="AT79" s="25">
        <v>-0.38500000000000001</v>
      </c>
      <c r="AU79" s="25">
        <v>0.315</v>
      </c>
      <c r="AV79" s="25">
        <v>-0.38500000000000001</v>
      </c>
      <c r="AW79" s="25">
        <v>-0.1085</v>
      </c>
      <c r="AX79" s="25">
        <v>-8.7499999999999994E-2</v>
      </c>
      <c r="AY79" s="25">
        <v>-0.1085</v>
      </c>
      <c r="AZ79" s="25">
        <v>-5.7500000000000002E-2</v>
      </c>
      <c r="BA79" s="25">
        <v>-0.10099999999999999</v>
      </c>
      <c r="BB79" s="25">
        <v>-0.02</v>
      </c>
      <c r="BC79" s="25">
        <v>-6.25E-2</v>
      </c>
      <c r="BD79" s="25">
        <v>-2.75E-2</v>
      </c>
      <c r="BE79" s="25">
        <v>-6.25E-2</v>
      </c>
      <c r="BF79" s="25">
        <v>0.12</v>
      </c>
      <c r="BG79" s="25">
        <v>0.14749999999999999</v>
      </c>
      <c r="BH79" s="25">
        <v>0.2175</v>
      </c>
      <c r="BI79" s="25">
        <v>0.2175</v>
      </c>
      <c r="BJ79" s="25">
        <v>0.36249999999999999</v>
      </c>
    </row>
    <row r="80" spans="1:62" x14ac:dyDescent="0.25">
      <c r="A80" s="26" t="e">
        <f>#REF!-B80</f>
        <v>#REF!</v>
      </c>
      <c r="B80" s="26">
        <v>3.1390000000000002</v>
      </c>
      <c r="C80" s="145">
        <v>39022</v>
      </c>
      <c r="D80" s="26">
        <v>3.0630000000000002</v>
      </c>
      <c r="E80" s="26">
        <v>0.23</v>
      </c>
      <c r="F80" s="26">
        <v>6.9543262715070012E-2</v>
      </c>
      <c r="G80" s="26">
        <v>-0.19</v>
      </c>
      <c r="H80" s="26">
        <v>-0.20499999999999999</v>
      </c>
      <c r="I80" s="26">
        <v>-0.1125</v>
      </c>
      <c r="J80" s="26">
        <v>-0.27500000000000002</v>
      </c>
      <c r="K80" s="26">
        <v>-9.2499999999999999E-2</v>
      </c>
      <c r="L80" s="26">
        <v>-5.7500000000000002E-2</v>
      </c>
      <c r="M80" s="26">
        <v>-0.16</v>
      </c>
      <c r="N80" s="26">
        <v>-0.16</v>
      </c>
      <c r="O80" s="26">
        <v>-0.19</v>
      </c>
      <c r="P80" s="25">
        <v>-0.19</v>
      </c>
      <c r="Q80" s="25">
        <v>-0.09</v>
      </c>
      <c r="R80" s="25">
        <v>-5.7500000000000002E-2</v>
      </c>
      <c r="S80" s="25">
        <v>0.23</v>
      </c>
      <c r="T80" s="25">
        <v>0.23</v>
      </c>
      <c r="U80" s="25">
        <v>0.13500000000000001</v>
      </c>
      <c r="V80" s="25">
        <v>0.04</v>
      </c>
      <c r="W80" s="179">
        <v>0.27</v>
      </c>
      <c r="X80" s="179">
        <v>0.28749999999999998</v>
      </c>
      <c r="Y80" s="179">
        <v>-2.8500000000000001E-2</v>
      </c>
      <c r="Z80" s="179">
        <v>-0.04</v>
      </c>
      <c r="AA80" s="179">
        <v>-1.2500000000000001E-2</v>
      </c>
      <c r="AB80" s="179">
        <v>-0.03</v>
      </c>
      <c r="AC80" s="179">
        <v>5.0000000000000001E-3</v>
      </c>
      <c r="AD80" s="179">
        <v>-7.4999999999999997E-3</v>
      </c>
      <c r="AE80" s="179">
        <v>-6.5000000000000002E-2</v>
      </c>
      <c r="AF80" s="179">
        <v>-4.9000000000000002E-2</v>
      </c>
      <c r="AG80" s="180">
        <v>-6.0499999999999998E-2</v>
      </c>
      <c r="AH80" s="179">
        <v>-1.6500000000000001E-2</v>
      </c>
      <c r="AI80" s="181">
        <v>-7.4999999999999997E-2</v>
      </c>
      <c r="AJ80" s="181">
        <v>-0.1225</v>
      </c>
      <c r="AK80" s="29">
        <v>-1.2500000000000001E-2</v>
      </c>
      <c r="AL80" s="25">
        <v>1.4000000000000002E-2</v>
      </c>
      <c r="AM80" s="25">
        <v>0.76749999999999996</v>
      </c>
      <c r="AN80" s="25">
        <v>-3.2500000000000001E-2</v>
      </c>
      <c r="AO80" s="25">
        <v>-0.31</v>
      </c>
      <c r="AP80" s="25">
        <v>-0.13250000000000001</v>
      </c>
      <c r="AQ80" s="25">
        <v>-0.17</v>
      </c>
      <c r="AR80" s="25">
        <v>0</v>
      </c>
      <c r="AS80" s="25">
        <v>-0.26</v>
      </c>
      <c r="AT80" s="25">
        <v>-0.31</v>
      </c>
      <c r="AU80" s="25">
        <v>0.14000000000000001</v>
      </c>
      <c r="AV80" s="25">
        <v>-0.31</v>
      </c>
      <c r="AW80" s="25">
        <v>-0.1135</v>
      </c>
      <c r="AX80" s="25">
        <v>-0.125</v>
      </c>
      <c r="AY80" s="25">
        <v>-0.1135</v>
      </c>
      <c r="AZ80" s="25">
        <v>-5.7500000000000002E-2</v>
      </c>
      <c r="BA80" s="25">
        <v>-9.8500000000000004E-2</v>
      </c>
      <c r="BB80" s="25">
        <v>-2.1499999999999998E-2</v>
      </c>
      <c r="BC80" s="25">
        <v>-7.7499999999999999E-2</v>
      </c>
      <c r="BD80" s="25">
        <v>-6.7500000000000004E-2</v>
      </c>
      <c r="BE80" s="25">
        <v>-6.5000000000000002E-2</v>
      </c>
      <c r="BF80" s="25">
        <v>0.09</v>
      </c>
      <c r="BG80" s="25">
        <v>0.27500000000000002</v>
      </c>
      <c r="BH80" s="25">
        <v>0.27500000000000002</v>
      </c>
      <c r="BI80" s="25">
        <v>0.27500000000000002</v>
      </c>
      <c r="BJ80" s="25">
        <v>0.46500000000000002</v>
      </c>
    </row>
    <row r="81" spans="1:62" x14ac:dyDescent="0.25">
      <c r="A81" s="26" t="e">
        <f>#REF!-B81</f>
        <v>#REF!</v>
      </c>
      <c r="B81" s="26">
        <v>3.1540000000000004</v>
      </c>
      <c r="C81" s="145">
        <v>39052</v>
      </c>
      <c r="D81" s="26">
        <v>3.1360000000000001</v>
      </c>
      <c r="E81" s="26">
        <v>0.24</v>
      </c>
      <c r="F81" s="26">
        <v>6.9558994691000006E-2</v>
      </c>
      <c r="G81" s="26">
        <v>-0.19750000000000001</v>
      </c>
      <c r="H81" s="26">
        <v>-0.21249999999999999</v>
      </c>
      <c r="I81" s="26">
        <v>-0.105</v>
      </c>
      <c r="J81" s="26">
        <v>-0.28249999999999997</v>
      </c>
      <c r="K81" s="26">
        <v>-8.5000000000000006E-2</v>
      </c>
      <c r="L81" s="26">
        <v>-5.7500000000000002E-2</v>
      </c>
      <c r="M81" s="26">
        <v>-0.16750000000000001</v>
      </c>
      <c r="N81" s="26">
        <v>-0.16750000000000001</v>
      </c>
      <c r="O81" s="26">
        <v>-0.19750000000000001</v>
      </c>
      <c r="P81" s="25">
        <v>-0.19750000000000001</v>
      </c>
      <c r="Q81" s="25">
        <v>-0.10125000000000001</v>
      </c>
      <c r="R81" s="25">
        <v>-5.7500000000000002E-2</v>
      </c>
      <c r="S81" s="25">
        <v>0.27</v>
      </c>
      <c r="T81" s="25">
        <v>0.27</v>
      </c>
      <c r="U81" s="25">
        <v>0.17499999999999999</v>
      </c>
      <c r="V81" s="25">
        <v>0.04</v>
      </c>
      <c r="W81" s="179">
        <v>0.30499999999999999</v>
      </c>
      <c r="X81" s="179">
        <v>0.33750000000000002</v>
      </c>
      <c r="Y81" s="179">
        <v>-2.8500000000000001E-2</v>
      </c>
      <c r="Z81" s="179">
        <v>-3.2500000000000001E-2</v>
      </c>
      <c r="AA81" s="179">
        <v>-1.2500000000000001E-2</v>
      </c>
      <c r="AB81" s="179">
        <v>-0.03</v>
      </c>
      <c r="AC81" s="179">
        <v>5.0000000000000001E-3</v>
      </c>
      <c r="AD81" s="179">
        <v>-7.4999999999999997E-3</v>
      </c>
      <c r="AE81" s="179">
        <v>-6.5000000000000002E-2</v>
      </c>
      <c r="AF81" s="179">
        <v>-4.9000000000000002E-2</v>
      </c>
      <c r="AG81" s="180">
        <v>-6.0499999999999998E-2</v>
      </c>
      <c r="AH81" s="179">
        <v>-1.6500000000000001E-2</v>
      </c>
      <c r="AI81" s="181">
        <v>-7.4999999999999997E-2</v>
      </c>
      <c r="AJ81" s="181">
        <v>-0.14499999999999999</v>
      </c>
      <c r="AK81" s="29">
        <v>-1.2500000000000001E-2</v>
      </c>
      <c r="AL81" s="25">
        <v>1.4000000000000002E-2</v>
      </c>
      <c r="AM81" s="25">
        <v>1.19</v>
      </c>
      <c r="AN81" s="25">
        <v>-5.5E-2</v>
      </c>
      <c r="AO81" s="25">
        <v>-0.31</v>
      </c>
      <c r="AP81" s="25">
        <v>-0.1275</v>
      </c>
      <c r="AQ81" s="25">
        <v>-0.17</v>
      </c>
      <c r="AR81" s="25">
        <v>0.06</v>
      </c>
      <c r="AS81" s="25">
        <v>-0.26</v>
      </c>
      <c r="AT81" s="25">
        <v>-0.31</v>
      </c>
      <c r="AU81" s="25">
        <v>0.14000000000000001</v>
      </c>
      <c r="AV81" s="25">
        <v>-0.31</v>
      </c>
      <c r="AW81" s="25">
        <v>-0.14349999999999999</v>
      </c>
      <c r="AX81" s="25">
        <v>-0.125</v>
      </c>
      <c r="AY81" s="25">
        <v>-0.14349999999999999</v>
      </c>
      <c r="AZ81" s="25">
        <v>-5.7500000000000002E-2</v>
      </c>
      <c r="BA81" s="25">
        <v>-0.13350000000000001</v>
      </c>
      <c r="BB81" s="25">
        <v>-2.1499999999999998E-2</v>
      </c>
      <c r="BC81" s="25">
        <v>-7.7499999999999999E-2</v>
      </c>
      <c r="BD81" s="25">
        <v>-0.09</v>
      </c>
      <c r="BE81" s="25">
        <v>-6.5000000000000002E-2</v>
      </c>
      <c r="BF81" s="25">
        <v>0.09</v>
      </c>
      <c r="BG81" s="25">
        <v>0.245</v>
      </c>
      <c r="BH81" s="25">
        <v>0.315</v>
      </c>
      <c r="BI81" s="25">
        <v>0.315</v>
      </c>
      <c r="BJ81" s="25">
        <v>0.8</v>
      </c>
    </row>
    <row r="82" spans="1:62" x14ac:dyDescent="0.25">
      <c r="A82" s="26" t="e">
        <f>#REF!-B82</f>
        <v>#REF!</v>
      </c>
      <c r="B82" s="26">
        <v>3.2510000000000003</v>
      </c>
      <c r="C82" s="145">
        <v>39083</v>
      </c>
      <c r="D82" s="26">
        <v>3.41</v>
      </c>
      <c r="E82" s="26">
        <v>0.245</v>
      </c>
      <c r="F82" s="26">
        <v>6.9575251066209015E-2</v>
      </c>
      <c r="G82" s="26">
        <v>-0.2</v>
      </c>
      <c r="H82" s="26">
        <v>-0.215</v>
      </c>
      <c r="I82" s="26">
        <v>-0.09</v>
      </c>
      <c r="J82" s="26">
        <v>-0.26500000000000001</v>
      </c>
      <c r="K82" s="26">
        <v>-7.0000000000000007E-2</v>
      </c>
      <c r="L82" s="26">
        <v>-5.7500000000000002E-2</v>
      </c>
      <c r="M82" s="26">
        <v>-0.17</v>
      </c>
      <c r="N82" s="26">
        <v>-0.17</v>
      </c>
      <c r="O82" s="26">
        <v>-0.2</v>
      </c>
      <c r="P82" s="25">
        <v>-0.2</v>
      </c>
      <c r="Q82" s="25">
        <v>-0.10249999999999999</v>
      </c>
      <c r="R82" s="25">
        <v>-5.7500000000000002E-2</v>
      </c>
      <c r="S82" s="25">
        <v>0.315</v>
      </c>
      <c r="T82" s="25">
        <v>0.315</v>
      </c>
      <c r="U82" s="25">
        <v>0.22</v>
      </c>
      <c r="V82" s="25">
        <v>0.04</v>
      </c>
      <c r="W82" s="179">
        <v>0.30499999999999999</v>
      </c>
      <c r="X82" s="179">
        <v>0.4375</v>
      </c>
      <c r="Y82" s="179">
        <v>-2.4E-2</v>
      </c>
      <c r="Z82" s="179">
        <v>-3.2500000000000001E-2</v>
      </c>
      <c r="AA82" s="179">
        <v>-1.2500000000000001E-2</v>
      </c>
      <c r="AB82" s="179">
        <v>-0.03</v>
      </c>
      <c r="AC82" s="179">
        <v>5.0000000000000001E-3</v>
      </c>
      <c r="AD82" s="179">
        <v>-7.4999999999999997E-3</v>
      </c>
      <c r="AE82" s="179">
        <v>-6.5000000000000002E-2</v>
      </c>
      <c r="AF82" s="179">
        <v>-4.7E-2</v>
      </c>
      <c r="AG82" s="180">
        <v>-6.0499999999999998E-2</v>
      </c>
      <c r="AH82" s="179">
        <v>-1.6500000000000001E-2</v>
      </c>
      <c r="AI82" s="181">
        <v>-6.8000000000000005E-2</v>
      </c>
      <c r="AJ82" s="181">
        <v>-0.14749999999999999</v>
      </c>
      <c r="AK82" s="29">
        <v>-1.0500000000000001E-2</v>
      </c>
      <c r="AL82" s="25">
        <v>1.4000000000000002E-2</v>
      </c>
      <c r="AM82" s="25">
        <v>1.5249999999999999</v>
      </c>
      <c r="AN82" s="25">
        <v>-5.7500000000000002E-2</v>
      </c>
      <c r="AO82" s="25">
        <v>-0.31</v>
      </c>
      <c r="AP82" s="25">
        <v>-0.1275</v>
      </c>
      <c r="AQ82" s="25">
        <v>-0.17</v>
      </c>
      <c r="AR82" s="25">
        <v>0.13</v>
      </c>
      <c r="AS82" s="25">
        <v>-0.26</v>
      </c>
      <c r="AT82" s="25">
        <v>-0.31</v>
      </c>
      <c r="AU82" s="25">
        <v>0.14000000000000001</v>
      </c>
      <c r="AV82" s="25">
        <v>-0.31</v>
      </c>
      <c r="AW82" s="25">
        <v>-0.1285</v>
      </c>
      <c r="AY82" s="25">
        <v>-0.1285</v>
      </c>
      <c r="AZ82" s="25">
        <v>-5.7500000000000002E-2</v>
      </c>
      <c r="BA82" s="25">
        <v>-0.13900000000000001</v>
      </c>
      <c r="BB82" s="25">
        <v>-2.1499999999999998E-2</v>
      </c>
      <c r="BC82" s="25">
        <v>-7.7499999999999999E-2</v>
      </c>
      <c r="BD82" s="25">
        <v>-9.2499999999999999E-2</v>
      </c>
      <c r="BE82" s="25">
        <v>-6.5000000000000002E-2</v>
      </c>
      <c r="BF82" s="25">
        <v>0.09</v>
      </c>
      <c r="BG82" s="25">
        <v>0.28000000000000003</v>
      </c>
      <c r="BH82" s="25">
        <v>0.36</v>
      </c>
      <c r="BI82" s="25">
        <v>0.36</v>
      </c>
      <c r="BJ82" s="25">
        <v>0.97499999999999998</v>
      </c>
    </row>
    <row r="83" spans="1:62" x14ac:dyDescent="0.25">
      <c r="A83" s="26" t="e">
        <f>#REF!-B83</f>
        <v>#REF!</v>
      </c>
      <c r="B83" s="26">
        <v>3.3510000000000004</v>
      </c>
      <c r="C83" s="145">
        <v>39114</v>
      </c>
      <c r="D83" s="26">
        <v>3.2840000000000003</v>
      </c>
      <c r="E83" s="26">
        <v>0.23</v>
      </c>
      <c r="F83" s="26">
        <v>6.9591507441507008E-2</v>
      </c>
      <c r="G83" s="26">
        <v>-0.20250000000000001</v>
      </c>
      <c r="H83" s="26">
        <v>-0.2175</v>
      </c>
      <c r="I83" s="26">
        <v>-0.09</v>
      </c>
      <c r="J83" s="26">
        <v>-0.26750000000000002</v>
      </c>
      <c r="K83" s="26">
        <v>-7.0000000000000007E-2</v>
      </c>
      <c r="L83" s="26">
        <v>-5.7500000000000002E-2</v>
      </c>
      <c r="M83" s="26">
        <v>-0.17249999999999999</v>
      </c>
      <c r="N83" s="26">
        <v>-0.17249999999999999</v>
      </c>
      <c r="O83" s="26">
        <v>-0.20250000000000001</v>
      </c>
      <c r="P83" s="25">
        <v>-0.20250000000000001</v>
      </c>
      <c r="Q83" s="25">
        <v>-9.375E-2</v>
      </c>
      <c r="R83" s="25">
        <v>-5.7500000000000002E-2</v>
      </c>
      <c r="S83" s="25">
        <v>0.28999999999999998</v>
      </c>
      <c r="T83" s="25">
        <v>0.28999999999999998</v>
      </c>
      <c r="U83" s="25">
        <v>0.19500000000000001</v>
      </c>
      <c r="V83" s="25">
        <v>0.04</v>
      </c>
      <c r="W83" s="179">
        <v>0.30499999999999999</v>
      </c>
      <c r="X83" s="179">
        <v>0.435</v>
      </c>
      <c r="Y83" s="179">
        <v>-2.4E-2</v>
      </c>
      <c r="Z83" s="179">
        <v>-3.2500000000000001E-2</v>
      </c>
      <c r="AA83" s="179">
        <v>-1.2500000000000001E-2</v>
      </c>
      <c r="AB83" s="179">
        <v>-0.03</v>
      </c>
      <c r="AC83" s="179">
        <v>5.0000000000000001E-3</v>
      </c>
      <c r="AD83" s="179">
        <v>-7.4999999999999997E-3</v>
      </c>
      <c r="AE83" s="179">
        <v>-6.5000000000000002E-2</v>
      </c>
      <c r="AF83" s="179">
        <v>-4.7E-2</v>
      </c>
      <c r="AG83" s="180">
        <v>-6.0499999999999998E-2</v>
      </c>
      <c r="AH83" s="179">
        <v>-1.6500000000000001E-2</v>
      </c>
      <c r="AI83" s="181">
        <v>-6.8000000000000005E-2</v>
      </c>
      <c r="AJ83" s="181">
        <v>-0.13</v>
      </c>
      <c r="AK83" s="29">
        <v>-1.0500000000000001E-2</v>
      </c>
      <c r="AL83" s="25">
        <v>1.4000000000000002E-2</v>
      </c>
      <c r="AM83" s="25">
        <v>1.4550000000000001</v>
      </c>
      <c r="AN83" s="25">
        <v>-0.04</v>
      </c>
      <c r="AO83" s="25">
        <v>-0.31</v>
      </c>
      <c r="AP83" s="25">
        <v>-0.1275</v>
      </c>
      <c r="AQ83" s="25">
        <v>-0.17</v>
      </c>
      <c r="AR83" s="25">
        <v>0</v>
      </c>
      <c r="AS83" s="25">
        <v>-0.26</v>
      </c>
      <c r="AT83" s="25">
        <v>-0.31</v>
      </c>
      <c r="AU83" s="25">
        <v>0.14000000000000001</v>
      </c>
      <c r="AV83" s="25">
        <v>-0.31</v>
      </c>
      <c r="AW83" s="25">
        <v>-0.13100000000000001</v>
      </c>
      <c r="AY83" s="25">
        <v>-0.13100000000000001</v>
      </c>
      <c r="AZ83" s="25">
        <v>-5.7500000000000002E-2</v>
      </c>
      <c r="BA83" s="25">
        <v>-0.12150000000000001</v>
      </c>
      <c r="BB83" s="25">
        <v>-2.1499999999999998E-2</v>
      </c>
      <c r="BC83" s="25">
        <v>-7.7499999999999999E-2</v>
      </c>
      <c r="BD83" s="25">
        <v>-7.4999999999999997E-2</v>
      </c>
      <c r="BE83" s="25">
        <v>-6.5000000000000002E-2</v>
      </c>
      <c r="BF83" s="25">
        <v>0.09</v>
      </c>
      <c r="BG83" s="25">
        <v>0.33</v>
      </c>
      <c r="BH83" s="25">
        <v>0.33500000000000002</v>
      </c>
      <c r="BI83" s="25">
        <v>0.33500000000000002</v>
      </c>
      <c r="BJ83" s="25">
        <v>0.97499999999999998</v>
      </c>
    </row>
    <row r="84" spans="1:62" x14ac:dyDescent="0.25">
      <c r="A84" s="26" t="e">
        <f>#REF!-B84</f>
        <v>#REF!</v>
      </c>
      <c r="B84" s="26">
        <v>3.5660000000000003</v>
      </c>
      <c r="C84" s="145">
        <v>39142</v>
      </c>
      <c r="D84" s="26">
        <v>3.1260000000000003</v>
      </c>
      <c r="E84" s="26">
        <v>0.22</v>
      </c>
      <c r="F84" s="26">
        <v>6.9606190619271008E-2</v>
      </c>
      <c r="G84" s="26">
        <v>-0.20499999999999999</v>
      </c>
      <c r="H84" s="26">
        <v>-0.22</v>
      </c>
      <c r="I84" s="26">
        <v>-0.09</v>
      </c>
      <c r="J84" s="26">
        <v>-0.27</v>
      </c>
      <c r="K84" s="26">
        <v>-7.0000000000000007E-2</v>
      </c>
      <c r="L84" s="26">
        <v>-5.7500000000000002E-2</v>
      </c>
      <c r="M84" s="26">
        <v>-0.17499999999999999</v>
      </c>
      <c r="N84" s="26">
        <v>-0.17499999999999999</v>
      </c>
      <c r="O84" s="26">
        <v>-0.20499999999999999</v>
      </c>
      <c r="P84" s="25">
        <v>-0.20499999999999999</v>
      </c>
      <c r="Q84" s="25">
        <v>-8.7499999999999994E-2</v>
      </c>
      <c r="R84" s="25">
        <v>-5.7500000000000002E-2</v>
      </c>
      <c r="S84" s="25">
        <v>0.28749999999999998</v>
      </c>
      <c r="T84" s="25">
        <v>0.28749999999999998</v>
      </c>
      <c r="U84" s="25">
        <v>0.1925</v>
      </c>
      <c r="V84" s="25">
        <v>0.04</v>
      </c>
      <c r="W84" s="179">
        <v>0.26500000000000001</v>
      </c>
      <c r="X84" s="179">
        <v>0.30249999999999999</v>
      </c>
      <c r="Y84" s="179">
        <v>-2.4E-2</v>
      </c>
      <c r="Z84" s="179">
        <v>-3.2500000000000001E-2</v>
      </c>
      <c r="AA84" s="179">
        <v>6.0000000000000001E-3</v>
      </c>
      <c r="AB84" s="179">
        <v>-1.1500000000000002E-2</v>
      </c>
      <c r="AC84" s="179">
        <v>5.0000000000000001E-3</v>
      </c>
      <c r="AD84" s="179">
        <v>-7.4999999999999997E-3</v>
      </c>
      <c r="AE84" s="179">
        <v>-6.5000000000000002E-2</v>
      </c>
      <c r="AF84" s="179">
        <v>-4.7E-2</v>
      </c>
      <c r="AG84" s="180">
        <v>-6.0499999999999998E-2</v>
      </c>
      <c r="AH84" s="179">
        <v>-1.6500000000000001E-2</v>
      </c>
      <c r="AI84" s="181">
        <v>-7.4999999999999997E-2</v>
      </c>
      <c r="AJ84" s="181">
        <v>-0.11749999999999999</v>
      </c>
      <c r="AK84" s="29">
        <v>-1.0500000000000001E-2</v>
      </c>
      <c r="AL84" s="25">
        <v>1.4000000000000002E-2</v>
      </c>
      <c r="AM84" s="25">
        <v>0.83499999999999996</v>
      </c>
      <c r="AN84" s="25">
        <v>-2.75E-2</v>
      </c>
      <c r="AO84" s="25">
        <v>-0.31</v>
      </c>
      <c r="AP84" s="25">
        <v>-0.13250000000000001</v>
      </c>
      <c r="AQ84" s="25">
        <v>-0.17</v>
      </c>
      <c r="AR84" s="25">
        <v>-0.18</v>
      </c>
      <c r="AS84" s="25">
        <v>-0.26</v>
      </c>
      <c r="AT84" s="25">
        <v>-0.31</v>
      </c>
      <c r="AU84" s="25">
        <v>0.14000000000000001</v>
      </c>
      <c r="AV84" s="25">
        <v>-0.31</v>
      </c>
      <c r="AW84" s="25">
        <v>-0.111</v>
      </c>
      <c r="AY84" s="25">
        <v>-0.111</v>
      </c>
      <c r="AZ84" s="25">
        <v>-5.7500000000000002E-2</v>
      </c>
      <c r="BA84" s="25">
        <v>-0.10400000000000001</v>
      </c>
      <c r="BB84" s="25">
        <v>-2.1499999999999998E-2</v>
      </c>
      <c r="BC84" s="25">
        <v>-7.7499999999999999E-2</v>
      </c>
      <c r="BD84" s="25">
        <v>-6.25E-2</v>
      </c>
      <c r="BE84" s="25">
        <v>-6.5000000000000002E-2</v>
      </c>
      <c r="BF84" s="25">
        <v>0.09</v>
      </c>
      <c r="BG84" s="25">
        <v>0.32</v>
      </c>
      <c r="BH84" s="25">
        <v>0.33250000000000002</v>
      </c>
      <c r="BI84" s="25">
        <v>0.33250000000000002</v>
      </c>
      <c r="BJ84" s="25">
        <v>0.60750000000000004</v>
      </c>
    </row>
    <row r="85" spans="1:62" x14ac:dyDescent="0.25">
      <c r="A85" s="26" t="e">
        <f>#REF!-B85</f>
        <v>#REF!</v>
      </c>
      <c r="B85" s="26">
        <v>3.4550000000000001</v>
      </c>
      <c r="C85" s="145">
        <v>39173</v>
      </c>
      <c r="D85" s="26">
        <v>2.96</v>
      </c>
      <c r="E85" s="26">
        <v>0.22</v>
      </c>
      <c r="F85" s="26">
        <v>6.9622446994737019E-2</v>
      </c>
      <c r="G85" s="26">
        <v>-0.19500000000000001</v>
      </c>
      <c r="H85" s="26">
        <v>-0.21</v>
      </c>
      <c r="I85" s="26">
        <v>-0.17</v>
      </c>
      <c r="J85" s="26">
        <v>-0.26</v>
      </c>
      <c r="K85" s="26">
        <v>-0.15</v>
      </c>
      <c r="L85" s="26">
        <v>-5.5E-2</v>
      </c>
      <c r="M85" s="26">
        <v>-7.4999999999999997E-2</v>
      </c>
      <c r="N85" s="26">
        <v>-0.16500000000000001</v>
      </c>
      <c r="O85" s="26">
        <v>-0.19500000000000001</v>
      </c>
      <c r="P85" s="25">
        <v>-0.19500000000000001</v>
      </c>
      <c r="Q85" s="25">
        <v>-6.5000000000000002E-2</v>
      </c>
      <c r="R85" s="25">
        <v>-5.5E-2</v>
      </c>
      <c r="S85" s="25">
        <v>0.1925</v>
      </c>
      <c r="T85" s="25">
        <v>0.1925</v>
      </c>
      <c r="U85" s="25">
        <v>9.7500000000000003E-2</v>
      </c>
      <c r="V85" s="25">
        <v>0.215</v>
      </c>
      <c r="W85" s="179">
        <v>0.19500000000000001</v>
      </c>
      <c r="X85" s="179">
        <v>0.25</v>
      </c>
      <c r="Y85" s="179">
        <v>-2.35E-2</v>
      </c>
      <c r="Z85" s="179">
        <v>-2.5000000000000001E-2</v>
      </c>
      <c r="AA85" s="179">
        <v>6.0000000000000001E-3</v>
      </c>
      <c r="AB85" s="179">
        <v>-1.1500000000000002E-2</v>
      </c>
      <c r="AC85" s="179">
        <v>5.0000000000000001E-3</v>
      </c>
      <c r="AD85" s="179">
        <v>2.5000000000000001E-3</v>
      </c>
      <c r="AE85" s="179">
        <v>-6.25E-2</v>
      </c>
      <c r="AF85" s="179">
        <v>-4.9500000000000002E-2</v>
      </c>
      <c r="AG85" s="180">
        <v>-5.7999999999999996E-2</v>
      </c>
      <c r="AH85" s="179">
        <v>-1.9000000000000003E-2</v>
      </c>
      <c r="AI85" s="181">
        <v>-6.8000000000000005E-2</v>
      </c>
      <c r="AJ85" s="181">
        <v>-7.4999999999999997E-2</v>
      </c>
      <c r="AK85" s="29">
        <v>-1.8000000000000002E-2</v>
      </c>
      <c r="AL85" s="25">
        <v>6.5000000000000006E-3</v>
      </c>
      <c r="AM85" s="25">
        <v>0.45</v>
      </c>
      <c r="AN85" s="25">
        <v>1.4999999999999999E-2</v>
      </c>
      <c r="AO85" s="25">
        <v>-0.38500000000000001</v>
      </c>
      <c r="AP85" s="25">
        <v>-0.12</v>
      </c>
      <c r="AQ85" s="25">
        <v>-0.17</v>
      </c>
      <c r="AR85" s="25">
        <v>-0.28999999999999998</v>
      </c>
      <c r="AS85" s="25">
        <v>-0.33500000000000002</v>
      </c>
      <c r="AT85" s="25">
        <v>-0.38500000000000001</v>
      </c>
      <c r="AU85" s="25">
        <v>0.315</v>
      </c>
      <c r="AV85" s="25">
        <v>-0.38500000000000001</v>
      </c>
      <c r="AW85" s="25">
        <v>-0.10650000000000001</v>
      </c>
      <c r="AY85" s="25">
        <v>-0.10650000000000001</v>
      </c>
      <c r="AZ85" s="25">
        <v>-5.5E-2</v>
      </c>
      <c r="BA85" s="25">
        <v>-9.6500000000000002E-2</v>
      </c>
      <c r="BB85" s="25">
        <v>-1.9000000000000003E-2</v>
      </c>
      <c r="BC85" s="25">
        <v>-0.06</v>
      </c>
      <c r="BD85" s="25">
        <v>-0.02</v>
      </c>
      <c r="BE85" s="25">
        <v>-6.25E-2</v>
      </c>
      <c r="BF85" s="25">
        <v>0.12</v>
      </c>
      <c r="BG85" s="25">
        <v>0.14749999999999999</v>
      </c>
      <c r="BH85" s="25">
        <v>0.2225</v>
      </c>
      <c r="BI85" s="25">
        <v>0.2225</v>
      </c>
      <c r="BJ85" s="25">
        <v>0.35499999999999998</v>
      </c>
    </row>
    <row r="86" spans="1:62" x14ac:dyDescent="0.25">
      <c r="A86" s="26" t="e">
        <f>#REF!-B86</f>
        <v>#REF!</v>
      </c>
      <c r="B86" s="26">
        <v>3.3090000000000006</v>
      </c>
      <c r="C86" s="145">
        <v>39203</v>
      </c>
      <c r="D86" s="26">
        <v>2.9490000000000003</v>
      </c>
      <c r="E86" s="26">
        <v>0.22</v>
      </c>
      <c r="F86" s="26">
        <v>6.9638178971076006E-2</v>
      </c>
      <c r="G86" s="26">
        <v>-0.19500000000000001</v>
      </c>
      <c r="H86" s="26">
        <v>-0.21</v>
      </c>
      <c r="I86" s="26">
        <v>-0.185</v>
      </c>
      <c r="J86" s="26">
        <v>-0.26</v>
      </c>
      <c r="K86" s="26">
        <v>-0.16500000000000001</v>
      </c>
      <c r="L86" s="26">
        <v>-5.5E-2</v>
      </c>
      <c r="M86" s="26">
        <v>-7.4999999999999997E-2</v>
      </c>
      <c r="N86" s="26">
        <v>-0.16500000000000001</v>
      </c>
      <c r="O86" s="26">
        <v>-0.19500000000000001</v>
      </c>
      <c r="P86" s="25">
        <v>-0.19500000000000001</v>
      </c>
      <c r="Q86" s="25">
        <v>-6.5000000000000002E-2</v>
      </c>
      <c r="R86" s="25">
        <v>-5.5E-2</v>
      </c>
      <c r="S86" s="25">
        <v>0.20250000000000001</v>
      </c>
      <c r="T86" s="25">
        <v>0.20250000000000001</v>
      </c>
      <c r="U86" s="25">
        <v>0.1075</v>
      </c>
      <c r="V86" s="25">
        <v>0.215</v>
      </c>
      <c r="W86" s="179">
        <v>0.1825</v>
      </c>
      <c r="X86" s="179">
        <v>0.20250000000000001</v>
      </c>
      <c r="Y86" s="179">
        <v>-2.35E-2</v>
      </c>
      <c r="Z86" s="179">
        <v>-2.5249999999999998E-2</v>
      </c>
      <c r="AA86" s="179">
        <v>5.7500000000000008E-3</v>
      </c>
      <c r="AB86" s="179">
        <v>-1.175E-2</v>
      </c>
      <c r="AC86" s="179">
        <v>5.0000000000000001E-3</v>
      </c>
      <c r="AD86" s="179">
        <v>2.5000000000000001E-3</v>
      </c>
      <c r="AE86" s="179">
        <v>-6.25E-2</v>
      </c>
      <c r="AF86" s="179">
        <v>-4.9500000000000002E-2</v>
      </c>
      <c r="AG86" s="180">
        <v>-5.7999999999999996E-2</v>
      </c>
      <c r="AH86" s="179">
        <v>-1.9000000000000003E-2</v>
      </c>
      <c r="AI86" s="181">
        <v>-6.8000000000000005E-2</v>
      </c>
      <c r="AJ86" s="181">
        <v>-7.4999999999999997E-2</v>
      </c>
      <c r="AK86" s="29">
        <v>-1.8000000000000002E-2</v>
      </c>
      <c r="AL86" s="25">
        <v>6.5000000000000006E-3</v>
      </c>
      <c r="AM86" s="25">
        <v>0.40500000000000003</v>
      </c>
      <c r="AN86" s="25">
        <v>1.4999999999999999E-2</v>
      </c>
      <c r="AO86" s="25">
        <v>-0.38500000000000001</v>
      </c>
      <c r="AP86" s="25">
        <v>-0.12</v>
      </c>
      <c r="AQ86" s="25">
        <v>-0.17</v>
      </c>
      <c r="AR86" s="25">
        <v>-0.28999999999999998</v>
      </c>
      <c r="AS86" s="25">
        <v>-0.33500000000000002</v>
      </c>
      <c r="AT86" s="25">
        <v>-0.38500000000000001</v>
      </c>
      <c r="AU86" s="25">
        <v>0.315</v>
      </c>
      <c r="AV86" s="25">
        <v>-0.38500000000000001</v>
      </c>
      <c r="AW86" s="25">
        <v>-0.10400000000000001</v>
      </c>
      <c r="AY86" s="25">
        <v>-0.10400000000000001</v>
      </c>
      <c r="AZ86" s="25">
        <v>-5.5E-2</v>
      </c>
      <c r="BA86" s="25">
        <v>-9.6500000000000002E-2</v>
      </c>
      <c r="BB86" s="25">
        <v>-1.9000000000000003E-2</v>
      </c>
      <c r="BC86" s="25">
        <v>-0.06</v>
      </c>
      <c r="BD86" s="25">
        <v>-0.02</v>
      </c>
      <c r="BE86" s="25">
        <v>-6.25E-2</v>
      </c>
      <c r="BF86" s="25">
        <v>0.12</v>
      </c>
      <c r="BG86" s="25">
        <v>0.14749999999999999</v>
      </c>
      <c r="BH86" s="25">
        <v>0.23250000000000001</v>
      </c>
      <c r="BI86" s="25">
        <v>0.23250000000000001</v>
      </c>
      <c r="BJ86" s="25">
        <v>0.28749999999999998</v>
      </c>
    </row>
    <row r="87" spans="1:62" x14ac:dyDescent="0.25">
      <c r="A87" s="26" t="e">
        <f>#REF!-B87</f>
        <v>#REF!</v>
      </c>
      <c r="B87" s="26">
        <v>3.1660000000000004</v>
      </c>
      <c r="C87" s="145">
        <v>39234</v>
      </c>
      <c r="D87" s="26">
        <v>2.9730000000000003</v>
      </c>
      <c r="E87" s="26">
        <v>0.21</v>
      </c>
      <c r="F87" s="26">
        <v>6.9654435346714005E-2</v>
      </c>
      <c r="G87" s="26">
        <v>-0.19500000000000001</v>
      </c>
      <c r="H87" s="26">
        <v>-0.21</v>
      </c>
      <c r="I87" s="26">
        <v>-0.19500000000000001</v>
      </c>
      <c r="J87" s="26">
        <v>-0.26</v>
      </c>
      <c r="K87" s="26">
        <v>-0.17499999999999999</v>
      </c>
      <c r="L87" s="26">
        <v>-5.5E-2</v>
      </c>
      <c r="M87" s="26">
        <v>-7.4999999999999997E-2</v>
      </c>
      <c r="N87" s="26">
        <v>-0.16500000000000001</v>
      </c>
      <c r="O87" s="26">
        <v>-0.19500000000000001</v>
      </c>
      <c r="P87" s="25">
        <v>-0.19500000000000001</v>
      </c>
      <c r="Q87" s="25">
        <v>-6.25E-2</v>
      </c>
      <c r="R87" s="25">
        <v>-5.5E-2</v>
      </c>
      <c r="S87" s="25">
        <v>0.19750000000000001</v>
      </c>
      <c r="T87" s="25">
        <v>0.19750000000000001</v>
      </c>
      <c r="U87" s="25">
        <v>0.10249999999999999</v>
      </c>
      <c r="V87" s="25">
        <v>0</v>
      </c>
      <c r="W87" s="179">
        <v>0.1825</v>
      </c>
      <c r="X87" s="179">
        <v>0.20250000000000001</v>
      </c>
      <c r="Y87" s="179">
        <v>-2.35E-2</v>
      </c>
      <c r="Z87" s="179">
        <v>-2.5249999999999998E-2</v>
      </c>
      <c r="AA87" s="179">
        <v>5.7500000000000008E-3</v>
      </c>
      <c r="AB87" s="179">
        <v>-1.175E-2</v>
      </c>
      <c r="AC87" s="179">
        <v>5.0000000000000001E-3</v>
      </c>
      <c r="AD87" s="179">
        <v>2.5000000000000001E-3</v>
      </c>
      <c r="AE87" s="179">
        <v>-6.25E-2</v>
      </c>
      <c r="AF87" s="179">
        <v>-4.9500000000000002E-2</v>
      </c>
      <c r="AG87" s="180">
        <v>-5.7999999999999996E-2</v>
      </c>
      <c r="AH87" s="179">
        <v>-1.9000000000000003E-2</v>
      </c>
      <c r="AI87" s="181">
        <v>-8.4000000000000005E-2</v>
      </c>
      <c r="AJ87" s="181">
        <v>-7.0000000000000007E-2</v>
      </c>
      <c r="AK87" s="29">
        <v>-1.8000000000000002E-2</v>
      </c>
      <c r="AL87" s="25">
        <v>6.5000000000000006E-3</v>
      </c>
      <c r="AM87" s="25">
        <v>0.39500000000000002</v>
      </c>
      <c r="AN87" s="25">
        <v>0.02</v>
      </c>
      <c r="AO87" s="25">
        <v>-0.38500000000000001</v>
      </c>
      <c r="AP87" s="25">
        <v>-0.12</v>
      </c>
      <c r="AQ87" s="25">
        <v>-0.17</v>
      </c>
      <c r="AR87" s="25">
        <v>-0.28999999999999998</v>
      </c>
      <c r="AS87" s="25">
        <v>-0.33500000000000002</v>
      </c>
      <c r="AT87" s="25">
        <v>-0.38500000000000001</v>
      </c>
      <c r="AU87" s="25">
        <v>0.315</v>
      </c>
      <c r="AV87" s="25">
        <v>-0.38500000000000001</v>
      </c>
      <c r="AW87" s="25">
        <v>-9.6500000000000002E-2</v>
      </c>
      <c r="AY87" s="25">
        <v>-9.6500000000000002E-2</v>
      </c>
      <c r="AZ87" s="25">
        <v>-5.5E-2</v>
      </c>
      <c r="BA87" s="25">
        <v>-8.6500000000000007E-2</v>
      </c>
      <c r="BB87" s="25">
        <v>-1.9000000000000003E-2</v>
      </c>
      <c r="BC87" s="25">
        <v>-0.06</v>
      </c>
      <c r="BD87" s="25">
        <v>-1.4999999999999999E-2</v>
      </c>
      <c r="BE87" s="25">
        <v>-6.25E-2</v>
      </c>
      <c r="BF87" s="25">
        <v>0.12</v>
      </c>
      <c r="BG87" s="25">
        <v>0.14749999999999999</v>
      </c>
      <c r="BH87" s="25">
        <v>0.22750000000000001</v>
      </c>
      <c r="BI87" s="25">
        <v>0.22750000000000001</v>
      </c>
      <c r="BJ87" s="25">
        <v>0.28749999999999998</v>
      </c>
    </row>
    <row r="88" spans="1:62" x14ac:dyDescent="0.25">
      <c r="A88" s="26" t="e">
        <f>#REF!-B88</f>
        <v>#REF!</v>
      </c>
      <c r="B88" s="26">
        <v>3.1419999999999999</v>
      </c>
      <c r="C88" s="145">
        <v>39264</v>
      </c>
      <c r="D88" s="26">
        <v>2.9950000000000001</v>
      </c>
      <c r="E88" s="26">
        <v>0.21</v>
      </c>
      <c r="F88" s="26">
        <v>6.9670167323219998E-2</v>
      </c>
      <c r="G88" s="26">
        <v>-0.19500000000000001</v>
      </c>
      <c r="H88" s="26">
        <v>-0.21</v>
      </c>
      <c r="I88" s="26">
        <v>-0.19500000000000001</v>
      </c>
      <c r="J88" s="26">
        <v>-0.28000000000000003</v>
      </c>
      <c r="K88" s="26">
        <v>-0.17499999999999999</v>
      </c>
      <c r="L88" s="26">
        <v>-5.5E-2</v>
      </c>
      <c r="M88" s="26">
        <v>-7.4999999999999997E-2</v>
      </c>
      <c r="N88" s="26">
        <v>-0.16500000000000001</v>
      </c>
      <c r="O88" s="26">
        <v>-0.19500000000000001</v>
      </c>
      <c r="P88" s="25">
        <v>-0.19500000000000001</v>
      </c>
      <c r="Q88" s="25">
        <v>-6.1249999999999999E-2</v>
      </c>
      <c r="R88" s="25">
        <v>-5.5E-2</v>
      </c>
      <c r="S88" s="25">
        <v>0.1875</v>
      </c>
      <c r="T88" s="25">
        <v>0.1875</v>
      </c>
      <c r="U88" s="25">
        <v>9.2499999999999999E-2</v>
      </c>
      <c r="V88" s="25">
        <v>0</v>
      </c>
      <c r="W88" s="179">
        <v>0.1825</v>
      </c>
      <c r="X88" s="179">
        <v>0.215</v>
      </c>
      <c r="Y88" s="179">
        <v>-2.35E-2</v>
      </c>
      <c r="Z88" s="179">
        <v>-2.5249999999999998E-2</v>
      </c>
      <c r="AA88" s="179">
        <v>5.7500000000000008E-3</v>
      </c>
      <c r="AB88" s="179">
        <v>-1.175E-2</v>
      </c>
      <c r="AC88" s="179">
        <v>5.0000000000000001E-3</v>
      </c>
      <c r="AD88" s="179">
        <v>2.5000000000000001E-3</v>
      </c>
      <c r="AE88" s="179">
        <v>-6.25E-2</v>
      </c>
      <c r="AF88" s="179">
        <v>-4.9500000000000002E-2</v>
      </c>
      <c r="AG88" s="180">
        <v>-5.7999999999999996E-2</v>
      </c>
      <c r="AH88" s="179">
        <v>-1.9000000000000003E-2</v>
      </c>
      <c r="AI88" s="181">
        <v>-7.6999999999999999E-2</v>
      </c>
      <c r="AJ88" s="181">
        <v>-6.7500000000000004E-2</v>
      </c>
      <c r="AK88" s="29">
        <v>-1.8000000000000002E-2</v>
      </c>
      <c r="AL88" s="25">
        <v>6.5000000000000006E-3</v>
      </c>
      <c r="AM88" s="25">
        <v>0.43</v>
      </c>
      <c r="AN88" s="25">
        <v>2.2499999999999999E-2</v>
      </c>
      <c r="AO88" s="25">
        <v>-0.38500000000000001</v>
      </c>
      <c r="AP88" s="25">
        <v>-0.12</v>
      </c>
      <c r="AQ88" s="25">
        <v>-0.17</v>
      </c>
      <c r="AR88" s="25">
        <v>-0.28999999999999998</v>
      </c>
      <c r="AS88" s="25">
        <v>-0.33500000000000002</v>
      </c>
      <c r="AT88" s="25">
        <v>-0.38500000000000001</v>
      </c>
      <c r="AU88" s="25">
        <v>0.315</v>
      </c>
      <c r="AV88" s="25">
        <v>-0.38500000000000001</v>
      </c>
      <c r="AW88" s="25">
        <v>-0.10400000000000001</v>
      </c>
      <c r="AY88" s="25">
        <v>-0.10400000000000001</v>
      </c>
      <c r="AZ88" s="25">
        <v>-5.5E-2</v>
      </c>
      <c r="BA88" s="25">
        <v>-8.1500000000000003E-2</v>
      </c>
      <c r="BB88" s="25">
        <v>-1.9000000000000003E-2</v>
      </c>
      <c r="BC88" s="25">
        <v>-0.06</v>
      </c>
      <c r="BD88" s="25">
        <v>-1.2500000000000001E-2</v>
      </c>
      <c r="BE88" s="25">
        <v>-6.25E-2</v>
      </c>
      <c r="BF88" s="25">
        <v>0.12</v>
      </c>
      <c r="BG88" s="25">
        <v>0.14749999999999999</v>
      </c>
      <c r="BH88" s="25">
        <v>0.2175</v>
      </c>
      <c r="BI88" s="25">
        <v>0.2175</v>
      </c>
      <c r="BJ88" s="25">
        <v>0.3</v>
      </c>
    </row>
    <row r="89" spans="1:62" x14ac:dyDescent="0.25">
      <c r="A89" s="26" t="e">
        <f>#REF!-B89</f>
        <v>#REF!</v>
      </c>
      <c r="B89" s="26">
        <v>3.1260000000000003</v>
      </c>
      <c r="C89" s="145">
        <v>39295</v>
      </c>
      <c r="D89" s="26">
        <v>3.0160000000000005</v>
      </c>
      <c r="E89" s="26">
        <v>0.21</v>
      </c>
      <c r="F89" s="26">
        <v>6.9686423699029013E-2</v>
      </c>
      <c r="G89" s="26">
        <v>-0.19500000000000001</v>
      </c>
      <c r="H89" s="26">
        <v>-0.21</v>
      </c>
      <c r="I89" s="26">
        <v>-0.19500000000000001</v>
      </c>
      <c r="J89" s="26">
        <v>-0.28000000000000003</v>
      </c>
      <c r="K89" s="26">
        <v>-0.17499999999999999</v>
      </c>
      <c r="L89" s="26">
        <v>-5.5E-2</v>
      </c>
      <c r="M89" s="26">
        <v>-7.4999999999999997E-2</v>
      </c>
      <c r="N89" s="26">
        <v>-0.16500000000000001</v>
      </c>
      <c r="O89" s="26">
        <v>-0.19500000000000001</v>
      </c>
      <c r="P89" s="25">
        <v>-0.19500000000000001</v>
      </c>
      <c r="Q89" s="25">
        <v>-0.06</v>
      </c>
      <c r="R89" s="25">
        <v>-5.5E-2</v>
      </c>
      <c r="S89" s="25">
        <v>0.185</v>
      </c>
      <c r="T89" s="25">
        <v>0.185</v>
      </c>
      <c r="U89" s="25">
        <v>0.09</v>
      </c>
      <c r="V89" s="25">
        <v>0</v>
      </c>
      <c r="W89" s="179">
        <v>0.1825</v>
      </c>
      <c r="X89" s="179">
        <v>0.215</v>
      </c>
      <c r="Y89" s="179">
        <v>-2.35E-2</v>
      </c>
      <c r="Z89" s="179">
        <v>-2.5249999999999998E-2</v>
      </c>
      <c r="AA89" s="179">
        <v>5.7500000000000008E-3</v>
      </c>
      <c r="AB89" s="179">
        <v>-1.175E-2</v>
      </c>
      <c r="AC89" s="179">
        <v>5.0000000000000001E-3</v>
      </c>
      <c r="AD89" s="179">
        <v>2.5000000000000001E-3</v>
      </c>
      <c r="AE89" s="179">
        <v>-6.25E-2</v>
      </c>
      <c r="AF89" s="179">
        <v>-4.9500000000000002E-2</v>
      </c>
      <c r="AG89" s="180">
        <v>-5.7999999999999996E-2</v>
      </c>
      <c r="AH89" s="179">
        <v>-1.9000000000000003E-2</v>
      </c>
      <c r="AI89" s="181">
        <v>-5.7999999999999996E-2</v>
      </c>
      <c r="AJ89" s="181">
        <v>-6.5000000000000002E-2</v>
      </c>
      <c r="AK89" s="29">
        <v>-1.8000000000000002E-2</v>
      </c>
      <c r="AL89" s="25">
        <v>6.5000000000000006E-3</v>
      </c>
      <c r="AM89" s="25">
        <v>0.495</v>
      </c>
      <c r="AN89" s="25">
        <v>2.5000000000000001E-2</v>
      </c>
      <c r="AO89" s="25">
        <v>-0.38500000000000001</v>
      </c>
      <c r="AP89" s="25">
        <v>-0.12</v>
      </c>
      <c r="AQ89" s="25">
        <v>-0.17</v>
      </c>
      <c r="AR89" s="25">
        <v>-0.28999999999999998</v>
      </c>
      <c r="AS89" s="25">
        <v>-0.33500000000000002</v>
      </c>
      <c r="AT89" s="25">
        <v>-0.38500000000000001</v>
      </c>
      <c r="AU89" s="25">
        <v>0.315</v>
      </c>
      <c r="AV89" s="25">
        <v>-0.38500000000000001</v>
      </c>
      <c r="AW89" s="25">
        <v>-9.1500000000000012E-2</v>
      </c>
      <c r="AY89" s="25">
        <v>-9.1500000000000012E-2</v>
      </c>
      <c r="AZ89" s="25">
        <v>-5.5E-2</v>
      </c>
      <c r="BA89" s="25">
        <v>-8.1500000000000003E-2</v>
      </c>
      <c r="BB89" s="25">
        <v>-1.9000000000000003E-2</v>
      </c>
      <c r="BC89" s="25">
        <v>-0.06</v>
      </c>
      <c r="BD89" s="25">
        <v>-0.01</v>
      </c>
      <c r="BE89" s="25">
        <v>-6.25E-2</v>
      </c>
      <c r="BF89" s="25">
        <v>0.12</v>
      </c>
      <c r="BG89" s="25">
        <v>0.14749999999999999</v>
      </c>
      <c r="BH89" s="25">
        <v>0.215</v>
      </c>
      <c r="BI89" s="25">
        <v>0.215</v>
      </c>
      <c r="BJ89" s="25">
        <v>0.3</v>
      </c>
    </row>
    <row r="90" spans="1:62" x14ac:dyDescent="0.25">
      <c r="A90" s="26" t="e">
        <f>#REF!-B90</f>
        <v>#REF!</v>
      </c>
      <c r="B90" s="26">
        <v>3.1910000000000003</v>
      </c>
      <c r="C90" s="145">
        <v>39326</v>
      </c>
      <c r="D90" s="26">
        <v>3.0019999999999998</v>
      </c>
      <c r="E90" s="26">
        <v>0.21</v>
      </c>
      <c r="F90" s="26">
        <v>6.9702680074925014E-2</v>
      </c>
      <c r="G90" s="26">
        <v>-0.19500000000000001</v>
      </c>
      <c r="H90" s="26">
        <v>-0.21</v>
      </c>
      <c r="I90" s="26">
        <v>-0.185</v>
      </c>
      <c r="J90" s="26">
        <v>-0.28000000000000003</v>
      </c>
      <c r="K90" s="26">
        <v>-0.16500000000000001</v>
      </c>
      <c r="L90" s="26">
        <v>-5.5E-2</v>
      </c>
      <c r="M90" s="26">
        <v>-7.4999999999999997E-2</v>
      </c>
      <c r="N90" s="26">
        <v>-0.16500000000000001</v>
      </c>
      <c r="O90" s="26">
        <v>-0.19500000000000001</v>
      </c>
      <c r="P90" s="25">
        <v>-0.19500000000000001</v>
      </c>
      <c r="Q90" s="25">
        <v>-6.3750000000000001E-2</v>
      </c>
      <c r="R90" s="25">
        <v>-5.5E-2</v>
      </c>
      <c r="S90" s="25">
        <v>0.1825</v>
      </c>
      <c r="T90" s="25">
        <v>0.1825</v>
      </c>
      <c r="U90" s="25">
        <v>8.7499999999999994E-2</v>
      </c>
      <c r="V90" s="25">
        <v>0</v>
      </c>
      <c r="W90" s="179">
        <v>0.1825</v>
      </c>
      <c r="X90" s="179">
        <v>0.19500000000000001</v>
      </c>
      <c r="Y90" s="179">
        <v>-2.35E-2</v>
      </c>
      <c r="Z90" s="179">
        <v>-2.5249999999999998E-2</v>
      </c>
      <c r="AA90" s="179">
        <v>5.7500000000000008E-3</v>
      </c>
      <c r="AB90" s="179">
        <v>-1.175E-2</v>
      </c>
      <c r="AC90" s="179">
        <v>5.0000000000000001E-3</v>
      </c>
      <c r="AD90" s="179">
        <v>2.5000000000000001E-3</v>
      </c>
      <c r="AE90" s="179">
        <v>-6.25E-2</v>
      </c>
      <c r="AF90" s="179">
        <v>-4.7E-2</v>
      </c>
      <c r="AG90" s="180">
        <v>-5.5500000000000001E-2</v>
      </c>
      <c r="AH90" s="179">
        <v>-1.9000000000000003E-2</v>
      </c>
      <c r="AI90" s="181">
        <v>-5.6000000000000008E-2</v>
      </c>
      <c r="AJ90" s="181">
        <v>-7.2499999999999995E-2</v>
      </c>
      <c r="AK90" s="29">
        <v>-1.8000000000000002E-2</v>
      </c>
      <c r="AL90" s="25">
        <v>6.5000000000000006E-3</v>
      </c>
      <c r="AM90" s="25">
        <v>0.39500000000000002</v>
      </c>
      <c r="AN90" s="25">
        <v>1.7500000000000002E-2</v>
      </c>
      <c r="AO90" s="25">
        <v>-0.38500000000000001</v>
      </c>
      <c r="AP90" s="25">
        <v>-0.12</v>
      </c>
      <c r="AQ90" s="25">
        <v>-0.17</v>
      </c>
      <c r="AR90" s="25">
        <v>-0.28999999999999998</v>
      </c>
      <c r="AS90" s="25">
        <v>-0.33500000000000002</v>
      </c>
      <c r="AT90" s="25">
        <v>-0.38500000000000001</v>
      </c>
      <c r="AU90" s="25">
        <v>0.315</v>
      </c>
      <c r="AV90" s="25">
        <v>-0.38500000000000001</v>
      </c>
      <c r="AW90" s="25">
        <v>-9.6500000000000002E-2</v>
      </c>
      <c r="AY90" s="25">
        <v>-9.6500000000000002E-2</v>
      </c>
      <c r="AZ90" s="25">
        <v>-5.5E-2</v>
      </c>
      <c r="BA90" s="25">
        <v>-9.6500000000000002E-2</v>
      </c>
      <c r="BB90" s="25">
        <v>-1.9000000000000003E-2</v>
      </c>
      <c r="BC90" s="25">
        <v>-0.06</v>
      </c>
      <c r="BD90" s="25">
        <v>-1.7500000000000002E-2</v>
      </c>
      <c r="BE90" s="25">
        <v>-6.25E-2</v>
      </c>
      <c r="BF90" s="25">
        <v>0.12</v>
      </c>
      <c r="BG90" s="25">
        <v>0.14749999999999999</v>
      </c>
      <c r="BH90" s="25">
        <v>0.21249999999999999</v>
      </c>
      <c r="BI90" s="25">
        <v>0.21249999999999999</v>
      </c>
      <c r="BJ90" s="25">
        <v>0.28999999999999998</v>
      </c>
    </row>
    <row r="91" spans="1:62" x14ac:dyDescent="0.25">
      <c r="A91" s="26" t="e">
        <f>#REF!-B91</f>
        <v>#REF!</v>
      </c>
      <c r="B91" s="26">
        <v>3.1860000000000004</v>
      </c>
      <c r="C91" s="145">
        <v>39356</v>
      </c>
      <c r="D91" s="26">
        <v>3.0030000000000001</v>
      </c>
      <c r="E91" s="26">
        <v>0.2</v>
      </c>
      <c r="F91" s="26">
        <v>6.9715796261551014E-2</v>
      </c>
      <c r="G91" s="26">
        <v>-0.19500000000000001</v>
      </c>
      <c r="H91" s="26">
        <v>-0.21</v>
      </c>
      <c r="I91" s="26">
        <v>-0.17</v>
      </c>
      <c r="J91" s="26">
        <v>-0.28000000000000003</v>
      </c>
      <c r="K91" s="26">
        <v>-0.15</v>
      </c>
      <c r="L91" s="26">
        <v>-5.5E-2</v>
      </c>
      <c r="M91" s="26">
        <v>-7.4999999999999997E-2</v>
      </c>
      <c r="N91" s="26">
        <v>-0.16500000000000001</v>
      </c>
      <c r="O91" s="26">
        <v>-0.19500000000000001</v>
      </c>
      <c r="P91" s="25">
        <v>-0.19500000000000001</v>
      </c>
      <c r="Q91" s="25">
        <v>-6.8750000000000006E-2</v>
      </c>
      <c r="R91" s="25">
        <v>-5.5E-2</v>
      </c>
      <c r="S91" s="25">
        <v>0.19750000000000001</v>
      </c>
      <c r="T91" s="25">
        <v>0.19750000000000001</v>
      </c>
      <c r="U91" s="25">
        <v>0.10249999999999999</v>
      </c>
      <c r="V91" s="25">
        <v>0</v>
      </c>
      <c r="W91" s="179">
        <v>0.1875</v>
      </c>
      <c r="X91" s="179">
        <v>0.215</v>
      </c>
      <c r="Y91" s="179">
        <v>-2.35E-2</v>
      </c>
      <c r="Z91" s="179">
        <v>-2.5249999999999998E-2</v>
      </c>
      <c r="AA91" s="179">
        <v>-1.2500000000000001E-2</v>
      </c>
      <c r="AB91" s="179">
        <v>-0.03</v>
      </c>
      <c r="AC91" s="179">
        <v>5.0000000000000001E-3</v>
      </c>
      <c r="AD91" s="179">
        <v>2.5000000000000001E-3</v>
      </c>
      <c r="AE91" s="179">
        <v>-6.25E-2</v>
      </c>
      <c r="AF91" s="179">
        <v>-4.7E-2</v>
      </c>
      <c r="AG91" s="180">
        <v>-5.5500000000000001E-2</v>
      </c>
      <c r="AH91" s="179">
        <v>-1.9000000000000003E-2</v>
      </c>
      <c r="AI91" s="181">
        <v>-5.7999999999999996E-2</v>
      </c>
      <c r="AJ91" s="181">
        <v>-8.2500000000000004E-2</v>
      </c>
      <c r="AK91" s="29">
        <v>-1.8000000000000002E-2</v>
      </c>
      <c r="AL91" s="25">
        <v>6.5000000000000006E-3</v>
      </c>
      <c r="AM91" s="25">
        <v>0.46100000000000002</v>
      </c>
      <c r="AN91" s="25">
        <v>7.4999999999999997E-3</v>
      </c>
      <c r="AO91" s="25">
        <v>-0.38500000000000001</v>
      </c>
      <c r="AP91" s="25">
        <v>-0.12</v>
      </c>
      <c r="AQ91" s="25">
        <v>-0.17</v>
      </c>
      <c r="AR91" s="25">
        <v>-0.28999999999999998</v>
      </c>
      <c r="AS91" s="25">
        <v>-0.33500000000000002</v>
      </c>
      <c r="AT91" s="25">
        <v>-0.38500000000000001</v>
      </c>
      <c r="AU91" s="25">
        <v>0.315</v>
      </c>
      <c r="AV91" s="25">
        <v>-0.38500000000000001</v>
      </c>
      <c r="AW91" s="25">
        <v>-0.10650000000000001</v>
      </c>
      <c r="AY91" s="25">
        <v>-0.10650000000000001</v>
      </c>
      <c r="AZ91" s="25">
        <v>-5.5E-2</v>
      </c>
      <c r="BA91" s="25">
        <v>-9.9000000000000005E-2</v>
      </c>
      <c r="BB91" s="25">
        <v>-1.9000000000000003E-2</v>
      </c>
      <c r="BC91" s="25">
        <v>-0.06</v>
      </c>
      <c r="BD91" s="25">
        <v>-2.75E-2</v>
      </c>
      <c r="BE91" s="25">
        <v>-6.25E-2</v>
      </c>
      <c r="BF91" s="25">
        <v>0.12</v>
      </c>
      <c r="BG91" s="25">
        <v>0.14749999999999999</v>
      </c>
      <c r="BH91" s="25">
        <v>0.22750000000000001</v>
      </c>
      <c r="BI91" s="25">
        <v>0.22750000000000001</v>
      </c>
      <c r="BJ91" s="25">
        <v>0.36249999999999999</v>
      </c>
    </row>
    <row r="92" spans="1:62" x14ac:dyDescent="0.25">
      <c r="A92" s="26" t="e">
        <f>#REF!-B92</f>
        <v>#REF!</v>
      </c>
      <c r="B92" s="26">
        <v>3.1720000000000002</v>
      </c>
      <c r="C92" s="145">
        <v>39387</v>
      </c>
      <c r="D92" s="26">
        <v>3.0750000000000002</v>
      </c>
      <c r="E92" s="26">
        <v>0.2</v>
      </c>
      <c r="F92" s="26">
        <v>6.9728933810896024E-2</v>
      </c>
      <c r="G92" s="26">
        <v>-0.19</v>
      </c>
      <c r="H92" s="26">
        <v>-0.2</v>
      </c>
      <c r="I92" s="26">
        <v>-0.13250000000000001</v>
      </c>
      <c r="J92" s="26">
        <v>-0.27500000000000002</v>
      </c>
      <c r="K92" s="26">
        <v>-0.1125</v>
      </c>
      <c r="L92" s="26">
        <v>-5.5E-2</v>
      </c>
      <c r="M92" s="26">
        <v>-0.09</v>
      </c>
      <c r="N92" s="26">
        <v>-0.16</v>
      </c>
      <c r="O92" s="26">
        <v>-0.19</v>
      </c>
      <c r="P92" s="25">
        <v>-0.19</v>
      </c>
      <c r="Q92" s="25">
        <v>-8.8749999999999996E-2</v>
      </c>
      <c r="R92" s="25">
        <v>-5.5E-2</v>
      </c>
      <c r="S92" s="25">
        <v>0.26</v>
      </c>
      <c r="T92" s="25">
        <v>0.26</v>
      </c>
      <c r="U92" s="25">
        <v>0.16500000000000001</v>
      </c>
      <c r="V92" s="25">
        <v>0</v>
      </c>
      <c r="W92" s="179">
        <v>0.27</v>
      </c>
      <c r="X92" s="179">
        <v>0.28749999999999998</v>
      </c>
      <c r="Y92" s="179">
        <v>-2.6499999999999999E-2</v>
      </c>
      <c r="Z92" s="179">
        <v>-0.04</v>
      </c>
      <c r="AA92" s="179">
        <v>-1.1500000000000002E-2</v>
      </c>
      <c r="AB92" s="179">
        <v>-2.8999999999999998E-2</v>
      </c>
      <c r="AC92" s="179">
        <v>5.0000000000000001E-3</v>
      </c>
      <c r="AD92" s="179">
        <v>-5.5000000000000005E-3</v>
      </c>
      <c r="AE92" s="179">
        <v>-6.5000000000000002E-2</v>
      </c>
      <c r="AF92" s="179">
        <v>-4.7E-2</v>
      </c>
      <c r="AG92" s="180">
        <v>-5.8500000000000003E-2</v>
      </c>
      <c r="AH92" s="179">
        <v>-1.5500000000000002E-2</v>
      </c>
      <c r="AI92" s="181">
        <v>-7.2999999999999995E-2</v>
      </c>
      <c r="AJ92" s="181">
        <v>-0.1225</v>
      </c>
      <c r="AK92" s="29">
        <v>-1.0500000000000001E-2</v>
      </c>
      <c r="AL92" s="25">
        <v>1.4999999999999999E-2</v>
      </c>
      <c r="AM92" s="25">
        <v>0.76749999999999996</v>
      </c>
      <c r="AN92" s="25">
        <v>-3.2500000000000001E-2</v>
      </c>
      <c r="AO92" s="25">
        <v>-0.31</v>
      </c>
      <c r="AP92" s="25">
        <v>-0.13250000000000001</v>
      </c>
      <c r="AQ92" s="25">
        <v>-0.17</v>
      </c>
      <c r="AR92" s="25">
        <v>0</v>
      </c>
      <c r="AS92" s="25">
        <v>-0.26</v>
      </c>
      <c r="AT92" s="25">
        <v>0</v>
      </c>
      <c r="AU92" s="25">
        <v>0.14000000000000001</v>
      </c>
      <c r="AV92" s="25">
        <v>-0.31</v>
      </c>
      <c r="AW92" s="25">
        <v>-0.1115</v>
      </c>
      <c r="AY92" s="25">
        <v>-0.1115</v>
      </c>
      <c r="AZ92" s="25">
        <v>-5.5E-2</v>
      </c>
      <c r="BA92" s="25">
        <v>-9.6500000000000002E-2</v>
      </c>
      <c r="BB92" s="25">
        <v>-2.0499999999999997E-2</v>
      </c>
      <c r="BC92" s="25">
        <v>-7.4999999999999997E-2</v>
      </c>
      <c r="BD92" s="25">
        <v>-6.7500000000000004E-2</v>
      </c>
      <c r="BE92" s="25">
        <v>-6.5000000000000002E-2</v>
      </c>
      <c r="BF92" s="25">
        <v>0.09</v>
      </c>
      <c r="BG92" s="25">
        <v>0.27500000000000002</v>
      </c>
      <c r="BH92" s="25">
        <v>0.30499999999999999</v>
      </c>
      <c r="BI92" s="25">
        <v>0.30499999999999999</v>
      </c>
      <c r="BJ92" s="25">
        <v>0.46500000000000002</v>
      </c>
    </row>
    <row r="93" spans="1:62" x14ac:dyDescent="0.25">
      <c r="A93" s="26" t="e">
        <f>#REF!-B93</f>
        <v>#REF!</v>
      </c>
      <c r="B93" s="26">
        <v>3.1860000000000004</v>
      </c>
      <c r="C93" s="145">
        <v>39417</v>
      </c>
      <c r="D93" s="26">
        <v>3.145</v>
      </c>
      <c r="E93" s="26">
        <v>0.2</v>
      </c>
      <c r="F93" s="26">
        <v>6.9741647568382012E-2</v>
      </c>
      <c r="G93" s="26">
        <v>-0.19750000000000001</v>
      </c>
      <c r="H93" s="26">
        <v>-0.20749999999999999</v>
      </c>
      <c r="I93" s="26">
        <v>-0.125</v>
      </c>
      <c r="J93" s="26">
        <v>-0.28249999999999997</v>
      </c>
      <c r="K93" s="26">
        <v>-0.105</v>
      </c>
      <c r="L93" s="26">
        <v>-5.5E-2</v>
      </c>
      <c r="M93" s="26">
        <v>-0.09</v>
      </c>
      <c r="N93" s="26">
        <v>-0.16750000000000001</v>
      </c>
      <c r="O93" s="26">
        <v>-0.19750000000000001</v>
      </c>
      <c r="P93" s="25">
        <v>-0.19750000000000001</v>
      </c>
      <c r="Q93" s="25">
        <v>-0.1</v>
      </c>
      <c r="R93" s="25">
        <v>-5.5E-2</v>
      </c>
      <c r="S93" s="25">
        <v>0.3</v>
      </c>
      <c r="T93" s="25">
        <v>0.3</v>
      </c>
      <c r="U93" s="25">
        <v>0.20499999999999999</v>
      </c>
      <c r="V93" s="25">
        <v>0</v>
      </c>
      <c r="W93" s="179">
        <v>0.30499999999999999</v>
      </c>
      <c r="X93" s="179">
        <v>0.33750000000000002</v>
      </c>
      <c r="Y93" s="179">
        <v>-2.6499999999999999E-2</v>
      </c>
      <c r="Z93" s="179">
        <v>-3.2500000000000001E-2</v>
      </c>
      <c r="AA93" s="179">
        <v>-1.1500000000000002E-2</v>
      </c>
      <c r="AB93" s="179">
        <v>-2.8999999999999998E-2</v>
      </c>
      <c r="AC93" s="179">
        <v>5.0000000000000001E-3</v>
      </c>
      <c r="AD93" s="179">
        <v>-5.5000000000000005E-3</v>
      </c>
      <c r="AE93" s="179">
        <v>-6.5000000000000002E-2</v>
      </c>
      <c r="AF93" s="179">
        <v>-4.7E-2</v>
      </c>
      <c r="AG93" s="180">
        <v>-5.8500000000000003E-2</v>
      </c>
      <c r="AH93" s="179">
        <v>-1.5500000000000002E-2</v>
      </c>
      <c r="AI93" s="181">
        <v>-7.2999999999999995E-2</v>
      </c>
      <c r="AJ93" s="181">
        <v>-0.14499999999999999</v>
      </c>
      <c r="AK93" s="29">
        <v>-1.0500000000000001E-2</v>
      </c>
      <c r="AL93" s="25">
        <v>1.4999999999999999E-2</v>
      </c>
      <c r="AM93" s="25">
        <v>1.19</v>
      </c>
      <c r="AN93" s="25">
        <v>-5.5E-2</v>
      </c>
      <c r="AO93" s="25">
        <v>-0.31</v>
      </c>
      <c r="AP93" s="25">
        <v>-0.1275</v>
      </c>
      <c r="AQ93" s="25">
        <v>-0.17</v>
      </c>
      <c r="AR93" s="25">
        <v>0.06</v>
      </c>
      <c r="AS93" s="25">
        <v>-0.26</v>
      </c>
      <c r="AT93" s="25">
        <v>0</v>
      </c>
      <c r="AU93" s="25">
        <v>0.14000000000000001</v>
      </c>
      <c r="AV93" s="25">
        <v>-0.31</v>
      </c>
      <c r="AW93" s="25">
        <v>-0.14150000000000001</v>
      </c>
      <c r="AY93" s="25">
        <v>-0.14150000000000001</v>
      </c>
      <c r="AZ93" s="25">
        <v>-5.5E-2</v>
      </c>
      <c r="BA93" s="25">
        <v>-0.13150000000000001</v>
      </c>
      <c r="BB93" s="25">
        <v>-2.0499999999999997E-2</v>
      </c>
      <c r="BC93" s="25">
        <v>-7.4999999999999997E-2</v>
      </c>
      <c r="BD93" s="25">
        <v>-0.09</v>
      </c>
      <c r="BE93" s="25">
        <v>-6.5000000000000002E-2</v>
      </c>
      <c r="BF93" s="25">
        <v>0.09</v>
      </c>
      <c r="BG93" s="25">
        <v>0.245</v>
      </c>
      <c r="BH93" s="25">
        <v>0.34499999999999997</v>
      </c>
      <c r="BI93" s="25">
        <v>0.34499999999999997</v>
      </c>
      <c r="BJ93" s="25">
        <v>0.8</v>
      </c>
    </row>
    <row r="94" spans="1:62" x14ac:dyDescent="0.25">
      <c r="A94" s="26" t="e">
        <f>#REF!-B94</f>
        <v>#REF!</v>
      </c>
      <c r="B94" s="26">
        <v>3.278</v>
      </c>
      <c r="C94" s="145">
        <v>39448</v>
      </c>
      <c r="D94" s="26">
        <v>3.4319999999999999</v>
      </c>
      <c r="E94" s="26">
        <v>0.2</v>
      </c>
      <c r="F94" s="26">
        <v>6.9754785117839016E-2</v>
      </c>
      <c r="G94" s="26">
        <v>-0.2</v>
      </c>
      <c r="H94" s="26">
        <v>-0.21</v>
      </c>
      <c r="I94" s="26">
        <v>-0.11</v>
      </c>
      <c r="J94" s="26">
        <v>-0.26500000000000001</v>
      </c>
      <c r="K94" s="26">
        <v>-0.09</v>
      </c>
      <c r="L94" s="26">
        <v>-5.5E-2</v>
      </c>
      <c r="M94" s="26">
        <v>-0.09</v>
      </c>
      <c r="N94" s="26">
        <v>-0.17</v>
      </c>
      <c r="O94" s="26">
        <v>-0.2</v>
      </c>
      <c r="P94" s="25">
        <v>-0.2</v>
      </c>
      <c r="Q94" s="25">
        <v>-0.10125000000000001</v>
      </c>
      <c r="R94" s="25">
        <v>-5.5E-2</v>
      </c>
      <c r="S94" s="25">
        <v>0.35499999999999998</v>
      </c>
      <c r="T94" s="25">
        <v>0.35499999999999998</v>
      </c>
      <c r="U94" s="25">
        <v>0.26</v>
      </c>
      <c r="V94" s="25">
        <v>0</v>
      </c>
      <c r="W94" s="179">
        <v>0.30499999999999999</v>
      </c>
      <c r="X94" s="179">
        <v>0.4375</v>
      </c>
      <c r="Y94" s="179">
        <v>-2.2000000000000002E-2</v>
      </c>
      <c r="Z94" s="179">
        <v>-3.2500000000000001E-2</v>
      </c>
      <c r="AA94" s="179">
        <v>-1.1500000000000002E-2</v>
      </c>
      <c r="AB94" s="179">
        <v>-2.8999999999999998E-2</v>
      </c>
      <c r="AC94" s="179">
        <v>5.0000000000000001E-3</v>
      </c>
      <c r="AD94" s="179">
        <v>-5.5000000000000005E-3</v>
      </c>
      <c r="AE94" s="179">
        <v>-6.5000000000000002E-2</v>
      </c>
      <c r="AF94" s="179">
        <v>-4.4999999999999998E-2</v>
      </c>
      <c r="AG94" s="180">
        <v>-5.8500000000000003E-2</v>
      </c>
      <c r="AH94" s="179">
        <v>-1.5500000000000002E-2</v>
      </c>
      <c r="AI94" s="181">
        <v>-6.6000000000000003E-2</v>
      </c>
      <c r="AJ94" s="181">
        <v>-0.14749999999999999</v>
      </c>
      <c r="AK94" s="29">
        <v>-8.5000000000000006E-3</v>
      </c>
      <c r="AL94" s="25">
        <v>1.4999999999999999E-2</v>
      </c>
      <c r="AM94" s="25">
        <v>1.5249999999999999</v>
      </c>
      <c r="AN94" s="25">
        <v>-5.7500000000000002E-2</v>
      </c>
      <c r="AO94" s="25">
        <v>-0.31</v>
      </c>
      <c r="AP94" s="25">
        <v>-0.1275</v>
      </c>
      <c r="AQ94" s="25">
        <v>-0.17</v>
      </c>
      <c r="AR94" s="25">
        <v>0.13</v>
      </c>
      <c r="AS94" s="25">
        <v>-0.26</v>
      </c>
      <c r="AT94" s="25">
        <v>0</v>
      </c>
      <c r="AU94" s="25">
        <v>0.14000000000000001</v>
      </c>
      <c r="AV94" s="25">
        <v>-0.31</v>
      </c>
      <c r="AW94" s="25">
        <v>-0.1265</v>
      </c>
      <c r="AY94" s="25">
        <v>-0.1265</v>
      </c>
      <c r="AZ94" s="25">
        <v>-5.5E-2</v>
      </c>
      <c r="BA94" s="25">
        <v>-0.13700000000000001</v>
      </c>
      <c r="BB94" s="25">
        <v>-2.0499999999999997E-2</v>
      </c>
      <c r="BC94" s="25">
        <v>-7.4999999999999997E-2</v>
      </c>
      <c r="BD94" s="25">
        <v>-9.2499999999999999E-2</v>
      </c>
      <c r="BE94" s="25">
        <v>-6.5000000000000002E-2</v>
      </c>
      <c r="BF94" s="25">
        <v>0.09</v>
      </c>
      <c r="BG94" s="25">
        <v>0.28000000000000003</v>
      </c>
      <c r="BH94" s="25">
        <v>0.4</v>
      </c>
      <c r="BI94" s="25">
        <v>0.4</v>
      </c>
      <c r="BJ94" s="25">
        <v>0.97499999999999998</v>
      </c>
    </row>
    <row r="95" spans="1:62" x14ac:dyDescent="0.25">
      <c r="A95" s="26" t="e">
        <f>#REF!-B95</f>
        <v>#REF!</v>
      </c>
      <c r="B95" s="26">
        <v>3.375</v>
      </c>
      <c r="C95" s="145">
        <v>39479</v>
      </c>
      <c r="D95" s="26">
        <v>3.31</v>
      </c>
      <c r="E95" s="26">
        <v>0.2</v>
      </c>
      <c r="F95" s="26">
        <v>6.9767922667354001E-2</v>
      </c>
      <c r="G95" s="26">
        <v>-0.20250000000000001</v>
      </c>
      <c r="H95" s="26">
        <v>-0.21249999999999999</v>
      </c>
      <c r="I95" s="26">
        <v>-0.11</v>
      </c>
      <c r="J95" s="26">
        <v>-0.26750000000000002</v>
      </c>
      <c r="K95" s="26">
        <v>-0.09</v>
      </c>
      <c r="L95" s="26">
        <v>-5.5E-2</v>
      </c>
      <c r="M95" s="26">
        <v>-0.09</v>
      </c>
      <c r="N95" s="26">
        <v>-0.17249999999999999</v>
      </c>
      <c r="O95" s="26">
        <v>-0.20250000000000001</v>
      </c>
      <c r="P95" s="25">
        <v>-0.20250000000000001</v>
      </c>
      <c r="Q95" s="25">
        <v>-9.2499999999999999E-2</v>
      </c>
      <c r="R95" s="25">
        <v>-5.5E-2</v>
      </c>
      <c r="S95" s="25">
        <v>0.33</v>
      </c>
      <c r="T95" s="25">
        <v>0.33</v>
      </c>
      <c r="U95" s="25">
        <v>0.23499999999999999</v>
      </c>
      <c r="V95" s="25">
        <v>0</v>
      </c>
      <c r="W95" s="179">
        <v>0.30499999999999999</v>
      </c>
      <c r="X95" s="179">
        <v>0.435</v>
      </c>
      <c r="Y95" s="179">
        <v>-2.2000000000000002E-2</v>
      </c>
      <c r="Z95" s="179">
        <v>-3.2500000000000001E-2</v>
      </c>
      <c r="AA95" s="179">
        <v>-1.1500000000000002E-2</v>
      </c>
      <c r="AB95" s="179">
        <v>-2.8999999999999998E-2</v>
      </c>
      <c r="AC95" s="179">
        <v>5.0000000000000001E-3</v>
      </c>
      <c r="AD95" s="179">
        <v>-5.5000000000000005E-3</v>
      </c>
      <c r="AE95" s="179">
        <v>-6.5000000000000002E-2</v>
      </c>
      <c r="AF95" s="179">
        <v>-4.4999999999999998E-2</v>
      </c>
      <c r="AG95" s="180">
        <v>-5.8500000000000003E-2</v>
      </c>
      <c r="AH95" s="179">
        <v>-1.5500000000000002E-2</v>
      </c>
      <c r="AI95" s="181">
        <v>-6.6000000000000003E-2</v>
      </c>
      <c r="AJ95" s="181">
        <v>-0.13</v>
      </c>
      <c r="AK95" s="29">
        <v>-8.5000000000000006E-3</v>
      </c>
      <c r="AL95" s="25">
        <v>1.4999999999999999E-2</v>
      </c>
      <c r="AM95" s="25">
        <v>1.4550000000000001</v>
      </c>
      <c r="AN95" s="25">
        <v>-0.04</v>
      </c>
      <c r="AO95" s="25">
        <v>-0.31</v>
      </c>
      <c r="AP95" s="25">
        <v>-0.1275</v>
      </c>
      <c r="AQ95" s="25">
        <v>-0.17</v>
      </c>
      <c r="AR95" s="25">
        <v>0</v>
      </c>
      <c r="AS95" s="25">
        <v>-0.26</v>
      </c>
      <c r="AT95" s="25">
        <v>0</v>
      </c>
      <c r="AU95" s="25">
        <v>0.14000000000000001</v>
      </c>
      <c r="AV95" s="25">
        <v>-0.31</v>
      </c>
      <c r="AW95" s="25">
        <v>-0.129</v>
      </c>
      <c r="AY95" s="25">
        <v>-0.129</v>
      </c>
      <c r="AZ95" s="25">
        <v>-5.5E-2</v>
      </c>
      <c r="BA95" s="25">
        <v>-0.11950000000000001</v>
      </c>
      <c r="BB95" s="25">
        <v>-2.0499999999999997E-2</v>
      </c>
      <c r="BC95" s="25">
        <v>-7.4999999999999997E-2</v>
      </c>
      <c r="BD95" s="25">
        <v>-7.4999999999999997E-2</v>
      </c>
      <c r="BE95" s="25">
        <v>-6.5000000000000002E-2</v>
      </c>
      <c r="BF95" s="25">
        <v>0.09</v>
      </c>
      <c r="BG95" s="25">
        <v>0.33</v>
      </c>
      <c r="BH95" s="25">
        <v>0.375</v>
      </c>
      <c r="BI95" s="25">
        <v>0.375</v>
      </c>
      <c r="BJ95" s="25">
        <v>0.97499999999999998</v>
      </c>
    </row>
    <row r="96" spans="1:62" x14ac:dyDescent="0.25">
      <c r="A96" s="26" t="e">
        <f>#REF!-B96</f>
        <v>#REF!</v>
      </c>
      <c r="B96" s="26">
        <v>3.6030000000000002</v>
      </c>
      <c r="C96" s="145">
        <v>39508</v>
      </c>
      <c r="D96" s="26">
        <v>3.1549999999999998</v>
      </c>
      <c r="E96" s="26">
        <v>0.2</v>
      </c>
      <c r="F96" s="26">
        <v>6.9780212633080999E-2</v>
      </c>
      <c r="G96" s="26">
        <v>-0.20499999999999999</v>
      </c>
      <c r="H96" s="26">
        <v>-0.215</v>
      </c>
      <c r="I96" s="26">
        <v>-0.11</v>
      </c>
      <c r="J96" s="26">
        <v>-0.27</v>
      </c>
      <c r="K96" s="26">
        <v>-0.09</v>
      </c>
      <c r="L96" s="26">
        <v>-5.5E-2</v>
      </c>
      <c r="M96" s="26">
        <v>-0.09</v>
      </c>
      <c r="N96" s="26">
        <v>-0.17499999999999999</v>
      </c>
      <c r="O96" s="26">
        <v>-0.20499999999999999</v>
      </c>
      <c r="P96" s="25">
        <v>-0.20499999999999999</v>
      </c>
      <c r="Q96" s="25">
        <v>-8.6249999999999993E-2</v>
      </c>
      <c r="R96" s="25">
        <v>-5.5E-2</v>
      </c>
      <c r="S96" s="25">
        <v>0.32750000000000001</v>
      </c>
      <c r="T96" s="25">
        <v>0.32750000000000001</v>
      </c>
      <c r="U96" s="25">
        <v>0.23250000000000001</v>
      </c>
      <c r="V96" s="25">
        <v>0</v>
      </c>
      <c r="W96" s="179">
        <v>0.26500000000000001</v>
      </c>
      <c r="X96" s="179">
        <v>0.30249999999999999</v>
      </c>
      <c r="Y96" s="179">
        <v>-2.2000000000000002E-2</v>
      </c>
      <c r="Z96" s="179">
        <v>-3.2500000000000001E-2</v>
      </c>
      <c r="AA96" s="179">
        <v>7.000000000000001E-3</v>
      </c>
      <c r="AB96" s="179">
        <v>-1.0500000000000001E-2</v>
      </c>
      <c r="AC96" s="179">
        <v>5.0000000000000001E-3</v>
      </c>
      <c r="AD96" s="179">
        <v>-5.5000000000000005E-3</v>
      </c>
      <c r="AE96" s="179">
        <v>-6.5000000000000002E-2</v>
      </c>
      <c r="AF96" s="179">
        <v>-4.4999999999999998E-2</v>
      </c>
      <c r="AG96" s="180">
        <v>-5.8500000000000003E-2</v>
      </c>
      <c r="AH96" s="179">
        <v>-1.5500000000000002E-2</v>
      </c>
      <c r="AI96" s="181">
        <v>-7.2999999999999995E-2</v>
      </c>
      <c r="AJ96" s="181">
        <v>-0.11749999999999999</v>
      </c>
      <c r="AK96" s="29">
        <v>-8.5000000000000006E-3</v>
      </c>
      <c r="AL96" s="25">
        <v>1.4999999999999999E-2</v>
      </c>
      <c r="AM96" s="25">
        <v>0.83499999999999996</v>
      </c>
      <c r="AN96" s="25">
        <v>-2.75E-2</v>
      </c>
      <c r="AO96" s="25">
        <v>-0.31</v>
      </c>
      <c r="AP96" s="25">
        <v>-0.13250000000000001</v>
      </c>
      <c r="AQ96" s="25">
        <v>-0.17</v>
      </c>
      <c r="AR96" s="25">
        <v>-0.18</v>
      </c>
      <c r="AS96" s="25">
        <v>-0.26</v>
      </c>
      <c r="AT96" s="25">
        <v>0</v>
      </c>
      <c r="AU96" s="25">
        <v>0.14000000000000001</v>
      </c>
      <c r="AV96" s="25">
        <v>-0.31</v>
      </c>
      <c r="AW96" s="25">
        <v>-0.109</v>
      </c>
      <c r="AY96" s="25">
        <v>-0.109</v>
      </c>
      <c r="AZ96" s="25">
        <v>-5.5E-2</v>
      </c>
      <c r="BA96" s="25">
        <v>-0.10200000000000001</v>
      </c>
      <c r="BB96" s="25">
        <v>-2.0499999999999997E-2</v>
      </c>
      <c r="BC96" s="25">
        <v>-7.4999999999999997E-2</v>
      </c>
      <c r="BD96" s="25">
        <v>-6.25E-2</v>
      </c>
      <c r="BE96" s="25">
        <v>-6.5000000000000002E-2</v>
      </c>
      <c r="BF96" s="25">
        <v>0.09</v>
      </c>
      <c r="BG96" s="25">
        <v>0.32</v>
      </c>
      <c r="BH96" s="25">
        <v>0.3725</v>
      </c>
      <c r="BI96" s="25">
        <v>0.3725</v>
      </c>
      <c r="BJ96" s="25">
        <v>0.60750000000000004</v>
      </c>
    </row>
    <row r="97" spans="1:62" x14ac:dyDescent="0.25">
      <c r="A97" s="26" t="e">
        <f>#REF!-B97</f>
        <v>#REF!</v>
      </c>
      <c r="B97" s="26">
        <v>3.4960000000000004</v>
      </c>
      <c r="C97" s="145">
        <v>39539</v>
      </c>
      <c r="D97" s="26">
        <v>2.992</v>
      </c>
      <c r="E97" s="26">
        <v>0.2</v>
      </c>
      <c r="F97" s="26">
        <v>6.9793350182706021E-2</v>
      </c>
      <c r="G97" s="26">
        <v>-0.19500000000000001</v>
      </c>
      <c r="H97" s="26">
        <v>-0.20499999999999999</v>
      </c>
      <c r="I97" s="26">
        <v>-0.19</v>
      </c>
      <c r="J97" s="26">
        <v>-0.26</v>
      </c>
      <c r="K97" s="26">
        <v>-0.17</v>
      </c>
      <c r="L97" s="26">
        <v>-5.2499999999999998E-2</v>
      </c>
      <c r="M97" s="26">
        <v>-7.2499999999999995E-2</v>
      </c>
      <c r="N97" s="26">
        <v>-0.16500000000000001</v>
      </c>
      <c r="O97" s="26">
        <v>-0.19500000000000001</v>
      </c>
      <c r="P97" s="25">
        <v>-0.19500000000000001</v>
      </c>
      <c r="Q97" s="25">
        <v>-6.3750000000000001E-2</v>
      </c>
      <c r="R97" s="25">
        <v>-5.2499999999999998E-2</v>
      </c>
      <c r="S97" s="25">
        <v>0.23250000000000001</v>
      </c>
      <c r="T97" s="25">
        <v>0.23250000000000001</v>
      </c>
      <c r="U97" s="25">
        <v>0.13750000000000001</v>
      </c>
      <c r="V97" s="25">
        <v>0</v>
      </c>
      <c r="W97" s="179">
        <v>0.19500000000000001</v>
      </c>
      <c r="X97" s="179">
        <v>0.25</v>
      </c>
      <c r="Y97" s="179">
        <v>-2.1499999999999998E-2</v>
      </c>
      <c r="Z97" s="179">
        <v>-2.5000000000000001E-2</v>
      </c>
      <c r="AA97" s="179">
        <v>7.000000000000001E-3</v>
      </c>
      <c r="AB97" s="179">
        <v>-1.0500000000000001E-2</v>
      </c>
      <c r="AC97" s="179">
        <v>5.0000000000000001E-3</v>
      </c>
      <c r="AD97" s="179">
        <v>4.5000000000000005E-3</v>
      </c>
      <c r="AE97" s="179">
        <v>-6.25E-2</v>
      </c>
      <c r="AF97" s="179">
        <v>-4.7500000000000001E-2</v>
      </c>
      <c r="AG97" s="180">
        <v>-5.6000000000000008E-2</v>
      </c>
      <c r="AH97" s="179">
        <v>-1.8000000000000002E-2</v>
      </c>
      <c r="AI97" s="181">
        <v>-6.6000000000000003E-2</v>
      </c>
      <c r="AJ97" s="181">
        <v>-7.4999999999999997E-2</v>
      </c>
      <c r="AK97" s="29">
        <v>-1.6E-2</v>
      </c>
      <c r="AL97" s="25">
        <v>6.5000000000000006E-3</v>
      </c>
      <c r="AM97" s="25">
        <v>0.45</v>
      </c>
      <c r="AN97" s="25">
        <v>1.4999999999999999E-2</v>
      </c>
      <c r="AO97" s="25">
        <v>-0.38500000000000001</v>
      </c>
      <c r="AP97" s="25">
        <v>-0.12</v>
      </c>
      <c r="AQ97" s="25">
        <v>-0.17</v>
      </c>
      <c r="AR97" s="25">
        <v>-0.28999999999999998</v>
      </c>
      <c r="AS97" s="25">
        <v>-0.33500000000000002</v>
      </c>
      <c r="AT97" s="25">
        <v>0</v>
      </c>
      <c r="AU97" s="25">
        <v>0.315</v>
      </c>
      <c r="AV97" s="25">
        <v>-0.38500000000000001</v>
      </c>
      <c r="AW97" s="25">
        <v>-0.10450000000000001</v>
      </c>
      <c r="AY97" s="25">
        <v>-0.10450000000000001</v>
      </c>
      <c r="AZ97" s="25">
        <v>-5.2499999999999998E-2</v>
      </c>
      <c r="BA97" s="25">
        <v>-9.4500000000000015E-2</v>
      </c>
      <c r="BB97" s="25">
        <v>-1.8000000000000002E-2</v>
      </c>
      <c r="BC97" s="25">
        <v>-5.7500000000000002E-2</v>
      </c>
      <c r="BD97" s="25">
        <v>-0.02</v>
      </c>
      <c r="BE97" s="25">
        <v>-6.25E-2</v>
      </c>
      <c r="BF97" s="25">
        <v>0.12</v>
      </c>
      <c r="BG97" s="25">
        <v>0.14749999999999999</v>
      </c>
      <c r="BH97" s="25">
        <v>0.26250000000000001</v>
      </c>
      <c r="BI97" s="25">
        <v>0.26250000000000001</v>
      </c>
      <c r="BJ97" s="25">
        <v>0.35499999999999998</v>
      </c>
    </row>
    <row r="98" spans="1:62" x14ac:dyDescent="0.25">
      <c r="A98" s="26" t="e">
        <f>#REF!-B98</f>
        <v>#REF!</v>
      </c>
      <c r="B98" s="26">
        <v>3.3530000000000002</v>
      </c>
      <c r="C98" s="145">
        <v>39569</v>
      </c>
      <c r="D98" s="26">
        <v>2.9819999999999998</v>
      </c>
      <c r="E98" s="26">
        <v>0.2</v>
      </c>
      <c r="F98" s="26">
        <v>6.9806063940461016E-2</v>
      </c>
      <c r="G98" s="26">
        <v>-0.19500000000000001</v>
      </c>
      <c r="H98" s="26">
        <v>-0.20499999999999999</v>
      </c>
      <c r="I98" s="26">
        <v>-0.20499999999999999</v>
      </c>
      <c r="J98" s="26">
        <v>-0.26</v>
      </c>
      <c r="K98" s="26">
        <v>-0.185</v>
      </c>
      <c r="L98" s="26">
        <v>-5.2499999999999998E-2</v>
      </c>
      <c r="M98" s="26">
        <v>-7.2499999999999995E-2</v>
      </c>
      <c r="N98" s="26">
        <v>-0.16500000000000001</v>
      </c>
      <c r="O98" s="26">
        <v>-0.19500000000000001</v>
      </c>
      <c r="P98" s="25">
        <v>-0.19500000000000001</v>
      </c>
      <c r="Q98" s="25">
        <v>-6.3750000000000001E-2</v>
      </c>
      <c r="R98" s="25">
        <v>-5.2499999999999998E-2</v>
      </c>
      <c r="S98" s="25">
        <v>0.24249999999999999</v>
      </c>
      <c r="T98" s="25">
        <v>0.24249999999999999</v>
      </c>
      <c r="U98" s="25">
        <v>0.14749999999999999</v>
      </c>
      <c r="V98" s="25">
        <v>0</v>
      </c>
      <c r="W98" s="179">
        <v>0.1825</v>
      </c>
      <c r="X98" s="179">
        <v>0.20250000000000001</v>
      </c>
      <c r="Y98" s="179">
        <v>-2.1499999999999998E-2</v>
      </c>
      <c r="Z98" s="179">
        <v>-2.5249999999999998E-2</v>
      </c>
      <c r="AA98" s="179">
        <v>6.7500000000000008E-3</v>
      </c>
      <c r="AB98" s="179">
        <v>-1.0749999999999999E-2</v>
      </c>
      <c r="AC98" s="179">
        <v>5.0000000000000001E-3</v>
      </c>
      <c r="AD98" s="179">
        <v>4.5000000000000005E-3</v>
      </c>
      <c r="AE98" s="179">
        <v>-6.25E-2</v>
      </c>
      <c r="AF98" s="179">
        <v>-4.7500000000000001E-2</v>
      </c>
      <c r="AG98" s="180">
        <v>-5.6000000000000008E-2</v>
      </c>
      <c r="AH98" s="179">
        <v>-1.8000000000000002E-2</v>
      </c>
      <c r="AI98" s="181">
        <v>-6.6000000000000003E-2</v>
      </c>
      <c r="AJ98" s="181">
        <v>-7.4999999999999997E-2</v>
      </c>
      <c r="AK98" s="29">
        <v>-1.6E-2</v>
      </c>
      <c r="AL98" s="25">
        <v>6.5000000000000006E-3</v>
      </c>
      <c r="AM98" s="25">
        <v>0.40500000000000003</v>
      </c>
      <c r="AN98" s="25">
        <v>1.4999999999999999E-2</v>
      </c>
      <c r="AO98" s="25">
        <v>-0.38500000000000001</v>
      </c>
      <c r="AP98" s="25">
        <v>-0.12</v>
      </c>
      <c r="AQ98" s="25">
        <v>-0.17</v>
      </c>
      <c r="AR98" s="25">
        <v>-0.28999999999999998</v>
      </c>
      <c r="AS98" s="25">
        <v>-0.33500000000000002</v>
      </c>
      <c r="AT98" s="25">
        <v>0</v>
      </c>
      <c r="AU98" s="25">
        <v>0.315</v>
      </c>
      <c r="AV98" s="25">
        <v>-0.38500000000000001</v>
      </c>
      <c r="AW98" s="25">
        <v>-0.10200000000000001</v>
      </c>
      <c r="AY98" s="25">
        <v>-0.10200000000000001</v>
      </c>
      <c r="AZ98" s="25">
        <v>-5.2499999999999998E-2</v>
      </c>
      <c r="BA98" s="25">
        <v>-9.4500000000000015E-2</v>
      </c>
      <c r="BB98" s="25">
        <v>-1.8000000000000002E-2</v>
      </c>
      <c r="BC98" s="25">
        <v>-5.7500000000000002E-2</v>
      </c>
      <c r="BD98" s="25">
        <v>-0.02</v>
      </c>
      <c r="BE98" s="25">
        <v>-6.25E-2</v>
      </c>
      <c r="BF98" s="25">
        <v>0.12</v>
      </c>
      <c r="BG98" s="25">
        <v>0.14749999999999999</v>
      </c>
      <c r="BH98" s="25">
        <v>0.27250000000000002</v>
      </c>
      <c r="BI98" s="25">
        <v>0.27250000000000002</v>
      </c>
      <c r="BJ98" s="25">
        <v>0.28749999999999998</v>
      </c>
    </row>
    <row r="99" spans="1:62" x14ac:dyDescent="0.25">
      <c r="A99" s="26" t="e">
        <f>#REF!-B99</f>
        <v>#REF!</v>
      </c>
      <c r="B99" s="26">
        <v>3.2130000000000001</v>
      </c>
      <c r="C99" s="145">
        <v>39600</v>
      </c>
      <c r="D99" s="26">
        <v>3.0070000000000001</v>
      </c>
      <c r="E99" s="26">
        <v>0.2</v>
      </c>
      <c r="F99" s="26">
        <v>6.9819201490199018E-2</v>
      </c>
      <c r="G99" s="26">
        <v>-0.19500000000000001</v>
      </c>
      <c r="H99" s="26">
        <v>-0.20499999999999999</v>
      </c>
      <c r="I99" s="26">
        <v>-0.215</v>
      </c>
      <c r="J99" s="26">
        <v>-0.26</v>
      </c>
      <c r="K99" s="26">
        <v>-0.19500000000000001</v>
      </c>
      <c r="L99" s="26">
        <v>-5.2499999999999998E-2</v>
      </c>
      <c r="M99" s="26">
        <v>-7.2499999999999995E-2</v>
      </c>
      <c r="N99" s="26">
        <v>-0.16500000000000001</v>
      </c>
      <c r="O99" s="26">
        <v>-0.19500000000000001</v>
      </c>
      <c r="P99" s="25">
        <v>-0.19500000000000001</v>
      </c>
      <c r="Q99" s="25">
        <v>-6.1249999999999999E-2</v>
      </c>
      <c r="R99" s="25">
        <v>-5.2499999999999998E-2</v>
      </c>
      <c r="S99" s="25">
        <v>0.23749999999999999</v>
      </c>
      <c r="T99" s="25">
        <v>0.23749999999999999</v>
      </c>
      <c r="U99" s="25">
        <v>0.14249999999999999</v>
      </c>
      <c r="V99" s="25">
        <v>0</v>
      </c>
      <c r="W99" s="179">
        <v>0.1825</v>
      </c>
      <c r="X99" s="179">
        <v>0.20250000000000001</v>
      </c>
      <c r="Y99" s="179">
        <v>-2.1499999999999998E-2</v>
      </c>
      <c r="Z99" s="179">
        <v>-2.5249999999999998E-2</v>
      </c>
      <c r="AA99" s="179">
        <v>6.7500000000000008E-3</v>
      </c>
      <c r="AB99" s="179">
        <v>-1.0749999999999999E-2</v>
      </c>
      <c r="AC99" s="179">
        <v>5.0000000000000001E-3</v>
      </c>
      <c r="AD99" s="179">
        <v>4.5000000000000005E-3</v>
      </c>
      <c r="AE99" s="179">
        <v>-6.25E-2</v>
      </c>
      <c r="AF99" s="179">
        <v>-4.7500000000000001E-2</v>
      </c>
      <c r="AG99" s="180">
        <v>-5.6000000000000008E-2</v>
      </c>
      <c r="AH99" s="179">
        <v>-1.8000000000000002E-2</v>
      </c>
      <c r="AI99" s="181">
        <v>-8.199999999999999E-2</v>
      </c>
      <c r="AJ99" s="181">
        <v>-7.0000000000000007E-2</v>
      </c>
      <c r="AK99" s="29">
        <v>-1.6E-2</v>
      </c>
      <c r="AL99" s="25">
        <v>6.5000000000000006E-3</v>
      </c>
      <c r="AM99" s="25">
        <v>0.39500000000000002</v>
      </c>
      <c r="AN99" s="25">
        <v>0.02</v>
      </c>
      <c r="AO99" s="25">
        <v>-0.38500000000000001</v>
      </c>
      <c r="AP99" s="25">
        <v>-0.12</v>
      </c>
      <c r="AQ99" s="25">
        <v>-0.17</v>
      </c>
      <c r="AR99" s="25">
        <v>-0.28999999999999998</v>
      </c>
      <c r="AS99" s="25">
        <v>-0.33500000000000002</v>
      </c>
      <c r="AT99" s="25">
        <v>0</v>
      </c>
      <c r="AU99" s="25">
        <v>0.315</v>
      </c>
      <c r="AV99" s="25">
        <v>-0.38500000000000001</v>
      </c>
      <c r="AW99" s="25">
        <v>-9.4500000000000015E-2</v>
      </c>
      <c r="AY99" s="25">
        <v>-9.4500000000000015E-2</v>
      </c>
      <c r="AZ99" s="25">
        <v>-5.2499999999999998E-2</v>
      </c>
      <c r="BA99" s="25">
        <v>-8.4499999999999992E-2</v>
      </c>
      <c r="BB99" s="25">
        <v>-1.8000000000000002E-2</v>
      </c>
      <c r="BC99" s="25">
        <v>-5.7500000000000002E-2</v>
      </c>
      <c r="BD99" s="25">
        <v>-1.4999999999999999E-2</v>
      </c>
      <c r="BE99" s="25">
        <v>-6.25E-2</v>
      </c>
      <c r="BF99" s="25">
        <v>0.12</v>
      </c>
      <c r="BG99" s="25">
        <v>0.14749999999999999</v>
      </c>
      <c r="BH99" s="25">
        <v>0.26750000000000002</v>
      </c>
      <c r="BI99" s="25">
        <v>0.26750000000000002</v>
      </c>
      <c r="BJ99" s="25">
        <v>0.28749999999999998</v>
      </c>
    </row>
    <row r="100" spans="1:62" x14ac:dyDescent="0.25">
      <c r="A100" s="26" t="e">
        <f>#REF!-B100</f>
        <v>#REF!</v>
      </c>
      <c r="B100" s="26">
        <v>3.19</v>
      </c>
      <c r="C100" s="145">
        <v>39630</v>
      </c>
      <c r="D100" s="26">
        <v>3.0290000000000004</v>
      </c>
      <c r="E100" s="26">
        <v>0.18</v>
      </c>
      <c r="F100" s="26">
        <v>6.9831915248064022E-2</v>
      </c>
      <c r="G100" s="26">
        <v>-0.19500000000000001</v>
      </c>
      <c r="H100" s="26">
        <v>-0.20499999999999999</v>
      </c>
      <c r="I100" s="26">
        <v>-0.215</v>
      </c>
      <c r="J100" s="26">
        <v>-0.28000000000000003</v>
      </c>
      <c r="K100" s="26">
        <v>-0.19500000000000001</v>
      </c>
      <c r="L100" s="26">
        <v>-5.2499999999999998E-2</v>
      </c>
      <c r="M100" s="26">
        <v>-7.2499999999999995E-2</v>
      </c>
      <c r="N100" s="26">
        <v>-0.16500000000000001</v>
      </c>
      <c r="O100" s="26">
        <v>-0.19500000000000001</v>
      </c>
      <c r="P100" s="25">
        <v>-0.19500000000000001</v>
      </c>
      <c r="Q100" s="25">
        <v>-0.06</v>
      </c>
      <c r="R100" s="25">
        <v>-5.2499999999999998E-2</v>
      </c>
      <c r="S100" s="25">
        <v>0.22750000000000001</v>
      </c>
      <c r="T100" s="25">
        <v>0.22750000000000001</v>
      </c>
      <c r="U100" s="25">
        <v>0.13250000000000001</v>
      </c>
      <c r="V100" s="25">
        <v>0</v>
      </c>
      <c r="W100" s="179">
        <v>0.1825</v>
      </c>
      <c r="X100" s="179">
        <v>0.215</v>
      </c>
      <c r="Y100" s="179">
        <v>-2.1499999999999998E-2</v>
      </c>
      <c r="Z100" s="179">
        <v>-2.5249999999999998E-2</v>
      </c>
      <c r="AA100" s="179">
        <v>6.7500000000000008E-3</v>
      </c>
      <c r="AB100" s="179">
        <v>-1.0749999999999999E-2</v>
      </c>
      <c r="AC100" s="179">
        <v>5.0000000000000001E-3</v>
      </c>
      <c r="AD100" s="179">
        <v>4.5000000000000005E-3</v>
      </c>
      <c r="AE100" s="179">
        <v>-6.25E-2</v>
      </c>
      <c r="AF100" s="179">
        <v>-4.7500000000000001E-2</v>
      </c>
      <c r="AG100" s="180">
        <v>-5.6000000000000008E-2</v>
      </c>
      <c r="AH100" s="179">
        <v>-1.8000000000000002E-2</v>
      </c>
      <c r="AI100" s="181">
        <v>-7.4999999999999997E-2</v>
      </c>
      <c r="AJ100" s="181">
        <v>-6.7500000000000004E-2</v>
      </c>
      <c r="AK100" s="29">
        <v>-1.6E-2</v>
      </c>
      <c r="AL100" s="25">
        <v>6.5000000000000006E-3</v>
      </c>
      <c r="AM100" s="25">
        <v>0.43</v>
      </c>
      <c r="AN100" s="25">
        <v>2.2499999999999999E-2</v>
      </c>
      <c r="AO100" s="25">
        <v>-0.38500000000000001</v>
      </c>
      <c r="AP100" s="25">
        <v>-0.12</v>
      </c>
      <c r="AQ100" s="25">
        <v>-0.17</v>
      </c>
      <c r="AR100" s="25">
        <v>-0.28999999999999998</v>
      </c>
      <c r="AS100" s="25">
        <v>-0.33500000000000002</v>
      </c>
      <c r="AT100" s="25">
        <v>0</v>
      </c>
      <c r="AU100" s="25">
        <v>0.315</v>
      </c>
      <c r="AV100" s="25">
        <v>-0.38500000000000001</v>
      </c>
      <c r="AW100" s="25">
        <v>-0.10200000000000001</v>
      </c>
      <c r="AY100" s="25">
        <v>-0.10200000000000001</v>
      </c>
      <c r="AZ100" s="25">
        <v>-5.2499999999999998E-2</v>
      </c>
      <c r="BA100" s="25">
        <v>-7.9500000000000001E-2</v>
      </c>
      <c r="BB100" s="25">
        <v>-1.8000000000000002E-2</v>
      </c>
      <c r="BC100" s="25">
        <v>-5.7500000000000002E-2</v>
      </c>
      <c r="BD100" s="25">
        <v>-1.2500000000000001E-2</v>
      </c>
      <c r="BE100" s="25">
        <v>-6.25E-2</v>
      </c>
      <c r="BF100" s="25">
        <v>0.12</v>
      </c>
      <c r="BG100" s="25">
        <v>0.14749999999999999</v>
      </c>
      <c r="BH100" s="25">
        <v>0.25750000000000001</v>
      </c>
      <c r="BI100" s="25">
        <v>0.25750000000000001</v>
      </c>
      <c r="BJ100" s="25">
        <v>0.3</v>
      </c>
    </row>
    <row r="101" spans="1:62" x14ac:dyDescent="0.25">
      <c r="A101" s="26" t="e">
        <f>#REF!-B101</f>
        <v>#REF!</v>
      </c>
      <c r="B101" s="26">
        <v>3.1749999999999998</v>
      </c>
      <c r="C101" s="145">
        <v>39661</v>
      </c>
      <c r="D101" s="26">
        <v>3.05</v>
      </c>
      <c r="E101" s="26">
        <v>0.18</v>
      </c>
      <c r="F101" s="26">
        <v>6.9845052797913004E-2</v>
      </c>
      <c r="G101" s="26">
        <v>-0.19500000000000001</v>
      </c>
      <c r="H101" s="26">
        <v>-0.20499999999999999</v>
      </c>
      <c r="I101" s="26">
        <v>-0.215</v>
      </c>
      <c r="J101" s="26">
        <v>-0.28000000000000003</v>
      </c>
      <c r="K101" s="26">
        <v>-0.19500000000000001</v>
      </c>
      <c r="L101" s="26">
        <v>-5.2499999999999998E-2</v>
      </c>
      <c r="M101" s="26">
        <v>-7.2499999999999995E-2</v>
      </c>
      <c r="N101" s="26">
        <v>-0.16500000000000001</v>
      </c>
      <c r="O101" s="26">
        <v>-0.19500000000000001</v>
      </c>
      <c r="P101" s="25">
        <v>-0.19500000000000001</v>
      </c>
      <c r="Q101" s="25">
        <v>-5.8749999999999997E-2</v>
      </c>
      <c r="R101" s="25">
        <v>-5.2499999999999998E-2</v>
      </c>
      <c r="S101" s="25">
        <v>0.22500000000000001</v>
      </c>
      <c r="T101" s="25">
        <v>0.22500000000000001</v>
      </c>
      <c r="U101" s="25">
        <v>0.13</v>
      </c>
      <c r="V101" s="25">
        <v>0</v>
      </c>
      <c r="W101" s="179">
        <v>0.1825</v>
      </c>
      <c r="X101" s="179">
        <v>0.215</v>
      </c>
      <c r="Y101" s="179">
        <v>-2.1499999999999998E-2</v>
      </c>
      <c r="Z101" s="179">
        <v>-2.5249999999999998E-2</v>
      </c>
      <c r="AA101" s="179">
        <v>6.7500000000000008E-3</v>
      </c>
      <c r="AB101" s="179">
        <v>-1.0749999999999999E-2</v>
      </c>
      <c r="AC101" s="179">
        <v>5.0000000000000001E-3</v>
      </c>
      <c r="AD101" s="179">
        <v>4.5000000000000005E-3</v>
      </c>
      <c r="AE101" s="179">
        <v>-6.25E-2</v>
      </c>
      <c r="AF101" s="179">
        <v>-4.7500000000000001E-2</v>
      </c>
      <c r="AG101" s="180">
        <v>-5.6000000000000008E-2</v>
      </c>
      <c r="AH101" s="179">
        <v>-1.8000000000000002E-2</v>
      </c>
      <c r="AI101" s="181">
        <v>-5.6000000000000008E-2</v>
      </c>
      <c r="AJ101" s="181">
        <v>-6.5000000000000002E-2</v>
      </c>
      <c r="AK101" s="29">
        <v>-1.6E-2</v>
      </c>
      <c r="AL101" s="25">
        <v>6.5000000000000006E-3</v>
      </c>
      <c r="AM101" s="25">
        <v>0.495</v>
      </c>
      <c r="AN101" s="25">
        <v>2.5000000000000001E-2</v>
      </c>
      <c r="AO101" s="25">
        <v>-0.38500000000000001</v>
      </c>
      <c r="AP101" s="25">
        <v>-0.12</v>
      </c>
      <c r="AQ101" s="25">
        <v>-0.17</v>
      </c>
      <c r="AR101" s="25">
        <v>-0.28999999999999998</v>
      </c>
      <c r="AS101" s="25">
        <v>-0.33500000000000002</v>
      </c>
      <c r="AT101" s="25">
        <v>0</v>
      </c>
      <c r="AU101" s="25">
        <v>0.315</v>
      </c>
      <c r="AV101" s="25">
        <v>-0.38500000000000001</v>
      </c>
      <c r="AW101" s="25">
        <v>-8.950000000000001E-2</v>
      </c>
      <c r="AY101" s="25">
        <v>-8.950000000000001E-2</v>
      </c>
      <c r="AZ101" s="25">
        <v>-5.2499999999999998E-2</v>
      </c>
      <c r="BA101" s="25">
        <v>-7.9500000000000001E-2</v>
      </c>
      <c r="BB101" s="25">
        <v>-1.8000000000000002E-2</v>
      </c>
      <c r="BC101" s="25">
        <v>-5.7500000000000002E-2</v>
      </c>
      <c r="BD101" s="25">
        <v>-0.01</v>
      </c>
      <c r="BE101" s="25">
        <v>-6.25E-2</v>
      </c>
      <c r="BF101" s="25">
        <v>0.12</v>
      </c>
      <c r="BG101" s="25">
        <v>0.14749999999999999</v>
      </c>
      <c r="BH101" s="25">
        <v>0.255</v>
      </c>
      <c r="BI101" s="25">
        <v>0.255</v>
      </c>
      <c r="BJ101" s="25">
        <v>0.3</v>
      </c>
    </row>
    <row r="102" spans="1:62" x14ac:dyDescent="0.25">
      <c r="A102" s="26" t="e">
        <f>#REF!-B102</f>
        <v>#REF!</v>
      </c>
      <c r="B102" s="26">
        <v>3.24</v>
      </c>
      <c r="C102" s="145">
        <v>39692</v>
      </c>
      <c r="D102" s="26">
        <v>3.0350000000000001</v>
      </c>
      <c r="E102" s="26">
        <v>0.18</v>
      </c>
      <c r="F102" s="26">
        <v>6.9858190347820023E-2</v>
      </c>
      <c r="G102" s="26">
        <v>-0.19500000000000001</v>
      </c>
      <c r="H102" s="26">
        <v>-0.20499999999999999</v>
      </c>
      <c r="I102" s="26">
        <v>-0.20499999999999999</v>
      </c>
      <c r="J102" s="26">
        <v>-0.28000000000000003</v>
      </c>
      <c r="K102" s="26">
        <v>-0.185</v>
      </c>
      <c r="L102" s="26">
        <v>-5.2499999999999998E-2</v>
      </c>
      <c r="M102" s="26">
        <v>-7.2499999999999995E-2</v>
      </c>
      <c r="N102" s="26">
        <v>-0.16500000000000001</v>
      </c>
      <c r="O102" s="26">
        <v>-0.19500000000000001</v>
      </c>
      <c r="P102" s="25">
        <v>-0.19500000000000001</v>
      </c>
      <c r="Q102" s="25">
        <v>-6.25E-2</v>
      </c>
      <c r="R102" s="25">
        <v>-5.2499999999999998E-2</v>
      </c>
      <c r="S102" s="25">
        <v>0.2225</v>
      </c>
      <c r="T102" s="25">
        <v>0.2225</v>
      </c>
      <c r="U102" s="25">
        <v>0.1275</v>
      </c>
      <c r="V102" s="25">
        <v>0</v>
      </c>
      <c r="W102" s="179">
        <v>0.1825</v>
      </c>
      <c r="X102" s="179">
        <v>0.19500000000000001</v>
      </c>
      <c r="Y102" s="179">
        <v>-2.1499999999999998E-2</v>
      </c>
      <c r="Z102" s="179">
        <v>-2.5249999999999998E-2</v>
      </c>
      <c r="AA102" s="179">
        <v>6.7500000000000008E-3</v>
      </c>
      <c r="AB102" s="179">
        <v>-1.0749999999999999E-2</v>
      </c>
      <c r="AC102" s="179">
        <v>5.0000000000000001E-3</v>
      </c>
      <c r="AD102" s="179">
        <v>4.5000000000000005E-3</v>
      </c>
      <c r="AE102" s="179">
        <v>-6.25E-2</v>
      </c>
      <c r="AF102" s="179">
        <v>-4.4999999999999998E-2</v>
      </c>
      <c r="AG102" s="180">
        <v>-5.3500000000000006E-2</v>
      </c>
      <c r="AH102" s="179">
        <v>-1.8000000000000002E-2</v>
      </c>
      <c r="AI102" s="181">
        <v>-5.4000000000000006E-2</v>
      </c>
      <c r="AJ102" s="181">
        <v>-7.2499999999999995E-2</v>
      </c>
      <c r="AK102" s="29">
        <v>-1.6E-2</v>
      </c>
      <c r="AL102" s="25">
        <v>6.5000000000000006E-3</v>
      </c>
      <c r="AM102" s="25">
        <v>0.39500000000000002</v>
      </c>
      <c r="AN102" s="25">
        <v>1.7500000000000002E-2</v>
      </c>
      <c r="AO102" s="25">
        <v>-0.38500000000000001</v>
      </c>
      <c r="AP102" s="25">
        <v>-0.12</v>
      </c>
      <c r="AQ102" s="25">
        <v>-0.17</v>
      </c>
      <c r="AR102" s="25">
        <v>-0.28999999999999998</v>
      </c>
      <c r="AS102" s="25">
        <v>-0.33500000000000002</v>
      </c>
      <c r="AT102" s="25">
        <v>0</v>
      </c>
      <c r="AU102" s="25">
        <v>0.315</v>
      </c>
      <c r="AV102" s="25">
        <v>-0.38500000000000001</v>
      </c>
      <c r="AW102" s="25">
        <v>-9.4500000000000015E-2</v>
      </c>
      <c r="AY102" s="25">
        <v>-9.4500000000000015E-2</v>
      </c>
      <c r="AZ102" s="25">
        <v>-5.2499999999999998E-2</v>
      </c>
      <c r="BA102" s="25">
        <v>-9.4500000000000015E-2</v>
      </c>
      <c r="BB102" s="25">
        <v>-1.8000000000000002E-2</v>
      </c>
      <c r="BC102" s="25">
        <v>-5.7500000000000002E-2</v>
      </c>
      <c r="BD102" s="25">
        <v>-1.7500000000000002E-2</v>
      </c>
      <c r="BE102" s="25">
        <v>-6.25E-2</v>
      </c>
      <c r="BF102" s="25">
        <v>0.12</v>
      </c>
      <c r="BG102" s="25">
        <v>0.14749999999999999</v>
      </c>
      <c r="BH102" s="25">
        <v>0.2525</v>
      </c>
      <c r="BI102" s="25">
        <v>0.2525</v>
      </c>
      <c r="BJ102" s="25">
        <v>0.28999999999999998</v>
      </c>
    </row>
    <row r="103" spans="1:62" x14ac:dyDescent="0.25">
      <c r="A103" s="26" t="e">
        <f>#REF!-B103</f>
        <v>#REF!</v>
      </c>
      <c r="B103" s="26">
        <v>3.2349999999999999</v>
      </c>
      <c r="C103" s="145">
        <v>39722</v>
      </c>
      <c r="D103" s="26">
        <v>3.0350000000000001</v>
      </c>
      <c r="E103" s="26">
        <v>0.18</v>
      </c>
      <c r="F103" s="26">
        <v>6.9870904105849022E-2</v>
      </c>
      <c r="G103" s="26">
        <v>-0.19500000000000001</v>
      </c>
      <c r="H103" s="26">
        <v>-0.20499999999999999</v>
      </c>
      <c r="I103" s="26">
        <v>-0.19</v>
      </c>
      <c r="J103" s="26">
        <v>-0.28000000000000003</v>
      </c>
      <c r="K103" s="26">
        <v>-0.17</v>
      </c>
      <c r="L103" s="26">
        <v>-5.2499999999999998E-2</v>
      </c>
      <c r="M103" s="26">
        <v>-7.2499999999999995E-2</v>
      </c>
      <c r="N103" s="26">
        <v>-0.16500000000000001</v>
      </c>
      <c r="O103" s="26">
        <v>-0.19500000000000001</v>
      </c>
      <c r="P103" s="25">
        <v>-0.19500000000000001</v>
      </c>
      <c r="Q103" s="25">
        <v>-6.7500000000000004E-2</v>
      </c>
      <c r="R103" s="25">
        <v>-5.2499999999999998E-2</v>
      </c>
      <c r="S103" s="25">
        <v>0.23749999999999999</v>
      </c>
      <c r="T103" s="25">
        <v>0.23749999999999999</v>
      </c>
      <c r="U103" s="25">
        <v>0.14249999999999999</v>
      </c>
      <c r="V103" s="25">
        <v>0</v>
      </c>
      <c r="W103" s="179">
        <v>0.1875</v>
      </c>
      <c r="X103" s="179">
        <v>0.215</v>
      </c>
      <c r="Y103" s="179">
        <v>-2.1499999999999998E-2</v>
      </c>
      <c r="Z103" s="179">
        <v>-2.5249999999999998E-2</v>
      </c>
      <c r="AA103" s="179">
        <v>-1.1500000000000002E-2</v>
      </c>
      <c r="AB103" s="179">
        <v>-2.8999999999999998E-2</v>
      </c>
      <c r="AC103" s="179">
        <v>5.0000000000000001E-3</v>
      </c>
      <c r="AD103" s="179">
        <v>4.5000000000000005E-3</v>
      </c>
      <c r="AE103" s="179">
        <v>-6.25E-2</v>
      </c>
      <c r="AF103" s="179">
        <v>-4.4999999999999998E-2</v>
      </c>
      <c r="AG103" s="180">
        <v>-5.3500000000000006E-2</v>
      </c>
      <c r="AH103" s="179">
        <v>-1.8000000000000002E-2</v>
      </c>
      <c r="AI103" s="181">
        <v>-5.6000000000000008E-2</v>
      </c>
      <c r="AJ103" s="181">
        <v>-8.2500000000000004E-2</v>
      </c>
      <c r="AK103" s="29">
        <v>-1.6E-2</v>
      </c>
      <c r="AL103" s="25">
        <v>6.5000000000000006E-3</v>
      </c>
      <c r="AM103" s="25">
        <v>0.46100000000000002</v>
      </c>
      <c r="AN103" s="25">
        <v>7.4999999999999997E-3</v>
      </c>
      <c r="AO103" s="25">
        <v>-0.38500000000000001</v>
      </c>
      <c r="AP103" s="25">
        <v>-0.12</v>
      </c>
      <c r="AQ103" s="25">
        <v>-0.17</v>
      </c>
      <c r="AR103" s="25">
        <v>-0.28999999999999998</v>
      </c>
      <c r="AS103" s="25">
        <v>-0.33500000000000002</v>
      </c>
      <c r="AT103" s="25">
        <v>0</v>
      </c>
      <c r="AU103" s="25">
        <v>0.315</v>
      </c>
      <c r="AV103" s="25">
        <v>-0.38500000000000001</v>
      </c>
      <c r="AW103" s="25">
        <v>-0.10450000000000001</v>
      </c>
      <c r="AY103" s="25">
        <v>-0.10450000000000001</v>
      </c>
      <c r="AZ103" s="25">
        <v>-5.2499999999999998E-2</v>
      </c>
      <c r="BA103" s="25">
        <v>-9.7000000000000017E-2</v>
      </c>
      <c r="BB103" s="25">
        <v>-1.8000000000000002E-2</v>
      </c>
      <c r="BC103" s="25">
        <v>-5.7500000000000002E-2</v>
      </c>
      <c r="BD103" s="25">
        <v>-2.75E-2</v>
      </c>
      <c r="BE103" s="25">
        <v>-6.25E-2</v>
      </c>
      <c r="BF103" s="25">
        <v>0.12</v>
      </c>
      <c r="BG103" s="25">
        <v>0.14749999999999999</v>
      </c>
      <c r="BH103" s="25">
        <v>0.26750000000000002</v>
      </c>
      <c r="BI103" s="25">
        <v>0.26750000000000002</v>
      </c>
      <c r="BJ103" s="25">
        <v>0.36249999999999999</v>
      </c>
    </row>
    <row r="104" spans="1:62" x14ac:dyDescent="0.25">
      <c r="A104" s="26" t="e">
        <f>#REF!-B104</f>
        <v>#REF!</v>
      </c>
      <c r="B104" s="26">
        <v>3.22</v>
      </c>
      <c r="C104" s="145">
        <v>39753</v>
      </c>
      <c r="D104" s="26">
        <v>3.1019999999999999</v>
      </c>
      <c r="E104" s="26">
        <v>0.18</v>
      </c>
      <c r="F104" s="26">
        <v>6.9884041655868007E-2</v>
      </c>
      <c r="G104" s="26">
        <v>-0.19</v>
      </c>
      <c r="H104" s="26">
        <v>-0.19500000000000001</v>
      </c>
      <c r="I104" s="26">
        <v>-0.1525</v>
      </c>
      <c r="J104" s="26">
        <v>-0.27500000000000002</v>
      </c>
      <c r="K104" s="26">
        <v>-0.13250000000000001</v>
      </c>
      <c r="L104" s="26">
        <v>-5.2499999999999998E-2</v>
      </c>
      <c r="M104" s="26">
        <v>-8.7499999999999994E-2</v>
      </c>
      <c r="N104" s="26">
        <v>-0.16</v>
      </c>
      <c r="O104" s="26">
        <v>-0.19</v>
      </c>
      <c r="P104" s="25">
        <v>-0.19</v>
      </c>
      <c r="Q104" s="25">
        <v>-8.7499999999999994E-2</v>
      </c>
      <c r="R104" s="25">
        <v>-5.2499999999999998E-2</v>
      </c>
      <c r="S104" s="25">
        <v>0.3</v>
      </c>
      <c r="T104" s="25">
        <v>0.3</v>
      </c>
      <c r="U104" s="25">
        <v>0.20499999999999999</v>
      </c>
      <c r="V104" s="25">
        <v>0</v>
      </c>
      <c r="W104" s="179">
        <v>0.27</v>
      </c>
      <c r="X104" s="179">
        <v>0.28749999999999998</v>
      </c>
      <c r="Y104" s="179">
        <v>-2.4500000000000001E-2</v>
      </c>
      <c r="Z104" s="179">
        <v>-0.04</v>
      </c>
      <c r="AA104" s="179">
        <v>-1.0500000000000001E-2</v>
      </c>
      <c r="AB104" s="179">
        <v>-3.0500000000000003E-2</v>
      </c>
      <c r="AC104" s="179">
        <v>5.0000000000000001E-3</v>
      </c>
      <c r="AD104" s="179">
        <v>-3.5000000000000005E-3</v>
      </c>
      <c r="AE104" s="179">
        <v>-6.5000000000000002E-2</v>
      </c>
      <c r="AF104" s="179">
        <v>-4.4999999999999998E-2</v>
      </c>
      <c r="AG104" s="180">
        <v>-5.6500000000000002E-2</v>
      </c>
      <c r="AH104" s="179">
        <v>-1.4499999999999999E-2</v>
      </c>
      <c r="AI104" s="181">
        <v>-7.1000000000000008E-2</v>
      </c>
      <c r="AJ104" s="181">
        <v>-0.1225</v>
      </c>
      <c r="AK104" s="29">
        <v>-8.5000000000000006E-3</v>
      </c>
      <c r="AL104" s="25">
        <v>1.6E-2</v>
      </c>
      <c r="AM104" s="25">
        <v>0.76749999999999996</v>
      </c>
      <c r="AN104" s="25">
        <v>-3.2500000000000001E-2</v>
      </c>
      <c r="AO104" s="25">
        <v>-0.31</v>
      </c>
      <c r="AP104" s="25">
        <v>-0.13250000000000001</v>
      </c>
      <c r="AQ104" s="25">
        <v>-0.17</v>
      </c>
      <c r="AR104" s="25">
        <v>0</v>
      </c>
      <c r="AS104" s="25">
        <v>-0.26</v>
      </c>
      <c r="AT104" s="25">
        <v>0</v>
      </c>
      <c r="AU104" s="25">
        <v>0.14000000000000001</v>
      </c>
      <c r="AV104" s="25">
        <v>-0.31</v>
      </c>
      <c r="AW104" s="25">
        <v>-0.10950000000000001</v>
      </c>
      <c r="AY104" s="25">
        <v>-0.10950000000000001</v>
      </c>
      <c r="AZ104" s="25">
        <v>-5.2499999999999998E-2</v>
      </c>
      <c r="BA104" s="25">
        <v>-9.4500000000000015E-2</v>
      </c>
      <c r="BB104" s="25">
        <v>-1.95E-2</v>
      </c>
      <c r="BC104" s="25">
        <v>-7.2499999999999995E-2</v>
      </c>
      <c r="BD104" s="25">
        <v>-6.7500000000000004E-2</v>
      </c>
      <c r="BE104" s="25">
        <v>-6.5000000000000002E-2</v>
      </c>
      <c r="BF104" s="25">
        <v>0.09</v>
      </c>
      <c r="BG104" s="25">
        <v>0.27500000000000002</v>
      </c>
      <c r="BH104" s="25">
        <v>0.34499999999999997</v>
      </c>
      <c r="BI104" s="25">
        <v>0.34499999999999997</v>
      </c>
      <c r="BJ104" s="25">
        <v>0.46500000000000002</v>
      </c>
    </row>
    <row r="105" spans="1:62" x14ac:dyDescent="0.25">
      <c r="A105" s="26" t="e">
        <f>#REF!-B105</f>
        <v>#REF!</v>
      </c>
      <c r="B105" s="26">
        <v>3.2330000000000001</v>
      </c>
      <c r="C105" s="145">
        <v>39783</v>
      </c>
      <c r="D105" s="26">
        <v>3.1690000000000005</v>
      </c>
      <c r="E105" s="26">
        <v>0.18</v>
      </c>
      <c r="F105" s="26">
        <v>6.9896755414006015E-2</v>
      </c>
      <c r="G105" s="26">
        <v>-0.19750000000000001</v>
      </c>
      <c r="H105" s="26">
        <v>-0.20250000000000001</v>
      </c>
      <c r="I105" s="26">
        <v>-0.14499999999999999</v>
      </c>
      <c r="J105" s="26">
        <v>-0.28249999999999997</v>
      </c>
      <c r="K105" s="26">
        <v>-0.125</v>
      </c>
      <c r="L105" s="26">
        <v>-5.2499999999999998E-2</v>
      </c>
      <c r="M105" s="26">
        <v>-8.7499999999999994E-2</v>
      </c>
      <c r="N105" s="26">
        <v>-0.16750000000000001</v>
      </c>
      <c r="O105" s="26">
        <v>-0.19750000000000001</v>
      </c>
      <c r="P105" s="25">
        <v>-0.19750000000000001</v>
      </c>
      <c r="Q105" s="25">
        <v>-9.8750000000000004E-2</v>
      </c>
      <c r="R105" s="25">
        <v>-5.2499999999999998E-2</v>
      </c>
      <c r="S105" s="25">
        <v>0.34</v>
      </c>
      <c r="T105" s="25">
        <v>0.34</v>
      </c>
      <c r="U105" s="25">
        <v>0.245</v>
      </c>
      <c r="V105" s="25">
        <v>0</v>
      </c>
      <c r="W105" s="179">
        <v>0.30499999999999999</v>
      </c>
      <c r="X105" s="179">
        <v>0.33750000000000002</v>
      </c>
      <c r="Y105" s="179">
        <v>-2.4500000000000001E-2</v>
      </c>
      <c r="Z105" s="179">
        <v>-3.2500000000000001E-2</v>
      </c>
      <c r="AA105" s="179">
        <v>-1.0500000000000001E-2</v>
      </c>
      <c r="AB105" s="179">
        <v>-3.0500000000000003E-2</v>
      </c>
      <c r="AC105" s="179">
        <v>5.0000000000000001E-3</v>
      </c>
      <c r="AD105" s="179">
        <v>-3.5000000000000005E-3</v>
      </c>
      <c r="AE105" s="179">
        <v>-6.5000000000000002E-2</v>
      </c>
      <c r="AF105" s="179">
        <v>-4.4999999999999998E-2</v>
      </c>
      <c r="AG105" s="180">
        <v>-5.6500000000000002E-2</v>
      </c>
      <c r="AH105" s="179">
        <v>-1.4499999999999999E-2</v>
      </c>
      <c r="AI105" s="181">
        <v>-7.1000000000000008E-2</v>
      </c>
      <c r="AJ105" s="181">
        <v>-0.14499999999999999</v>
      </c>
      <c r="AK105" s="29">
        <v>-8.5000000000000006E-3</v>
      </c>
      <c r="AL105" s="25">
        <v>1.6E-2</v>
      </c>
      <c r="AM105" s="25">
        <v>1.19</v>
      </c>
      <c r="AN105" s="25">
        <v>-5.5E-2</v>
      </c>
      <c r="AO105" s="25">
        <v>-0.31</v>
      </c>
      <c r="AP105" s="25">
        <v>-0.1275</v>
      </c>
      <c r="AQ105" s="25">
        <v>-0.17</v>
      </c>
      <c r="AR105" s="25">
        <v>0.06</v>
      </c>
      <c r="AS105" s="25">
        <v>-0.26</v>
      </c>
      <c r="AT105" s="25">
        <v>0</v>
      </c>
      <c r="AU105" s="25">
        <v>0.14000000000000001</v>
      </c>
      <c r="AV105" s="25">
        <v>-0.31</v>
      </c>
      <c r="AW105" s="25">
        <v>-0.13950000000000001</v>
      </c>
      <c r="AY105" s="25">
        <v>-0.13950000000000001</v>
      </c>
      <c r="AZ105" s="25">
        <v>-5.2499999999999998E-2</v>
      </c>
      <c r="BA105" s="25">
        <v>-0.1295</v>
      </c>
      <c r="BB105" s="25">
        <v>-1.95E-2</v>
      </c>
      <c r="BC105" s="25">
        <v>-7.2499999999999995E-2</v>
      </c>
      <c r="BD105" s="25">
        <v>-0.09</v>
      </c>
      <c r="BE105" s="25">
        <v>-6.5000000000000002E-2</v>
      </c>
      <c r="BF105" s="25">
        <v>0.09</v>
      </c>
      <c r="BG105" s="25">
        <v>0.245</v>
      </c>
      <c r="BH105" s="25">
        <v>0.38500000000000001</v>
      </c>
      <c r="BI105" s="25">
        <v>0.38500000000000001</v>
      </c>
      <c r="BJ105" s="25">
        <v>0.8</v>
      </c>
    </row>
    <row r="106" spans="1:62" x14ac:dyDescent="0.25">
      <c r="A106" s="26" t="e">
        <f>#REF!-B106</f>
        <v>#REF!</v>
      </c>
      <c r="B106" s="26">
        <v>3.32</v>
      </c>
      <c r="C106" s="145">
        <v>39814</v>
      </c>
      <c r="D106" s="26">
        <v>3.4640000000000004</v>
      </c>
      <c r="E106" s="26">
        <v>0.18</v>
      </c>
      <c r="F106" s="26">
        <v>6.9909892964137021E-2</v>
      </c>
      <c r="G106" s="26">
        <v>-0.2</v>
      </c>
      <c r="H106" s="26">
        <v>-0.20499999999999999</v>
      </c>
      <c r="I106" s="26">
        <v>-0.13</v>
      </c>
      <c r="J106" s="26">
        <v>-0.26500000000000001</v>
      </c>
      <c r="K106" s="26">
        <v>-0.11</v>
      </c>
      <c r="L106" s="26">
        <v>-5.2499999999999998E-2</v>
      </c>
      <c r="M106" s="26">
        <v>-8.7499999999999994E-2</v>
      </c>
      <c r="N106" s="26">
        <v>-0.17</v>
      </c>
      <c r="O106" s="26">
        <v>-0.2</v>
      </c>
      <c r="P106" s="25">
        <v>-0.2</v>
      </c>
      <c r="Q106" s="25">
        <v>-0.1</v>
      </c>
      <c r="R106" s="25">
        <v>-5.2499999999999998E-2</v>
      </c>
      <c r="S106" s="25">
        <v>0.40500000000000003</v>
      </c>
      <c r="T106" s="25">
        <v>0.40500000000000003</v>
      </c>
      <c r="U106" s="25">
        <v>0.31</v>
      </c>
      <c r="V106" s="25">
        <v>0</v>
      </c>
      <c r="W106" s="179">
        <v>0.30499999999999999</v>
      </c>
      <c r="X106" s="179">
        <v>0.4375</v>
      </c>
      <c r="Y106" s="179">
        <v>-0.02</v>
      </c>
      <c r="Z106" s="179">
        <v>-3.2500000000000001E-2</v>
      </c>
      <c r="AA106" s="179">
        <v>-1.0500000000000001E-2</v>
      </c>
      <c r="AB106" s="179">
        <v>-3.0500000000000003E-2</v>
      </c>
      <c r="AC106" s="179">
        <v>5.0000000000000001E-3</v>
      </c>
      <c r="AD106" s="179">
        <v>-3.5000000000000005E-3</v>
      </c>
      <c r="AE106" s="179">
        <v>-6.5000000000000002E-2</v>
      </c>
      <c r="AF106" s="179">
        <v>-4.2999999999999997E-2</v>
      </c>
      <c r="AG106" s="180">
        <v>-5.6500000000000002E-2</v>
      </c>
      <c r="AH106" s="179">
        <v>-1.4499999999999999E-2</v>
      </c>
      <c r="AI106" s="181">
        <v>-6.4000000000000001E-2</v>
      </c>
      <c r="AJ106" s="181">
        <v>-0.14749999999999999</v>
      </c>
      <c r="AK106" s="29">
        <v>-6.5000000000000006E-3</v>
      </c>
      <c r="AL106" s="25">
        <v>1.6E-2</v>
      </c>
      <c r="AM106" s="25">
        <v>1.5249999999999999</v>
      </c>
      <c r="AN106" s="25">
        <v>-5.7500000000000002E-2</v>
      </c>
      <c r="AO106" s="25">
        <v>-0.31</v>
      </c>
      <c r="AP106" s="25">
        <v>-0.1275</v>
      </c>
      <c r="AQ106" s="25">
        <v>-0.17</v>
      </c>
      <c r="AR106" s="25">
        <v>0.13</v>
      </c>
      <c r="AS106" s="25">
        <v>-0.26</v>
      </c>
      <c r="AT106" s="25">
        <v>0</v>
      </c>
      <c r="AU106" s="25">
        <v>0.14000000000000001</v>
      </c>
      <c r="AV106" s="25">
        <v>-0.31</v>
      </c>
      <c r="AW106" s="25">
        <v>-0.12450000000000001</v>
      </c>
      <c r="AY106" s="25">
        <v>-0.12450000000000001</v>
      </c>
      <c r="AZ106" s="25">
        <v>-5.2499999999999998E-2</v>
      </c>
      <c r="BA106" s="25">
        <v>-0.13500000000000001</v>
      </c>
      <c r="BB106" s="25">
        <v>-1.95E-2</v>
      </c>
      <c r="BC106" s="25">
        <v>-7.2499999999999995E-2</v>
      </c>
      <c r="BD106" s="25">
        <v>-9.2499999999999999E-2</v>
      </c>
      <c r="BE106" s="25">
        <v>-6.5000000000000002E-2</v>
      </c>
      <c r="BF106" s="25">
        <v>0.09</v>
      </c>
      <c r="BG106" s="25">
        <v>0.28000000000000003</v>
      </c>
      <c r="BH106" s="25">
        <v>0.45</v>
      </c>
      <c r="BI106" s="25">
        <v>0.45</v>
      </c>
      <c r="BJ106" s="25">
        <v>0.97499999999999998</v>
      </c>
    </row>
    <row r="107" spans="1:62" x14ac:dyDescent="0.25">
      <c r="A107" s="26" t="e">
        <f>#REF!-B107</f>
        <v>#REF!</v>
      </c>
      <c r="B107" s="26">
        <v>3.4140000000000006</v>
      </c>
      <c r="C107" s="145">
        <v>39845</v>
      </c>
      <c r="D107" s="26">
        <v>3.3460000000000001</v>
      </c>
      <c r="E107" s="26">
        <v>0.18</v>
      </c>
      <c r="F107" s="26">
        <v>6.992303051432501E-2</v>
      </c>
      <c r="G107" s="26">
        <v>-0.20250000000000001</v>
      </c>
      <c r="H107" s="26">
        <v>-0.20749999999999999</v>
      </c>
      <c r="I107" s="26">
        <v>-0.13</v>
      </c>
      <c r="J107" s="26">
        <v>-0.26750000000000002</v>
      </c>
      <c r="K107" s="26">
        <v>-0.11</v>
      </c>
      <c r="L107" s="26">
        <v>-5.2499999999999998E-2</v>
      </c>
      <c r="M107" s="26">
        <v>-8.7499999999999994E-2</v>
      </c>
      <c r="N107" s="26">
        <v>-0.17249999999999999</v>
      </c>
      <c r="O107" s="26">
        <v>-0.20250000000000001</v>
      </c>
      <c r="P107" s="25">
        <v>-0.20250000000000001</v>
      </c>
      <c r="Q107" s="25">
        <v>-9.1249999999999998E-2</v>
      </c>
      <c r="R107" s="25">
        <v>-5.2499999999999998E-2</v>
      </c>
      <c r="S107" s="25">
        <v>0.38</v>
      </c>
      <c r="T107" s="25">
        <v>0.38</v>
      </c>
      <c r="U107" s="25">
        <v>0.28499999999999998</v>
      </c>
      <c r="V107" s="25">
        <v>0</v>
      </c>
      <c r="W107" s="179">
        <v>0.30499999999999999</v>
      </c>
      <c r="X107" s="179">
        <v>0.435</v>
      </c>
      <c r="Y107" s="179">
        <v>-0.02</v>
      </c>
      <c r="Z107" s="179">
        <v>-3.2500000000000001E-2</v>
      </c>
      <c r="AA107" s="179">
        <v>-1.0500000000000001E-2</v>
      </c>
      <c r="AB107" s="179">
        <v>-3.0500000000000003E-2</v>
      </c>
      <c r="AC107" s="179">
        <v>5.0000000000000001E-3</v>
      </c>
      <c r="AD107" s="179">
        <v>-3.5000000000000005E-3</v>
      </c>
      <c r="AE107" s="179">
        <v>-6.5000000000000002E-2</v>
      </c>
      <c r="AF107" s="179">
        <v>-4.2999999999999997E-2</v>
      </c>
      <c r="AG107" s="180">
        <v>-5.6500000000000002E-2</v>
      </c>
      <c r="AH107" s="179">
        <v>-1.4499999999999999E-2</v>
      </c>
      <c r="AI107" s="181">
        <v>-6.4000000000000001E-2</v>
      </c>
      <c r="AJ107" s="181">
        <v>-0.13</v>
      </c>
      <c r="AK107" s="29">
        <v>-6.5000000000000006E-3</v>
      </c>
      <c r="AL107" s="25">
        <v>1.6E-2</v>
      </c>
      <c r="AM107" s="25">
        <v>1.4550000000000001</v>
      </c>
      <c r="AN107" s="25">
        <v>-0.04</v>
      </c>
      <c r="AO107" s="25">
        <v>-0.31</v>
      </c>
      <c r="AP107" s="25">
        <v>-0.1275</v>
      </c>
      <c r="AQ107" s="25">
        <v>-0.17</v>
      </c>
      <c r="AR107" s="25">
        <v>0</v>
      </c>
      <c r="AS107" s="25">
        <v>-0.26</v>
      </c>
      <c r="AT107" s="25">
        <v>0</v>
      </c>
      <c r="AU107" s="25">
        <v>0.14000000000000001</v>
      </c>
      <c r="AV107" s="25">
        <v>-0.31</v>
      </c>
      <c r="AW107" s="25">
        <v>-0.127</v>
      </c>
      <c r="AY107" s="25">
        <v>-0.127</v>
      </c>
      <c r="AZ107" s="25">
        <v>-5.2499999999999998E-2</v>
      </c>
      <c r="BA107" s="25">
        <v>-0.11749999999999999</v>
      </c>
      <c r="BB107" s="25">
        <v>-1.95E-2</v>
      </c>
      <c r="BC107" s="25">
        <v>-7.2499999999999995E-2</v>
      </c>
      <c r="BD107" s="25">
        <v>-7.4999999999999997E-2</v>
      </c>
      <c r="BE107" s="25">
        <v>-6.5000000000000002E-2</v>
      </c>
      <c r="BF107" s="25">
        <v>0.09</v>
      </c>
      <c r="BG107" s="25">
        <v>0.33</v>
      </c>
      <c r="BH107" s="25">
        <v>0.42499999999999999</v>
      </c>
      <c r="BI107" s="25">
        <v>0.42499999999999999</v>
      </c>
      <c r="BJ107" s="25">
        <v>0.97499999999999998</v>
      </c>
    </row>
    <row r="108" spans="1:62" x14ac:dyDescent="0.25">
      <c r="A108" s="26" t="e">
        <f>#REF!-B108</f>
        <v>#REF!</v>
      </c>
      <c r="B108" s="26">
        <v>3.6549999999999998</v>
      </c>
      <c r="C108" s="145">
        <v>39873</v>
      </c>
      <c r="D108" s="26">
        <v>3.1940000000000004</v>
      </c>
      <c r="E108" s="26">
        <v>0.17</v>
      </c>
      <c r="F108" s="26">
        <v>6.9934896688738035E-2</v>
      </c>
      <c r="G108" s="26">
        <v>-0.20499999999999999</v>
      </c>
      <c r="H108" s="26">
        <v>-0.21</v>
      </c>
      <c r="I108" s="26">
        <v>-0.13</v>
      </c>
      <c r="J108" s="26">
        <v>-0.27</v>
      </c>
      <c r="K108" s="26">
        <v>-0.11</v>
      </c>
      <c r="L108" s="26">
        <v>-5.2499999999999998E-2</v>
      </c>
      <c r="M108" s="26">
        <v>-8.7499999999999994E-2</v>
      </c>
      <c r="N108" s="26">
        <v>-0.17499999999999999</v>
      </c>
      <c r="O108" s="26">
        <v>-0.20499999999999999</v>
      </c>
      <c r="P108" s="25">
        <v>-0.20499999999999999</v>
      </c>
      <c r="Q108" s="25">
        <v>-8.5000000000000006E-2</v>
      </c>
      <c r="R108" s="25">
        <v>-5.2499999999999998E-2</v>
      </c>
      <c r="S108" s="25">
        <v>0.3775</v>
      </c>
      <c r="T108" s="25">
        <v>0.3775</v>
      </c>
      <c r="U108" s="25">
        <v>0.28249999999999997</v>
      </c>
      <c r="V108" s="25">
        <v>0</v>
      </c>
      <c r="W108" s="179">
        <v>0.26500000000000001</v>
      </c>
      <c r="X108" s="179">
        <v>0.30249999999999999</v>
      </c>
      <c r="Y108" s="179">
        <v>-0.02</v>
      </c>
      <c r="Z108" s="179">
        <v>-3.2500000000000001E-2</v>
      </c>
      <c r="AA108" s="179">
        <v>8.0000000000000002E-3</v>
      </c>
      <c r="AB108" s="179">
        <v>-1.2E-2</v>
      </c>
      <c r="AC108" s="179">
        <v>5.0000000000000001E-3</v>
      </c>
      <c r="AD108" s="179">
        <v>-3.5000000000000005E-3</v>
      </c>
      <c r="AE108" s="179">
        <v>-6.5000000000000002E-2</v>
      </c>
      <c r="AF108" s="179">
        <v>-4.2999999999999997E-2</v>
      </c>
      <c r="AG108" s="180">
        <v>-5.6500000000000002E-2</v>
      </c>
      <c r="AH108" s="179">
        <v>-1.4499999999999999E-2</v>
      </c>
      <c r="AI108" s="181">
        <v>-7.1000000000000008E-2</v>
      </c>
      <c r="AJ108" s="181">
        <v>-0.11749999999999999</v>
      </c>
      <c r="AK108" s="29">
        <v>-6.5000000000000006E-3</v>
      </c>
      <c r="AL108" s="25">
        <v>1.6E-2</v>
      </c>
      <c r="AM108" s="25">
        <v>0.83499999999999996</v>
      </c>
      <c r="AN108" s="25">
        <v>-2.75E-2</v>
      </c>
      <c r="AO108" s="25">
        <v>-0.31</v>
      </c>
      <c r="AP108" s="25">
        <v>-0.13250000000000001</v>
      </c>
      <c r="AQ108" s="25">
        <v>-0.17</v>
      </c>
      <c r="AR108" s="25">
        <v>-0.18</v>
      </c>
      <c r="AS108" s="25">
        <v>-0.26</v>
      </c>
      <c r="AT108" s="25">
        <v>0</v>
      </c>
      <c r="AU108" s="25">
        <v>0.14000000000000001</v>
      </c>
      <c r="AV108" s="25">
        <v>-0.31</v>
      </c>
      <c r="AW108" s="25">
        <v>-0.10700000000000001</v>
      </c>
      <c r="AY108" s="25">
        <v>-0.10700000000000001</v>
      </c>
      <c r="AZ108" s="25">
        <v>-5.2499999999999998E-2</v>
      </c>
      <c r="BA108" s="25">
        <v>-0.1</v>
      </c>
      <c r="BB108" s="25">
        <v>-1.95E-2</v>
      </c>
      <c r="BC108" s="25">
        <v>-7.2499999999999995E-2</v>
      </c>
      <c r="BD108" s="25">
        <v>-6.25E-2</v>
      </c>
      <c r="BE108" s="25">
        <v>-6.5000000000000002E-2</v>
      </c>
      <c r="BF108" s="25">
        <v>0.09</v>
      </c>
      <c r="BG108" s="25">
        <v>0.32</v>
      </c>
      <c r="BH108" s="25">
        <v>0.42249999999999999</v>
      </c>
      <c r="BI108" s="25">
        <v>0.42249999999999999</v>
      </c>
      <c r="BJ108" s="25">
        <v>0.60750000000000004</v>
      </c>
    </row>
    <row r="109" spans="1:62" x14ac:dyDescent="0.25">
      <c r="A109" s="26" t="e">
        <f>#REF!-B109</f>
        <v>#REF!</v>
      </c>
      <c r="B109" s="26">
        <v>3.552</v>
      </c>
      <c r="C109" s="145">
        <v>39904</v>
      </c>
      <c r="D109" s="26">
        <v>3.0340000000000003</v>
      </c>
      <c r="E109" s="26">
        <v>0.17</v>
      </c>
      <c r="F109" s="26">
        <v>6.994803423903502E-2</v>
      </c>
      <c r="G109" s="26">
        <v>-0.19500000000000001</v>
      </c>
      <c r="H109" s="26">
        <v>-0.2</v>
      </c>
      <c r="I109" s="26">
        <v>-0.17499999999999999</v>
      </c>
      <c r="J109" s="26">
        <v>-0.26</v>
      </c>
      <c r="K109" s="26">
        <v>-0.155</v>
      </c>
      <c r="L109" s="26">
        <v>-0.05</v>
      </c>
      <c r="M109" s="26">
        <v>-7.0000000000000007E-2</v>
      </c>
      <c r="N109" s="26">
        <v>-0.16500000000000001</v>
      </c>
      <c r="O109" s="26">
        <v>-0.19500000000000001</v>
      </c>
      <c r="P109" s="25">
        <v>-0.19500000000000001</v>
      </c>
      <c r="Q109" s="25">
        <v>-6.25E-2</v>
      </c>
      <c r="R109" s="25">
        <v>-0.05</v>
      </c>
      <c r="S109" s="25">
        <v>0.28249999999999997</v>
      </c>
      <c r="T109" s="25">
        <v>0.28249999999999997</v>
      </c>
      <c r="U109" s="25">
        <v>0.1875</v>
      </c>
      <c r="V109" s="25">
        <v>0</v>
      </c>
      <c r="W109" s="179">
        <v>0.19500000000000001</v>
      </c>
      <c r="X109" s="179">
        <v>0.25</v>
      </c>
      <c r="Y109" s="179">
        <v>-1.95E-2</v>
      </c>
      <c r="Z109" s="179">
        <v>-2.5000000000000001E-2</v>
      </c>
      <c r="AA109" s="179">
        <v>8.0000000000000002E-3</v>
      </c>
      <c r="AB109" s="179">
        <v>-1.2E-2</v>
      </c>
      <c r="AC109" s="179">
        <v>5.0000000000000001E-3</v>
      </c>
      <c r="AD109" s="179">
        <v>6.5000000000000006E-3</v>
      </c>
      <c r="AE109" s="179">
        <v>-6.25E-2</v>
      </c>
      <c r="AF109" s="179">
        <v>-4.5499999999999999E-2</v>
      </c>
      <c r="AG109" s="180">
        <v>-5.4000000000000006E-2</v>
      </c>
      <c r="AH109" s="179">
        <v>-1.7000000000000001E-2</v>
      </c>
      <c r="AI109" s="181">
        <v>-6.4000000000000001E-2</v>
      </c>
      <c r="AJ109" s="181">
        <v>-7.4999999999999997E-2</v>
      </c>
      <c r="AK109" s="29">
        <v>-1.4000000000000002E-2</v>
      </c>
      <c r="AL109" s="25">
        <v>6.5000000000000006E-3</v>
      </c>
      <c r="AM109" s="25">
        <v>0.45</v>
      </c>
      <c r="AN109" s="25">
        <v>1.4999999999999999E-2</v>
      </c>
      <c r="AO109" s="25">
        <v>-0.38500000000000001</v>
      </c>
      <c r="AP109" s="25">
        <v>-0.12</v>
      </c>
      <c r="AQ109" s="25">
        <v>-0.17</v>
      </c>
      <c r="AR109" s="25">
        <v>-0.28999999999999998</v>
      </c>
      <c r="AS109" s="25">
        <v>-0.33500000000000002</v>
      </c>
      <c r="AT109" s="25">
        <v>0</v>
      </c>
      <c r="AU109" s="25">
        <v>0.315</v>
      </c>
      <c r="AV109" s="25">
        <v>-0.38500000000000001</v>
      </c>
      <c r="AW109" s="25">
        <v>-0.10249999999999999</v>
      </c>
      <c r="AY109" s="25">
        <v>-0.10249999999999999</v>
      </c>
      <c r="AZ109" s="25">
        <v>-0.05</v>
      </c>
      <c r="BA109" s="25">
        <v>-9.2499999999999999E-2</v>
      </c>
      <c r="BB109" s="25">
        <v>-1.7000000000000001E-2</v>
      </c>
      <c r="BC109" s="25">
        <v>-5.5E-2</v>
      </c>
      <c r="BD109" s="25">
        <v>-0.02</v>
      </c>
      <c r="BE109" s="25">
        <v>-6.25E-2</v>
      </c>
      <c r="BF109" s="25">
        <v>7.4999999999999997E-2</v>
      </c>
      <c r="BG109" s="25">
        <v>0.14749999999999999</v>
      </c>
      <c r="BH109" s="25">
        <v>0.3125</v>
      </c>
      <c r="BI109" s="25">
        <v>0.3125</v>
      </c>
      <c r="BJ109" s="25">
        <v>0.35499999999999998</v>
      </c>
    </row>
    <row r="110" spans="1:62" x14ac:dyDescent="0.25">
      <c r="A110" s="26" t="e">
        <f>#REF!-B110</f>
        <v>#REF!</v>
      </c>
      <c r="B110" s="26">
        <v>3.4119999999999999</v>
      </c>
      <c r="C110" s="145">
        <v>39934</v>
      </c>
      <c r="D110" s="26">
        <v>3.0249999999999999</v>
      </c>
      <c r="E110" s="26">
        <v>0.17</v>
      </c>
      <c r="F110" s="26">
        <v>6.9960747997441008E-2</v>
      </c>
      <c r="G110" s="26">
        <v>-0.19500000000000001</v>
      </c>
      <c r="H110" s="26">
        <v>-0.2</v>
      </c>
      <c r="I110" s="26">
        <v>-0.20499999999999999</v>
      </c>
      <c r="J110" s="26">
        <v>-0.26</v>
      </c>
      <c r="K110" s="26">
        <v>-0.17</v>
      </c>
      <c r="L110" s="26">
        <v>-0.05</v>
      </c>
      <c r="M110" s="26">
        <v>-7.0000000000000007E-2</v>
      </c>
      <c r="N110" s="26">
        <v>-0.16500000000000001</v>
      </c>
      <c r="O110" s="26">
        <v>-0.19500000000000001</v>
      </c>
      <c r="P110" s="25">
        <v>-0.19500000000000001</v>
      </c>
      <c r="Q110" s="25">
        <v>-6.25E-2</v>
      </c>
      <c r="R110" s="25">
        <v>-0.05</v>
      </c>
      <c r="S110" s="25">
        <v>0.29249999999999998</v>
      </c>
      <c r="T110" s="25">
        <v>0.29249999999999998</v>
      </c>
      <c r="U110" s="25">
        <v>0.19750000000000001</v>
      </c>
      <c r="V110" s="25">
        <v>0</v>
      </c>
      <c r="W110" s="179">
        <v>0.1825</v>
      </c>
      <c r="X110" s="179">
        <v>0.20250000000000001</v>
      </c>
      <c r="Y110" s="179">
        <v>-1.95E-2</v>
      </c>
      <c r="Z110" s="179">
        <v>-2.5249999999999998E-2</v>
      </c>
      <c r="AA110" s="179">
        <v>7.7500000000000008E-3</v>
      </c>
      <c r="AB110" s="179">
        <v>-1.225E-2</v>
      </c>
      <c r="AC110" s="179">
        <v>5.0000000000000001E-3</v>
      </c>
      <c r="AD110" s="179">
        <v>6.5000000000000006E-3</v>
      </c>
      <c r="AE110" s="179">
        <v>-6.25E-2</v>
      </c>
      <c r="AF110" s="179">
        <v>-4.5499999999999999E-2</v>
      </c>
      <c r="AG110" s="180">
        <v>-5.4000000000000006E-2</v>
      </c>
      <c r="AH110" s="179">
        <v>-1.7000000000000001E-2</v>
      </c>
      <c r="AI110" s="181">
        <v>-6.4000000000000001E-2</v>
      </c>
      <c r="AJ110" s="181">
        <v>-7.4999999999999997E-2</v>
      </c>
      <c r="AK110" s="29">
        <v>-1.4000000000000002E-2</v>
      </c>
      <c r="AL110" s="25">
        <v>6.5000000000000006E-3</v>
      </c>
      <c r="AM110" s="25">
        <v>0.40500000000000003</v>
      </c>
      <c r="AN110" s="25">
        <v>1.4999999999999999E-2</v>
      </c>
      <c r="AO110" s="25">
        <v>-0.38500000000000001</v>
      </c>
      <c r="AP110" s="25">
        <v>-0.12</v>
      </c>
      <c r="AQ110" s="25">
        <v>-0.17</v>
      </c>
      <c r="AR110" s="25">
        <v>-0.28999999999999998</v>
      </c>
      <c r="AS110" s="25">
        <v>-0.33500000000000002</v>
      </c>
      <c r="AT110" s="25">
        <v>0</v>
      </c>
      <c r="AU110" s="25">
        <v>0.315</v>
      </c>
      <c r="AV110" s="25">
        <v>-0.38500000000000001</v>
      </c>
      <c r="AW110" s="25">
        <v>-0.1</v>
      </c>
      <c r="AY110" s="25">
        <v>-0.1</v>
      </c>
      <c r="AZ110" s="25">
        <v>-0.05</v>
      </c>
      <c r="BA110" s="25">
        <v>-9.2499999999999999E-2</v>
      </c>
      <c r="BB110" s="25">
        <v>-1.7000000000000001E-2</v>
      </c>
      <c r="BC110" s="25">
        <v>-5.5E-2</v>
      </c>
      <c r="BD110" s="25">
        <v>-0.02</v>
      </c>
      <c r="BE110" s="25">
        <v>-6.25E-2</v>
      </c>
      <c r="BF110" s="25">
        <v>7.4999999999999997E-2</v>
      </c>
      <c r="BG110" s="25">
        <v>0.14749999999999999</v>
      </c>
      <c r="BH110" s="25">
        <v>0.32250000000000001</v>
      </c>
      <c r="BI110" s="25">
        <v>0.32250000000000001</v>
      </c>
      <c r="BJ110" s="25">
        <v>0.28749999999999998</v>
      </c>
    </row>
    <row r="111" spans="1:62" x14ac:dyDescent="0.25">
      <c r="A111" s="26" t="e">
        <f>#REF!-B111</f>
        <v>#REF!</v>
      </c>
      <c r="B111" s="26">
        <v>3.2749999999999999</v>
      </c>
      <c r="C111" s="145">
        <v>39965</v>
      </c>
      <c r="D111" s="26">
        <v>3.0510000000000002</v>
      </c>
      <c r="E111" s="26">
        <v>0.17</v>
      </c>
      <c r="F111" s="26">
        <v>6.9973885547851028E-2</v>
      </c>
      <c r="G111" s="26">
        <v>-0.19500000000000001</v>
      </c>
      <c r="H111" s="26">
        <v>-0.2</v>
      </c>
      <c r="I111" s="26">
        <v>-0.215</v>
      </c>
      <c r="J111" s="26">
        <v>-0.26</v>
      </c>
      <c r="K111" s="26">
        <v>-0.18</v>
      </c>
      <c r="L111" s="26">
        <v>-0.05</v>
      </c>
      <c r="M111" s="26">
        <v>-7.0000000000000007E-2</v>
      </c>
      <c r="N111" s="26">
        <v>-0.16500000000000001</v>
      </c>
      <c r="O111" s="26">
        <v>-0.19500000000000001</v>
      </c>
      <c r="P111" s="25">
        <v>-0.19500000000000001</v>
      </c>
      <c r="Q111" s="25">
        <v>-0.06</v>
      </c>
      <c r="R111" s="25">
        <v>-0.05</v>
      </c>
      <c r="S111" s="25">
        <v>0.28749999999999998</v>
      </c>
      <c r="T111" s="25">
        <v>0.28749999999999998</v>
      </c>
      <c r="U111" s="25">
        <v>0.1925</v>
      </c>
      <c r="V111" s="25">
        <v>0</v>
      </c>
      <c r="W111" s="179">
        <v>0.1825</v>
      </c>
      <c r="X111" s="179">
        <v>0.20250000000000001</v>
      </c>
      <c r="Y111" s="179">
        <v>-1.95E-2</v>
      </c>
      <c r="Z111" s="179">
        <v>-2.5249999999999998E-2</v>
      </c>
      <c r="AA111" s="179">
        <v>7.7500000000000008E-3</v>
      </c>
      <c r="AB111" s="179">
        <v>-1.225E-2</v>
      </c>
      <c r="AC111" s="179">
        <v>5.0000000000000001E-3</v>
      </c>
      <c r="AD111" s="179">
        <v>6.5000000000000006E-3</v>
      </c>
      <c r="AE111" s="179">
        <v>-6.25E-2</v>
      </c>
      <c r="AF111" s="179">
        <v>-4.5499999999999999E-2</v>
      </c>
      <c r="AG111" s="180">
        <v>-5.4000000000000006E-2</v>
      </c>
      <c r="AH111" s="179">
        <v>-1.7000000000000001E-2</v>
      </c>
      <c r="AI111" s="181">
        <v>-0.08</v>
      </c>
      <c r="AJ111" s="181">
        <v>-7.0000000000000007E-2</v>
      </c>
      <c r="AK111" s="29">
        <v>-1.4000000000000002E-2</v>
      </c>
      <c r="AL111" s="25">
        <v>6.5000000000000006E-3</v>
      </c>
      <c r="AM111" s="25">
        <v>0.39500000000000002</v>
      </c>
      <c r="AN111" s="25">
        <v>0.02</v>
      </c>
      <c r="AO111" s="25">
        <v>-0.38500000000000001</v>
      </c>
      <c r="AP111" s="25">
        <v>-0.12</v>
      </c>
      <c r="AQ111" s="25">
        <v>-0.17</v>
      </c>
      <c r="AR111" s="25">
        <v>-0.28999999999999998</v>
      </c>
      <c r="AS111" s="25">
        <v>-0.33500000000000002</v>
      </c>
      <c r="AT111" s="25">
        <v>0</v>
      </c>
      <c r="AU111" s="25">
        <v>0.315</v>
      </c>
      <c r="AV111" s="25">
        <v>-0.38500000000000001</v>
      </c>
      <c r="AW111" s="25">
        <v>-9.2499999999999999E-2</v>
      </c>
      <c r="AY111" s="25">
        <v>-9.2499999999999999E-2</v>
      </c>
      <c r="AZ111" s="25">
        <v>-0.05</v>
      </c>
      <c r="BA111" s="25">
        <v>-8.2500000000000004E-2</v>
      </c>
      <c r="BB111" s="25">
        <v>-1.7000000000000001E-2</v>
      </c>
      <c r="BC111" s="25">
        <v>-5.5E-2</v>
      </c>
      <c r="BD111" s="25">
        <v>-1.4999999999999999E-2</v>
      </c>
      <c r="BE111" s="25">
        <v>-6.25E-2</v>
      </c>
      <c r="BF111" s="25">
        <v>7.4999999999999997E-2</v>
      </c>
      <c r="BG111" s="25">
        <v>0.14749999999999999</v>
      </c>
      <c r="BH111" s="25">
        <v>0.3175</v>
      </c>
      <c r="BI111" s="25">
        <v>0.3175</v>
      </c>
      <c r="BJ111" s="25">
        <v>0.28749999999999998</v>
      </c>
    </row>
    <row r="112" spans="1:62" x14ac:dyDescent="0.25">
      <c r="A112" s="26" t="e">
        <f>#REF!-B112</f>
        <v>#REF!</v>
      </c>
      <c r="B112" s="26">
        <v>3.2530000000000001</v>
      </c>
      <c r="C112" s="145">
        <v>39995</v>
      </c>
      <c r="D112" s="26">
        <v>3.0730000000000004</v>
      </c>
      <c r="E112" s="26">
        <v>0.17</v>
      </c>
      <c r="F112" s="26">
        <v>6.9986599306366026E-2</v>
      </c>
      <c r="G112" s="26">
        <v>-0.19500000000000001</v>
      </c>
      <c r="H112" s="26">
        <v>-0.2</v>
      </c>
      <c r="I112" s="26">
        <v>-0.215</v>
      </c>
      <c r="J112" s="26">
        <v>-0.28000000000000003</v>
      </c>
      <c r="K112" s="26">
        <v>-0.18</v>
      </c>
      <c r="L112" s="26">
        <v>-0.05</v>
      </c>
      <c r="M112" s="26">
        <v>-7.0000000000000007E-2</v>
      </c>
      <c r="N112" s="26">
        <v>-0.16500000000000001</v>
      </c>
      <c r="O112" s="26">
        <v>-0.19500000000000001</v>
      </c>
      <c r="P112" s="25">
        <v>-0.19500000000000001</v>
      </c>
      <c r="Q112" s="25">
        <v>-5.8749999999999997E-2</v>
      </c>
      <c r="R112" s="25">
        <v>-0.05</v>
      </c>
      <c r="S112" s="25">
        <v>0.27750000000000002</v>
      </c>
      <c r="T112" s="25">
        <v>0.27750000000000002</v>
      </c>
      <c r="U112" s="25">
        <v>0.1825</v>
      </c>
      <c r="V112" s="25">
        <v>0</v>
      </c>
      <c r="W112" s="179">
        <v>0.1825</v>
      </c>
      <c r="X112" s="179">
        <v>0.215</v>
      </c>
      <c r="Y112" s="179">
        <v>-1.95E-2</v>
      </c>
      <c r="Z112" s="179">
        <v>-2.5249999999999998E-2</v>
      </c>
      <c r="AA112" s="179">
        <v>7.7500000000000008E-3</v>
      </c>
      <c r="AB112" s="179">
        <v>-1.225E-2</v>
      </c>
      <c r="AC112" s="179">
        <v>5.0000000000000001E-3</v>
      </c>
      <c r="AD112" s="179">
        <v>6.5000000000000006E-3</v>
      </c>
      <c r="AE112" s="179">
        <v>-6.25E-2</v>
      </c>
      <c r="AF112" s="179">
        <v>-4.5499999999999999E-2</v>
      </c>
      <c r="AG112" s="180">
        <v>-5.4000000000000006E-2</v>
      </c>
      <c r="AH112" s="179">
        <v>-1.7000000000000001E-2</v>
      </c>
      <c r="AI112" s="181">
        <v>-7.2999999999999995E-2</v>
      </c>
      <c r="AJ112" s="181">
        <v>-6.7500000000000004E-2</v>
      </c>
      <c r="AK112" s="29">
        <v>-1.4000000000000002E-2</v>
      </c>
      <c r="AL112" s="25">
        <v>6.5000000000000006E-3</v>
      </c>
      <c r="AM112" s="25">
        <v>0.43</v>
      </c>
      <c r="AN112" s="25">
        <v>2.2499999999999999E-2</v>
      </c>
      <c r="AO112" s="25">
        <v>-0.38500000000000001</v>
      </c>
      <c r="AP112" s="25">
        <v>-0.12</v>
      </c>
      <c r="AQ112" s="25">
        <v>-0.17</v>
      </c>
      <c r="AR112" s="25">
        <v>-0.28999999999999998</v>
      </c>
      <c r="AS112" s="25">
        <v>-0.33500000000000002</v>
      </c>
      <c r="AT112" s="25">
        <v>0</v>
      </c>
      <c r="AU112" s="25">
        <v>0.315</v>
      </c>
      <c r="AV112" s="25">
        <v>-0.38500000000000001</v>
      </c>
      <c r="AW112" s="25">
        <v>-0.1</v>
      </c>
      <c r="AY112" s="25">
        <v>-0.1</v>
      </c>
      <c r="AZ112" s="25">
        <v>-0.05</v>
      </c>
      <c r="BA112" s="25">
        <v>-7.7499999999999999E-2</v>
      </c>
      <c r="BB112" s="25">
        <v>-1.7000000000000001E-2</v>
      </c>
      <c r="BC112" s="25">
        <v>-5.5E-2</v>
      </c>
      <c r="BD112" s="25">
        <v>-1.2500000000000001E-2</v>
      </c>
      <c r="BE112" s="25">
        <v>-6.25E-2</v>
      </c>
      <c r="BF112" s="25">
        <v>7.4999999999999997E-2</v>
      </c>
      <c r="BG112" s="25">
        <v>0.14749999999999999</v>
      </c>
      <c r="BH112" s="25">
        <v>0.3075</v>
      </c>
      <c r="BI112" s="25">
        <v>0.3075</v>
      </c>
      <c r="BJ112" s="25">
        <v>0.3</v>
      </c>
    </row>
    <row r="113" spans="1:62" x14ac:dyDescent="0.25">
      <c r="A113" s="26" t="e">
        <f>#REF!-B113</f>
        <v>#REF!</v>
      </c>
      <c r="B113" s="26">
        <v>3.2390000000000003</v>
      </c>
      <c r="C113" s="145">
        <v>40026</v>
      </c>
      <c r="D113" s="26">
        <v>3.0940000000000003</v>
      </c>
      <c r="E113" s="26">
        <v>0.17</v>
      </c>
      <c r="F113" s="26">
        <v>6.9999736856888012E-2</v>
      </c>
      <c r="G113" s="26">
        <v>-0.19500000000000001</v>
      </c>
      <c r="H113" s="26">
        <v>-0.2</v>
      </c>
      <c r="I113" s="26">
        <v>-0.215</v>
      </c>
      <c r="J113" s="26">
        <v>-0.28000000000000003</v>
      </c>
      <c r="K113" s="26">
        <v>-0.18</v>
      </c>
      <c r="L113" s="26">
        <v>-0.05</v>
      </c>
      <c r="M113" s="26">
        <v>-7.0000000000000007E-2</v>
      </c>
      <c r="N113" s="26">
        <v>-0.16500000000000001</v>
      </c>
      <c r="O113" s="26">
        <v>-0.19500000000000001</v>
      </c>
      <c r="P113" s="25">
        <v>-0.19500000000000001</v>
      </c>
      <c r="Q113" s="25">
        <v>-5.7500000000000002E-2</v>
      </c>
      <c r="R113" s="25">
        <v>-0.05</v>
      </c>
      <c r="S113" s="25">
        <v>0.27500000000000002</v>
      </c>
      <c r="T113" s="25">
        <v>0.27500000000000002</v>
      </c>
      <c r="U113" s="25">
        <v>0.18</v>
      </c>
      <c r="V113" s="25">
        <v>0</v>
      </c>
      <c r="W113" s="179">
        <v>0.1825</v>
      </c>
      <c r="X113" s="179">
        <v>0.215</v>
      </c>
      <c r="Y113" s="179">
        <v>-1.95E-2</v>
      </c>
      <c r="Z113" s="179">
        <v>-2.5249999999999998E-2</v>
      </c>
      <c r="AA113" s="179">
        <v>7.7500000000000008E-3</v>
      </c>
      <c r="AB113" s="179">
        <v>-1.225E-2</v>
      </c>
      <c r="AC113" s="179">
        <v>5.0000000000000001E-3</v>
      </c>
      <c r="AD113" s="179">
        <v>6.5000000000000006E-3</v>
      </c>
      <c r="AE113" s="179">
        <v>-6.25E-2</v>
      </c>
      <c r="AF113" s="179">
        <v>-4.5499999999999999E-2</v>
      </c>
      <c r="AG113" s="180">
        <v>-5.4000000000000006E-2</v>
      </c>
      <c r="AH113" s="179">
        <v>-1.7000000000000001E-2</v>
      </c>
      <c r="AI113" s="181">
        <v>-5.4000000000000006E-2</v>
      </c>
      <c r="AJ113" s="181">
        <v>-6.5000000000000002E-2</v>
      </c>
      <c r="AK113" s="29">
        <v>-1.4000000000000002E-2</v>
      </c>
      <c r="AL113" s="25">
        <v>6.5000000000000006E-3</v>
      </c>
      <c r="AM113" s="25">
        <v>0.495</v>
      </c>
      <c r="AN113" s="25">
        <v>2.5000000000000001E-2</v>
      </c>
      <c r="AO113" s="25">
        <v>-0.38500000000000001</v>
      </c>
      <c r="AP113" s="25">
        <v>-0.12</v>
      </c>
      <c r="AQ113" s="25">
        <v>-0.17</v>
      </c>
      <c r="AR113" s="25">
        <v>-0.28999999999999998</v>
      </c>
      <c r="AS113" s="25">
        <v>-0.33500000000000002</v>
      </c>
      <c r="AT113" s="25">
        <v>0</v>
      </c>
      <c r="AU113" s="25">
        <v>0.315</v>
      </c>
      <c r="AV113" s="25">
        <v>-0.38500000000000001</v>
      </c>
      <c r="AW113" s="25">
        <v>-8.7499999999999994E-2</v>
      </c>
      <c r="AY113" s="25">
        <v>-8.7499999999999994E-2</v>
      </c>
      <c r="AZ113" s="25">
        <v>-0.05</v>
      </c>
      <c r="BA113" s="25">
        <v>-7.7499999999999999E-2</v>
      </c>
      <c r="BB113" s="25">
        <v>-1.7000000000000001E-2</v>
      </c>
      <c r="BC113" s="25">
        <v>-5.5E-2</v>
      </c>
      <c r="BD113" s="25">
        <v>-0.01</v>
      </c>
      <c r="BE113" s="25">
        <v>-6.25E-2</v>
      </c>
      <c r="BF113" s="25">
        <v>7.4999999999999997E-2</v>
      </c>
      <c r="BG113" s="25">
        <v>0.14749999999999999</v>
      </c>
      <c r="BH113" s="25">
        <v>0.30499999999999999</v>
      </c>
      <c r="BI113" s="25">
        <v>0.30499999999999999</v>
      </c>
      <c r="BJ113" s="25">
        <v>0.3</v>
      </c>
    </row>
    <row r="114" spans="1:62" x14ac:dyDescent="0.25">
      <c r="A114" s="26" t="e">
        <f>#REF!-B114</f>
        <v>#REF!</v>
      </c>
      <c r="B114" s="26">
        <v>3.3040000000000003</v>
      </c>
      <c r="C114" s="145">
        <v>40057</v>
      </c>
      <c r="D114" s="26">
        <v>3.0780000000000003</v>
      </c>
      <c r="E114" s="26">
        <v>0.17</v>
      </c>
      <c r="F114" s="26">
        <v>7.0012874407467007E-2</v>
      </c>
      <c r="G114" s="26">
        <v>-0.19500000000000001</v>
      </c>
      <c r="H114" s="26">
        <v>-0.2</v>
      </c>
      <c r="I114" s="26">
        <v>-0.20499999999999999</v>
      </c>
      <c r="J114" s="26">
        <v>-0.28000000000000003</v>
      </c>
      <c r="K114" s="26">
        <v>-0.17</v>
      </c>
      <c r="L114" s="26">
        <v>-0.05</v>
      </c>
      <c r="M114" s="26">
        <v>-7.0000000000000007E-2</v>
      </c>
      <c r="N114" s="26">
        <v>-0.16500000000000001</v>
      </c>
      <c r="O114" s="26">
        <v>-0.19500000000000001</v>
      </c>
      <c r="P114" s="25">
        <v>-0.19500000000000001</v>
      </c>
      <c r="Q114" s="25">
        <v>-6.1249999999999999E-2</v>
      </c>
      <c r="R114" s="25">
        <v>-0.05</v>
      </c>
      <c r="S114" s="25">
        <v>0.27250000000000002</v>
      </c>
      <c r="T114" s="25">
        <v>0.27250000000000002</v>
      </c>
      <c r="U114" s="25">
        <v>0.17749999999999999</v>
      </c>
      <c r="V114" s="25">
        <v>0</v>
      </c>
      <c r="W114" s="179">
        <v>0.1825</v>
      </c>
      <c r="X114" s="179">
        <v>0.19500000000000001</v>
      </c>
      <c r="Y114" s="179">
        <v>-1.95E-2</v>
      </c>
      <c r="Z114" s="179">
        <v>-2.5249999999999998E-2</v>
      </c>
      <c r="AA114" s="179">
        <v>7.7500000000000008E-3</v>
      </c>
      <c r="AB114" s="179">
        <v>-1.225E-2</v>
      </c>
      <c r="AC114" s="179">
        <v>5.0000000000000001E-3</v>
      </c>
      <c r="AD114" s="179">
        <v>6.5000000000000006E-3</v>
      </c>
      <c r="AE114" s="179">
        <v>-6.25E-2</v>
      </c>
      <c r="AF114" s="179">
        <v>-4.2999999999999997E-2</v>
      </c>
      <c r="AG114" s="180">
        <v>-5.1500000000000004E-2</v>
      </c>
      <c r="AH114" s="179">
        <v>-1.7000000000000001E-2</v>
      </c>
      <c r="AI114" s="181">
        <v>-5.2000000000000005E-2</v>
      </c>
      <c r="AJ114" s="181">
        <v>-7.2499999999999995E-2</v>
      </c>
      <c r="AK114" s="29">
        <v>-1.4000000000000002E-2</v>
      </c>
      <c r="AL114" s="25">
        <v>6.5000000000000006E-3</v>
      </c>
      <c r="AM114" s="25">
        <v>0.39500000000000002</v>
      </c>
      <c r="AN114" s="25">
        <v>1.7500000000000002E-2</v>
      </c>
      <c r="AO114" s="25">
        <v>-0.38500000000000001</v>
      </c>
      <c r="AP114" s="25">
        <v>-0.12</v>
      </c>
      <c r="AQ114" s="25">
        <v>-0.17</v>
      </c>
      <c r="AR114" s="25">
        <v>-0.28999999999999998</v>
      </c>
      <c r="AS114" s="25">
        <v>-0.33500000000000002</v>
      </c>
      <c r="AT114" s="25">
        <v>0</v>
      </c>
      <c r="AU114" s="25">
        <v>0.315</v>
      </c>
      <c r="AV114" s="25">
        <v>-0.38500000000000001</v>
      </c>
      <c r="AW114" s="25">
        <v>-9.2499999999999999E-2</v>
      </c>
      <c r="AY114" s="25">
        <v>-9.2499999999999999E-2</v>
      </c>
      <c r="AZ114" s="25">
        <v>-0.05</v>
      </c>
      <c r="BA114" s="25">
        <v>-9.2499999999999999E-2</v>
      </c>
      <c r="BB114" s="25">
        <v>-1.7000000000000001E-2</v>
      </c>
      <c r="BC114" s="25">
        <v>-5.5E-2</v>
      </c>
      <c r="BD114" s="25">
        <v>-1.7500000000000002E-2</v>
      </c>
      <c r="BE114" s="25">
        <v>-6.25E-2</v>
      </c>
      <c r="BF114" s="25">
        <v>7.4999999999999997E-2</v>
      </c>
      <c r="BG114" s="25">
        <v>0.14749999999999999</v>
      </c>
      <c r="BH114" s="25">
        <v>0.30249999999999999</v>
      </c>
      <c r="BI114" s="25">
        <v>0.30249999999999999</v>
      </c>
      <c r="BJ114" s="25">
        <v>0.28999999999999998</v>
      </c>
    </row>
    <row r="115" spans="1:62" x14ac:dyDescent="0.25">
      <c r="A115" s="26" t="e">
        <f>#REF!-B115</f>
        <v>#REF!</v>
      </c>
      <c r="B115" s="26">
        <v>3.2990000000000004</v>
      </c>
      <c r="C115" s="145">
        <v>40087</v>
      </c>
      <c r="D115" s="26">
        <v>3.077</v>
      </c>
      <c r="E115" s="26">
        <v>0.17</v>
      </c>
      <c r="F115" s="26">
        <v>7.0025588166146027E-2</v>
      </c>
      <c r="G115" s="26">
        <v>-0.19500000000000001</v>
      </c>
      <c r="H115" s="26">
        <v>-0.2</v>
      </c>
      <c r="I115" s="26">
        <v>-0.19</v>
      </c>
      <c r="J115" s="26">
        <v>-0.28000000000000003</v>
      </c>
      <c r="K115" s="26">
        <v>-0.155</v>
      </c>
      <c r="L115" s="26">
        <v>-0.05</v>
      </c>
      <c r="M115" s="26">
        <v>-7.0000000000000007E-2</v>
      </c>
      <c r="N115" s="26">
        <v>-0.16500000000000001</v>
      </c>
      <c r="O115" s="26">
        <v>-0.19500000000000001</v>
      </c>
      <c r="P115" s="25">
        <v>-0.19500000000000001</v>
      </c>
      <c r="Q115" s="25">
        <v>-6.6250000000000003E-2</v>
      </c>
      <c r="R115" s="25">
        <v>-0.05</v>
      </c>
      <c r="S115" s="25">
        <v>0.28749999999999998</v>
      </c>
      <c r="T115" s="25">
        <v>0.28749999999999998</v>
      </c>
      <c r="U115" s="25">
        <v>0.1925</v>
      </c>
      <c r="V115" s="25">
        <v>0</v>
      </c>
      <c r="W115" s="179">
        <v>0.1875</v>
      </c>
      <c r="X115" s="179">
        <v>0.215</v>
      </c>
      <c r="Y115" s="179">
        <v>-1.95E-2</v>
      </c>
      <c r="Z115" s="179">
        <v>-2.5249999999999998E-2</v>
      </c>
      <c r="AA115" s="179">
        <v>-1.0500000000000001E-2</v>
      </c>
      <c r="AB115" s="179">
        <v>-3.0500000000000003E-2</v>
      </c>
      <c r="AC115" s="179">
        <v>5.0000000000000001E-3</v>
      </c>
      <c r="AD115" s="179">
        <v>6.5000000000000006E-3</v>
      </c>
      <c r="AE115" s="179">
        <v>-6.25E-2</v>
      </c>
      <c r="AF115" s="179">
        <v>-4.2999999999999997E-2</v>
      </c>
      <c r="AG115" s="180">
        <v>-5.1500000000000004E-2</v>
      </c>
      <c r="AH115" s="179">
        <v>-1.7000000000000001E-2</v>
      </c>
      <c r="AI115" s="181">
        <v>-5.4000000000000006E-2</v>
      </c>
      <c r="AJ115" s="181">
        <v>-8.2500000000000004E-2</v>
      </c>
      <c r="AK115" s="29">
        <v>-1.4000000000000002E-2</v>
      </c>
      <c r="AL115" s="25">
        <v>6.5000000000000006E-3</v>
      </c>
      <c r="AM115" s="25">
        <v>0.46100000000000002</v>
      </c>
      <c r="AN115" s="25">
        <v>7.4999999999999997E-3</v>
      </c>
      <c r="AO115" s="25">
        <v>-0.38500000000000001</v>
      </c>
      <c r="AP115" s="25">
        <v>-0.12</v>
      </c>
      <c r="AQ115" s="25">
        <v>-0.17</v>
      </c>
      <c r="AR115" s="25">
        <v>-0.28999999999999998</v>
      </c>
      <c r="AS115" s="25">
        <v>-0.33500000000000002</v>
      </c>
      <c r="AT115" s="25">
        <v>0</v>
      </c>
      <c r="AU115" s="25">
        <v>0.315</v>
      </c>
      <c r="AV115" s="25">
        <v>-0.38500000000000001</v>
      </c>
      <c r="AW115" s="25">
        <v>-0.10249999999999999</v>
      </c>
      <c r="AY115" s="25">
        <v>-0.10249999999999999</v>
      </c>
      <c r="AZ115" s="25">
        <v>-0.05</v>
      </c>
      <c r="BA115" s="25">
        <v>-9.5000000000000001E-2</v>
      </c>
      <c r="BB115" s="25">
        <v>-1.7000000000000001E-2</v>
      </c>
      <c r="BC115" s="25">
        <v>-5.5E-2</v>
      </c>
      <c r="BD115" s="25">
        <v>-2.75E-2</v>
      </c>
      <c r="BE115" s="25">
        <v>-6.25E-2</v>
      </c>
      <c r="BF115" s="25">
        <v>7.4999999999999997E-2</v>
      </c>
      <c r="BG115" s="25">
        <v>0.14749999999999999</v>
      </c>
      <c r="BH115" s="25">
        <v>0.3175</v>
      </c>
      <c r="BI115" s="25">
        <v>0.3175</v>
      </c>
      <c r="BJ115" s="25">
        <v>0.36249999999999999</v>
      </c>
    </row>
    <row r="116" spans="1:62" x14ac:dyDescent="0.25">
      <c r="A116" s="26" t="e">
        <f>#REF!-B116</f>
        <v>#REF!</v>
      </c>
      <c r="B116" s="26">
        <v>3.2830000000000004</v>
      </c>
      <c r="C116" s="145">
        <v>40118</v>
      </c>
      <c r="D116" s="26">
        <v>3.1390000000000002</v>
      </c>
      <c r="E116" s="26">
        <v>0.17</v>
      </c>
      <c r="F116" s="26">
        <v>7.0038725716837016E-2</v>
      </c>
      <c r="G116" s="26">
        <v>-0.19</v>
      </c>
      <c r="H116" s="26">
        <v>-0.19500000000000001</v>
      </c>
      <c r="I116" s="26">
        <v>-0.1525</v>
      </c>
      <c r="J116" s="26">
        <v>-0.27500000000000002</v>
      </c>
      <c r="K116" s="26">
        <v>-0.11749999999999999</v>
      </c>
      <c r="L116" s="26">
        <v>-4.9500000000000002E-2</v>
      </c>
      <c r="M116" s="26">
        <v>-8.4499999999999992E-2</v>
      </c>
      <c r="N116" s="26">
        <v>-0.16</v>
      </c>
      <c r="O116" s="26">
        <v>-0.19</v>
      </c>
      <c r="P116" s="25">
        <v>-0.19</v>
      </c>
      <c r="Q116" s="25">
        <v>-8.5999999999999993E-2</v>
      </c>
      <c r="R116" s="25">
        <v>-4.9500000000000002E-2</v>
      </c>
      <c r="S116" s="25">
        <v>0.35</v>
      </c>
      <c r="T116" s="25">
        <v>0.35</v>
      </c>
      <c r="U116" s="25">
        <v>0.255</v>
      </c>
      <c r="V116" s="25">
        <v>0</v>
      </c>
      <c r="W116" s="179">
        <v>0.27</v>
      </c>
      <c r="X116" s="179">
        <v>0.28749999999999998</v>
      </c>
      <c r="Y116" s="179">
        <v>-2.2499999999999999E-2</v>
      </c>
      <c r="Z116" s="179">
        <v>-3.85E-2</v>
      </c>
      <c r="AA116" s="179">
        <v>-9.5000000000000015E-3</v>
      </c>
      <c r="AB116" s="179">
        <v>-2.7000000000000003E-2</v>
      </c>
      <c r="AC116" s="179">
        <v>5.0000000000000001E-3</v>
      </c>
      <c r="AD116" s="179">
        <v>-1.5E-3</v>
      </c>
      <c r="AE116" s="179">
        <v>-6.5000000000000002E-2</v>
      </c>
      <c r="AF116" s="179">
        <v>-4.2999999999999997E-2</v>
      </c>
      <c r="AG116" s="180">
        <v>-5.45E-2</v>
      </c>
      <c r="AH116" s="179">
        <v>-1.3500000000000002E-2</v>
      </c>
      <c r="AI116" s="181">
        <v>-6.9000000000000006E-2</v>
      </c>
      <c r="AJ116" s="181">
        <v>-0.1225</v>
      </c>
      <c r="AK116" s="29">
        <v>-6.5000000000000006E-3</v>
      </c>
      <c r="AL116" s="25">
        <v>1.6E-2</v>
      </c>
      <c r="AM116" s="25">
        <v>0.76749999999999996</v>
      </c>
      <c r="AN116" s="25">
        <v>-3.2500000000000001E-2</v>
      </c>
      <c r="AO116" s="25">
        <v>-0.31</v>
      </c>
      <c r="AP116" s="25">
        <v>-0.13250000000000001</v>
      </c>
      <c r="AQ116" s="25">
        <v>-0.17</v>
      </c>
      <c r="AR116" s="25">
        <v>0</v>
      </c>
      <c r="AS116" s="25">
        <v>-0.26</v>
      </c>
      <c r="AT116" s="25">
        <v>0</v>
      </c>
      <c r="AU116" s="25">
        <v>0.14000000000000001</v>
      </c>
      <c r="AV116" s="25">
        <v>-0.31</v>
      </c>
      <c r="AW116" s="25">
        <v>-0.1075</v>
      </c>
      <c r="AY116" s="25">
        <v>-0.1075</v>
      </c>
      <c r="AZ116" s="25">
        <v>-4.9500000000000002E-2</v>
      </c>
      <c r="BA116" s="25">
        <v>-9.2499999999999999E-2</v>
      </c>
      <c r="BB116" s="25">
        <v>-1.8500000000000003E-2</v>
      </c>
      <c r="BC116" s="25">
        <v>-6.9500000000000006E-2</v>
      </c>
      <c r="BD116" s="25">
        <v>-6.7500000000000004E-2</v>
      </c>
      <c r="BE116" s="25">
        <v>-6.5000000000000002E-2</v>
      </c>
      <c r="BF116" s="25">
        <v>0.09</v>
      </c>
      <c r="BG116" s="25">
        <v>0.27500000000000002</v>
      </c>
      <c r="BH116" s="25">
        <v>0.39500000000000002</v>
      </c>
      <c r="BI116" s="25">
        <v>0.39500000000000002</v>
      </c>
      <c r="BJ116" s="25">
        <v>0.46500000000000002</v>
      </c>
    </row>
    <row r="117" spans="1:62" x14ac:dyDescent="0.25">
      <c r="A117" s="26" t="e">
        <f>#REF!-B117</f>
        <v>#REF!</v>
      </c>
      <c r="B117" s="26">
        <v>3.2949999999999999</v>
      </c>
      <c r="C117" s="145">
        <v>40148</v>
      </c>
      <c r="D117" s="26">
        <v>3.2030000000000003</v>
      </c>
      <c r="E117" s="26">
        <v>0.17</v>
      </c>
      <c r="F117" s="26">
        <v>7.0051439475624019E-2</v>
      </c>
      <c r="G117" s="26">
        <v>-0.19750000000000001</v>
      </c>
      <c r="H117" s="26">
        <v>-0.20250000000000001</v>
      </c>
      <c r="I117" s="26">
        <v>-0.14499999999999999</v>
      </c>
      <c r="J117" s="26">
        <v>-0.28249999999999997</v>
      </c>
      <c r="K117" s="26">
        <v>-0.11</v>
      </c>
      <c r="L117" s="26">
        <v>-4.9500000000000002E-2</v>
      </c>
      <c r="M117" s="26">
        <v>-8.4499999999999992E-2</v>
      </c>
      <c r="N117" s="26">
        <v>-0.16750000000000001</v>
      </c>
      <c r="O117" s="26">
        <v>-0.19750000000000001</v>
      </c>
      <c r="P117" s="25">
        <v>-0.19750000000000001</v>
      </c>
      <c r="Q117" s="25">
        <v>-9.7250000000000003E-2</v>
      </c>
      <c r="R117" s="25">
        <v>-4.9500000000000002E-2</v>
      </c>
      <c r="S117" s="25">
        <v>0.39</v>
      </c>
      <c r="T117" s="25">
        <v>0.39</v>
      </c>
      <c r="U117" s="25">
        <v>0.29499999999999998</v>
      </c>
      <c r="V117" s="25">
        <v>0</v>
      </c>
      <c r="W117" s="179">
        <v>0.30499999999999999</v>
      </c>
      <c r="X117" s="179">
        <v>0.33750000000000002</v>
      </c>
      <c r="Y117" s="179">
        <v>-2.2499999999999999E-2</v>
      </c>
      <c r="Z117" s="179">
        <v>-3.1000000000000003E-2</v>
      </c>
      <c r="AA117" s="179">
        <v>-9.5000000000000015E-3</v>
      </c>
      <c r="AB117" s="179">
        <v>-2.7000000000000003E-2</v>
      </c>
      <c r="AC117" s="179">
        <v>5.0000000000000001E-3</v>
      </c>
      <c r="AD117" s="179">
        <v>-1.5E-3</v>
      </c>
      <c r="AE117" s="179">
        <v>-6.5000000000000002E-2</v>
      </c>
      <c r="AF117" s="179">
        <v>-4.2999999999999997E-2</v>
      </c>
      <c r="AG117" s="180">
        <v>-5.45E-2</v>
      </c>
      <c r="AH117" s="179">
        <v>-1.3500000000000002E-2</v>
      </c>
      <c r="AI117" s="181">
        <v>-6.9000000000000006E-2</v>
      </c>
      <c r="AJ117" s="181">
        <v>-0.14499999999999999</v>
      </c>
      <c r="AK117" s="29">
        <v>-6.5000000000000006E-3</v>
      </c>
      <c r="AL117" s="25">
        <v>1.6E-2</v>
      </c>
      <c r="AM117" s="25">
        <v>1.19</v>
      </c>
      <c r="AN117" s="25">
        <v>-5.5E-2</v>
      </c>
      <c r="AO117" s="25">
        <v>-0.31</v>
      </c>
      <c r="AP117" s="25">
        <v>-0.1275</v>
      </c>
      <c r="AQ117" s="25">
        <v>-0.17</v>
      </c>
      <c r="AR117" s="25">
        <v>0.06</v>
      </c>
      <c r="AS117" s="25">
        <v>-0.26</v>
      </c>
      <c r="AT117" s="25">
        <v>0</v>
      </c>
      <c r="AU117" s="25">
        <v>0.14000000000000001</v>
      </c>
      <c r="AV117" s="25">
        <v>-0.31</v>
      </c>
      <c r="AW117" s="25">
        <v>-0.13750000000000001</v>
      </c>
      <c r="AY117" s="25">
        <v>-0.13750000000000001</v>
      </c>
      <c r="AZ117" s="25">
        <v>-4.9500000000000002E-2</v>
      </c>
      <c r="BA117" s="25">
        <v>-0.1275</v>
      </c>
      <c r="BB117" s="25">
        <v>-1.8500000000000003E-2</v>
      </c>
      <c r="BC117" s="25">
        <v>-6.9500000000000006E-2</v>
      </c>
      <c r="BD117" s="25">
        <v>-0.09</v>
      </c>
      <c r="BE117" s="25">
        <v>-6.5000000000000002E-2</v>
      </c>
      <c r="BF117" s="25">
        <v>0.09</v>
      </c>
      <c r="BG117" s="25">
        <v>0.245</v>
      </c>
      <c r="BH117" s="25">
        <v>0.435</v>
      </c>
      <c r="BI117" s="25">
        <v>0.435</v>
      </c>
      <c r="BJ117" s="25">
        <v>0.8</v>
      </c>
    </row>
    <row r="118" spans="1:62" x14ac:dyDescent="0.25">
      <c r="A118" s="26" t="e">
        <f>#REF!-B118</f>
        <v>#REF!</v>
      </c>
      <c r="B118" s="26">
        <v>3.3769999999999998</v>
      </c>
      <c r="C118" s="145">
        <v>40179</v>
      </c>
      <c r="D118" s="26">
        <v>3.5060000000000002</v>
      </c>
      <c r="E118" s="26">
        <v>0.17</v>
      </c>
      <c r="F118" s="26">
        <v>7.0064577026428002E-2</v>
      </c>
      <c r="G118" s="26">
        <v>-0.2</v>
      </c>
      <c r="H118" s="26">
        <v>-0.20499999999999999</v>
      </c>
      <c r="I118" s="26">
        <v>-0.13</v>
      </c>
      <c r="J118" s="26">
        <v>-0.26500000000000001</v>
      </c>
      <c r="K118" s="26">
        <v>-9.5000000000000001E-2</v>
      </c>
      <c r="L118" s="26">
        <v>-4.9500000000000002E-2</v>
      </c>
      <c r="M118" s="26">
        <v>-8.4499999999999992E-2</v>
      </c>
      <c r="N118" s="26">
        <v>-0.17</v>
      </c>
      <c r="O118" s="26">
        <v>-0.2</v>
      </c>
      <c r="P118" s="25">
        <v>-0.2</v>
      </c>
      <c r="Q118" s="25">
        <v>-9.8500000000000004E-2</v>
      </c>
      <c r="R118" s="25">
        <v>-4.9500000000000002E-2</v>
      </c>
      <c r="S118" s="25">
        <v>0.4</v>
      </c>
      <c r="T118" s="25">
        <v>0.4</v>
      </c>
      <c r="U118" s="25">
        <v>0.30499999999999999</v>
      </c>
      <c r="V118" s="25">
        <v>0</v>
      </c>
      <c r="W118" s="179">
        <v>0.30499999999999999</v>
      </c>
      <c r="X118" s="179">
        <v>0.4375</v>
      </c>
      <c r="Y118" s="179">
        <v>-1.8000000000000002E-2</v>
      </c>
      <c r="Z118" s="179">
        <v>-3.1000000000000003E-2</v>
      </c>
      <c r="AA118" s="179">
        <v>-9.5000000000000015E-3</v>
      </c>
      <c r="AB118" s="179">
        <v>-2.7000000000000003E-2</v>
      </c>
      <c r="AC118" s="179">
        <v>5.0000000000000001E-3</v>
      </c>
      <c r="AD118" s="179">
        <v>-1.5E-3</v>
      </c>
      <c r="AE118" s="179">
        <v>-6.5000000000000002E-2</v>
      </c>
      <c r="AF118" s="179">
        <v>-4.0999999999999995E-2</v>
      </c>
      <c r="AG118" s="180">
        <v>-5.45E-2</v>
      </c>
      <c r="AH118" s="179">
        <v>-1.3500000000000002E-2</v>
      </c>
      <c r="AI118" s="181">
        <v>-6.2000000000000006E-2</v>
      </c>
      <c r="AJ118" s="181">
        <v>-0.14749999999999999</v>
      </c>
      <c r="AK118" s="29">
        <v>-4.5000000000000005E-3</v>
      </c>
      <c r="AL118" s="25">
        <v>1.6E-2</v>
      </c>
      <c r="AM118" s="25">
        <v>1.5249999999999999</v>
      </c>
      <c r="AN118" s="25">
        <v>-5.7500000000000002E-2</v>
      </c>
      <c r="AO118" s="25">
        <v>-0.31</v>
      </c>
      <c r="AP118" s="25">
        <v>-0.1275</v>
      </c>
      <c r="AQ118" s="25">
        <v>-0.17</v>
      </c>
      <c r="AR118" s="25">
        <v>0.13</v>
      </c>
      <c r="AS118" s="25">
        <v>-0.26</v>
      </c>
      <c r="AT118" s="25">
        <v>0</v>
      </c>
      <c r="AU118" s="25">
        <v>0.14000000000000001</v>
      </c>
      <c r="AV118" s="25">
        <v>-0.31</v>
      </c>
      <c r="AW118" s="25">
        <v>-0.1225</v>
      </c>
      <c r="AY118" s="25">
        <v>-0.1225</v>
      </c>
      <c r="AZ118" s="25">
        <v>-4.9500000000000002E-2</v>
      </c>
      <c r="BA118" s="25">
        <v>-0.13300000000000001</v>
      </c>
      <c r="BB118" s="25">
        <v>-1.8500000000000003E-2</v>
      </c>
      <c r="BC118" s="25">
        <v>-6.9500000000000006E-2</v>
      </c>
      <c r="BD118" s="25">
        <v>-9.2499999999999999E-2</v>
      </c>
      <c r="BE118" s="25">
        <v>-6.5000000000000002E-2</v>
      </c>
      <c r="BF118" s="25">
        <v>-0.17</v>
      </c>
      <c r="BG118" s="25">
        <v>0.28000000000000003</v>
      </c>
      <c r="BH118" s="25">
        <v>0.44500000000000001</v>
      </c>
      <c r="BI118" s="25">
        <v>0.44500000000000001</v>
      </c>
      <c r="BJ118" s="25">
        <v>0.97499999999999998</v>
      </c>
    </row>
    <row r="119" spans="1:62" x14ac:dyDescent="0.25">
      <c r="A119" s="26" t="e">
        <f>#REF!-B119</f>
        <v>#REF!</v>
      </c>
      <c r="B119" s="26">
        <v>3.468</v>
      </c>
      <c r="C119" s="145">
        <v>40210</v>
      </c>
      <c r="D119" s="26">
        <v>3.3919999999999999</v>
      </c>
      <c r="E119" s="26">
        <v>0.17</v>
      </c>
      <c r="F119" s="26">
        <v>7.0077714577288008E-2</v>
      </c>
      <c r="G119" s="26">
        <v>-0.20250000000000001</v>
      </c>
      <c r="H119" s="26">
        <v>-0.20749999999999999</v>
      </c>
      <c r="I119" s="26">
        <v>-0.13</v>
      </c>
      <c r="J119" s="26">
        <v>-0.26750000000000002</v>
      </c>
      <c r="K119" s="26">
        <v>-9.5000000000000001E-2</v>
      </c>
      <c r="L119" s="26">
        <v>-4.9500000000000002E-2</v>
      </c>
      <c r="M119" s="26">
        <v>-8.4499999999999992E-2</v>
      </c>
      <c r="N119" s="26">
        <v>-0.17249999999999999</v>
      </c>
      <c r="O119" s="26">
        <v>-0.20250000000000001</v>
      </c>
      <c r="P119" s="25">
        <v>-0.20250000000000001</v>
      </c>
      <c r="Q119" s="25">
        <v>-8.9749999999999996E-2</v>
      </c>
      <c r="R119" s="25">
        <v>-4.9500000000000002E-2</v>
      </c>
      <c r="S119" s="25">
        <v>0.375</v>
      </c>
      <c r="T119" s="25">
        <v>0.375</v>
      </c>
      <c r="U119" s="25">
        <v>0.28000000000000003</v>
      </c>
      <c r="V119" s="25">
        <v>0</v>
      </c>
      <c r="W119" s="179">
        <v>0.30499999999999999</v>
      </c>
      <c r="X119" s="179">
        <v>0.435</v>
      </c>
      <c r="Y119" s="179">
        <v>-1.8000000000000002E-2</v>
      </c>
      <c r="Z119" s="179">
        <v>-3.1000000000000003E-2</v>
      </c>
      <c r="AA119" s="179">
        <v>-9.5000000000000015E-3</v>
      </c>
      <c r="AB119" s="179">
        <v>-2.7000000000000003E-2</v>
      </c>
      <c r="AC119" s="179">
        <v>5.0000000000000001E-3</v>
      </c>
      <c r="AD119" s="179">
        <v>-1.5E-3</v>
      </c>
      <c r="AE119" s="179">
        <v>-6.5000000000000002E-2</v>
      </c>
      <c r="AF119" s="179">
        <v>-4.0999999999999995E-2</v>
      </c>
      <c r="AG119" s="180">
        <v>-5.45E-2</v>
      </c>
      <c r="AH119" s="179">
        <v>-1.3500000000000002E-2</v>
      </c>
      <c r="AI119" s="181">
        <v>-6.2000000000000006E-2</v>
      </c>
      <c r="AJ119" s="181">
        <v>-0.13</v>
      </c>
      <c r="AK119" s="29">
        <v>-4.5000000000000005E-3</v>
      </c>
      <c r="AL119" s="25">
        <v>1.6E-2</v>
      </c>
      <c r="AM119" s="25">
        <v>1.4550000000000001</v>
      </c>
      <c r="AN119" s="25">
        <v>-0.04</v>
      </c>
      <c r="AO119" s="25">
        <v>-0.31</v>
      </c>
      <c r="AP119" s="25">
        <v>-0.1275</v>
      </c>
      <c r="AQ119" s="25">
        <v>-0.17</v>
      </c>
      <c r="AR119" s="25">
        <v>0</v>
      </c>
      <c r="AS119" s="25">
        <v>-0.26</v>
      </c>
      <c r="AT119" s="25">
        <v>0</v>
      </c>
      <c r="AU119" s="25">
        <v>0.14000000000000001</v>
      </c>
      <c r="AV119" s="25">
        <v>-0.31</v>
      </c>
      <c r="AW119" s="25">
        <v>-0.125</v>
      </c>
      <c r="AY119" s="25">
        <v>-0.125</v>
      </c>
      <c r="AZ119" s="25">
        <v>-4.9500000000000002E-2</v>
      </c>
      <c r="BA119" s="25">
        <v>-0.11550000000000001</v>
      </c>
      <c r="BB119" s="25">
        <v>-1.8500000000000003E-2</v>
      </c>
      <c r="BC119" s="25">
        <v>-6.9500000000000006E-2</v>
      </c>
      <c r="BD119" s="25">
        <v>-7.4999999999999997E-2</v>
      </c>
      <c r="BE119" s="25">
        <v>-6.5000000000000002E-2</v>
      </c>
      <c r="BF119" s="25">
        <v>-0.17</v>
      </c>
      <c r="BG119" s="25">
        <v>0.33</v>
      </c>
      <c r="BH119" s="25">
        <v>0.42</v>
      </c>
      <c r="BI119" s="25">
        <v>0.42</v>
      </c>
      <c r="BJ119" s="25">
        <v>0.97499999999999998</v>
      </c>
    </row>
    <row r="120" spans="1:62" x14ac:dyDescent="0.25">
      <c r="A120" s="26" t="e">
        <f>#REF!-B120</f>
        <v>#REF!</v>
      </c>
      <c r="B120" s="26">
        <v>3.722</v>
      </c>
      <c r="C120" s="145">
        <v>40238</v>
      </c>
      <c r="D120" s="26">
        <v>3.2430000000000003</v>
      </c>
      <c r="E120" s="26">
        <v>0.16</v>
      </c>
      <c r="F120" s="26">
        <v>7.0089580752308006E-2</v>
      </c>
      <c r="G120" s="26">
        <v>-0.20499999999999999</v>
      </c>
      <c r="H120" s="26">
        <v>-0.21</v>
      </c>
      <c r="I120" s="26">
        <v>-0.13</v>
      </c>
      <c r="J120" s="26">
        <v>-0.27</v>
      </c>
      <c r="K120" s="26">
        <v>-9.5000000000000001E-2</v>
      </c>
      <c r="L120" s="26">
        <v>-4.9500000000000002E-2</v>
      </c>
      <c r="M120" s="26">
        <v>-8.4499999999999992E-2</v>
      </c>
      <c r="N120" s="26">
        <v>-0.17499999999999999</v>
      </c>
      <c r="O120" s="26">
        <v>-0.20499999999999999</v>
      </c>
      <c r="P120" s="25">
        <v>-0.20499999999999999</v>
      </c>
      <c r="Q120" s="25">
        <v>-8.3500000000000005E-2</v>
      </c>
      <c r="R120" s="25">
        <v>-4.9500000000000002E-2</v>
      </c>
      <c r="S120" s="25">
        <v>0.37300000000000005</v>
      </c>
      <c r="T120" s="25">
        <v>0.37300000000000005</v>
      </c>
      <c r="U120" s="25">
        <v>0.27800000000000002</v>
      </c>
      <c r="V120" s="25">
        <v>0</v>
      </c>
      <c r="W120" s="179">
        <v>0.26500000000000001</v>
      </c>
      <c r="X120" s="179">
        <v>0.30249999999999999</v>
      </c>
      <c r="Y120" s="179">
        <v>-1.8000000000000002E-2</v>
      </c>
      <c r="Z120" s="179">
        <v>-3.1000000000000003E-2</v>
      </c>
      <c r="AA120" s="179">
        <v>9.0000000000000011E-3</v>
      </c>
      <c r="AB120" s="179">
        <v>-8.5000000000000006E-3</v>
      </c>
      <c r="AC120" s="179">
        <v>5.0000000000000001E-3</v>
      </c>
      <c r="AD120" s="179">
        <v>-1.5E-3</v>
      </c>
      <c r="AE120" s="179">
        <v>-6.5000000000000002E-2</v>
      </c>
      <c r="AF120" s="179">
        <v>-4.0999999999999995E-2</v>
      </c>
      <c r="AG120" s="180">
        <v>-5.45E-2</v>
      </c>
      <c r="AH120" s="179">
        <v>-1.3500000000000002E-2</v>
      </c>
      <c r="AI120" s="181">
        <v>-6.9000000000000006E-2</v>
      </c>
      <c r="AJ120" s="181">
        <v>-0.11749999999999999</v>
      </c>
      <c r="AK120" s="29">
        <v>-4.5000000000000005E-3</v>
      </c>
      <c r="AL120" s="25">
        <v>1.6E-2</v>
      </c>
      <c r="AM120" s="25">
        <v>0.83499999999999996</v>
      </c>
      <c r="AN120" s="25">
        <v>-2.75E-2</v>
      </c>
      <c r="AO120" s="25">
        <v>-0.31</v>
      </c>
      <c r="AP120" s="25">
        <v>-0.13250000000000001</v>
      </c>
      <c r="AQ120" s="25">
        <v>-0.17</v>
      </c>
      <c r="AR120" s="25">
        <v>-0.18</v>
      </c>
      <c r="AS120" s="25">
        <v>-0.26</v>
      </c>
      <c r="AT120" s="25">
        <v>0</v>
      </c>
      <c r="AU120" s="25">
        <v>0.14000000000000001</v>
      </c>
      <c r="AV120" s="25">
        <v>-0.31</v>
      </c>
      <c r="AW120" s="25">
        <v>-0.105</v>
      </c>
      <c r="AY120" s="25">
        <v>-0.105</v>
      </c>
      <c r="AZ120" s="25">
        <v>-4.9500000000000002E-2</v>
      </c>
      <c r="BA120" s="25">
        <v>-9.8000000000000004E-2</v>
      </c>
      <c r="BB120" s="25">
        <v>-1.8500000000000003E-2</v>
      </c>
      <c r="BC120" s="25">
        <v>-6.9500000000000006E-2</v>
      </c>
      <c r="BD120" s="25">
        <v>-6.25E-2</v>
      </c>
      <c r="BE120" s="25">
        <v>-6.5000000000000002E-2</v>
      </c>
      <c r="BF120" s="25">
        <v>-0.17</v>
      </c>
      <c r="BG120" s="25">
        <v>0.32</v>
      </c>
      <c r="BH120" s="25">
        <v>0.41800000000000004</v>
      </c>
      <c r="BI120" s="25">
        <v>0.41800000000000004</v>
      </c>
      <c r="BJ120" s="25">
        <v>0.60750000000000004</v>
      </c>
    </row>
    <row r="121" spans="1:62" x14ac:dyDescent="0.25">
      <c r="A121" s="26" t="e">
        <f>#REF!-B121</f>
        <v>#REF!</v>
      </c>
      <c r="B121" s="26">
        <v>3.6230000000000002</v>
      </c>
      <c r="C121" s="145">
        <v>40269</v>
      </c>
      <c r="D121" s="26">
        <v>3.0860000000000003</v>
      </c>
      <c r="E121" s="26">
        <v>0.16</v>
      </c>
      <c r="F121" s="26">
        <v>7.0102718303277023E-2</v>
      </c>
      <c r="G121" s="26">
        <v>-0.19500000000000001</v>
      </c>
      <c r="H121" s="26">
        <v>-0.2</v>
      </c>
      <c r="I121" s="26">
        <v>-0.17499999999999999</v>
      </c>
      <c r="J121" s="26">
        <v>-0.26</v>
      </c>
      <c r="K121" s="26">
        <v>-0.14000000000000001</v>
      </c>
      <c r="L121" s="26">
        <v>-4.7E-2</v>
      </c>
      <c r="M121" s="26">
        <v>-6.7000000000000004E-2</v>
      </c>
      <c r="N121" s="26">
        <v>-0.16500000000000001</v>
      </c>
      <c r="O121" s="26">
        <v>-0.19500000000000001</v>
      </c>
      <c r="P121" s="25">
        <v>-0.19500000000000001</v>
      </c>
      <c r="Q121" s="25">
        <v>-6.1000000000000006E-2</v>
      </c>
      <c r="R121" s="25">
        <v>-4.7E-2</v>
      </c>
      <c r="S121" s="25">
        <v>0.27800000000000002</v>
      </c>
      <c r="T121" s="25">
        <v>0.27800000000000002</v>
      </c>
      <c r="U121" s="25">
        <v>0.18300000000000002</v>
      </c>
      <c r="V121" s="25">
        <v>0</v>
      </c>
      <c r="W121" s="179">
        <v>0.19500000000000001</v>
      </c>
      <c r="X121" s="179">
        <v>0.25</v>
      </c>
      <c r="Y121" s="179">
        <v>-1.7500000000000002E-2</v>
      </c>
      <c r="Z121" s="179">
        <v>-2.35E-2</v>
      </c>
      <c r="AA121" s="179">
        <v>9.0000000000000011E-3</v>
      </c>
      <c r="AB121" s="179">
        <v>-8.5000000000000006E-3</v>
      </c>
      <c r="AC121" s="179">
        <v>5.0000000000000001E-3</v>
      </c>
      <c r="AD121" s="179">
        <v>8.5000000000000006E-3</v>
      </c>
      <c r="AE121" s="179">
        <v>-6.25E-2</v>
      </c>
      <c r="AF121" s="179">
        <v>-4.3500000000000004E-2</v>
      </c>
      <c r="AG121" s="180">
        <v>-5.2000000000000005E-2</v>
      </c>
      <c r="AH121" s="179">
        <v>-1.6E-2</v>
      </c>
      <c r="AI121" s="181">
        <v>-6.2000000000000006E-2</v>
      </c>
      <c r="AJ121" s="181">
        <v>-7.4999999999999997E-2</v>
      </c>
      <c r="AK121" s="29">
        <v>-1.2E-2</v>
      </c>
      <c r="AL121" s="25">
        <v>6.5000000000000006E-3</v>
      </c>
      <c r="AM121" s="25">
        <v>0.45</v>
      </c>
      <c r="AN121" s="25">
        <v>1.4999999999999999E-2</v>
      </c>
      <c r="AO121" s="25">
        <v>-0.38500000000000001</v>
      </c>
      <c r="AP121" s="25">
        <v>-0.12</v>
      </c>
      <c r="AQ121" s="25">
        <v>-0.17</v>
      </c>
      <c r="AR121" s="25">
        <v>-0.28999999999999998</v>
      </c>
      <c r="AS121" s="25">
        <v>-0.33500000000000002</v>
      </c>
      <c r="AT121" s="25">
        <v>0</v>
      </c>
      <c r="AU121" s="25">
        <v>0.315</v>
      </c>
      <c r="AV121" s="25">
        <v>-0.38500000000000001</v>
      </c>
      <c r="AW121" s="25">
        <v>-0.10050000000000001</v>
      </c>
      <c r="AY121" s="25">
        <v>-0.10050000000000001</v>
      </c>
      <c r="AZ121" s="25">
        <v>-4.7E-2</v>
      </c>
      <c r="BA121" s="25">
        <v>-9.0500000000000011E-2</v>
      </c>
      <c r="BB121" s="25">
        <v>-1.6E-2</v>
      </c>
      <c r="BC121" s="25">
        <v>-5.2000000000000005E-2</v>
      </c>
      <c r="BD121" s="25">
        <v>-0.02</v>
      </c>
      <c r="BE121" s="25">
        <v>-6.25E-2</v>
      </c>
      <c r="BF121" s="25">
        <v>-0.17</v>
      </c>
      <c r="BG121" s="25">
        <v>0.14749999999999999</v>
      </c>
      <c r="BH121" s="25">
        <v>0.308</v>
      </c>
      <c r="BI121" s="25">
        <v>0.308</v>
      </c>
      <c r="BJ121" s="25">
        <v>0.35499999999999998</v>
      </c>
    </row>
    <row r="122" spans="1:62" x14ac:dyDescent="0.25">
      <c r="A122" s="26" t="e">
        <f>#REF!-B122</f>
        <v>#REF!</v>
      </c>
      <c r="B122" s="26">
        <v>3.4860000000000002</v>
      </c>
      <c r="C122" s="145">
        <v>40299</v>
      </c>
      <c r="D122" s="26">
        <v>3.0780000000000003</v>
      </c>
      <c r="E122" s="26">
        <v>0.16</v>
      </c>
      <c r="F122" s="26">
        <v>7.0115432062333005E-2</v>
      </c>
      <c r="G122" s="26">
        <v>-0.19500000000000001</v>
      </c>
      <c r="H122" s="26">
        <v>-0.2</v>
      </c>
      <c r="I122" s="26">
        <v>-0.20499999999999999</v>
      </c>
      <c r="J122" s="26">
        <v>-0.26</v>
      </c>
      <c r="K122" s="26">
        <v>-0.155</v>
      </c>
      <c r="L122" s="26">
        <v>-4.7E-2</v>
      </c>
      <c r="M122" s="26">
        <v>-6.7000000000000004E-2</v>
      </c>
      <c r="N122" s="26">
        <v>-0.16500000000000001</v>
      </c>
      <c r="O122" s="26">
        <v>-0.19500000000000001</v>
      </c>
      <c r="P122" s="25">
        <v>-0.19500000000000001</v>
      </c>
      <c r="Q122" s="25">
        <v>-6.1000000000000006E-2</v>
      </c>
      <c r="R122" s="25">
        <v>-4.7E-2</v>
      </c>
      <c r="S122" s="25">
        <v>0.28800000000000003</v>
      </c>
      <c r="T122" s="25">
        <v>0.28800000000000003</v>
      </c>
      <c r="U122" s="25">
        <v>0.193</v>
      </c>
      <c r="V122" s="25">
        <v>0</v>
      </c>
      <c r="W122" s="179">
        <v>0.1825</v>
      </c>
      <c r="X122" s="179">
        <v>0.20250000000000001</v>
      </c>
      <c r="Y122" s="179">
        <v>-1.7500000000000002E-2</v>
      </c>
      <c r="Z122" s="179">
        <v>-2.375E-2</v>
      </c>
      <c r="AA122" s="179">
        <v>8.7500000000000008E-3</v>
      </c>
      <c r="AB122" s="179">
        <v>-8.7500000000000008E-3</v>
      </c>
      <c r="AC122" s="179">
        <v>5.0000000000000001E-3</v>
      </c>
      <c r="AD122" s="179">
        <v>8.5000000000000006E-3</v>
      </c>
      <c r="AE122" s="179">
        <v>-6.25E-2</v>
      </c>
      <c r="AF122" s="179">
        <v>-4.3500000000000004E-2</v>
      </c>
      <c r="AG122" s="180">
        <v>-5.2000000000000005E-2</v>
      </c>
      <c r="AH122" s="179">
        <v>-1.6E-2</v>
      </c>
      <c r="AI122" s="181">
        <v>-6.2000000000000006E-2</v>
      </c>
      <c r="AJ122" s="181">
        <v>-7.4999999999999997E-2</v>
      </c>
      <c r="AK122" s="29">
        <v>-1.2E-2</v>
      </c>
      <c r="AL122" s="25">
        <v>6.5000000000000006E-3</v>
      </c>
      <c r="AM122" s="25">
        <v>0.40500000000000003</v>
      </c>
      <c r="AN122" s="25">
        <v>1.4999999999999999E-2</v>
      </c>
      <c r="AO122" s="25">
        <v>-0.38500000000000001</v>
      </c>
      <c r="AP122" s="25">
        <v>-0.12</v>
      </c>
      <c r="AQ122" s="25">
        <v>-0.17</v>
      </c>
      <c r="AR122" s="25">
        <v>-0.28999999999999998</v>
      </c>
      <c r="AS122" s="25">
        <v>-0.33500000000000002</v>
      </c>
      <c r="AT122" s="25">
        <v>0</v>
      </c>
      <c r="AU122" s="25">
        <v>0.315</v>
      </c>
      <c r="AV122" s="25">
        <v>-0.38500000000000001</v>
      </c>
      <c r="AW122" s="25">
        <v>-9.8000000000000004E-2</v>
      </c>
      <c r="AY122" s="25">
        <v>-9.8000000000000004E-2</v>
      </c>
      <c r="AZ122" s="25">
        <v>-4.7E-2</v>
      </c>
      <c r="BA122" s="25">
        <v>-9.0500000000000011E-2</v>
      </c>
      <c r="BB122" s="25">
        <v>-1.6E-2</v>
      </c>
      <c r="BC122" s="25">
        <v>-5.2000000000000005E-2</v>
      </c>
      <c r="BD122" s="25">
        <v>-0.02</v>
      </c>
      <c r="BE122" s="25">
        <v>-6.25E-2</v>
      </c>
      <c r="BF122" s="25">
        <v>-0.17</v>
      </c>
      <c r="BG122" s="25">
        <v>0.14749999999999999</v>
      </c>
      <c r="BH122" s="25">
        <v>0.318</v>
      </c>
      <c r="BI122" s="25">
        <v>0.318</v>
      </c>
      <c r="BJ122" s="25">
        <v>0.28749999999999998</v>
      </c>
    </row>
    <row r="123" spans="1:62" x14ac:dyDescent="0.25">
      <c r="A123" s="26" t="e">
        <f>#REF!-B123</f>
        <v>#REF!</v>
      </c>
      <c r="B123" s="26">
        <v>3.3519999999999999</v>
      </c>
      <c r="C123" s="145">
        <v>40330</v>
      </c>
      <c r="D123" s="26">
        <v>3.105</v>
      </c>
      <c r="E123" s="26">
        <v>0.16</v>
      </c>
      <c r="F123" s="26">
        <v>7.0128569613415029E-2</v>
      </c>
      <c r="G123" s="26">
        <v>-0.19500000000000001</v>
      </c>
      <c r="H123" s="26">
        <v>-0.2</v>
      </c>
      <c r="I123" s="26">
        <v>-0.215</v>
      </c>
      <c r="J123" s="26">
        <v>-0.26</v>
      </c>
      <c r="K123" s="26">
        <v>-0.16500000000000001</v>
      </c>
      <c r="L123" s="26">
        <v>-4.7E-2</v>
      </c>
      <c r="M123" s="26">
        <v>-6.7000000000000004E-2</v>
      </c>
      <c r="N123" s="26">
        <v>-0.16500000000000001</v>
      </c>
      <c r="O123" s="26">
        <v>-0.19500000000000001</v>
      </c>
      <c r="P123" s="25">
        <v>-0.19500000000000001</v>
      </c>
      <c r="Q123" s="25">
        <v>-5.8500000000000003E-2</v>
      </c>
      <c r="R123" s="25">
        <v>-4.7E-2</v>
      </c>
      <c r="S123" s="25">
        <v>0.28300000000000003</v>
      </c>
      <c r="T123" s="25">
        <v>0.28300000000000003</v>
      </c>
      <c r="U123" s="25">
        <v>0.188</v>
      </c>
      <c r="V123" s="25">
        <v>0</v>
      </c>
      <c r="W123" s="179">
        <v>0.1825</v>
      </c>
      <c r="X123" s="179">
        <v>0.20250000000000001</v>
      </c>
      <c r="Y123" s="179">
        <v>-1.7500000000000002E-2</v>
      </c>
      <c r="Z123" s="179">
        <v>-2.375E-2</v>
      </c>
      <c r="AA123" s="179">
        <v>8.7500000000000008E-3</v>
      </c>
      <c r="AB123" s="179">
        <v>-8.7500000000000008E-3</v>
      </c>
      <c r="AC123" s="179">
        <v>5.0000000000000001E-3</v>
      </c>
      <c r="AD123" s="179">
        <v>8.5000000000000006E-3</v>
      </c>
      <c r="AE123" s="179">
        <v>-6.25E-2</v>
      </c>
      <c r="AF123" s="179">
        <v>-4.3500000000000004E-2</v>
      </c>
      <c r="AG123" s="180">
        <v>-5.2000000000000005E-2</v>
      </c>
      <c r="AH123" s="179">
        <v>-1.6E-2</v>
      </c>
      <c r="AI123" s="181">
        <v>-7.8E-2</v>
      </c>
      <c r="AJ123" s="181">
        <v>-7.0000000000000007E-2</v>
      </c>
      <c r="AK123" s="29">
        <v>-1.2E-2</v>
      </c>
      <c r="AL123" s="25">
        <v>6.5000000000000006E-3</v>
      </c>
      <c r="AM123" s="25">
        <v>0.39500000000000002</v>
      </c>
      <c r="AN123" s="25">
        <v>0.02</v>
      </c>
      <c r="AO123" s="25">
        <v>-0.38500000000000001</v>
      </c>
      <c r="AP123" s="25">
        <v>-0.12</v>
      </c>
      <c r="AQ123" s="25">
        <v>-0.17</v>
      </c>
      <c r="AR123" s="25">
        <v>-0.28999999999999998</v>
      </c>
      <c r="AS123" s="25">
        <v>-0.33500000000000002</v>
      </c>
      <c r="AT123" s="25">
        <v>0</v>
      </c>
      <c r="AU123" s="25">
        <v>0.315</v>
      </c>
      <c r="AV123" s="25">
        <v>-0.38500000000000001</v>
      </c>
      <c r="AW123" s="25">
        <v>-9.0500000000000011E-2</v>
      </c>
      <c r="AY123" s="25">
        <v>-9.0500000000000011E-2</v>
      </c>
      <c r="AZ123" s="25">
        <v>-4.7E-2</v>
      </c>
      <c r="BA123" s="25">
        <v>-8.0500000000000002E-2</v>
      </c>
      <c r="BB123" s="25">
        <v>-1.6E-2</v>
      </c>
      <c r="BC123" s="25">
        <v>-5.2000000000000005E-2</v>
      </c>
      <c r="BD123" s="25">
        <v>-1.4999999999999999E-2</v>
      </c>
      <c r="BE123" s="25">
        <v>-6.25E-2</v>
      </c>
      <c r="BF123" s="25">
        <v>-0.17</v>
      </c>
      <c r="BG123" s="25">
        <v>0.14749999999999999</v>
      </c>
      <c r="BH123" s="25">
        <v>0.313</v>
      </c>
      <c r="BI123" s="25">
        <v>0.313</v>
      </c>
      <c r="BJ123" s="25">
        <v>0.28749999999999998</v>
      </c>
    </row>
    <row r="124" spans="1:62" x14ac:dyDescent="0.25">
      <c r="A124" s="26" t="e">
        <f>#REF!-B124</f>
        <v>#REF!</v>
      </c>
      <c r="B124" s="26">
        <v>3.3310000000000004</v>
      </c>
      <c r="C124" s="145">
        <v>40360</v>
      </c>
      <c r="D124" s="26">
        <v>3.1269999999999998</v>
      </c>
      <c r="E124" s="26">
        <v>0.16</v>
      </c>
      <c r="F124" s="26">
        <v>7.0141283372581006E-2</v>
      </c>
      <c r="G124" s="26">
        <v>-0.19500000000000001</v>
      </c>
      <c r="H124" s="26">
        <v>-0.2</v>
      </c>
      <c r="I124" s="26">
        <v>-0.215</v>
      </c>
      <c r="J124" s="26">
        <v>-0.28000000000000003</v>
      </c>
      <c r="K124" s="26">
        <v>-0.16500000000000001</v>
      </c>
      <c r="L124" s="26">
        <v>-4.7E-2</v>
      </c>
      <c r="M124" s="26">
        <v>-6.7000000000000004E-2</v>
      </c>
      <c r="N124" s="26">
        <v>-0.16500000000000001</v>
      </c>
      <c r="O124" s="26">
        <v>-0.19500000000000001</v>
      </c>
      <c r="P124" s="25">
        <v>-0.19500000000000001</v>
      </c>
      <c r="Q124" s="25">
        <v>-5.7250000000000009E-2</v>
      </c>
      <c r="R124" s="25">
        <v>-4.7E-2</v>
      </c>
      <c r="S124" s="25">
        <v>0.27300000000000002</v>
      </c>
      <c r="T124" s="25">
        <v>0.27300000000000002</v>
      </c>
      <c r="U124" s="25">
        <v>0.17800000000000002</v>
      </c>
      <c r="V124" s="25">
        <v>0</v>
      </c>
      <c r="W124" s="179">
        <v>0.1825</v>
      </c>
      <c r="X124" s="179">
        <v>0.215</v>
      </c>
      <c r="Y124" s="179">
        <v>-1.7500000000000002E-2</v>
      </c>
      <c r="Z124" s="179">
        <v>-2.375E-2</v>
      </c>
      <c r="AA124" s="179">
        <v>8.7500000000000008E-3</v>
      </c>
      <c r="AB124" s="179">
        <v>-8.7500000000000008E-3</v>
      </c>
      <c r="AC124" s="179">
        <v>5.0000000000000001E-3</v>
      </c>
      <c r="AD124" s="179">
        <v>8.5000000000000006E-3</v>
      </c>
      <c r="AE124" s="179">
        <v>-6.25E-2</v>
      </c>
      <c r="AF124" s="179">
        <v>-4.3500000000000004E-2</v>
      </c>
      <c r="AG124" s="180">
        <v>-5.2000000000000005E-2</v>
      </c>
      <c r="AH124" s="179">
        <v>-1.6E-2</v>
      </c>
      <c r="AI124" s="181">
        <v>-7.1000000000000008E-2</v>
      </c>
      <c r="AJ124" s="181">
        <v>-6.7500000000000004E-2</v>
      </c>
      <c r="AK124" s="29">
        <v>-1.2E-2</v>
      </c>
      <c r="AL124" s="25">
        <v>6.5000000000000006E-3</v>
      </c>
      <c r="AM124" s="25">
        <v>0.43</v>
      </c>
      <c r="AN124" s="25">
        <v>2.2499999999999999E-2</v>
      </c>
      <c r="AO124" s="25">
        <v>-0.38500000000000001</v>
      </c>
      <c r="AP124" s="25">
        <v>-0.12</v>
      </c>
      <c r="AQ124" s="25">
        <v>-0.17</v>
      </c>
      <c r="AR124" s="25">
        <v>-0.28999999999999998</v>
      </c>
      <c r="AS124" s="25">
        <v>-0.33500000000000002</v>
      </c>
      <c r="AT124" s="25">
        <v>0</v>
      </c>
      <c r="AU124" s="25">
        <v>0.315</v>
      </c>
      <c r="AV124" s="25">
        <v>-0.38500000000000001</v>
      </c>
      <c r="AW124" s="25">
        <v>-9.8000000000000004E-2</v>
      </c>
      <c r="AY124" s="25">
        <v>-9.8000000000000004E-2</v>
      </c>
      <c r="AZ124" s="25">
        <v>-4.7E-2</v>
      </c>
      <c r="BA124" s="25">
        <v>-7.5499999999999998E-2</v>
      </c>
      <c r="BB124" s="25">
        <v>-1.6E-2</v>
      </c>
      <c r="BC124" s="25">
        <v>-5.2000000000000005E-2</v>
      </c>
      <c r="BD124" s="25">
        <v>-1.2500000000000001E-2</v>
      </c>
      <c r="BE124" s="25">
        <v>-6.25E-2</v>
      </c>
      <c r="BF124" s="25">
        <v>-0.17</v>
      </c>
      <c r="BG124" s="25">
        <v>0.14749999999999999</v>
      </c>
      <c r="BH124" s="25">
        <v>0.30299999999999999</v>
      </c>
      <c r="BI124" s="25">
        <v>0.30299999999999999</v>
      </c>
      <c r="BJ124" s="25">
        <v>0.3</v>
      </c>
    </row>
    <row r="125" spans="1:62" x14ac:dyDescent="0.25">
      <c r="A125" s="26" t="e">
        <f>#REF!-B125</f>
        <v>#REF!</v>
      </c>
      <c r="B125" s="26">
        <v>3.3180000000000001</v>
      </c>
      <c r="C125" s="145">
        <v>40391</v>
      </c>
      <c r="D125" s="26">
        <v>3.1480000000000001</v>
      </c>
      <c r="E125" s="26">
        <v>0.16</v>
      </c>
      <c r="F125" s="26">
        <v>7.0154420923774011E-2</v>
      </c>
      <c r="G125" s="26">
        <v>-0.19500000000000001</v>
      </c>
      <c r="H125" s="26">
        <v>-0.2</v>
      </c>
      <c r="I125" s="26">
        <v>-0.215</v>
      </c>
      <c r="J125" s="26">
        <v>-0.28000000000000003</v>
      </c>
      <c r="K125" s="26">
        <v>-0.16500000000000001</v>
      </c>
      <c r="L125" s="26">
        <v>-4.7E-2</v>
      </c>
      <c r="M125" s="26">
        <v>-6.7000000000000004E-2</v>
      </c>
      <c r="N125" s="26">
        <v>-0.16500000000000001</v>
      </c>
      <c r="O125" s="26">
        <v>-0.19500000000000001</v>
      </c>
      <c r="P125" s="25">
        <v>-0.19500000000000001</v>
      </c>
      <c r="Q125" s="25">
        <v>-5.6000000000000008E-2</v>
      </c>
      <c r="R125" s="25">
        <v>-4.7E-2</v>
      </c>
      <c r="S125" s="25">
        <v>0.27</v>
      </c>
      <c r="T125" s="25">
        <v>0.27</v>
      </c>
      <c r="U125" s="25">
        <v>0.17499999999999999</v>
      </c>
      <c r="V125" s="25">
        <v>0</v>
      </c>
      <c r="W125" s="179">
        <v>0.1825</v>
      </c>
      <c r="X125" s="179">
        <v>0.215</v>
      </c>
      <c r="Y125" s="179">
        <v>-1.7500000000000002E-2</v>
      </c>
      <c r="Z125" s="179">
        <v>-2.375E-2</v>
      </c>
      <c r="AA125" s="179">
        <v>8.7500000000000008E-3</v>
      </c>
      <c r="AB125" s="179">
        <v>-8.7500000000000008E-3</v>
      </c>
      <c r="AC125" s="179">
        <v>5.0000000000000001E-3</v>
      </c>
      <c r="AD125" s="179">
        <v>8.5000000000000006E-3</v>
      </c>
      <c r="AE125" s="179">
        <v>-6.25E-2</v>
      </c>
      <c r="AF125" s="179">
        <v>-4.3500000000000004E-2</v>
      </c>
      <c r="AG125" s="180">
        <v>-5.2000000000000005E-2</v>
      </c>
      <c r="AH125" s="179">
        <v>-1.6E-2</v>
      </c>
      <c r="AI125" s="181">
        <v>-5.2000000000000005E-2</v>
      </c>
      <c r="AJ125" s="181">
        <v>-6.5000000000000002E-2</v>
      </c>
      <c r="AK125" s="29">
        <v>-1.2E-2</v>
      </c>
      <c r="AL125" s="25">
        <v>6.5000000000000006E-3</v>
      </c>
      <c r="AM125" s="25">
        <v>0.495</v>
      </c>
      <c r="AN125" s="25">
        <v>2.5000000000000001E-2</v>
      </c>
      <c r="AO125" s="25">
        <v>-0.38500000000000001</v>
      </c>
      <c r="AP125" s="25">
        <v>-0.12</v>
      </c>
      <c r="AQ125" s="25">
        <v>-0.17</v>
      </c>
      <c r="AR125" s="25">
        <v>-0.28999999999999998</v>
      </c>
      <c r="AS125" s="25">
        <v>-0.33500000000000002</v>
      </c>
      <c r="AT125" s="25">
        <v>0</v>
      </c>
      <c r="AU125" s="25">
        <v>0.315</v>
      </c>
      <c r="AV125" s="25">
        <v>-0.38500000000000001</v>
      </c>
      <c r="AW125" s="25">
        <v>-8.5500000000000007E-2</v>
      </c>
      <c r="AY125" s="25">
        <v>-8.5500000000000007E-2</v>
      </c>
      <c r="AZ125" s="25">
        <v>-4.7E-2</v>
      </c>
      <c r="BA125" s="25">
        <v>-7.5499999999999998E-2</v>
      </c>
      <c r="BB125" s="25">
        <v>-1.6E-2</v>
      </c>
      <c r="BC125" s="25">
        <v>-5.2000000000000005E-2</v>
      </c>
      <c r="BD125" s="25">
        <v>-0.01</v>
      </c>
      <c r="BE125" s="25">
        <v>-6.25E-2</v>
      </c>
      <c r="BF125" s="25">
        <v>-0.17</v>
      </c>
      <c r="BG125" s="25">
        <v>0.14749999999999999</v>
      </c>
      <c r="BH125" s="25">
        <v>0.3</v>
      </c>
      <c r="BI125" s="25">
        <v>0.3</v>
      </c>
      <c r="BJ125" s="25">
        <v>0.3</v>
      </c>
    </row>
    <row r="126" spans="1:62" x14ac:dyDescent="0.25">
      <c r="A126" s="26" t="e">
        <f>#REF!-B126</f>
        <v>#REF!</v>
      </c>
      <c r="B126" s="26">
        <v>3.383</v>
      </c>
      <c r="C126" s="145">
        <v>40422</v>
      </c>
      <c r="D126" s="26">
        <v>3.1310000000000002</v>
      </c>
      <c r="E126" s="26">
        <v>0.16</v>
      </c>
      <c r="F126" s="26">
        <v>7.0167558475024996E-2</v>
      </c>
      <c r="G126" s="26">
        <v>-0.19500000000000001</v>
      </c>
      <c r="H126" s="26">
        <v>-0.2</v>
      </c>
      <c r="I126" s="26">
        <v>-0.20499999999999999</v>
      </c>
      <c r="J126" s="26">
        <v>-0.28000000000000003</v>
      </c>
      <c r="K126" s="26">
        <v>-0.155</v>
      </c>
      <c r="L126" s="26">
        <v>-4.7E-2</v>
      </c>
      <c r="M126" s="26">
        <v>-6.7000000000000004E-2</v>
      </c>
      <c r="N126" s="26">
        <v>-0.16500000000000001</v>
      </c>
      <c r="O126" s="26">
        <v>-0.19500000000000001</v>
      </c>
      <c r="P126" s="25">
        <v>-0.19500000000000001</v>
      </c>
      <c r="Q126" s="25">
        <v>-5.9750000000000004E-2</v>
      </c>
      <c r="R126" s="25">
        <v>-4.7E-2</v>
      </c>
      <c r="S126" s="25">
        <v>0.26800000000000002</v>
      </c>
      <c r="T126" s="25">
        <v>0.26800000000000002</v>
      </c>
      <c r="U126" s="25">
        <v>0.17300000000000001</v>
      </c>
      <c r="V126" s="25">
        <v>0</v>
      </c>
      <c r="W126" s="179">
        <v>0.1825</v>
      </c>
      <c r="X126" s="179">
        <v>0.19500000000000001</v>
      </c>
      <c r="Y126" s="179">
        <v>-1.7500000000000002E-2</v>
      </c>
      <c r="Z126" s="179">
        <v>-2.375E-2</v>
      </c>
      <c r="AA126" s="179">
        <v>8.7500000000000008E-3</v>
      </c>
      <c r="AB126" s="179">
        <v>-8.7500000000000008E-3</v>
      </c>
      <c r="AC126" s="179">
        <v>5.0000000000000001E-3</v>
      </c>
      <c r="AD126" s="179">
        <v>8.5000000000000006E-3</v>
      </c>
      <c r="AE126" s="179">
        <v>-6.25E-2</v>
      </c>
      <c r="AF126" s="179">
        <v>-4.0999999999999995E-2</v>
      </c>
      <c r="AG126" s="180">
        <v>-4.9500000000000002E-2</v>
      </c>
      <c r="AH126" s="179">
        <v>-1.6E-2</v>
      </c>
      <c r="AI126" s="181">
        <v>-0.05</v>
      </c>
      <c r="AJ126" s="181">
        <v>-7.2499999999999995E-2</v>
      </c>
      <c r="AK126" s="29">
        <v>-1.2E-2</v>
      </c>
      <c r="AL126" s="25">
        <v>6.5000000000000006E-3</v>
      </c>
      <c r="AM126" s="25">
        <v>0.39500000000000002</v>
      </c>
      <c r="AN126" s="25">
        <v>1.7500000000000002E-2</v>
      </c>
      <c r="AO126" s="25">
        <v>-0.38500000000000001</v>
      </c>
      <c r="AP126" s="25">
        <v>-0.12</v>
      </c>
      <c r="AQ126" s="25">
        <v>-0.17</v>
      </c>
      <c r="AR126" s="25">
        <v>-0.28999999999999998</v>
      </c>
      <c r="AS126" s="25">
        <v>-0.33500000000000002</v>
      </c>
      <c r="AT126" s="25">
        <v>0</v>
      </c>
      <c r="AU126" s="25">
        <v>0.315</v>
      </c>
      <c r="AV126" s="25">
        <v>-0.38500000000000001</v>
      </c>
      <c r="AW126" s="25">
        <v>-9.0500000000000011E-2</v>
      </c>
      <c r="AY126" s="25">
        <v>-9.0500000000000011E-2</v>
      </c>
      <c r="AZ126" s="25">
        <v>-4.7E-2</v>
      </c>
      <c r="BA126" s="25">
        <v>-9.0500000000000011E-2</v>
      </c>
      <c r="BB126" s="25">
        <v>-1.6E-2</v>
      </c>
      <c r="BC126" s="25">
        <v>-5.2000000000000005E-2</v>
      </c>
      <c r="BD126" s="25">
        <v>-1.7500000000000002E-2</v>
      </c>
      <c r="BE126" s="25">
        <v>-6.25E-2</v>
      </c>
      <c r="BF126" s="25">
        <v>-0.17</v>
      </c>
      <c r="BG126" s="25">
        <v>0.14749999999999999</v>
      </c>
      <c r="BH126" s="25">
        <v>0.29799999999999999</v>
      </c>
      <c r="BI126" s="25">
        <v>0.29799999999999999</v>
      </c>
      <c r="BJ126" s="25">
        <v>0.28999999999999998</v>
      </c>
    </row>
    <row r="127" spans="1:62" x14ac:dyDescent="0.25">
      <c r="A127" s="26" t="e">
        <f>#REF!-B127</f>
        <v>#REF!</v>
      </c>
      <c r="B127" s="26">
        <v>3.3780000000000001</v>
      </c>
      <c r="C127" s="145">
        <v>40452</v>
      </c>
      <c r="D127" s="26">
        <v>3.1290000000000004</v>
      </c>
      <c r="E127" s="26">
        <v>0.16</v>
      </c>
      <c r="F127" s="26">
        <v>7.0171776899091015E-2</v>
      </c>
      <c r="G127" s="26">
        <v>-0.19500000000000001</v>
      </c>
      <c r="H127" s="26">
        <v>-0.2</v>
      </c>
      <c r="I127" s="26">
        <v>-0.19</v>
      </c>
      <c r="J127" s="26">
        <v>-0.28000000000000003</v>
      </c>
      <c r="K127" s="26">
        <v>-0.14000000000000001</v>
      </c>
      <c r="L127" s="26">
        <v>-4.7E-2</v>
      </c>
      <c r="M127" s="26">
        <v>-6.7000000000000004E-2</v>
      </c>
      <c r="N127" s="26">
        <v>-0.16500000000000001</v>
      </c>
      <c r="O127" s="26">
        <v>-0.19500000000000001</v>
      </c>
      <c r="P127" s="25">
        <v>-0.19500000000000001</v>
      </c>
      <c r="Q127" s="25">
        <v>-6.4750000000000002E-2</v>
      </c>
      <c r="R127" s="25">
        <v>-4.7E-2</v>
      </c>
      <c r="S127" s="25">
        <v>0.28300000000000003</v>
      </c>
      <c r="T127" s="25">
        <v>0.28300000000000003</v>
      </c>
      <c r="U127" s="25">
        <v>0.188</v>
      </c>
      <c r="V127" s="25">
        <v>0</v>
      </c>
      <c r="W127" s="179">
        <v>0.1875</v>
      </c>
      <c r="X127" s="179">
        <v>0.215</v>
      </c>
      <c r="Y127" s="179">
        <v>-1.7500000000000002E-2</v>
      </c>
      <c r="Z127" s="179">
        <v>-2.375E-2</v>
      </c>
      <c r="AA127" s="179">
        <v>-9.5000000000000015E-3</v>
      </c>
      <c r="AB127" s="179">
        <v>-2.7000000000000003E-2</v>
      </c>
      <c r="AC127" s="179">
        <v>5.0000000000000001E-3</v>
      </c>
      <c r="AD127" s="179">
        <v>8.5000000000000006E-3</v>
      </c>
      <c r="AE127" s="179">
        <v>-6.25E-2</v>
      </c>
      <c r="AF127" s="179">
        <v>-4.0999999999999995E-2</v>
      </c>
      <c r="AG127" s="180">
        <v>-4.9500000000000002E-2</v>
      </c>
      <c r="AH127" s="179">
        <v>-1.6E-2</v>
      </c>
      <c r="AI127" s="181">
        <v>-5.2000000000000005E-2</v>
      </c>
      <c r="AJ127" s="181">
        <v>-8.2500000000000004E-2</v>
      </c>
      <c r="AK127" s="29">
        <v>-1.2E-2</v>
      </c>
      <c r="AL127" s="25">
        <v>6.5000000000000006E-3</v>
      </c>
      <c r="AM127" s="25">
        <v>0.46100000000000002</v>
      </c>
      <c r="AN127" s="25">
        <v>7.4999999999999997E-3</v>
      </c>
      <c r="AO127" s="25">
        <v>-0.38500000000000001</v>
      </c>
      <c r="AP127" s="25">
        <v>-0.12</v>
      </c>
      <c r="AQ127" s="25">
        <v>-0.17</v>
      </c>
      <c r="AR127" s="25">
        <v>-0.28999999999999998</v>
      </c>
      <c r="AS127" s="25">
        <v>-0.33500000000000002</v>
      </c>
      <c r="AT127" s="25">
        <v>0</v>
      </c>
      <c r="AU127" s="25">
        <v>0.315</v>
      </c>
      <c r="AV127" s="25">
        <v>-0.38500000000000001</v>
      </c>
      <c r="AW127" s="25">
        <v>-0.10050000000000001</v>
      </c>
      <c r="AY127" s="25">
        <v>-0.10050000000000001</v>
      </c>
      <c r="AZ127" s="25">
        <v>-4.7E-2</v>
      </c>
      <c r="BA127" s="25">
        <v>-9.3000000000000013E-2</v>
      </c>
      <c r="BB127" s="25">
        <v>-1.6E-2</v>
      </c>
      <c r="BC127" s="25">
        <v>-5.2000000000000005E-2</v>
      </c>
      <c r="BD127" s="25">
        <v>-2.75E-2</v>
      </c>
      <c r="BE127" s="25">
        <v>-6.25E-2</v>
      </c>
      <c r="BF127" s="25">
        <v>-0.17</v>
      </c>
      <c r="BG127" s="25">
        <v>0.14749999999999999</v>
      </c>
      <c r="BH127" s="25">
        <v>0.313</v>
      </c>
      <c r="BI127" s="25">
        <v>0.313</v>
      </c>
      <c r="BJ127" s="25">
        <v>0.36249999999999999</v>
      </c>
    </row>
    <row r="128" spans="1:62" x14ac:dyDescent="0.25">
      <c r="A128" s="26" t="e">
        <f>#REF!-B128</f>
        <v>#REF!</v>
      </c>
      <c r="B128" s="26">
        <v>3.3610000000000002</v>
      </c>
      <c r="C128" s="145">
        <v>40483</v>
      </c>
      <c r="D128" s="26">
        <v>3.1860000000000004</v>
      </c>
      <c r="E128" s="26">
        <v>0.16</v>
      </c>
      <c r="F128" s="26">
        <v>7.017394130902499E-2</v>
      </c>
      <c r="G128" s="26">
        <v>-0.19</v>
      </c>
      <c r="H128" s="26">
        <v>-0.19500000000000001</v>
      </c>
      <c r="I128" s="26">
        <v>-0.1525</v>
      </c>
      <c r="J128" s="26">
        <v>-0.27500000000000002</v>
      </c>
      <c r="K128" s="26">
        <v>-0.10249999999999999</v>
      </c>
      <c r="L128" s="26">
        <v>-4.6500000000000007E-2</v>
      </c>
      <c r="M128" s="26">
        <v>-8.1500000000000003E-2</v>
      </c>
      <c r="N128" s="26">
        <v>-0.16</v>
      </c>
      <c r="O128" s="26">
        <v>-0.19</v>
      </c>
      <c r="P128" s="25">
        <v>-0.19</v>
      </c>
      <c r="Q128" s="25">
        <v>-8.4499999999999992E-2</v>
      </c>
      <c r="R128" s="25">
        <v>-4.6500000000000007E-2</v>
      </c>
      <c r="S128" s="25">
        <v>0.34499999999999997</v>
      </c>
      <c r="T128" s="25">
        <v>0.34499999999999997</v>
      </c>
      <c r="U128" s="25">
        <v>0.25</v>
      </c>
      <c r="V128" s="25">
        <v>0</v>
      </c>
      <c r="W128" s="179">
        <v>0.27</v>
      </c>
      <c r="X128" s="179">
        <v>0.28749999999999998</v>
      </c>
      <c r="Y128" s="179">
        <v>-2.0499999999999997E-2</v>
      </c>
      <c r="Z128" s="179">
        <v>-3.7000000000000005E-2</v>
      </c>
      <c r="AA128" s="179">
        <v>-8.5000000000000006E-3</v>
      </c>
      <c r="AB128" s="179">
        <v>-2.6000000000000002E-2</v>
      </c>
      <c r="AC128" s="179">
        <v>5.0000000000000001E-3</v>
      </c>
      <c r="AD128" s="179">
        <v>4.9999999999999914E-4</v>
      </c>
      <c r="AE128" s="179">
        <v>-6.5000000000000002E-2</v>
      </c>
      <c r="AF128" s="179">
        <v>-4.0999999999999995E-2</v>
      </c>
      <c r="AG128" s="180">
        <v>-5.2499999999999998E-2</v>
      </c>
      <c r="AH128" s="179">
        <v>-1.2500000000000001E-2</v>
      </c>
      <c r="AI128" s="181">
        <v>-6.7000000000000004E-2</v>
      </c>
      <c r="AJ128" s="181">
        <v>-0.1225</v>
      </c>
      <c r="AK128" s="29">
        <v>-4.5000000000000005E-3</v>
      </c>
      <c r="AL128" s="25">
        <v>1.6E-2</v>
      </c>
      <c r="AM128" s="25">
        <v>0.76749999999999996</v>
      </c>
      <c r="AN128" s="25">
        <v>-3.2500000000000001E-2</v>
      </c>
      <c r="AO128" s="25">
        <v>-0.31</v>
      </c>
      <c r="AP128" s="25">
        <v>-0.13250000000000001</v>
      </c>
      <c r="AQ128" s="25">
        <v>-0.17</v>
      </c>
      <c r="AR128" s="25">
        <v>0</v>
      </c>
      <c r="AS128" s="25">
        <v>-0.26</v>
      </c>
      <c r="AT128" s="25">
        <v>0</v>
      </c>
      <c r="AU128" s="25">
        <v>0.14000000000000001</v>
      </c>
      <c r="AV128" s="25">
        <v>-0.31</v>
      </c>
      <c r="AW128" s="25">
        <v>-0.10550000000000001</v>
      </c>
      <c r="AY128" s="25">
        <v>-0.10550000000000001</v>
      </c>
      <c r="AZ128" s="25">
        <v>-4.6500000000000007E-2</v>
      </c>
      <c r="BA128" s="25">
        <v>-9.0500000000000011E-2</v>
      </c>
      <c r="BB128" s="25">
        <v>-1.7500000000000002E-2</v>
      </c>
      <c r="BC128" s="25">
        <v>-6.6500000000000004E-2</v>
      </c>
      <c r="BD128" s="25">
        <v>-6.7500000000000004E-2</v>
      </c>
      <c r="BE128" s="25">
        <v>-6.5000000000000002E-2</v>
      </c>
      <c r="BF128" s="25">
        <v>-0.17</v>
      </c>
      <c r="BG128" s="25">
        <v>0.27500000000000002</v>
      </c>
      <c r="BH128" s="25">
        <v>0.39</v>
      </c>
      <c r="BI128" s="25">
        <v>0.39</v>
      </c>
      <c r="BJ128" s="25">
        <v>0.46500000000000002</v>
      </c>
    </row>
    <row r="129" spans="1:62" x14ac:dyDescent="0.25">
      <c r="A129" s="26" t="e">
        <f>#REF!-B129</f>
        <v>#REF!</v>
      </c>
      <c r="B129" s="26">
        <v>3.3719999999999999</v>
      </c>
      <c r="C129" s="145">
        <v>40513</v>
      </c>
      <c r="D129" s="26">
        <v>3.2469999999999999</v>
      </c>
      <c r="E129" s="26">
        <v>0.16</v>
      </c>
      <c r="F129" s="26">
        <v>7.017603589928402E-2</v>
      </c>
      <c r="G129" s="26">
        <v>-0.19750000000000001</v>
      </c>
      <c r="H129" s="26">
        <v>-0.20250000000000001</v>
      </c>
      <c r="I129" s="26">
        <v>-0.14499999999999999</v>
      </c>
      <c r="J129" s="26">
        <v>-0.28249999999999997</v>
      </c>
      <c r="K129" s="26">
        <v>-9.5000000000000001E-2</v>
      </c>
      <c r="L129" s="26">
        <v>-4.6500000000000007E-2</v>
      </c>
      <c r="M129" s="26">
        <v>-8.1500000000000003E-2</v>
      </c>
      <c r="N129" s="26">
        <v>-0.16750000000000001</v>
      </c>
      <c r="O129" s="26">
        <v>-0.19750000000000001</v>
      </c>
      <c r="P129" s="25">
        <v>-0.19750000000000001</v>
      </c>
      <c r="Q129" s="25">
        <v>-9.5750000000000016E-2</v>
      </c>
      <c r="R129" s="25">
        <v>-4.6500000000000007E-2</v>
      </c>
      <c r="S129" s="25">
        <v>0.38500000000000001</v>
      </c>
      <c r="T129" s="25">
        <v>0.38500000000000001</v>
      </c>
      <c r="U129" s="25">
        <v>0.28999999999999998</v>
      </c>
      <c r="V129" s="25">
        <v>0</v>
      </c>
      <c r="W129" s="179">
        <v>0.30499999999999999</v>
      </c>
      <c r="X129" s="179">
        <v>0.33750000000000002</v>
      </c>
      <c r="Y129" s="179">
        <v>-2.0499999999999997E-2</v>
      </c>
      <c r="Z129" s="179">
        <v>-2.9500000000000002E-2</v>
      </c>
      <c r="AA129" s="179">
        <v>-8.5000000000000006E-3</v>
      </c>
      <c r="AB129" s="179">
        <v>-2.6000000000000002E-2</v>
      </c>
      <c r="AC129" s="179">
        <v>5.0000000000000001E-3</v>
      </c>
      <c r="AD129" s="179">
        <v>4.9999999999999914E-4</v>
      </c>
      <c r="AE129" s="179">
        <v>-6.5000000000000002E-2</v>
      </c>
      <c r="AF129" s="179">
        <v>-4.0999999999999995E-2</v>
      </c>
      <c r="AG129" s="180">
        <v>-5.2499999999999998E-2</v>
      </c>
      <c r="AH129" s="179">
        <v>-1.2500000000000001E-2</v>
      </c>
      <c r="AI129" s="181">
        <v>-6.7000000000000004E-2</v>
      </c>
      <c r="AJ129" s="181">
        <v>-0.14499999999999999</v>
      </c>
      <c r="AK129" s="29">
        <v>-4.5000000000000005E-3</v>
      </c>
      <c r="AL129" s="25">
        <v>1.6E-2</v>
      </c>
      <c r="AM129" s="25">
        <v>1.19</v>
      </c>
      <c r="AN129" s="25">
        <v>-5.5E-2</v>
      </c>
      <c r="AO129" s="25">
        <v>-0.31</v>
      </c>
      <c r="AP129" s="25">
        <v>-0.1275</v>
      </c>
      <c r="AQ129" s="25">
        <v>-0.17</v>
      </c>
      <c r="AR129" s="25">
        <v>0.06</v>
      </c>
      <c r="AS129" s="25">
        <v>-0.26</v>
      </c>
      <c r="AT129" s="25">
        <v>0</v>
      </c>
      <c r="AU129" s="25">
        <v>0.14000000000000001</v>
      </c>
      <c r="AV129" s="25">
        <v>-0.31</v>
      </c>
      <c r="AW129" s="25">
        <v>-0.13550000000000001</v>
      </c>
      <c r="AY129" s="25">
        <v>-0.13550000000000001</v>
      </c>
      <c r="AZ129" s="25">
        <v>-4.6500000000000007E-2</v>
      </c>
      <c r="BA129" s="25">
        <v>-0.1255</v>
      </c>
      <c r="BB129" s="25">
        <v>-1.7500000000000002E-2</v>
      </c>
      <c r="BC129" s="25">
        <v>-6.6500000000000004E-2</v>
      </c>
      <c r="BD129" s="25">
        <v>-0.09</v>
      </c>
      <c r="BE129" s="25">
        <v>-6.5000000000000002E-2</v>
      </c>
      <c r="BF129" s="25">
        <v>-0.17</v>
      </c>
      <c r="BG129" s="25">
        <v>0.245</v>
      </c>
      <c r="BH129" s="25">
        <v>0.43</v>
      </c>
      <c r="BI129" s="25">
        <v>0.43</v>
      </c>
      <c r="BJ129" s="25">
        <v>0.8</v>
      </c>
    </row>
    <row r="130" spans="1:62" x14ac:dyDescent="0.25">
      <c r="A130" s="26" t="e">
        <f>#REF!-B130</f>
        <v>#REF!</v>
      </c>
      <c r="B130" s="26">
        <v>3.4490000000000003</v>
      </c>
      <c r="C130" s="145">
        <v>40544</v>
      </c>
      <c r="D130" s="26">
        <v>3.5580000000000003</v>
      </c>
      <c r="E130" s="26">
        <v>0.16</v>
      </c>
      <c r="F130" s="26">
        <v>7.0178200309221006E-2</v>
      </c>
      <c r="G130" s="26">
        <v>-0.2</v>
      </c>
      <c r="H130" s="26">
        <v>-0.20499999999999999</v>
      </c>
      <c r="I130" s="26">
        <v>-0.13</v>
      </c>
      <c r="J130" s="26">
        <v>-0.26500000000000001</v>
      </c>
      <c r="K130" s="26">
        <v>-0.08</v>
      </c>
      <c r="L130" s="26">
        <v>-4.6500000000000007E-2</v>
      </c>
      <c r="M130" s="26">
        <v>-8.1500000000000003E-2</v>
      </c>
      <c r="N130" s="26">
        <v>-0.17</v>
      </c>
      <c r="O130" s="26">
        <v>-0.2</v>
      </c>
      <c r="P130" s="25">
        <v>-0.2</v>
      </c>
      <c r="Q130" s="25">
        <v>-9.7000000000000017E-2</v>
      </c>
      <c r="R130" s="25">
        <v>-4.6500000000000007E-2</v>
      </c>
      <c r="S130" s="25">
        <v>0.39500000000000002</v>
      </c>
      <c r="T130" s="25">
        <v>0.39500000000000002</v>
      </c>
      <c r="U130" s="25">
        <v>0.3</v>
      </c>
      <c r="V130" s="25">
        <v>0</v>
      </c>
      <c r="W130" s="179">
        <v>0.30499999999999999</v>
      </c>
      <c r="X130" s="179">
        <v>0.4375</v>
      </c>
      <c r="Y130" s="179">
        <v>-1.6E-2</v>
      </c>
      <c r="Z130" s="179">
        <v>-2.9500000000000002E-2</v>
      </c>
      <c r="AA130" s="179">
        <v>-8.5000000000000006E-3</v>
      </c>
      <c r="AB130" s="179">
        <v>-2.35E-2</v>
      </c>
      <c r="AC130" s="179">
        <v>5.0000000000000001E-3</v>
      </c>
      <c r="AD130" s="179">
        <v>4.9999999999999914E-4</v>
      </c>
      <c r="AE130" s="179">
        <v>-6.5000000000000002E-2</v>
      </c>
      <c r="AF130" s="179">
        <v>-3.9E-2</v>
      </c>
      <c r="AG130" s="180">
        <v>-5.2499999999999998E-2</v>
      </c>
      <c r="AH130" s="179">
        <v>-1.2500000000000001E-2</v>
      </c>
      <c r="AI130" s="181">
        <v>-0.06</v>
      </c>
      <c r="AJ130" s="181">
        <v>-0.14749999999999999</v>
      </c>
      <c r="AK130" s="29">
        <v>-2.5000000000000001E-3</v>
      </c>
      <c r="AL130" s="25">
        <v>1.6E-2</v>
      </c>
      <c r="AM130" s="25">
        <v>1.5249999999999999</v>
      </c>
      <c r="AN130" s="25">
        <v>-5.7500000000000002E-2</v>
      </c>
      <c r="AO130" s="25">
        <v>-0.31</v>
      </c>
      <c r="AP130" s="25">
        <v>-0.1275</v>
      </c>
      <c r="AQ130" s="25">
        <v>-0.17</v>
      </c>
      <c r="AR130" s="25">
        <v>0.13</v>
      </c>
      <c r="AS130" s="25">
        <v>-0.26</v>
      </c>
      <c r="AT130" s="25">
        <v>0</v>
      </c>
      <c r="AU130" s="25">
        <v>0.14000000000000001</v>
      </c>
      <c r="AV130" s="25">
        <v>-0.31</v>
      </c>
      <c r="AW130" s="25">
        <v>-0.12050000000000001</v>
      </c>
      <c r="AY130" s="25">
        <v>-0.12050000000000001</v>
      </c>
      <c r="AZ130" s="25">
        <v>-4.6500000000000007E-2</v>
      </c>
      <c r="BA130" s="25">
        <v>-0.13100000000000001</v>
      </c>
      <c r="BB130" s="25">
        <v>-1.7500000000000002E-2</v>
      </c>
      <c r="BC130" s="25">
        <v>-6.6500000000000004E-2</v>
      </c>
      <c r="BD130" s="25">
        <v>-9.2499999999999999E-2</v>
      </c>
      <c r="BE130" s="25">
        <v>-6.5000000000000002E-2</v>
      </c>
      <c r="BF130" s="25">
        <v>-0.17</v>
      </c>
      <c r="BG130" s="25">
        <v>0.28000000000000003</v>
      </c>
      <c r="BH130" s="25">
        <v>0.44</v>
      </c>
      <c r="BI130" s="25">
        <v>0.44</v>
      </c>
      <c r="BJ130" s="25">
        <v>0.97499999999999998</v>
      </c>
    </row>
    <row r="131" spans="1:62" x14ac:dyDescent="0.25">
      <c r="A131" s="26" t="e">
        <f>#REF!-B131</f>
        <v>#REF!</v>
      </c>
      <c r="B131" s="26">
        <v>3.5369999999999999</v>
      </c>
      <c r="C131" s="145">
        <v>40575</v>
      </c>
      <c r="D131" s="26">
        <v>3.4480000000000004</v>
      </c>
      <c r="E131" s="26">
        <v>0.16</v>
      </c>
      <c r="F131" s="26">
        <v>7.0180364719159019E-2</v>
      </c>
      <c r="G131" s="26">
        <v>-0.20250000000000001</v>
      </c>
      <c r="H131" s="26">
        <v>-0.20749999999999999</v>
      </c>
      <c r="I131" s="26">
        <v>-0.13</v>
      </c>
      <c r="J131" s="26">
        <v>-0.26750000000000002</v>
      </c>
      <c r="K131" s="26">
        <v>-0.08</v>
      </c>
      <c r="L131" s="26">
        <v>-4.6500000000000007E-2</v>
      </c>
      <c r="M131" s="26">
        <v>-8.1500000000000003E-2</v>
      </c>
      <c r="N131" s="26">
        <v>-0.17249999999999999</v>
      </c>
      <c r="O131" s="26">
        <v>-0.20250000000000001</v>
      </c>
      <c r="P131" s="25">
        <v>-0.20250000000000001</v>
      </c>
      <c r="Q131" s="25">
        <v>-8.8250000000000009E-2</v>
      </c>
      <c r="R131" s="25">
        <v>-4.6500000000000007E-2</v>
      </c>
      <c r="S131" s="25">
        <v>0.37</v>
      </c>
      <c r="T131" s="25">
        <v>0.37</v>
      </c>
      <c r="U131" s="25">
        <v>0.27500000000000002</v>
      </c>
      <c r="V131" s="25">
        <v>0</v>
      </c>
      <c r="W131" s="179">
        <v>0.30499999999999999</v>
      </c>
      <c r="X131" s="179">
        <v>0.435</v>
      </c>
      <c r="Y131" s="179">
        <v>-1.6E-2</v>
      </c>
      <c r="Z131" s="179">
        <v>-2.9500000000000002E-2</v>
      </c>
      <c r="AA131" s="179">
        <v>-8.5000000000000006E-3</v>
      </c>
      <c r="AB131" s="179">
        <v>-2.35E-2</v>
      </c>
      <c r="AC131" s="179">
        <v>5.0000000000000001E-3</v>
      </c>
      <c r="AD131" s="179">
        <v>4.9999999999999914E-4</v>
      </c>
      <c r="AE131" s="179">
        <v>-6.5000000000000002E-2</v>
      </c>
      <c r="AF131" s="179">
        <v>-3.9E-2</v>
      </c>
      <c r="AG131" s="180">
        <v>-5.2499999999999998E-2</v>
      </c>
      <c r="AH131" s="179">
        <v>-1.2500000000000001E-2</v>
      </c>
      <c r="AI131" s="181">
        <v>-0.06</v>
      </c>
      <c r="AJ131" s="181">
        <v>-0.13</v>
      </c>
      <c r="AK131" s="29">
        <v>-2.5000000000000001E-3</v>
      </c>
      <c r="AL131" s="25">
        <v>1.6E-2</v>
      </c>
      <c r="AM131" s="25">
        <v>1.4550000000000001</v>
      </c>
      <c r="AN131" s="25">
        <v>-0.04</v>
      </c>
      <c r="AO131" s="25">
        <v>-0.31</v>
      </c>
      <c r="AP131" s="25">
        <v>-0.1275</v>
      </c>
      <c r="AQ131" s="25">
        <v>-0.17</v>
      </c>
      <c r="AR131" s="25">
        <v>0</v>
      </c>
      <c r="AS131" s="25">
        <v>-0.26</v>
      </c>
      <c r="AT131" s="25">
        <v>0</v>
      </c>
      <c r="AU131" s="25">
        <v>0.14000000000000001</v>
      </c>
      <c r="AV131" s="25">
        <v>-0.31</v>
      </c>
      <c r="AW131" s="25">
        <v>-0.12300000000000001</v>
      </c>
      <c r="AY131" s="25">
        <v>-0.12300000000000001</v>
      </c>
      <c r="AZ131" s="25">
        <v>-4.6500000000000007E-2</v>
      </c>
      <c r="BA131" s="25">
        <v>-0.1135</v>
      </c>
      <c r="BB131" s="25">
        <v>-1.7500000000000002E-2</v>
      </c>
      <c r="BC131" s="25">
        <v>-6.6500000000000004E-2</v>
      </c>
      <c r="BD131" s="25">
        <v>-7.4999999999999997E-2</v>
      </c>
      <c r="BE131" s="25">
        <v>-6.5000000000000002E-2</v>
      </c>
      <c r="BF131" s="25">
        <v>-0.17</v>
      </c>
      <c r="BG131" s="25">
        <v>0.33</v>
      </c>
      <c r="BH131" s="25">
        <v>0.41499999999999998</v>
      </c>
      <c r="BI131" s="25">
        <v>0.41499999999999998</v>
      </c>
      <c r="BJ131" s="25">
        <v>0.97499999999999998</v>
      </c>
    </row>
    <row r="132" spans="1:62" x14ac:dyDescent="0.25">
      <c r="A132" s="26" t="e">
        <f>#REF!-B132</f>
        <v>#REF!</v>
      </c>
      <c r="B132" s="26">
        <v>3.7990000000000004</v>
      </c>
      <c r="C132" s="145">
        <v>40603</v>
      </c>
      <c r="D132" s="26">
        <v>3.302</v>
      </c>
      <c r="E132" s="26">
        <v>0.155</v>
      </c>
      <c r="F132" s="26">
        <v>7.0182319670072019E-2</v>
      </c>
      <c r="G132" s="26">
        <v>-0.20499999999999999</v>
      </c>
      <c r="H132" s="26">
        <v>-0.21</v>
      </c>
      <c r="I132" s="26">
        <v>-0.13</v>
      </c>
      <c r="J132" s="26">
        <v>-0.27</v>
      </c>
      <c r="K132" s="26">
        <v>-0.08</v>
      </c>
      <c r="L132" s="26">
        <v>-4.6500000000000007E-2</v>
      </c>
      <c r="M132" s="26">
        <v>-8.1500000000000003E-2</v>
      </c>
      <c r="N132" s="26">
        <v>-0.17499999999999999</v>
      </c>
      <c r="O132" s="26">
        <v>-0.20499999999999999</v>
      </c>
      <c r="P132" s="25">
        <v>-0.20499999999999999</v>
      </c>
      <c r="Q132" s="25">
        <v>-8.199999999999999E-2</v>
      </c>
      <c r="R132" s="25">
        <v>-4.6500000000000007E-2</v>
      </c>
      <c r="S132" s="25">
        <v>0.36800000000000005</v>
      </c>
      <c r="T132" s="25">
        <v>0.36800000000000005</v>
      </c>
      <c r="U132" s="25">
        <v>0.27300000000000002</v>
      </c>
      <c r="V132" s="25">
        <v>0</v>
      </c>
      <c r="W132" s="179">
        <v>0.26500000000000001</v>
      </c>
      <c r="X132" s="179">
        <v>0.30249999999999999</v>
      </c>
      <c r="Y132" s="179">
        <v>-1.6E-2</v>
      </c>
      <c r="Z132" s="179">
        <v>-2.9500000000000002E-2</v>
      </c>
      <c r="AA132" s="179">
        <v>0.01</v>
      </c>
      <c r="AB132" s="179">
        <v>-5.0000000000000001E-3</v>
      </c>
      <c r="AC132" s="179">
        <v>5.0000000000000001E-3</v>
      </c>
      <c r="AD132" s="179">
        <v>4.9999999999999914E-4</v>
      </c>
      <c r="AE132" s="179">
        <v>-6.5000000000000002E-2</v>
      </c>
      <c r="AF132" s="179">
        <v>-3.9E-2</v>
      </c>
      <c r="AG132" s="180">
        <v>-5.2499999999999998E-2</v>
      </c>
      <c r="AH132" s="179">
        <v>-1.2500000000000001E-2</v>
      </c>
      <c r="AI132" s="181">
        <v>-6.7000000000000004E-2</v>
      </c>
      <c r="AJ132" s="181">
        <v>-0.11749999999999999</v>
      </c>
      <c r="AK132" s="29">
        <v>-2.5000000000000001E-3</v>
      </c>
      <c r="AL132" s="25">
        <v>1.6E-2</v>
      </c>
      <c r="AM132" s="25">
        <v>0.83499999999999996</v>
      </c>
      <c r="AN132" s="25">
        <v>-2.75E-2</v>
      </c>
      <c r="AO132" s="25">
        <v>-0.31</v>
      </c>
      <c r="AP132" s="25">
        <v>-0.13250000000000001</v>
      </c>
      <c r="AQ132" s="25">
        <v>-0.17</v>
      </c>
      <c r="AR132" s="25">
        <v>-0.18</v>
      </c>
      <c r="AS132" s="25">
        <v>-0.26</v>
      </c>
      <c r="AT132" s="25">
        <v>0</v>
      </c>
      <c r="AU132" s="25">
        <v>0.14000000000000001</v>
      </c>
      <c r="AV132" s="25">
        <v>-0.31</v>
      </c>
      <c r="AW132" s="25">
        <v>-0.10300000000000001</v>
      </c>
      <c r="AY132" s="25">
        <v>-0.10300000000000001</v>
      </c>
      <c r="AZ132" s="25">
        <v>-4.6500000000000007E-2</v>
      </c>
      <c r="BA132" s="25">
        <v>-9.6000000000000002E-2</v>
      </c>
      <c r="BB132" s="25">
        <v>-1.7500000000000002E-2</v>
      </c>
      <c r="BC132" s="25">
        <v>-6.6500000000000004E-2</v>
      </c>
      <c r="BD132" s="25">
        <v>-6.25E-2</v>
      </c>
      <c r="BE132" s="25">
        <v>-6.5000000000000002E-2</v>
      </c>
      <c r="BF132" s="25">
        <v>-0.17</v>
      </c>
      <c r="BG132" s="25">
        <v>0.32</v>
      </c>
      <c r="BH132" s="25">
        <v>0.41300000000000003</v>
      </c>
      <c r="BI132" s="25">
        <v>0.41300000000000003</v>
      </c>
      <c r="BJ132" s="25">
        <v>0.60750000000000004</v>
      </c>
    </row>
    <row r="133" spans="1:62" x14ac:dyDescent="0.25">
      <c r="A133" s="26" t="e">
        <f>#REF!-B133</f>
        <v>#REF!</v>
      </c>
      <c r="B133" s="26">
        <v>3.7040000000000006</v>
      </c>
      <c r="C133" s="145">
        <v>40634</v>
      </c>
      <c r="D133" s="26">
        <v>3.1480000000000001</v>
      </c>
      <c r="E133" s="26">
        <v>0.155</v>
      </c>
      <c r="F133" s="26">
        <v>7.0184484080013015E-2</v>
      </c>
      <c r="G133" s="26">
        <v>-0.19500000000000001</v>
      </c>
      <c r="H133" s="26">
        <v>-0.2</v>
      </c>
      <c r="I133" s="26">
        <v>-0.17499999999999999</v>
      </c>
      <c r="J133" s="26">
        <v>-0.26</v>
      </c>
      <c r="K133" s="26">
        <v>-0.125</v>
      </c>
      <c r="L133" s="26">
        <v>-4.4000000000000004E-2</v>
      </c>
      <c r="M133" s="26">
        <v>-6.4000000000000001E-2</v>
      </c>
      <c r="N133" s="26">
        <v>-0.16500000000000001</v>
      </c>
      <c r="O133" s="26">
        <v>-0.19500000000000001</v>
      </c>
      <c r="P133" s="25">
        <v>-0.19500000000000001</v>
      </c>
      <c r="Q133" s="25">
        <v>-5.9500000000000004E-2</v>
      </c>
      <c r="R133" s="25">
        <v>-4.4000000000000004E-2</v>
      </c>
      <c r="S133" s="25">
        <v>0.27300000000000002</v>
      </c>
      <c r="T133" s="25">
        <v>0.27300000000000002</v>
      </c>
      <c r="U133" s="25">
        <v>0.17800000000000002</v>
      </c>
      <c r="V133" s="25">
        <v>0</v>
      </c>
      <c r="W133" s="179">
        <v>0.19500000000000001</v>
      </c>
      <c r="X133" s="179">
        <v>0.25</v>
      </c>
      <c r="Y133" s="179">
        <v>-1.5500000000000002E-2</v>
      </c>
      <c r="Z133" s="179">
        <v>-2.2000000000000002E-2</v>
      </c>
      <c r="AA133" s="179">
        <v>0.01</v>
      </c>
      <c r="AB133" s="179">
        <v>-5.0000000000000001E-3</v>
      </c>
      <c r="AC133" s="179">
        <v>5.0000000000000001E-3</v>
      </c>
      <c r="AD133" s="179">
        <v>1.0500000000000001E-2</v>
      </c>
      <c r="AE133" s="179">
        <v>-6.25E-2</v>
      </c>
      <c r="AF133" s="179">
        <v>-4.1500000000000002E-2</v>
      </c>
      <c r="AG133" s="180">
        <v>-0.05</v>
      </c>
      <c r="AH133" s="179">
        <v>-1.4999999999999999E-2</v>
      </c>
      <c r="AI133" s="181">
        <v>-0.06</v>
      </c>
      <c r="AJ133" s="181">
        <v>-7.4999999999999997E-2</v>
      </c>
      <c r="AK133" s="29">
        <v>-9.999998999999999E-3</v>
      </c>
      <c r="AL133" s="25">
        <v>6.5000000000000006E-3</v>
      </c>
      <c r="AM133" s="25">
        <v>0.45</v>
      </c>
      <c r="AN133" s="25">
        <v>1.4999999999999999E-2</v>
      </c>
      <c r="AO133" s="25">
        <v>-0.37</v>
      </c>
      <c r="AP133" s="25">
        <v>-0.12</v>
      </c>
      <c r="AQ133" s="25">
        <v>-0.19</v>
      </c>
      <c r="AR133" s="25">
        <v>-0.28999999999999998</v>
      </c>
      <c r="AS133" s="25">
        <v>0</v>
      </c>
      <c r="AT133" s="25">
        <v>0</v>
      </c>
      <c r="AU133" s="25">
        <v>0.29499999999999998</v>
      </c>
      <c r="AV133" s="25">
        <v>-0.37</v>
      </c>
      <c r="AW133" s="25">
        <v>-9.8500000000000004E-2</v>
      </c>
      <c r="AY133" s="25">
        <v>-9.8500000000000004E-2</v>
      </c>
      <c r="AZ133" s="25">
        <v>-4.4000000000000004E-2</v>
      </c>
      <c r="BA133" s="25">
        <v>-8.8499999999999995E-2</v>
      </c>
      <c r="BB133" s="25">
        <v>-1.4999999999999999E-2</v>
      </c>
      <c r="BC133" s="25">
        <v>-4.9000000000000002E-2</v>
      </c>
      <c r="BD133" s="25">
        <v>-0.02</v>
      </c>
      <c r="BE133" s="25">
        <v>-6.25E-2</v>
      </c>
      <c r="BF133" s="25">
        <v>-0.17</v>
      </c>
      <c r="BG133" s="25">
        <v>0.14749999999999999</v>
      </c>
      <c r="BH133" s="25">
        <v>0.30299999999999999</v>
      </c>
      <c r="BI133" s="25">
        <v>0.30299999999999999</v>
      </c>
      <c r="BJ133" s="25">
        <v>0.35499999999999998</v>
      </c>
    </row>
    <row r="134" spans="1:62" x14ac:dyDescent="0.25">
      <c r="A134" s="26" t="e">
        <f>#REF!-B134</f>
        <v>#REF!</v>
      </c>
      <c r="B134" s="26">
        <v>3.57</v>
      </c>
      <c r="C134" s="145">
        <v>40664</v>
      </c>
      <c r="D134" s="26">
        <v>3.1410000000000005</v>
      </c>
      <c r="E134" s="26">
        <v>0.155</v>
      </c>
      <c r="F134" s="26">
        <v>7.0186578670280012E-2</v>
      </c>
      <c r="G134" s="26">
        <v>-0.19500000000000001</v>
      </c>
      <c r="H134" s="26">
        <v>-0.2</v>
      </c>
      <c r="I134" s="26">
        <v>-0.20499999999999999</v>
      </c>
      <c r="J134" s="26">
        <v>-0.26</v>
      </c>
      <c r="K134" s="26">
        <v>-0.14000000000000001</v>
      </c>
      <c r="L134" s="26">
        <v>-4.4000000000000004E-2</v>
      </c>
      <c r="M134" s="26">
        <v>-6.4000000000000001E-2</v>
      </c>
      <c r="N134" s="26">
        <v>-0.16500000000000001</v>
      </c>
      <c r="O134" s="26">
        <v>-0.19500000000000001</v>
      </c>
      <c r="P134" s="25">
        <v>-0.19500000000000001</v>
      </c>
      <c r="Q134" s="25">
        <v>-5.9500000000000004E-2</v>
      </c>
      <c r="R134" s="25">
        <v>-4.4000000000000004E-2</v>
      </c>
      <c r="S134" s="25">
        <v>0.28300000000000003</v>
      </c>
      <c r="T134" s="25">
        <v>0.28300000000000003</v>
      </c>
      <c r="U134" s="25">
        <v>0.188</v>
      </c>
      <c r="V134" s="25">
        <v>0</v>
      </c>
      <c r="W134" s="179">
        <v>0.1825</v>
      </c>
      <c r="X134" s="179">
        <v>0.20250000000000001</v>
      </c>
      <c r="Y134" s="179">
        <v>-1.5500000000000002E-2</v>
      </c>
      <c r="Z134" s="179">
        <v>-2.2250000000000002E-2</v>
      </c>
      <c r="AA134" s="179">
        <v>9.75E-3</v>
      </c>
      <c r="AB134" s="179">
        <v>-5.2500000000000003E-3</v>
      </c>
      <c r="AC134" s="179">
        <v>5.0000000000000001E-3</v>
      </c>
      <c r="AD134" s="179">
        <v>1.0500000000000001E-2</v>
      </c>
      <c r="AE134" s="179">
        <v>-6.25E-2</v>
      </c>
      <c r="AF134" s="179">
        <v>-4.1500000000000002E-2</v>
      </c>
      <c r="AG134" s="180">
        <v>-0.05</v>
      </c>
      <c r="AH134" s="179">
        <v>-1.4999999999999999E-2</v>
      </c>
      <c r="AI134" s="181">
        <v>-0.06</v>
      </c>
      <c r="AJ134" s="181">
        <v>-7.4999999999999997E-2</v>
      </c>
      <c r="AK134" s="29">
        <v>-9.999998999999999E-3</v>
      </c>
      <c r="AL134" s="25">
        <v>6.5000000000000006E-3</v>
      </c>
      <c r="AM134" s="25">
        <v>0.40500000000000003</v>
      </c>
      <c r="AN134" s="25">
        <v>1.4999999999999999E-2</v>
      </c>
      <c r="AO134" s="25">
        <v>-0.37</v>
      </c>
      <c r="AP134" s="25">
        <v>-0.12</v>
      </c>
      <c r="AQ134" s="25">
        <v>-0.19</v>
      </c>
      <c r="AR134" s="25">
        <v>-0.28999999999999998</v>
      </c>
      <c r="AS134" s="25">
        <v>0</v>
      </c>
      <c r="AT134" s="25">
        <v>0</v>
      </c>
      <c r="AU134" s="25">
        <v>0.29499999999999998</v>
      </c>
      <c r="AV134" s="25">
        <v>-0.37</v>
      </c>
      <c r="AW134" s="25">
        <v>-9.6000000000000002E-2</v>
      </c>
      <c r="AY134" s="25">
        <v>-9.6000000000000002E-2</v>
      </c>
      <c r="AZ134" s="25">
        <v>-4.4000000000000004E-2</v>
      </c>
      <c r="BA134" s="25">
        <v>-8.8499999999999995E-2</v>
      </c>
      <c r="BB134" s="25">
        <v>-1.4999999999999999E-2</v>
      </c>
      <c r="BC134" s="25">
        <v>-4.9000000000000002E-2</v>
      </c>
      <c r="BD134" s="25">
        <v>-0.02</v>
      </c>
      <c r="BE134" s="25">
        <v>-6.25E-2</v>
      </c>
      <c r="BF134" s="25">
        <v>-0.17</v>
      </c>
      <c r="BG134" s="25">
        <v>0.14749999999999999</v>
      </c>
      <c r="BH134" s="25">
        <v>0.313</v>
      </c>
      <c r="BI134" s="25">
        <v>0.313</v>
      </c>
      <c r="BJ134" s="25">
        <v>0.28749999999999998</v>
      </c>
    </row>
    <row r="135" spans="1:62" x14ac:dyDescent="0.25">
      <c r="A135" s="26" t="e">
        <f>#REF!-B135</f>
        <v>#REF!</v>
      </c>
      <c r="B135" s="26">
        <v>3.4390000000000005</v>
      </c>
      <c r="C135" s="145">
        <v>40695</v>
      </c>
      <c r="D135" s="26">
        <v>3.1690000000000005</v>
      </c>
      <c r="E135" s="26">
        <v>0.155</v>
      </c>
      <c r="F135" s="26">
        <v>7.018874308022402E-2</v>
      </c>
      <c r="G135" s="26">
        <v>-0.19500000000000001</v>
      </c>
      <c r="H135" s="26">
        <v>-0.2</v>
      </c>
      <c r="I135" s="26">
        <v>-0.215</v>
      </c>
      <c r="J135" s="26">
        <v>-0.26</v>
      </c>
      <c r="K135" s="26">
        <v>-0.15</v>
      </c>
      <c r="L135" s="26">
        <v>-4.4000000000000004E-2</v>
      </c>
      <c r="M135" s="26">
        <v>-6.4000000000000001E-2</v>
      </c>
      <c r="N135" s="26">
        <v>-0.16500000000000001</v>
      </c>
      <c r="O135" s="26">
        <v>-0.19500000000000001</v>
      </c>
      <c r="P135" s="25">
        <v>-0.19500000000000001</v>
      </c>
      <c r="Q135" s="25">
        <v>-5.7000000000000002E-2</v>
      </c>
      <c r="R135" s="25">
        <v>-4.4000000000000004E-2</v>
      </c>
      <c r="S135" s="25">
        <v>0.27800000000000002</v>
      </c>
      <c r="T135" s="25">
        <v>0.27800000000000002</v>
      </c>
      <c r="U135" s="25">
        <v>0.18300000000000002</v>
      </c>
      <c r="V135" s="25">
        <v>0</v>
      </c>
      <c r="W135" s="179">
        <v>0.1825</v>
      </c>
      <c r="X135" s="179">
        <v>0.20250000000000001</v>
      </c>
      <c r="Y135" s="179">
        <v>-1.5500000000000002E-2</v>
      </c>
      <c r="Z135" s="179">
        <v>-2.2250000000000002E-2</v>
      </c>
      <c r="AA135" s="179">
        <v>9.75E-3</v>
      </c>
      <c r="AB135" s="179">
        <v>-5.2500000000000003E-3</v>
      </c>
      <c r="AC135" s="179">
        <v>5.0000000000000001E-3</v>
      </c>
      <c r="AD135" s="179">
        <v>1.0500000000000001E-2</v>
      </c>
      <c r="AE135" s="179">
        <v>-6.25E-2</v>
      </c>
      <c r="AF135" s="179">
        <v>-4.1500000000000002E-2</v>
      </c>
      <c r="AG135" s="180">
        <v>-0.05</v>
      </c>
      <c r="AH135" s="179">
        <v>-1.4999999999999999E-2</v>
      </c>
      <c r="AI135" s="181">
        <v>-7.6000000000000012E-2</v>
      </c>
      <c r="AJ135" s="181">
        <v>-7.0000000000000007E-2</v>
      </c>
      <c r="AK135" s="29">
        <v>-9.999998999999999E-3</v>
      </c>
      <c r="AL135" s="25">
        <v>6.5000000000000006E-3</v>
      </c>
      <c r="AM135" s="25">
        <v>0.39500000000000002</v>
      </c>
      <c r="AN135" s="25">
        <v>0.02</v>
      </c>
      <c r="AO135" s="25">
        <v>-0.37</v>
      </c>
      <c r="AP135" s="25">
        <v>-0.12</v>
      </c>
      <c r="AQ135" s="25">
        <v>-0.19</v>
      </c>
      <c r="AR135" s="25">
        <v>-0.28999999999999998</v>
      </c>
      <c r="AS135" s="25">
        <v>0</v>
      </c>
      <c r="AT135" s="25">
        <v>0</v>
      </c>
      <c r="AU135" s="25">
        <v>0.29499999999999998</v>
      </c>
      <c r="AV135" s="25">
        <v>-0.37</v>
      </c>
      <c r="AW135" s="25">
        <v>-8.8499999999999995E-2</v>
      </c>
      <c r="AY135" s="25">
        <v>-8.8499999999999995E-2</v>
      </c>
      <c r="AZ135" s="25">
        <v>-4.4000000000000004E-2</v>
      </c>
      <c r="BA135" s="25">
        <v>-7.85E-2</v>
      </c>
      <c r="BB135" s="25">
        <v>-1.4999999999999999E-2</v>
      </c>
      <c r="BC135" s="25">
        <v>-4.9000000000000002E-2</v>
      </c>
      <c r="BD135" s="25">
        <v>-1.4999999999999999E-2</v>
      </c>
      <c r="BE135" s="25">
        <v>-6.25E-2</v>
      </c>
      <c r="BF135" s="25">
        <v>-0.17</v>
      </c>
      <c r="BG135" s="25">
        <v>0.14749999999999999</v>
      </c>
      <c r="BH135" s="25">
        <v>0.308</v>
      </c>
      <c r="BI135" s="25">
        <v>0.308</v>
      </c>
      <c r="BJ135" s="25">
        <v>0.28749999999999998</v>
      </c>
    </row>
    <row r="136" spans="1:62" x14ac:dyDescent="0.25">
      <c r="A136" s="26" t="e">
        <f>#REF!-B136</f>
        <v>#REF!</v>
      </c>
      <c r="B136" s="26">
        <v>3.4190000000000005</v>
      </c>
      <c r="C136" s="145">
        <v>40725</v>
      </c>
      <c r="D136" s="26">
        <v>3.1910000000000003</v>
      </c>
      <c r="E136" s="26">
        <v>0.155</v>
      </c>
      <c r="F136" s="26">
        <v>7.0190837670494027E-2</v>
      </c>
      <c r="G136" s="26">
        <v>-0.19500000000000001</v>
      </c>
      <c r="H136" s="26">
        <v>-0.2</v>
      </c>
      <c r="I136" s="26">
        <v>-0.215</v>
      </c>
      <c r="J136" s="26">
        <v>-0.28000000000000003</v>
      </c>
      <c r="K136" s="26">
        <v>-0.15</v>
      </c>
      <c r="L136" s="26">
        <v>-4.4000000000000004E-2</v>
      </c>
      <c r="M136" s="26">
        <v>-6.4000000000000001E-2</v>
      </c>
      <c r="N136" s="26">
        <v>-0.16500000000000001</v>
      </c>
      <c r="O136" s="26">
        <v>-0.19500000000000001</v>
      </c>
      <c r="P136" s="25">
        <v>-0.19500000000000001</v>
      </c>
      <c r="Q136" s="25">
        <v>-5.5750000000000001E-2</v>
      </c>
      <c r="R136" s="25">
        <v>-4.4000000000000004E-2</v>
      </c>
      <c r="S136" s="25">
        <v>0.26800000000000002</v>
      </c>
      <c r="T136" s="25">
        <v>0.26800000000000002</v>
      </c>
      <c r="U136" s="25">
        <v>0.17300000000000001</v>
      </c>
      <c r="V136" s="25">
        <v>0</v>
      </c>
      <c r="W136" s="179">
        <v>0.1825</v>
      </c>
      <c r="X136" s="179">
        <v>0.215</v>
      </c>
      <c r="Y136" s="179">
        <v>-1.5500000000000002E-2</v>
      </c>
      <c r="Z136" s="179">
        <v>-2.2250000000000002E-2</v>
      </c>
      <c r="AA136" s="179">
        <v>9.75E-3</v>
      </c>
      <c r="AB136" s="179">
        <v>-5.2500000000000003E-3</v>
      </c>
      <c r="AC136" s="179">
        <v>5.0000000000000001E-3</v>
      </c>
      <c r="AD136" s="179">
        <v>1.0500000000000001E-2</v>
      </c>
      <c r="AE136" s="179">
        <v>-6.25E-2</v>
      </c>
      <c r="AF136" s="179">
        <v>-4.1500000000000002E-2</v>
      </c>
      <c r="AG136" s="180">
        <v>-0.05</v>
      </c>
      <c r="AH136" s="179">
        <v>-1.4999999999999999E-2</v>
      </c>
      <c r="AI136" s="181">
        <v>-6.9000000000000006E-2</v>
      </c>
      <c r="AJ136" s="181">
        <v>-6.7500000000000004E-2</v>
      </c>
      <c r="AK136" s="29">
        <v>-9.999998999999999E-3</v>
      </c>
      <c r="AL136" s="25">
        <v>6.5000000000000006E-3</v>
      </c>
      <c r="AM136" s="25">
        <v>0.43</v>
      </c>
      <c r="AN136" s="25">
        <v>2.2499999999999999E-2</v>
      </c>
      <c r="AO136" s="25">
        <v>-0.37</v>
      </c>
      <c r="AP136" s="25">
        <v>-0.12</v>
      </c>
      <c r="AQ136" s="25">
        <v>-0.19</v>
      </c>
      <c r="AR136" s="25">
        <v>-0.28999999999999998</v>
      </c>
      <c r="AS136" s="25">
        <v>0</v>
      </c>
      <c r="AT136" s="25">
        <v>0</v>
      </c>
      <c r="AU136" s="25">
        <v>0.29499999999999998</v>
      </c>
      <c r="AV136" s="25">
        <v>-0.37</v>
      </c>
      <c r="AW136" s="25">
        <v>-9.6000000000000002E-2</v>
      </c>
      <c r="AY136" s="25">
        <v>-9.6000000000000002E-2</v>
      </c>
      <c r="AZ136" s="25">
        <v>-4.4000000000000004E-2</v>
      </c>
      <c r="BA136" s="25">
        <v>-7.350000000000001E-2</v>
      </c>
      <c r="BB136" s="25">
        <v>-1.4999999999999999E-2</v>
      </c>
      <c r="BC136" s="25">
        <v>-4.9000000000000002E-2</v>
      </c>
      <c r="BD136" s="25">
        <v>-1.2500000000000001E-2</v>
      </c>
      <c r="BE136" s="25">
        <v>-6.25E-2</v>
      </c>
      <c r="BF136" s="25">
        <v>-0.17</v>
      </c>
      <c r="BG136" s="25">
        <v>0.14749999999999999</v>
      </c>
      <c r="BH136" s="25">
        <v>0.29799999999999999</v>
      </c>
      <c r="BI136" s="25">
        <v>0.29799999999999999</v>
      </c>
      <c r="BJ136" s="25">
        <v>0.3</v>
      </c>
    </row>
    <row r="137" spans="1:62" x14ac:dyDescent="0.25">
      <c r="A137" s="26" t="e">
        <f>#REF!-B137</f>
        <v>#REF!</v>
      </c>
      <c r="B137" s="26">
        <v>3.407</v>
      </c>
      <c r="C137" s="145">
        <v>40756</v>
      </c>
      <c r="D137" s="26">
        <v>3.2119999999999997</v>
      </c>
      <c r="E137" s="26">
        <v>0.155</v>
      </c>
      <c r="F137" s="26">
        <v>7.0193002080441019E-2</v>
      </c>
      <c r="G137" s="26">
        <v>-0.19500000000000001</v>
      </c>
      <c r="H137" s="26">
        <v>-0.2</v>
      </c>
      <c r="I137" s="26">
        <v>-0.215</v>
      </c>
      <c r="J137" s="26">
        <v>-0.28000000000000003</v>
      </c>
      <c r="K137" s="26">
        <v>-0.15</v>
      </c>
      <c r="L137" s="26">
        <v>-4.4000000000000004E-2</v>
      </c>
      <c r="M137" s="26">
        <v>-6.4000000000000001E-2</v>
      </c>
      <c r="N137" s="26">
        <v>-0.16500000000000001</v>
      </c>
      <c r="O137" s="26">
        <v>-0.19500000000000001</v>
      </c>
      <c r="P137" s="25">
        <v>-0.19500000000000001</v>
      </c>
      <c r="Q137" s="25">
        <v>-5.45E-2</v>
      </c>
      <c r="R137" s="25">
        <v>-4.4000000000000004E-2</v>
      </c>
      <c r="S137" s="25">
        <v>0.26500000000000001</v>
      </c>
      <c r="T137" s="25">
        <v>0.26500000000000001</v>
      </c>
      <c r="U137" s="25">
        <v>0.17</v>
      </c>
      <c r="V137" s="25">
        <v>0</v>
      </c>
      <c r="W137" s="179">
        <v>0.1825</v>
      </c>
      <c r="X137" s="179">
        <v>0.215</v>
      </c>
      <c r="Y137" s="179">
        <v>-1.5500000000000002E-2</v>
      </c>
      <c r="Z137" s="179">
        <v>-2.2250000000000002E-2</v>
      </c>
      <c r="AA137" s="179">
        <v>9.75E-3</v>
      </c>
      <c r="AB137" s="179">
        <v>-5.2500000000000003E-3</v>
      </c>
      <c r="AC137" s="179">
        <v>5.0000000000000001E-3</v>
      </c>
      <c r="AD137" s="179">
        <v>1.0500000000000001E-2</v>
      </c>
      <c r="AE137" s="179">
        <v>-6.25E-2</v>
      </c>
      <c r="AF137" s="179">
        <v>-4.1500000000000002E-2</v>
      </c>
      <c r="AG137" s="180">
        <v>-0.05</v>
      </c>
      <c r="AH137" s="179">
        <v>-1.4999999999999999E-2</v>
      </c>
      <c r="AI137" s="181">
        <v>-0.05</v>
      </c>
      <c r="AJ137" s="181">
        <v>-6.5000000000000002E-2</v>
      </c>
      <c r="AK137" s="29">
        <v>-9.999998999999999E-3</v>
      </c>
      <c r="AL137" s="25">
        <v>6.5000000000000006E-3</v>
      </c>
      <c r="AM137" s="25">
        <v>0.495</v>
      </c>
      <c r="AN137" s="25">
        <v>2.5000000000000001E-2</v>
      </c>
      <c r="AO137" s="25">
        <v>-0.37</v>
      </c>
      <c r="AP137" s="25">
        <v>-0.12</v>
      </c>
      <c r="AQ137" s="25">
        <v>-0.19</v>
      </c>
      <c r="AR137" s="25">
        <v>-0.28999999999999998</v>
      </c>
      <c r="AS137" s="25">
        <v>0</v>
      </c>
      <c r="AT137" s="25">
        <v>0</v>
      </c>
      <c r="AU137" s="25">
        <v>0.29499999999999998</v>
      </c>
      <c r="AV137" s="25">
        <v>-0.37</v>
      </c>
      <c r="AW137" s="25">
        <v>-8.3500000000000005E-2</v>
      </c>
      <c r="AY137" s="25">
        <v>-8.3500000000000005E-2</v>
      </c>
      <c r="AZ137" s="25">
        <v>-4.4000000000000004E-2</v>
      </c>
      <c r="BA137" s="25">
        <v>-7.350000000000001E-2</v>
      </c>
      <c r="BB137" s="25">
        <v>-1.4999999999999999E-2</v>
      </c>
      <c r="BC137" s="25">
        <v>-4.9000000000000002E-2</v>
      </c>
      <c r="BD137" s="25">
        <v>-0.01</v>
      </c>
      <c r="BE137" s="25">
        <v>-6.25E-2</v>
      </c>
      <c r="BF137" s="25">
        <v>-0.17</v>
      </c>
      <c r="BG137" s="25">
        <v>0.14749999999999999</v>
      </c>
      <c r="BH137" s="25">
        <v>0.29499999999999998</v>
      </c>
      <c r="BI137" s="25">
        <v>0.29499999999999998</v>
      </c>
      <c r="BJ137" s="25">
        <v>0.3</v>
      </c>
    </row>
    <row r="138" spans="1:62" x14ac:dyDescent="0.25">
      <c r="A138" s="26" t="e">
        <f>#REF!-B138</f>
        <v>#REF!</v>
      </c>
      <c r="B138" s="26">
        <v>3.472</v>
      </c>
      <c r="C138" s="145">
        <v>40787</v>
      </c>
      <c r="D138" s="26">
        <v>3.1940000000000004</v>
      </c>
      <c r="E138" s="26">
        <v>0.155</v>
      </c>
      <c r="F138" s="26">
        <v>7.0195166490389024E-2</v>
      </c>
      <c r="G138" s="26">
        <v>-0.19500000000000001</v>
      </c>
      <c r="H138" s="26">
        <v>-0.2</v>
      </c>
      <c r="I138" s="26">
        <v>-0.20499999999999999</v>
      </c>
      <c r="J138" s="26">
        <v>-0.28000000000000003</v>
      </c>
      <c r="K138" s="26">
        <v>-0.14000000000000001</v>
      </c>
      <c r="L138" s="26">
        <v>-4.4000000000000004E-2</v>
      </c>
      <c r="M138" s="26">
        <v>-6.4000000000000001E-2</v>
      </c>
      <c r="N138" s="26">
        <v>-0.16500000000000001</v>
      </c>
      <c r="O138" s="26">
        <v>-0.19500000000000001</v>
      </c>
      <c r="P138" s="25">
        <v>-0.19500000000000001</v>
      </c>
      <c r="Q138" s="25">
        <v>-5.8250000000000003E-2</v>
      </c>
      <c r="R138" s="25">
        <v>-4.4000000000000004E-2</v>
      </c>
      <c r="S138" s="25">
        <v>0.26300000000000001</v>
      </c>
      <c r="T138" s="25">
        <v>0.26300000000000001</v>
      </c>
      <c r="U138" s="25">
        <v>0.16800000000000001</v>
      </c>
      <c r="V138" s="25">
        <v>0</v>
      </c>
      <c r="W138" s="179">
        <v>0.1825</v>
      </c>
      <c r="X138" s="179">
        <v>0.19500000000000001</v>
      </c>
      <c r="Y138" s="179">
        <v>-1.5500000000000002E-2</v>
      </c>
      <c r="Z138" s="179">
        <v>-2.2250000000000002E-2</v>
      </c>
      <c r="AA138" s="179">
        <v>9.75E-3</v>
      </c>
      <c r="AB138" s="179">
        <v>-5.2500000000000003E-3</v>
      </c>
      <c r="AC138" s="179">
        <v>5.0000000000000001E-3</v>
      </c>
      <c r="AD138" s="179">
        <v>1.0500000000000001E-2</v>
      </c>
      <c r="AE138" s="179">
        <v>-6.25E-2</v>
      </c>
      <c r="AF138" s="179">
        <v>-3.9E-2</v>
      </c>
      <c r="AG138" s="180">
        <v>-4.7500000000000001E-2</v>
      </c>
      <c r="AH138" s="179">
        <v>-1.4999999999999999E-2</v>
      </c>
      <c r="AI138" s="181">
        <v>-4.8000000000000001E-2</v>
      </c>
      <c r="AJ138" s="181">
        <v>-7.2499999999999995E-2</v>
      </c>
      <c r="AK138" s="29">
        <v>-9.999998999999999E-3</v>
      </c>
      <c r="AL138" s="25">
        <v>6.5000000000000006E-3</v>
      </c>
      <c r="AM138" s="25">
        <v>0.39500000000000002</v>
      </c>
      <c r="AN138" s="25">
        <v>1.7500000000000002E-2</v>
      </c>
      <c r="AO138" s="25">
        <v>-0.37</v>
      </c>
      <c r="AP138" s="25">
        <v>-0.12</v>
      </c>
      <c r="AQ138" s="25">
        <v>-0.19</v>
      </c>
      <c r="AR138" s="25">
        <v>-0.28999999999999998</v>
      </c>
      <c r="AS138" s="25">
        <v>0</v>
      </c>
      <c r="AT138" s="25">
        <v>0</v>
      </c>
      <c r="AU138" s="25">
        <v>0.29499999999999998</v>
      </c>
      <c r="AV138" s="25">
        <v>-0.37</v>
      </c>
      <c r="AW138" s="25">
        <v>-8.8499999999999995E-2</v>
      </c>
      <c r="AY138" s="25">
        <v>-8.8499999999999995E-2</v>
      </c>
      <c r="AZ138" s="25">
        <v>-4.4000000000000004E-2</v>
      </c>
      <c r="BA138" s="25">
        <v>-8.8499999999999995E-2</v>
      </c>
      <c r="BB138" s="25">
        <v>-1.4999999999999999E-2</v>
      </c>
      <c r="BC138" s="25">
        <v>-4.9000000000000002E-2</v>
      </c>
      <c r="BD138" s="25">
        <v>-1.7500000000000002E-2</v>
      </c>
      <c r="BE138" s="25">
        <v>-6.25E-2</v>
      </c>
      <c r="BF138" s="25">
        <v>-0.17</v>
      </c>
      <c r="BG138" s="25">
        <v>0.14749999999999999</v>
      </c>
      <c r="BH138" s="25">
        <v>0.29300000000000004</v>
      </c>
      <c r="BI138" s="25">
        <v>0.29300000000000004</v>
      </c>
      <c r="BJ138" s="25">
        <v>0.28999999999999998</v>
      </c>
    </row>
    <row r="139" spans="1:62" x14ac:dyDescent="0.25">
      <c r="A139" s="26" t="e">
        <f>#REF!-B139</f>
        <v>#REF!</v>
      </c>
      <c r="B139" s="26">
        <v>3.4670000000000001</v>
      </c>
      <c r="C139" s="145">
        <v>40817</v>
      </c>
      <c r="D139" s="26">
        <v>3.1910000000000003</v>
      </c>
      <c r="E139" s="26">
        <v>0.155</v>
      </c>
      <c r="F139" s="26">
        <v>7.0197261080664E-2</v>
      </c>
      <c r="G139" s="26">
        <v>-0.19500000000000001</v>
      </c>
      <c r="H139" s="26">
        <v>-0.2</v>
      </c>
      <c r="I139" s="26">
        <v>-0.19</v>
      </c>
      <c r="J139" s="26">
        <v>-0.28000000000000003</v>
      </c>
      <c r="K139" s="26">
        <v>-0.125</v>
      </c>
      <c r="L139" s="26">
        <v>-4.4000000000000004E-2</v>
      </c>
      <c r="M139" s="26">
        <v>-6.4000000000000001E-2</v>
      </c>
      <c r="N139" s="26">
        <v>-0.16500000000000001</v>
      </c>
      <c r="O139" s="26">
        <v>-0.19500000000000001</v>
      </c>
      <c r="P139" s="25">
        <v>-0.19500000000000001</v>
      </c>
      <c r="Q139" s="25">
        <v>-6.3250000000000001E-2</v>
      </c>
      <c r="R139" s="25">
        <v>-4.4000000000000004E-2</v>
      </c>
      <c r="S139" s="25">
        <v>0.27800000000000002</v>
      </c>
      <c r="T139" s="25">
        <v>0.27800000000000002</v>
      </c>
      <c r="U139" s="25">
        <v>0.18300000000000002</v>
      </c>
      <c r="V139" s="25">
        <v>0</v>
      </c>
      <c r="W139" s="179">
        <v>0.1875</v>
      </c>
      <c r="X139" s="179">
        <v>0.215</v>
      </c>
      <c r="Y139" s="179">
        <v>-1.5500000000000002E-2</v>
      </c>
      <c r="Z139" s="179">
        <v>-2.2250000000000002E-2</v>
      </c>
      <c r="AA139" s="179">
        <v>-8.5000000000000006E-3</v>
      </c>
      <c r="AB139" s="179">
        <v>-2.35E-2</v>
      </c>
      <c r="AC139" s="179">
        <v>5.0000000000000001E-3</v>
      </c>
      <c r="AD139" s="179">
        <v>1.0500000000000001E-2</v>
      </c>
      <c r="AE139" s="179">
        <v>-6.25E-2</v>
      </c>
      <c r="AF139" s="179">
        <v>-3.9E-2</v>
      </c>
      <c r="AG139" s="180">
        <v>-4.7500000000000001E-2</v>
      </c>
      <c r="AH139" s="179">
        <v>-1.4999999999999999E-2</v>
      </c>
      <c r="AI139" s="181">
        <v>-0.05</v>
      </c>
      <c r="AJ139" s="181">
        <v>-8.2500000000000004E-2</v>
      </c>
      <c r="AK139" s="29">
        <v>-9.999998999999999E-3</v>
      </c>
      <c r="AL139" s="25">
        <v>6.5000000000000006E-3</v>
      </c>
      <c r="AM139" s="25">
        <v>0.46100000000000002</v>
      </c>
      <c r="AN139" s="25">
        <v>7.4999999999999997E-3</v>
      </c>
      <c r="AO139" s="25">
        <v>-0.37</v>
      </c>
      <c r="AP139" s="25">
        <v>-0.12</v>
      </c>
      <c r="AQ139" s="25">
        <v>-0.19</v>
      </c>
      <c r="AR139" s="25">
        <v>-0.28999999999999998</v>
      </c>
      <c r="AS139" s="25">
        <v>0</v>
      </c>
      <c r="AT139" s="25">
        <v>0</v>
      </c>
      <c r="AU139" s="25">
        <v>0.29499999999999998</v>
      </c>
      <c r="AV139" s="25">
        <v>-0.37</v>
      </c>
      <c r="AW139" s="25">
        <v>-9.8500000000000004E-2</v>
      </c>
      <c r="AY139" s="25">
        <v>-9.8500000000000004E-2</v>
      </c>
      <c r="AZ139" s="25">
        <v>-4.4000000000000004E-2</v>
      </c>
      <c r="BA139" s="25">
        <v>-9.0999999999999998E-2</v>
      </c>
      <c r="BB139" s="25">
        <v>-1.4999999999999999E-2</v>
      </c>
      <c r="BC139" s="25">
        <v>-4.9000000000000002E-2</v>
      </c>
      <c r="BD139" s="25">
        <v>-2.75E-2</v>
      </c>
      <c r="BE139" s="25">
        <v>-6.25E-2</v>
      </c>
      <c r="BF139" s="25">
        <v>-0.17</v>
      </c>
      <c r="BG139" s="25">
        <v>0.14749999999999999</v>
      </c>
      <c r="BH139" s="25">
        <v>0.308</v>
      </c>
      <c r="BI139" s="25">
        <v>0.308</v>
      </c>
      <c r="BJ139" s="25">
        <v>0.36249999999999999</v>
      </c>
    </row>
    <row r="140" spans="1:62" x14ac:dyDescent="0.25">
      <c r="A140" s="26" t="e">
        <f>#REF!-B140</f>
        <v>#REF!</v>
      </c>
      <c r="B140" s="26">
        <v>3.4490000000000003</v>
      </c>
      <c r="C140" s="145">
        <v>40848</v>
      </c>
      <c r="D140" s="26">
        <v>3.2430000000000003</v>
      </c>
      <c r="E140" s="26">
        <v>0.155</v>
      </c>
      <c r="F140" s="26">
        <v>7.0199425490615031E-2</v>
      </c>
      <c r="G140" s="26">
        <v>-0.19</v>
      </c>
      <c r="H140" s="26">
        <v>-0.19500000000000001</v>
      </c>
      <c r="I140" s="26">
        <v>-0.1525</v>
      </c>
      <c r="J140" s="26">
        <v>-0.27500000000000002</v>
      </c>
      <c r="K140" s="26">
        <v>-8.7499999999999994E-2</v>
      </c>
      <c r="L140" s="26">
        <v>-4.3500000000000004E-2</v>
      </c>
      <c r="M140" s="26">
        <v>-7.85E-2</v>
      </c>
      <c r="N140" s="26">
        <v>-0.16</v>
      </c>
      <c r="O140" s="26">
        <v>-0.19</v>
      </c>
      <c r="P140" s="25">
        <v>-0.19</v>
      </c>
      <c r="Q140" s="25">
        <v>-8.3000000000000004E-2</v>
      </c>
      <c r="R140" s="25">
        <v>-4.3500000000000004E-2</v>
      </c>
      <c r="S140" s="25">
        <v>0.34</v>
      </c>
      <c r="T140" s="25">
        <v>0.34</v>
      </c>
      <c r="U140" s="25">
        <v>0.245</v>
      </c>
      <c r="V140" s="25">
        <v>0</v>
      </c>
      <c r="W140" s="179">
        <v>0.27</v>
      </c>
      <c r="X140" s="179">
        <v>0.28749999999999998</v>
      </c>
      <c r="Y140" s="179">
        <v>-1.8500000000000003E-2</v>
      </c>
      <c r="Z140" s="179">
        <v>-3.5500000000000004E-2</v>
      </c>
      <c r="AA140" s="179">
        <v>-7.4999999999999997E-3</v>
      </c>
      <c r="AB140" s="179">
        <v>-2.2499999999999999E-2</v>
      </c>
      <c r="AC140" s="179">
        <v>5.0000000000000001E-3</v>
      </c>
      <c r="AD140" s="179">
        <v>2.5000000000000001E-3</v>
      </c>
      <c r="AE140" s="179">
        <v>-6.5000000000000002E-2</v>
      </c>
      <c r="AF140" s="179">
        <v>-3.9E-2</v>
      </c>
      <c r="AG140" s="180">
        <v>-5.0499999999999996E-2</v>
      </c>
      <c r="AH140" s="179">
        <v>-1.1500000000000002E-2</v>
      </c>
      <c r="AI140" s="181">
        <v>-6.5000000000000002E-2</v>
      </c>
      <c r="AJ140" s="181">
        <v>-0.1225</v>
      </c>
      <c r="AK140" s="29">
        <v>-2.5000000000000001E-3</v>
      </c>
      <c r="AL140" s="25">
        <v>1.6E-2</v>
      </c>
      <c r="AM140" s="25">
        <v>0.76749999999999996</v>
      </c>
      <c r="AN140" s="25">
        <v>-3.2500000000000001E-2</v>
      </c>
      <c r="AO140" s="25">
        <v>-0.29499999999999998</v>
      </c>
      <c r="AP140" s="25">
        <v>-0.13250000000000001</v>
      </c>
      <c r="AQ140" s="25">
        <v>-0.19</v>
      </c>
      <c r="AR140" s="25">
        <v>0</v>
      </c>
      <c r="AS140" s="25">
        <v>0</v>
      </c>
      <c r="AT140" s="25">
        <v>0</v>
      </c>
      <c r="AU140" s="25">
        <v>0.12</v>
      </c>
      <c r="AV140" s="25">
        <v>-0.29499999999999998</v>
      </c>
      <c r="AW140" s="25">
        <v>-0.10349999999999999</v>
      </c>
      <c r="AY140" s="25">
        <v>-0.10349999999999999</v>
      </c>
      <c r="AZ140" s="25">
        <v>-4.3500000000000004E-2</v>
      </c>
      <c r="BA140" s="25">
        <v>-8.8499999999999995E-2</v>
      </c>
      <c r="BB140" s="25">
        <v>-1.6500000000000001E-2</v>
      </c>
      <c r="BC140" s="25">
        <v>-6.3500000000000001E-2</v>
      </c>
      <c r="BD140" s="25">
        <v>-6.7500000000000004E-2</v>
      </c>
      <c r="BE140" s="25">
        <v>-6.5000000000000002E-2</v>
      </c>
      <c r="BF140" s="25">
        <v>-0.17</v>
      </c>
      <c r="BG140" s="25">
        <v>0.27500000000000002</v>
      </c>
      <c r="BH140" s="25">
        <v>0.38500000000000001</v>
      </c>
      <c r="BI140" s="25">
        <v>0.38500000000000001</v>
      </c>
      <c r="BJ140" s="25">
        <v>0.46500000000000002</v>
      </c>
    </row>
    <row r="141" spans="1:62" x14ac:dyDescent="0.25">
      <c r="A141" s="26" t="e">
        <f>#REF!-B141</f>
        <v>#REF!</v>
      </c>
      <c r="B141" s="26">
        <v>3.4590000000000005</v>
      </c>
      <c r="C141" s="145">
        <v>40878</v>
      </c>
      <c r="D141" s="26">
        <v>3.3010000000000002</v>
      </c>
      <c r="E141" s="26">
        <v>0.155</v>
      </c>
      <c r="F141" s="26">
        <v>7.0201520080893018E-2</v>
      </c>
      <c r="G141" s="26">
        <v>-0.19750000000000001</v>
      </c>
      <c r="H141" s="26">
        <v>-0.20250000000000001</v>
      </c>
      <c r="I141" s="26">
        <v>-0.14499999999999999</v>
      </c>
      <c r="J141" s="26">
        <v>-0.28249999999999997</v>
      </c>
      <c r="K141" s="26">
        <v>-0.08</v>
      </c>
      <c r="L141" s="26">
        <v>-4.3500000000000004E-2</v>
      </c>
      <c r="M141" s="26">
        <v>-7.85E-2</v>
      </c>
      <c r="N141" s="26">
        <v>-0.16750000000000001</v>
      </c>
      <c r="O141" s="26">
        <v>-0.19750000000000001</v>
      </c>
      <c r="P141" s="25">
        <v>-0.19750000000000001</v>
      </c>
      <c r="Q141" s="25">
        <v>-9.4250000000000014E-2</v>
      </c>
      <c r="R141" s="25">
        <v>-4.3500000000000004E-2</v>
      </c>
      <c r="S141" s="25">
        <v>0.38</v>
      </c>
      <c r="T141" s="25">
        <v>0.38</v>
      </c>
      <c r="U141" s="25">
        <v>0.28499999999999998</v>
      </c>
      <c r="V141" s="25">
        <v>0</v>
      </c>
      <c r="W141" s="179">
        <v>0.30499999999999999</v>
      </c>
      <c r="X141" s="179">
        <v>0.33750000000000002</v>
      </c>
      <c r="Y141" s="179">
        <v>-1.8500000000000003E-2</v>
      </c>
      <c r="Z141" s="179">
        <v>-2.8000000000000004E-2</v>
      </c>
      <c r="AA141" s="179">
        <v>-7.4999999999999997E-3</v>
      </c>
      <c r="AB141" s="179">
        <v>-2.2499999999999999E-2</v>
      </c>
      <c r="AC141" s="179">
        <v>5.0000000000000001E-3</v>
      </c>
      <c r="AD141" s="179">
        <v>2.5000000000000001E-3</v>
      </c>
      <c r="AE141" s="179">
        <v>-6.5000000000000002E-2</v>
      </c>
      <c r="AF141" s="179">
        <v>-3.9E-2</v>
      </c>
      <c r="AG141" s="180">
        <v>-5.0499999999999996E-2</v>
      </c>
      <c r="AH141" s="179">
        <v>-1.1500000000000002E-2</v>
      </c>
      <c r="AI141" s="181">
        <v>-6.5000000000000002E-2</v>
      </c>
      <c r="AJ141" s="181">
        <v>-0.14499999999999999</v>
      </c>
      <c r="AK141" s="29">
        <v>-2.5000000000000001E-3</v>
      </c>
      <c r="AL141" s="25">
        <v>1.6E-2</v>
      </c>
      <c r="AM141" s="25">
        <v>1.19</v>
      </c>
      <c r="AN141" s="25">
        <v>-5.5E-2</v>
      </c>
      <c r="AO141" s="25">
        <v>-0.29499999999999998</v>
      </c>
      <c r="AP141" s="25">
        <v>-0.1275</v>
      </c>
      <c r="AQ141" s="25">
        <v>-0.19</v>
      </c>
      <c r="AR141" s="25">
        <v>0.06</v>
      </c>
      <c r="AS141" s="25">
        <v>0</v>
      </c>
      <c r="AT141" s="25">
        <v>0</v>
      </c>
      <c r="AU141" s="25">
        <v>0.12</v>
      </c>
      <c r="AV141" s="25">
        <v>-0.29499999999999998</v>
      </c>
      <c r="AW141" s="25">
        <v>-0.13350000000000001</v>
      </c>
      <c r="AY141" s="25">
        <v>-0.13350000000000001</v>
      </c>
      <c r="AZ141" s="25">
        <v>-4.3500000000000004E-2</v>
      </c>
      <c r="BA141" s="25">
        <v>-0.1235</v>
      </c>
      <c r="BB141" s="25">
        <v>-1.6500000000000001E-2</v>
      </c>
      <c r="BC141" s="25">
        <v>-6.3500000000000001E-2</v>
      </c>
      <c r="BD141" s="25">
        <v>-0.09</v>
      </c>
      <c r="BE141" s="25">
        <v>-6.5000000000000002E-2</v>
      </c>
      <c r="BF141" s="25">
        <v>-0.17</v>
      </c>
      <c r="BG141" s="25">
        <v>0.245</v>
      </c>
      <c r="BH141" s="25">
        <v>0.42499999999999999</v>
      </c>
      <c r="BI141" s="25">
        <v>0.42499999999999999</v>
      </c>
      <c r="BJ141" s="25">
        <v>0.8</v>
      </c>
    </row>
    <row r="142" spans="1:62" x14ac:dyDescent="0.25">
      <c r="A142" s="26" t="e">
        <f>#REF!-B142</f>
        <v>#REF!</v>
      </c>
      <c r="B142" s="26">
        <v>3.5310000000000001</v>
      </c>
      <c r="C142" s="145">
        <v>40909</v>
      </c>
      <c r="D142" s="26">
        <v>3.62</v>
      </c>
      <c r="E142" s="26">
        <v>0.155</v>
      </c>
      <c r="F142" s="26">
        <v>7.0203684490848003E-2</v>
      </c>
      <c r="G142" s="26">
        <v>-0.2</v>
      </c>
      <c r="H142" s="26">
        <v>-0.20499999999999999</v>
      </c>
      <c r="I142" s="26">
        <v>-0.13</v>
      </c>
      <c r="J142" s="26">
        <v>-0.26500000000000001</v>
      </c>
      <c r="K142" s="26">
        <v>-6.5000000000000002E-2</v>
      </c>
      <c r="L142" s="26">
        <v>-4.3500000000000004E-2</v>
      </c>
      <c r="M142" s="26">
        <v>-7.85E-2</v>
      </c>
      <c r="N142" s="26">
        <v>-0.17</v>
      </c>
      <c r="O142" s="26">
        <v>-0.2</v>
      </c>
      <c r="P142" s="25">
        <v>-0.2</v>
      </c>
      <c r="Q142" s="25">
        <v>-9.5500000000000015E-2</v>
      </c>
      <c r="R142" s="25">
        <v>-4.3500000000000004E-2</v>
      </c>
      <c r="S142" s="25">
        <v>0.39</v>
      </c>
      <c r="T142" s="25">
        <v>0.39</v>
      </c>
      <c r="U142" s="25">
        <v>0.29499999999999998</v>
      </c>
      <c r="V142" s="25">
        <v>0</v>
      </c>
      <c r="W142" s="179">
        <v>0.30499999999999999</v>
      </c>
      <c r="X142" s="179">
        <v>0.4375</v>
      </c>
      <c r="Y142" s="179">
        <v>-1.4000000000000002E-2</v>
      </c>
      <c r="Z142" s="179">
        <v>-2.8000000000000004E-2</v>
      </c>
      <c r="AA142" s="179">
        <v>-7.4999999999999997E-3</v>
      </c>
      <c r="AB142" s="179">
        <v>-2.2499999999999999E-2</v>
      </c>
      <c r="AC142" s="179">
        <v>5.0000000000000001E-3</v>
      </c>
      <c r="AD142" s="179">
        <v>2.5000000000000001E-3</v>
      </c>
      <c r="AE142" s="179">
        <v>-6.5000000000000002E-2</v>
      </c>
      <c r="AF142" s="179">
        <v>-3.7000000000000005E-2</v>
      </c>
      <c r="AG142" s="180">
        <v>-5.0499999999999996E-2</v>
      </c>
      <c r="AH142" s="179">
        <v>-1.1500000000000002E-2</v>
      </c>
      <c r="AI142" s="181">
        <v>-5.7999999999999996E-2</v>
      </c>
      <c r="AJ142" s="181">
        <v>-0.14749999999999999</v>
      </c>
      <c r="AK142" s="29">
        <v>-5.0000000000000001E-4</v>
      </c>
      <c r="AL142" s="25">
        <v>1.6E-2</v>
      </c>
      <c r="AM142" s="25">
        <v>1.5249999999999999</v>
      </c>
      <c r="AN142" s="25">
        <v>-5.7500000000000002E-2</v>
      </c>
      <c r="AO142" s="25">
        <v>-0.28999999999999998</v>
      </c>
      <c r="AP142" s="25">
        <v>-0.1275</v>
      </c>
      <c r="AQ142" s="25">
        <v>-0.19</v>
      </c>
      <c r="AR142" s="25">
        <v>0.13</v>
      </c>
      <c r="AS142" s="25">
        <v>0</v>
      </c>
      <c r="AT142" s="25">
        <v>0</v>
      </c>
      <c r="AU142" s="25">
        <v>0.12</v>
      </c>
      <c r="AV142" s="25">
        <v>-0.28999999999999998</v>
      </c>
      <c r="AW142" s="25">
        <v>-0.11849999999999999</v>
      </c>
      <c r="AY142" s="25">
        <v>-0.11849999999999999</v>
      </c>
      <c r="AZ142" s="25">
        <v>-4.3500000000000004E-2</v>
      </c>
      <c r="BA142" s="25">
        <v>-0.129</v>
      </c>
      <c r="BB142" s="25">
        <v>-1.6500000000000001E-2</v>
      </c>
      <c r="BC142" s="25">
        <v>-6.3500000000000001E-2</v>
      </c>
      <c r="BD142" s="25">
        <v>-9.2499999999999999E-2</v>
      </c>
      <c r="BE142" s="25">
        <v>-6.5000000000000002E-2</v>
      </c>
      <c r="BF142" s="25">
        <v>-0.17</v>
      </c>
      <c r="BG142" s="25">
        <v>0.28000000000000003</v>
      </c>
      <c r="BH142" s="25">
        <v>0.435</v>
      </c>
      <c r="BI142" s="25">
        <v>0.435</v>
      </c>
      <c r="BJ142" s="25">
        <v>0.97499999999999998</v>
      </c>
    </row>
    <row r="143" spans="1:62" x14ac:dyDescent="0.25">
      <c r="A143" s="26" t="e">
        <f>#REF!-B143</f>
        <v>#REF!</v>
      </c>
      <c r="B143" s="26">
        <v>3.6160000000000001</v>
      </c>
      <c r="C143" s="145">
        <v>40940</v>
      </c>
      <c r="D143" s="26">
        <v>3.5140000000000002</v>
      </c>
      <c r="E143" s="26">
        <v>0.155</v>
      </c>
      <c r="F143" s="26">
        <v>7.0205848900804016E-2</v>
      </c>
      <c r="G143" s="26">
        <v>-0.20250000000000001</v>
      </c>
      <c r="H143" s="26">
        <v>-0.20749999999999999</v>
      </c>
      <c r="I143" s="26">
        <v>-0.13</v>
      </c>
      <c r="J143" s="26">
        <v>-0.26750000000000002</v>
      </c>
      <c r="K143" s="26">
        <v>-6.5000000000000002E-2</v>
      </c>
      <c r="L143" s="26">
        <v>-4.3500000000000004E-2</v>
      </c>
      <c r="M143" s="26">
        <v>-7.85E-2</v>
      </c>
      <c r="N143" s="26">
        <v>-0.17249999999999999</v>
      </c>
      <c r="O143" s="26">
        <v>-0.20250000000000001</v>
      </c>
      <c r="P143" s="25">
        <v>-0.20250000000000001</v>
      </c>
      <c r="Q143" s="25">
        <v>-8.6750000000000008E-2</v>
      </c>
      <c r="R143" s="25">
        <v>-4.3500000000000004E-2</v>
      </c>
      <c r="S143" s="25">
        <v>0.36499999999999999</v>
      </c>
      <c r="T143" s="25">
        <v>0.36499999999999999</v>
      </c>
      <c r="U143" s="25">
        <v>0.27</v>
      </c>
      <c r="V143" s="25">
        <v>0</v>
      </c>
      <c r="W143" s="179">
        <v>0.30499999999999999</v>
      </c>
      <c r="X143" s="179">
        <v>0.435</v>
      </c>
      <c r="Y143" s="179">
        <v>-1.4000000000000002E-2</v>
      </c>
      <c r="Z143" s="179">
        <v>-2.8000000000000004E-2</v>
      </c>
      <c r="AA143" s="179">
        <v>-7.4999999999999997E-3</v>
      </c>
      <c r="AB143" s="179">
        <v>-2.2499999999999999E-2</v>
      </c>
      <c r="AC143" s="179">
        <v>5.0000000000000001E-3</v>
      </c>
      <c r="AD143" s="179">
        <v>2.5000000000000001E-3</v>
      </c>
      <c r="AE143" s="179">
        <v>-6.5000000000000002E-2</v>
      </c>
      <c r="AF143" s="179">
        <v>-3.7000000000000005E-2</v>
      </c>
      <c r="AG143" s="180">
        <v>-5.0499999999999996E-2</v>
      </c>
      <c r="AH143" s="179">
        <v>-1.1500000000000002E-2</v>
      </c>
      <c r="AI143" s="181">
        <v>-5.7999999999999996E-2</v>
      </c>
      <c r="AJ143" s="181">
        <v>-0.13</v>
      </c>
      <c r="AK143" s="29">
        <v>-5.0000000000000001E-4</v>
      </c>
      <c r="AL143" s="25">
        <v>1.6E-2</v>
      </c>
      <c r="AM143" s="25">
        <v>1.4550000000000001</v>
      </c>
      <c r="AN143" s="25">
        <v>-0.04</v>
      </c>
      <c r="AO143" s="25">
        <v>-0.28999999999999998</v>
      </c>
      <c r="AP143" s="25">
        <v>-0.1275</v>
      </c>
      <c r="AQ143" s="25">
        <v>-0.19</v>
      </c>
      <c r="AR143" s="25">
        <v>0</v>
      </c>
      <c r="AS143" s="25">
        <v>0</v>
      </c>
      <c r="AT143" s="25">
        <v>0</v>
      </c>
      <c r="AU143" s="25">
        <v>0.12</v>
      </c>
      <c r="AV143" s="25">
        <v>-0.28999999999999998</v>
      </c>
      <c r="AW143" s="25">
        <v>-0.121</v>
      </c>
      <c r="AY143" s="25">
        <v>-0.121</v>
      </c>
      <c r="AZ143" s="25">
        <v>-4.3500000000000004E-2</v>
      </c>
      <c r="BA143" s="25">
        <v>-0.1115</v>
      </c>
      <c r="BB143" s="25">
        <v>-1.6500000000000001E-2</v>
      </c>
      <c r="BC143" s="25">
        <v>-6.3500000000000001E-2</v>
      </c>
      <c r="BD143" s="25">
        <v>-7.4999999999999997E-2</v>
      </c>
      <c r="BE143" s="25">
        <v>-6.5000000000000002E-2</v>
      </c>
      <c r="BF143" s="25">
        <v>-0.17</v>
      </c>
      <c r="BG143" s="25">
        <v>0.33</v>
      </c>
      <c r="BH143" s="25">
        <v>0.41</v>
      </c>
      <c r="BI143" s="25">
        <v>0.41</v>
      </c>
      <c r="BJ143" s="25">
        <v>0.97499999999999998</v>
      </c>
    </row>
    <row r="144" spans="1:62" x14ac:dyDescent="0.25">
      <c r="A144" s="26" t="e">
        <f>#REF!-B144</f>
        <v>#REF!</v>
      </c>
      <c r="B144" s="26">
        <v>3.8860000000000001</v>
      </c>
      <c r="C144" s="145">
        <v>40969</v>
      </c>
      <c r="D144" s="26">
        <v>3.3710000000000004</v>
      </c>
      <c r="E144" s="26">
        <v>0.15</v>
      </c>
      <c r="F144" s="26">
        <v>7.0207873671410001E-2</v>
      </c>
      <c r="G144" s="26">
        <v>-0.20499999999999999</v>
      </c>
      <c r="H144" s="26">
        <v>-0.21</v>
      </c>
      <c r="I144" s="26">
        <v>-0.13</v>
      </c>
      <c r="J144" s="26">
        <v>-0.27</v>
      </c>
      <c r="K144" s="26">
        <v>-6.5000000000000002E-2</v>
      </c>
      <c r="L144" s="26">
        <v>-4.3500000000000004E-2</v>
      </c>
      <c r="M144" s="26">
        <v>-7.85E-2</v>
      </c>
      <c r="N144" s="26">
        <v>-0.17499999999999999</v>
      </c>
      <c r="O144" s="26">
        <v>-0.20499999999999999</v>
      </c>
      <c r="P144" s="25">
        <v>-0.20499999999999999</v>
      </c>
      <c r="Q144" s="25">
        <v>-8.0500000000000002E-2</v>
      </c>
      <c r="R144" s="25">
        <v>-4.3500000000000004E-2</v>
      </c>
      <c r="S144" s="25">
        <v>0.36300000000000004</v>
      </c>
      <c r="T144" s="25">
        <v>0.36300000000000004</v>
      </c>
      <c r="U144" s="25">
        <v>0.26800000000000002</v>
      </c>
      <c r="V144" s="25">
        <v>0</v>
      </c>
      <c r="W144" s="179">
        <v>0.26500000000000001</v>
      </c>
      <c r="X144" s="179">
        <v>0.30249999999999999</v>
      </c>
      <c r="Y144" s="179">
        <v>-1.4000000000000002E-2</v>
      </c>
      <c r="Z144" s="179">
        <v>-2.8000000000000004E-2</v>
      </c>
      <c r="AA144" s="179">
        <v>1.1000000000000001E-2</v>
      </c>
      <c r="AB144" s="179">
        <v>-4.0000000000000001E-3</v>
      </c>
      <c r="AC144" s="179">
        <v>5.0000000000000001E-3</v>
      </c>
      <c r="AD144" s="179">
        <v>2.5000000000000001E-3</v>
      </c>
      <c r="AE144" s="179">
        <v>-6.5000000000000002E-2</v>
      </c>
      <c r="AF144" s="179">
        <v>-3.7000000000000005E-2</v>
      </c>
      <c r="AG144" s="180">
        <v>-5.0499999999999996E-2</v>
      </c>
      <c r="AH144" s="179">
        <v>-1.1500000000000002E-2</v>
      </c>
      <c r="AI144" s="181">
        <v>-6.5000000000000002E-2</v>
      </c>
      <c r="AJ144" s="181">
        <v>-0.11749999999999999</v>
      </c>
      <c r="AK144" s="29">
        <v>-5.0000000000000001E-4</v>
      </c>
      <c r="AL144" s="25">
        <v>1.6E-2</v>
      </c>
      <c r="AM144" s="25">
        <v>0.83499999999999996</v>
      </c>
      <c r="AN144" s="25">
        <v>-2.75E-2</v>
      </c>
      <c r="AO144" s="25">
        <v>-0.28999999999999998</v>
      </c>
      <c r="AP144" s="25">
        <v>-0.13250000000000001</v>
      </c>
      <c r="AQ144" s="25">
        <v>-0.19</v>
      </c>
      <c r="AR144" s="25">
        <v>-0.18</v>
      </c>
      <c r="AS144" s="25">
        <v>0</v>
      </c>
      <c r="AT144" s="25">
        <v>0</v>
      </c>
      <c r="AU144" s="25">
        <v>0.12</v>
      </c>
      <c r="AV144" s="25">
        <v>-0.28999999999999998</v>
      </c>
      <c r="AW144" s="25">
        <v>-0.10099999999999999</v>
      </c>
      <c r="AY144" s="25">
        <v>-0.10099999999999999</v>
      </c>
      <c r="AZ144" s="25">
        <v>-4.3500000000000004E-2</v>
      </c>
      <c r="BA144" s="25">
        <v>-9.4E-2</v>
      </c>
      <c r="BB144" s="25">
        <v>-1.6500000000000001E-2</v>
      </c>
      <c r="BC144" s="25">
        <v>-6.3500000000000001E-2</v>
      </c>
      <c r="BD144" s="25">
        <v>-6.25E-2</v>
      </c>
      <c r="BE144" s="25">
        <v>-6.5000000000000002E-2</v>
      </c>
      <c r="BF144" s="25">
        <v>-0.17</v>
      </c>
      <c r="BG144" s="25">
        <v>0.32</v>
      </c>
      <c r="BH144" s="25">
        <v>0.40800000000000003</v>
      </c>
      <c r="BI144" s="25">
        <v>0.40800000000000003</v>
      </c>
      <c r="BJ144" s="25">
        <v>0.60750000000000004</v>
      </c>
    </row>
    <row r="145" spans="1:62" x14ac:dyDescent="0.25">
      <c r="A145" s="26" t="e">
        <f>#REF!-B145</f>
        <v>#REF!</v>
      </c>
      <c r="B145" s="26">
        <v>3.7949999999999999</v>
      </c>
      <c r="C145" s="145">
        <v>41000</v>
      </c>
      <c r="D145" s="26">
        <v>3.22</v>
      </c>
      <c r="E145" s="26">
        <v>0.15</v>
      </c>
      <c r="F145" s="26">
        <v>7.0210038081369011E-2</v>
      </c>
      <c r="G145" s="26">
        <v>-0.19500000000000001</v>
      </c>
      <c r="H145" s="26">
        <v>-0.2</v>
      </c>
      <c r="I145" s="26">
        <v>-0.17499999999999999</v>
      </c>
      <c r="J145" s="26">
        <v>-0.26</v>
      </c>
      <c r="K145" s="26">
        <v>-0.11</v>
      </c>
      <c r="L145" s="26">
        <v>-4.0999999999999995E-2</v>
      </c>
      <c r="M145" s="26">
        <v>-6.1000000000000006E-2</v>
      </c>
      <c r="N145" s="26">
        <v>-0.16500000000000001</v>
      </c>
      <c r="O145" s="26">
        <v>-0.19500000000000001</v>
      </c>
      <c r="P145" s="25">
        <v>-0.19500000000000001</v>
      </c>
      <c r="Q145" s="25">
        <v>-5.7999999999999996E-2</v>
      </c>
      <c r="R145" s="25">
        <v>-4.0999999999999995E-2</v>
      </c>
      <c r="S145" s="25">
        <v>0.26800000000000002</v>
      </c>
      <c r="T145" s="25">
        <v>0.26800000000000002</v>
      </c>
      <c r="U145" s="25">
        <v>0.17300000000000001</v>
      </c>
      <c r="V145" s="25">
        <v>0</v>
      </c>
      <c r="W145" s="179">
        <v>0.19500000000000001</v>
      </c>
      <c r="X145" s="179">
        <v>0.25</v>
      </c>
      <c r="Y145" s="179">
        <v>-1.3500000000000002E-2</v>
      </c>
      <c r="Z145" s="179">
        <v>-2.0499999999999997E-2</v>
      </c>
      <c r="AA145" s="179">
        <v>1.1000000000000001E-2</v>
      </c>
      <c r="AB145" s="179">
        <v>-4.0000000000000001E-3</v>
      </c>
      <c r="AC145" s="179">
        <v>5.0000000000000001E-3</v>
      </c>
      <c r="AD145" s="179">
        <v>1.2500000000000001E-2</v>
      </c>
      <c r="AE145" s="179">
        <v>-6.25E-2</v>
      </c>
      <c r="AF145" s="179">
        <v>-3.95E-2</v>
      </c>
      <c r="AG145" s="180">
        <v>-4.8000000000000001E-2</v>
      </c>
      <c r="AH145" s="179">
        <v>-1.4000000000000002E-2</v>
      </c>
      <c r="AI145" s="181">
        <v>-5.7999999999999996E-2</v>
      </c>
      <c r="AJ145" s="181">
        <v>-7.4999999999999997E-2</v>
      </c>
      <c r="AK145" s="29">
        <v>-7.9999990000000007E-3</v>
      </c>
      <c r="AL145" s="25">
        <v>6.5000000000000006E-3</v>
      </c>
      <c r="AM145" s="25">
        <v>0.45</v>
      </c>
      <c r="AN145" s="25">
        <v>1.4999999999999999E-2</v>
      </c>
      <c r="AO145" s="25">
        <v>-0.35</v>
      </c>
      <c r="AP145" s="25">
        <v>-0.12</v>
      </c>
      <c r="AQ145" s="25">
        <v>-0.19</v>
      </c>
      <c r="AR145" s="25">
        <v>-0.28999999999999998</v>
      </c>
      <c r="AS145" s="25">
        <v>0</v>
      </c>
      <c r="AT145" s="25">
        <v>0</v>
      </c>
      <c r="AU145" s="25">
        <v>0.29499999999999998</v>
      </c>
      <c r="AV145" s="25">
        <v>-0.35</v>
      </c>
      <c r="AW145" s="25">
        <v>-9.6500000000000002E-2</v>
      </c>
      <c r="AY145" s="25">
        <v>-9.6500000000000002E-2</v>
      </c>
      <c r="AZ145" s="25">
        <v>-4.0999999999999995E-2</v>
      </c>
      <c r="BA145" s="25">
        <v>-8.6500000000000007E-2</v>
      </c>
      <c r="BB145" s="25">
        <v>-1.4000000000000002E-2</v>
      </c>
      <c r="BC145" s="25">
        <v>-4.6000000000000006E-2</v>
      </c>
      <c r="BD145" s="25">
        <v>-0.02</v>
      </c>
      <c r="BE145" s="25">
        <v>-6.25E-2</v>
      </c>
      <c r="BF145" s="25">
        <v>-0.17</v>
      </c>
      <c r="BG145" s="25">
        <v>0.14749999999999999</v>
      </c>
      <c r="BH145" s="25">
        <v>0.29799999999999999</v>
      </c>
      <c r="BI145" s="25">
        <v>0.29799999999999999</v>
      </c>
      <c r="BJ145" s="25">
        <v>0.35499999999999998</v>
      </c>
    </row>
    <row r="146" spans="1:62" x14ac:dyDescent="0.25">
      <c r="A146" s="26" t="e">
        <f>#REF!-B146</f>
        <v>#REF!</v>
      </c>
      <c r="B146" s="26">
        <v>3.6640000000000006</v>
      </c>
      <c r="C146" s="145">
        <v>41030</v>
      </c>
      <c r="D146" s="26">
        <v>3.2140000000000004</v>
      </c>
      <c r="E146" s="26">
        <v>0.15</v>
      </c>
      <c r="F146" s="26">
        <v>7.0212132671654021E-2</v>
      </c>
      <c r="G146" s="26">
        <v>-0.19500000000000001</v>
      </c>
      <c r="H146" s="26">
        <v>-0.2</v>
      </c>
      <c r="I146" s="26">
        <v>-0.20499999999999999</v>
      </c>
      <c r="J146" s="26">
        <v>-0.26</v>
      </c>
      <c r="K146" s="26">
        <v>-0.125</v>
      </c>
      <c r="L146" s="26">
        <v>-4.0999999999999995E-2</v>
      </c>
      <c r="M146" s="26">
        <v>-6.1000000000000006E-2</v>
      </c>
      <c r="N146" s="26">
        <v>-0.16500000000000001</v>
      </c>
      <c r="O146" s="26">
        <v>-0.19500000000000001</v>
      </c>
      <c r="P146" s="25">
        <v>-0.19500000000000001</v>
      </c>
      <c r="Q146" s="25">
        <v>-5.7999999999999996E-2</v>
      </c>
      <c r="R146" s="25">
        <v>-4.0999999999999995E-2</v>
      </c>
      <c r="S146" s="25">
        <v>0.27800000000000002</v>
      </c>
      <c r="T146" s="25">
        <v>0.27800000000000002</v>
      </c>
      <c r="U146" s="25">
        <v>0.18300000000000002</v>
      </c>
      <c r="V146" s="25">
        <v>0</v>
      </c>
      <c r="W146" s="179">
        <v>0.1825</v>
      </c>
      <c r="X146" s="179">
        <v>0.20250000000000001</v>
      </c>
      <c r="Y146" s="179">
        <v>-1.3500000000000002E-2</v>
      </c>
      <c r="Z146" s="179">
        <v>-2.0750000000000001E-2</v>
      </c>
      <c r="AA146" s="179">
        <v>1.0749999999999999E-2</v>
      </c>
      <c r="AB146" s="179">
        <v>-4.2500000000000003E-3</v>
      </c>
      <c r="AC146" s="179">
        <v>5.0000000000000001E-3</v>
      </c>
      <c r="AD146" s="179">
        <v>1.2500000000000001E-2</v>
      </c>
      <c r="AE146" s="179">
        <v>-6.25E-2</v>
      </c>
      <c r="AF146" s="179">
        <v>-3.95E-2</v>
      </c>
      <c r="AG146" s="180">
        <v>-4.8000000000000001E-2</v>
      </c>
      <c r="AH146" s="179">
        <v>-1.4000000000000002E-2</v>
      </c>
      <c r="AI146" s="25">
        <v>-5.7999999999999996E-2</v>
      </c>
      <c r="AJ146" s="25">
        <v>-7.4999999999999997E-2</v>
      </c>
      <c r="AK146" s="29">
        <v>-7.9999990000000007E-3</v>
      </c>
      <c r="AL146" s="25">
        <v>6.5000000000000006E-3</v>
      </c>
      <c r="AM146" s="25">
        <v>0.40500000000000003</v>
      </c>
      <c r="AN146" s="25">
        <v>1.4999999999999999E-2</v>
      </c>
      <c r="AO146" s="25">
        <v>-0.35</v>
      </c>
      <c r="AP146" s="25">
        <v>-0.12</v>
      </c>
      <c r="AQ146" s="25">
        <v>-0.19</v>
      </c>
      <c r="AR146" s="25">
        <v>-0.28999999999999998</v>
      </c>
      <c r="AS146" s="25">
        <v>0</v>
      </c>
      <c r="AT146" s="25">
        <v>0</v>
      </c>
      <c r="AU146" s="25">
        <v>0.29499999999999998</v>
      </c>
      <c r="AV146" s="25">
        <v>-0.35</v>
      </c>
      <c r="AW146" s="25">
        <v>-9.4E-2</v>
      </c>
      <c r="AY146" s="25">
        <v>-9.4E-2</v>
      </c>
      <c r="AZ146" s="25">
        <v>-4.0999999999999995E-2</v>
      </c>
      <c r="BA146" s="25">
        <v>-8.6500000000000007E-2</v>
      </c>
      <c r="BB146" s="25">
        <v>-1.4000000000000002E-2</v>
      </c>
      <c r="BC146" s="25">
        <v>-4.6000000000000006E-2</v>
      </c>
      <c r="BD146" s="25">
        <v>-0.02</v>
      </c>
      <c r="BE146" s="25">
        <v>-6.25E-2</v>
      </c>
      <c r="BF146" s="25">
        <v>-0.17</v>
      </c>
      <c r="BG146" s="25">
        <v>0.14749999999999999</v>
      </c>
      <c r="BH146" s="25">
        <v>0.308</v>
      </c>
      <c r="BI146" s="25">
        <v>0.308</v>
      </c>
      <c r="BJ146" s="25">
        <v>0.28749999999999998</v>
      </c>
    </row>
    <row r="147" spans="1:62" x14ac:dyDescent="0.25">
      <c r="A147" s="26" t="e">
        <f>#REF!-B147</f>
        <v>#REF!</v>
      </c>
      <c r="B147" s="26">
        <v>3.5360000000000005</v>
      </c>
      <c r="C147" s="145">
        <v>41061</v>
      </c>
      <c r="D147" s="26">
        <v>3.2430000000000003</v>
      </c>
      <c r="E147" s="26">
        <v>0.15</v>
      </c>
      <c r="F147" s="26">
        <v>7.0214297081616014E-2</v>
      </c>
      <c r="G147" s="26">
        <v>-0.19500000000000001</v>
      </c>
      <c r="H147" s="26">
        <v>-0.2</v>
      </c>
      <c r="I147" s="26">
        <v>-0.215</v>
      </c>
      <c r="J147" s="26">
        <v>-0.26</v>
      </c>
      <c r="K147" s="26">
        <v>-0.13500000000000001</v>
      </c>
      <c r="L147" s="26">
        <v>-4.0999999999999995E-2</v>
      </c>
      <c r="M147" s="26">
        <v>-6.1000000000000006E-2</v>
      </c>
      <c r="N147" s="26">
        <v>-0.16500000000000001</v>
      </c>
      <c r="O147" s="26">
        <v>-0.19500000000000001</v>
      </c>
      <c r="P147" s="25">
        <v>-0.19500000000000001</v>
      </c>
      <c r="Q147" s="25">
        <v>-5.5500000000000001E-2</v>
      </c>
      <c r="R147" s="25">
        <v>-4.0999999999999995E-2</v>
      </c>
      <c r="S147" s="25">
        <v>0.27300000000000002</v>
      </c>
      <c r="T147" s="25">
        <v>0.27300000000000002</v>
      </c>
      <c r="U147" s="25">
        <v>0.17800000000000002</v>
      </c>
      <c r="V147" s="25">
        <v>0</v>
      </c>
      <c r="W147" s="179">
        <v>0.1825</v>
      </c>
      <c r="X147" s="179">
        <v>0.20250000000000001</v>
      </c>
      <c r="Y147" s="179">
        <v>-1.3500000000000002E-2</v>
      </c>
      <c r="Z147" s="179">
        <v>-2.0750000000000001E-2</v>
      </c>
      <c r="AA147" s="179">
        <v>1.0749999999999999E-2</v>
      </c>
      <c r="AB147" s="179">
        <v>-4.2500000000000003E-3</v>
      </c>
      <c r="AC147" s="179">
        <v>5.0000000000000001E-3</v>
      </c>
      <c r="AD147" s="179">
        <v>1.2500000000000001E-2</v>
      </c>
      <c r="AE147" s="179">
        <v>-6.25E-2</v>
      </c>
      <c r="AF147" s="179">
        <v>-3.95E-2</v>
      </c>
      <c r="AG147" s="180">
        <v>-4.8000000000000001E-2</v>
      </c>
      <c r="AH147" s="179">
        <v>-1.4000000000000002E-2</v>
      </c>
      <c r="AI147" s="25">
        <v>-7.400000000000001E-2</v>
      </c>
      <c r="AJ147" s="25">
        <v>-7.0000000000000007E-2</v>
      </c>
      <c r="AK147" s="29">
        <v>-7.9999990000000007E-3</v>
      </c>
      <c r="AL147" s="25">
        <v>6.5000000000000006E-3</v>
      </c>
      <c r="AM147" s="25">
        <v>0.39500000000000002</v>
      </c>
      <c r="AN147" s="25">
        <v>0.02</v>
      </c>
      <c r="AO147" s="25">
        <v>-0.35</v>
      </c>
      <c r="AP147" s="25">
        <v>-0.12</v>
      </c>
      <c r="AQ147" s="25">
        <v>-0.19</v>
      </c>
      <c r="AR147" s="25">
        <v>-0.28999999999999998</v>
      </c>
      <c r="AS147" s="25">
        <v>0</v>
      </c>
      <c r="AT147" s="25">
        <v>0</v>
      </c>
      <c r="AU147" s="25">
        <v>0.29499999999999998</v>
      </c>
      <c r="AV147" s="25">
        <v>-0.35</v>
      </c>
      <c r="AW147" s="25">
        <v>-8.6500000000000007E-2</v>
      </c>
      <c r="AY147" s="25">
        <v>-8.6500000000000007E-2</v>
      </c>
      <c r="AZ147" s="25">
        <v>-4.0999999999999995E-2</v>
      </c>
      <c r="BA147" s="25">
        <v>-7.6499999999999999E-2</v>
      </c>
      <c r="BB147" s="25">
        <v>-1.4000000000000002E-2</v>
      </c>
      <c r="BC147" s="25">
        <v>-4.6000000000000006E-2</v>
      </c>
      <c r="BD147" s="25">
        <v>-1.4999999999999999E-2</v>
      </c>
      <c r="BE147" s="25">
        <v>-6.25E-2</v>
      </c>
      <c r="BF147" s="25">
        <v>-0.17</v>
      </c>
      <c r="BG147" s="25">
        <v>0.14749999999999999</v>
      </c>
      <c r="BH147" s="25">
        <v>0.30299999999999999</v>
      </c>
      <c r="BI147" s="25">
        <v>0.30299999999999999</v>
      </c>
      <c r="BJ147" s="25">
        <v>0.28749999999999998</v>
      </c>
    </row>
    <row r="148" spans="1:62" x14ac:dyDescent="0.25">
      <c r="A148" s="26" t="e">
        <f>#REF!-B148</f>
        <v>#REF!</v>
      </c>
      <c r="B148" s="26">
        <v>3.5169999999999999</v>
      </c>
      <c r="C148" s="145">
        <v>41091</v>
      </c>
      <c r="D148" s="26">
        <v>3.2650000000000001</v>
      </c>
      <c r="E148" s="26">
        <v>0.15</v>
      </c>
      <c r="F148" s="26">
        <v>7.0216391671903008E-2</v>
      </c>
      <c r="G148" s="26">
        <v>-0.19500000000000001</v>
      </c>
      <c r="H148" s="26">
        <v>-0.2</v>
      </c>
      <c r="I148" s="26">
        <v>-0.215</v>
      </c>
      <c r="J148" s="26">
        <v>-0.28000000000000003</v>
      </c>
      <c r="K148" s="26">
        <v>-0.13500000000000001</v>
      </c>
      <c r="L148" s="26">
        <v>-4.0999999999999995E-2</v>
      </c>
      <c r="M148" s="26">
        <v>-6.1000000000000006E-2</v>
      </c>
      <c r="N148" s="26">
        <v>-0.16500000000000001</v>
      </c>
      <c r="O148" s="26">
        <v>-0.19500000000000001</v>
      </c>
      <c r="P148" s="25">
        <v>-0.19500000000000001</v>
      </c>
      <c r="Q148" s="25">
        <v>-5.425E-2</v>
      </c>
      <c r="R148" s="25">
        <v>-4.0999999999999995E-2</v>
      </c>
      <c r="S148" s="25">
        <v>0.26300000000000001</v>
      </c>
      <c r="T148" s="25">
        <v>0.26300000000000001</v>
      </c>
      <c r="U148" s="25">
        <v>0.16800000000000001</v>
      </c>
      <c r="V148" s="25">
        <v>0</v>
      </c>
      <c r="W148" s="179">
        <v>0.1825</v>
      </c>
      <c r="X148" s="179">
        <v>0.215</v>
      </c>
      <c r="Y148" s="179">
        <v>-1.3500000000000002E-2</v>
      </c>
      <c r="Z148" s="179">
        <v>-2.0750000000000001E-2</v>
      </c>
      <c r="AA148" s="179">
        <v>1.0749999999999999E-2</v>
      </c>
      <c r="AB148" s="179">
        <v>-4.2500000000000003E-3</v>
      </c>
      <c r="AC148" s="179">
        <v>5.0000000000000001E-3</v>
      </c>
      <c r="AD148" s="179">
        <v>1.2500000000000001E-2</v>
      </c>
      <c r="AE148" s="179">
        <v>-6.25E-2</v>
      </c>
      <c r="AF148" s="179">
        <v>-3.95E-2</v>
      </c>
      <c r="AG148" s="180">
        <v>-4.8000000000000001E-2</v>
      </c>
      <c r="AH148" s="179">
        <v>-1.4000000000000002E-2</v>
      </c>
      <c r="AI148" s="25">
        <v>-6.7000000000000004E-2</v>
      </c>
      <c r="AJ148" s="25">
        <v>-6.7500000000000004E-2</v>
      </c>
      <c r="AK148" s="25">
        <v>-7.9999990000000007E-3</v>
      </c>
      <c r="AL148" s="25">
        <v>6.5000000000000006E-3</v>
      </c>
      <c r="AM148" s="25">
        <v>0.43</v>
      </c>
      <c r="AN148" s="25">
        <v>2.2499999999999999E-2</v>
      </c>
      <c r="AO148" s="25">
        <v>-0.35</v>
      </c>
      <c r="AP148" s="25">
        <v>-0.12</v>
      </c>
      <c r="AQ148" s="25">
        <v>-0.19</v>
      </c>
      <c r="AR148" s="25">
        <v>-0.28999999999999998</v>
      </c>
      <c r="AS148" s="25">
        <v>0</v>
      </c>
      <c r="AT148" s="25">
        <v>0</v>
      </c>
      <c r="AU148" s="25">
        <v>0.29499999999999998</v>
      </c>
      <c r="AV148" s="25">
        <v>-0.35</v>
      </c>
      <c r="AW148" s="25">
        <v>-9.4E-2</v>
      </c>
      <c r="AY148" s="25">
        <v>-9.4E-2</v>
      </c>
      <c r="AZ148" s="25">
        <v>-4.0999999999999995E-2</v>
      </c>
      <c r="BA148" s="25">
        <v>-7.1500000000000008E-2</v>
      </c>
      <c r="BB148" s="25">
        <v>-1.4000000000000002E-2</v>
      </c>
      <c r="BC148" s="25">
        <v>-4.6000000000000006E-2</v>
      </c>
      <c r="BD148" s="25">
        <v>-1.2500000000000001E-2</v>
      </c>
      <c r="BE148" s="25">
        <v>-6.25E-2</v>
      </c>
      <c r="BF148" s="25">
        <v>-0.17</v>
      </c>
      <c r="BG148" s="25">
        <v>0.14749999999999999</v>
      </c>
      <c r="BH148" s="25">
        <v>0.29300000000000004</v>
      </c>
      <c r="BI148" s="25">
        <v>0.29300000000000004</v>
      </c>
      <c r="BJ148" s="25">
        <v>0.3</v>
      </c>
    </row>
    <row r="149" spans="1:62" x14ac:dyDescent="0.25">
      <c r="A149" s="26" t="e">
        <f>#REF!-B149</f>
        <v>#REF!</v>
      </c>
      <c r="B149" s="26">
        <v>3.5060000000000002</v>
      </c>
      <c r="C149" s="145">
        <v>41122</v>
      </c>
      <c r="D149" s="26">
        <v>3.2860000000000005</v>
      </c>
      <c r="E149" s="26">
        <v>0.15</v>
      </c>
      <c r="F149" s="26">
        <v>7.0218556081869027E-2</v>
      </c>
      <c r="G149" s="26">
        <v>-0.19500000000000001</v>
      </c>
      <c r="H149" s="26">
        <v>-0.2</v>
      </c>
      <c r="I149" s="26">
        <v>-0.215</v>
      </c>
      <c r="J149" s="26">
        <v>-0.28000000000000003</v>
      </c>
      <c r="K149" s="26">
        <v>-0.13500000000000001</v>
      </c>
      <c r="L149" s="26">
        <v>-4.0999999999999995E-2</v>
      </c>
      <c r="M149" s="26">
        <v>-6.1000000000000006E-2</v>
      </c>
      <c r="N149" s="26">
        <v>-0.16500000000000001</v>
      </c>
      <c r="O149" s="26">
        <v>-0.19500000000000001</v>
      </c>
      <c r="P149" s="25">
        <v>-0.19500000000000001</v>
      </c>
      <c r="Q149" s="25">
        <v>-5.2999999999999999E-2</v>
      </c>
      <c r="R149" s="25">
        <v>-4.0999999999999995E-2</v>
      </c>
      <c r="S149" s="25">
        <v>0.26</v>
      </c>
      <c r="T149" s="25">
        <v>0.26</v>
      </c>
      <c r="U149" s="25">
        <v>0.16500000000000001</v>
      </c>
      <c r="V149" s="25">
        <v>0</v>
      </c>
      <c r="W149" s="179">
        <v>0.1825</v>
      </c>
      <c r="X149" s="179">
        <v>0.215</v>
      </c>
      <c r="Y149" s="179">
        <v>-1.3500000000000002E-2</v>
      </c>
      <c r="Z149" s="179">
        <v>-2.0750000000000001E-2</v>
      </c>
      <c r="AA149" s="179">
        <v>1.0749999999999999E-2</v>
      </c>
      <c r="AB149" s="179">
        <v>-4.2500000000000003E-3</v>
      </c>
      <c r="AC149" s="179">
        <v>5.0000000000000001E-3</v>
      </c>
      <c r="AD149" s="179">
        <v>1.2500000000000001E-2</v>
      </c>
      <c r="AE149" s="179">
        <v>-6.25E-2</v>
      </c>
      <c r="AF149" s="179">
        <v>-3.95E-2</v>
      </c>
      <c r="AG149" s="180">
        <v>-4.8000000000000001E-2</v>
      </c>
      <c r="AH149" s="179">
        <v>-1.4000000000000002E-2</v>
      </c>
      <c r="AI149" s="25">
        <v>-4.8000000000000001E-2</v>
      </c>
      <c r="AJ149" s="25">
        <v>-6.5000000000000002E-2</v>
      </c>
      <c r="AK149" s="25">
        <v>-7.9999990000000007E-3</v>
      </c>
      <c r="AL149" s="25">
        <v>6.5000000000000006E-3</v>
      </c>
      <c r="AM149" s="25">
        <v>0.495</v>
      </c>
      <c r="AN149" s="25">
        <v>2.5000000000000001E-2</v>
      </c>
      <c r="AO149" s="25">
        <v>-0.35</v>
      </c>
      <c r="AP149" s="25">
        <v>-0.12</v>
      </c>
      <c r="AQ149" s="25">
        <v>-0.19</v>
      </c>
      <c r="AR149" s="25">
        <v>-0.28999999999999998</v>
      </c>
      <c r="AS149" s="25">
        <v>0</v>
      </c>
      <c r="AT149" s="25">
        <v>0</v>
      </c>
      <c r="AU149" s="25">
        <v>0.29499999999999998</v>
      </c>
      <c r="AV149" s="25">
        <v>-0.35</v>
      </c>
      <c r="AW149" s="25">
        <v>-8.1500000000000003E-2</v>
      </c>
      <c r="AY149" s="25">
        <v>-8.1500000000000003E-2</v>
      </c>
      <c r="AZ149" s="25">
        <v>-4.0999999999999995E-2</v>
      </c>
      <c r="BA149" s="25">
        <v>-7.1500000000000008E-2</v>
      </c>
      <c r="BB149" s="25">
        <v>-1.4000000000000002E-2</v>
      </c>
      <c r="BC149" s="25">
        <v>-4.6000000000000006E-2</v>
      </c>
      <c r="BD149" s="25">
        <v>-0.01</v>
      </c>
      <c r="BE149" s="25">
        <v>-6.25E-2</v>
      </c>
      <c r="BF149" s="25">
        <v>-0.17</v>
      </c>
      <c r="BG149" s="25">
        <v>0.14749999999999999</v>
      </c>
      <c r="BH149" s="25">
        <v>0.28999999999999998</v>
      </c>
      <c r="BI149" s="25">
        <v>0.28999999999999998</v>
      </c>
      <c r="BJ149" s="25">
        <v>0.3</v>
      </c>
    </row>
    <row r="150" spans="1:62" x14ac:dyDescent="0.25">
      <c r="A150" s="26" t="e">
        <f>#REF!-B150</f>
        <v>#REF!</v>
      </c>
      <c r="B150" s="26">
        <v>3.5710000000000002</v>
      </c>
      <c r="C150" s="145">
        <v>41153</v>
      </c>
      <c r="D150" s="26">
        <v>3.2669999999999999</v>
      </c>
      <c r="E150" s="26">
        <v>0.15</v>
      </c>
      <c r="F150" s="26">
        <v>7.0220720491835018E-2</v>
      </c>
      <c r="G150" s="26">
        <v>-0.19500000000000001</v>
      </c>
      <c r="H150" s="26">
        <v>-0.2</v>
      </c>
      <c r="I150" s="26">
        <v>-0.20499999999999999</v>
      </c>
      <c r="J150" s="26">
        <v>-0.28000000000000003</v>
      </c>
      <c r="K150" s="26">
        <v>-0.125</v>
      </c>
      <c r="L150" s="26">
        <v>-4.0999999999999995E-2</v>
      </c>
      <c r="M150" s="26">
        <v>-6.1000000000000006E-2</v>
      </c>
      <c r="N150" s="26">
        <v>-0.16500000000000001</v>
      </c>
      <c r="O150" s="26">
        <v>-0.19500000000000001</v>
      </c>
      <c r="P150" s="25">
        <v>-0.19500000000000001</v>
      </c>
      <c r="Q150" s="25">
        <v>-5.6750000000000002E-2</v>
      </c>
      <c r="R150" s="25">
        <v>-4.0999999999999995E-2</v>
      </c>
      <c r="S150" s="25">
        <v>0.25800000000000001</v>
      </c>
      <c r="T150" s="25">
        <v>0.25800000000000001</v>
      </c>
      <c r="U150" s="25">
        <v>0.16300000000000001</v>
      </c>
      <c r="V150" s="25">
        <v>0</v>
      </c>
      <c r="W150" s="179">
        <v>0.1825</v>
      </c>
      <c r="X150" s="179">
        <v>0.19500000000000001</v>
      </c>
      <c r="Y150" s="179">
        <v>-1.3500000000000002E-2</v>
      </c>
      <c r="Z150" s="179">
        <v>-2.0750000000000001E-2</v>
      </c>
      <c r="AA150" s="179">
        <v>1.0749999999999999E-2</v>
      </c>
      <c r="AB150" s="179">
        <v>-4.2500000000000003E-3</v>
      </c>
      <c r="AC150" s="179">
        <v>5.0000000000000001E-3</v>
      </c>
      <c r="AD150" s="179">
        <v>1.2500000000000001E-2</v>
      </c>
      <c r="AE150" s="179">
        <v>-6.25E-2</v>
      </c>
      <c r="AF150" s="179">
        <v>-3.7000000000000005E-2</v>
      </c>
      <c r="AG150" s="180">
        <v>-4.5499999999999999E-2</v>
      </c>
      <c r="AH150" s="179">
        <v>-1.4000000000000002E-2</v>
      </c>
      <c r="AI150" s="25">
        <v>-4.6000000000000006E-2</v>
      </c>
      <c r="AJ150" s="25">
        <v>-7.2499999999999995E-2</v>
      </c>
      <c r="AK150" s="25">
        <v>-7.9999990000000007E-3</v>
      </c>
      <c r="AL150" s="25">
        <v>6.5000000000000006E-3</v>
      </c>
      <c r="AM150" s="25">
        <v>0.39500000000000002</v>
      </c>
      <c r="AN150" s="25">
        <v>1.7500000000000002E-2</v>
      </c>
      <c r="AO150" s="25">
        <v>-0.35</v>
      </c>
      <c r="AP150" s="25">
        <v>-0.12</v>
      </c>
      <c r="AQ150" s="25">
        <v>-0.19</v>
      </c>
      <c r="AR150" s="25">
        <v>-0.28999999999999998</v>
      </c>
      <c r="AS150" s="25">
        <v>0</v>
      </c>
      <c r="AT150" s="25">
        <v>0</v>
      </c>
      <c r="AU150" s="25">
        <v>0.29499999999999998</v>
      </c>
      <c r="AV150" s="25">
        <v>-0.35</v>
      </c>
      <c r="AW150" s="25">
        <v>-8.6500000000000007E-2</v>
      </c>
      <c r="AY150" s="25">
        <v>-8.6500000000000007E-2</v>
      </c>
      <c r="AZ150" s="25">
        <v>-4.0999999999999995E-2</v>
      </c>
      <c r="BA150" s="25">
        <v>-8.6500000000000007E-2</v>
      </c>
      <c r="BB150" s="25">
        <v>-1.4000000000000002E-2</v>
      </c>
      <c r="BC150" s="25">
        <v>-4.6000000000000006E-2</v>
      </c>
      <c r="BD150" s="25">
        <v>-1.7500000000000002E-2</v>
      </c>
      <c r="BE150" s="25">
        <v>-6.25E-2</v>
      </c>
      <c r="BF150" s="25">
        <v>-0.17</v>
      </c>
      <c r="BG150" s="25">
        <v>0.14749999999999999</v>
      </c>
      <c r="BH150" s="25">
        <v>0.28800000000000003</v>
      </c>
      <c r="BI150" s="25">
        <v>0.28800000000000003</v>
      </c>
      <c r="BJ150" s="25">
        <v>0.28999999999999998</v>
      </c>
    </row>
    <row r="151" spans="1:62" x14ac:dyDescent="0.25">
      <c r="A151" s="26" t="e">
        <f>#REF!-B151</f>
        <v>#REF!</v>
      </c>
      <c r="B151" s="26">
        <v>3.5660000000000003</v>
      </c>
      <c r="C151" s="145">
        <v>41183</v>
      </c>
      <c r="D151" s="26">
        <v>3.2630000000000003</v>
      </c>
      <c r="E151" s="26">
        <v>0.15</v>
      </c>
      <c r="F151" s="26">
        <v>7.0222815082128007E-2</v>
      </c>
      <c r="G151" s="26">
        <v>-0.19500000000000001</v>
      </c>
      <c r="H151" s="26">
        <v>-0.2</v>
      </c>
      <c r="I151" s="26">
        <v>-0.19</v>
      </c>
      <c r="J151" s="26">
        <v>-0.28000000000000003</v>
      </c>
      <c r="K151" s="26">
        <v>-0.11</v>
      </c>
      <c r="L151" s="26">
        <v>-4.0999999999999995E-2</v>
      </c>
      <c r="M151" s="26">
        <v>-6.1000000000000006E-2</v>
      </c>
      <c r="N151" s="26">
        <v>-0.16500000000000001</v>
      </c>
      <c r="O151" s="26">
        <v>-0.19500000000000001</v>
      </c>
      <c r="P151" s="25">
        <v>-0.19500000000000001</v>
      </c>
      <c r="Q151" s="25">
        <v>-6.1749999999999999E-2</v>
      </c>
      <c r="R151" s="25">
        <v>-4.0999999999999995E-2</v>
      </c>
      <c r="S151" s="25">
        <v>0.27300000000000002</v>
      </c>
      <c r="T151" s="25">
        <v>0.27300000000000002</v>
      </c>
      <c r="U151" s="25">
        <v>0.17800000000000002</v>
      </c>
      <c r="V151" s="25">
        <v>0</v>
      </c>
      <c r="W151" s="179">
        <v>0.1875</v>
      </c>
      <c r="X151" s="179">
        <v>0.215</v>
      </c>
      <c r="Y151" s="179">
        <v>-1.3500000000000002E-2</v>
      </c>
      <c r="Z151" s="179">
        <v>-2.0750000000000001E-2</v>
      </c>
      <c r="AA151" s="179">
        <v>-7.4999999999999997E-3</v>
      </c>
      <c r="AB151" s="179">
        <v>-2.2499999999999999E-2</v>
      </c>
      <c r="AC151" s="179">
        <v>5.0000000000000001E-3</v>
      </c>
      <c r="AD151" s="179">
        <v>1.2500000000000001E-2</v>
      </c>
      <c r="AE151" s="179">
        <v>-6.25E-2</v>
      </c>
      <c r="AF151" s="179">
        <v>-3.7000000000000005E-2</v>
      </c>
      <c r="AG151" s="180">
        <v>-4.5499999999999999E-2</v>
      </c>
      <c r="AH151" s="179">
        <v>-1.4000000000000002E-2</v>
      </c>
      <c r="AI151" s="25">
        <v>-4.8000000000000001E-2</v>
      </c>
      <c r="AJ151" s="25">
        <v>-8.2500000000000004E-2</v>
      </c>
      <c r="AK151" s="25">
        <v>-7.9999990000000007E-3</v>
      </c>
      <c r="AL151" s="25">
        <v>6.5000000000000006E-3</v>
      </c>
      <c r="AM151" s="25">
        <v>0.46100000000000002</v>
      </c>
      <c r="AN151" s="25">
        <v>7.4999999999999997E-3</v>
      </c>
      <c r="AO151" s="25">
        <v>-0.35</v>
      </c>
      <c r="AP151" s="25">
        <v>-0.12</v>
      </c>
      <c r="AQ151" s="25">
        <v>-0.19</v>
      </c>
      <c r="AR151" s="25">
        <v>-0.28999999999999998</v>
      </c>
      <c r="AS151" s="25">
        <v>0</v>
      </c>
      <c r="AT151" s="25">
        <v>0</v>
      </c>
      <c r="AU151" s="25">
        <v>0.29499999999999998</v>
      </c>
      <c r="AV151" s="25">
        <v>-0.35</v>
      </c>
      <c r="AW151" s="25">
        <v>-9.6500000000000002E-2</v>
      </c>
      <c r="AY151" s="25">
        <v>-9.6500000000000002E-2</v>
      </c>
      <c r="AZ151" s="25">
        <v>-4.0999999999999995E-2</v>
      </c>
      <c r="BA151" s="25">
        <v>-8.900000000000001E-2</v>
      </c>
      <c r="BB151" s="25">
        <v>-1.4000000000000002E-2</v>
      </c>
      <c r="BC151" s="25">
        <v>-4.6000000000000006E-2</v>
      </c>
      <c r="BD151" s="25">
        <v>-2.75E-2</v>
      </c>
      <c r="BE151" s="25">
        <v>-6.25E-2</v>
      </c>
      <c r="BF151" s="25">
        <v>-0.17</v>
      </c>
      <c r="BG151" s="25">
        <v>0.14749999999999999</v>
      </c>
      <c r="BH151" s="25">
        <v>0.30299999999999999</v>
      </c>
      <c r="BI151" s="25">
        <v>0.30299999999999999</v>
      </c>
      <c r="BJ151" s="25">
        <v>0.36249999999999999</v>
      </c>
    </row>
    <row r="152" spans="1:62" x14ac:dyDescent="0.25">
      <c r="A152" s="26" t="e">
        <f>#REF!-B152</f>
        <v>#REF!</v>
      </c>
      <c r="B152" s="26">
        <v>3.5470000000000002</v>
      </c>
      <c r="C152" s="145">
        <v>41214</v>
      </c>
      <c r="D152" s="26">
        <v>3.31</v>
      </c>
      <c r="E152" s="26">
        <v>0.15</v>
      </c>
      <c r="F152" s="26">
        <v>7.0224979492096995E-2</v>
      </c>
      <c r="G152" s="26">
        <v>-0.19</v>
      </c>
      <c r="H152" s="26">
        <v>-0.19500000000000001</v>
      </c>
      <c r="I152" s="26">
        <v>-0.1525</v>
      </c>
      <c r="J152" s="26">
        <v>-0.27500000000000002</v>
      </c>
      <c r="K152" s="26">
        <v>-7.2499999999999995E-2</v>
      </c>
      <c r="L152" s="26">
        <v>-4.0500000000000001E-2</v>
      </c>
      <c r="M152" s="26">
        <v>-7.5499999999999998E-2</v>
      </c>
      <c r="N152" s="26">
        <v>-0.16</v>
      </c>
      <c r="O152" s="26">
        <v>-0.19</v>
      </c>
      <c r="P152" s="25">
        <v>-0.19</v>
      </c>
      <c r="Q152" s="25">
        <v>-8.1500000000000003E-2</v>
      </c>
      <c r="R152" s="25">
        <v>-4.0500000000000001E-2</v>
      </c>
      <c r="S152" s="25">
        <v>0.33500000000000002</v>
      </c>
      <c r="T152" s="25">
        <v>0.33500000000000002</v>
      </c>
      <c r="U152" s="25">
        <v>0.24</v>
      </c>
      <c r="V152" s="25">
        <v>0</v>
      </c>
      <c r="W152" s="179">
        <v>0.27</v>
      </c>
      <c r="X152" s="179">
        <v>0.28749999999999998</v>
      </c>
      <c r="Y152" s="179">
        <v>-1.6500000000000001E-2</v>
      </c>
      <c r="Z152" s="179">
        <v>-3.4000000000000002E-2</v>
      </c>
      <c r="AA152" s="179">
        <v>-6.5000000000000006E-3</v>
      </c>
      <c r="AB152" s="179">
        <v>-2.1499999999999998E-2</v>
      </c>
      <c r="AC152" s="179">
        <v>5.0000000000000001E-3</v>
      </c>
      <c r="AD152" s="179">
        <v>4.5000000000000005E-3</v>
      </c>
      <c r="AE152" s="179">
        <v>-6.5000000000000002E-2</v>
      </c>
      <c r="AF152" s="179">
        <v>-3.7000000000000005E-2</v>
      </c>
      <c r="AG152" s="180">
        <v>-4.8500000000000008E-2</v>
      </c>
      <c r="AH152" s="179">
        <v>-1.0500000000000001E-2</v>
      </c>
      <c r="AI152" s="25">
        <v>-6.3E-2</v>
      </c>
      <c r="AJ152" s="25">
        <v>-0.1225</v>
      </c>
      <c r="AK152" s="25">
        <v>-5.0000000000000001E-4</v>
      </c>
      <c r="AL152" s="25">
        <v>1.6E-2</v>
      </c>
      <c r="AM152" s="25">
        <v>0.76749999999999996</v>
      </c>
      <c r="AN152" s="25">
        <v>-3.2500000000000001E-2</v>
      </c>
      <c r="AO152" s="25">
        <v>-0.27500000000000002</v>
      </c>
      <c r="AP152" s="25">
        <v>-0.13250000000000001</v>
      </c>
      <c r="AQ152" s="25">
        <v>-0.19</v>
      </c>
      <c r="AR152" s="25">
        <v>0</v>
      </c>
      <c r="AS152" s="25">
        <v>0</v>
      </c>
      <c r="AT152" s="25">
        <v>0</v>
      </c>
      <c r="AU152" s="25">
        <v>0.12</v>
      </c>
      <c r="AV152" s="25">
        <v>-0.27500000000000002</v>
      </c>
      <c r="AW152" s="25">
        <v>-0.10150000000000001</v>
      </c>
      <c r="AY152" s="25">
        <v>-0.10150000000000001</v>
      </c>
      <c r="AZ152" s="25">
        <v>-4.0500000000000001E-2</v>
      </c>
      <c r="BA152" s="25">
        <v>-8.6500000000000007E-2</v>
      </c>
      <c r="BB152" s="25">
        <v>-1.5500000000000002E-2</v>
      </c>
      <c r="BC152" s="25">
        <v>-6.0499999999999998E-2</v>
      </c>
      <c r="BD152" s="25">
        <v>-6.7500000000000004E-2</v>
      </c>
      <c r="BE152" s="25">
        <v>-6.5000000000000002E-2</v>
      </c>
      <c r="BF152" s="25">
        <v>-0.17</v>
      </c>
      <c r="BG152" s="25">
        <v>0.27500000000000002</v>
      </c>
      <c r="BH152" s="25">
        <v>0.38</v>
      </c>
      <c r="BI152" s="25">
        <v>0.38</v>
      </c>
      <c r="BJ152" s="25">
        <v>0.46500000000000002</v>
      </c>
    </row>
    <row r="153" spans="1:62" x14ac:dyDescent="0.25">
      <c r="A153" s="26" t="e">
        <f>#REF!-B153</f>
        <v>#REF!</v>
      </c>
      <c r="B153" s="26">
        <v>3.5560000000000005</v>
      </c>
      <c r="C153" s="145">
        <v>41244</v>
      </c>
      <c r="D153" s="26">
        <v>3.3650000000000002</v>
      </c>
      <c r="E153" s="26">
        <v>0.15</v>
      </c>
      <c r="F153" s="26">
        <v>7.0227074082393023E-2</v>
      </c>
      <c r="G153" s="26">
        <v>-0.19750000000000001</v>
      </c>
      <c r="H153" s="26">
        <v>-0.20250000000000001</v>
      </c>
      <c r="I153" s="26">
        <v>-0.14499999999999999</v>
      </c>
      <c r="J153" s="26">
        <v>-0.28249999999999997</v>
      </c>
      <c r="K153" s="26">
        <v>-6.5000000000000002E-2</v>
      </c>
      <c r="L153" s="26">
        <v>-4.0500000000000001E-2</v>
      </c>
      <c r="M153" s="26">
        <v>-7.5499999999999998E-2</v>
      </c>
      <c r="N153" s="26">
        <v>-0.16750000000000001</v>
      </c>
      <c r="O153" s="26">
        <v>-0.19750000000000001</v>
      </c>
      <c r="P153" s="25">
        <v>-0.19750000000000001</v>
      </c>
      <c r="Q153" s="25">
        <v>-9.2749999999999999E-2</v>
      </c>
      <c r="R153" s="25">
        <v>-4.0500000000000001E-2</v>
      </c>
      <c r="S153" s="25">
        <v>0.375</v>
      </c>
      <c r="T153" s="25">
        <v>0.375</v>
      </c>
      <c r="U153" s="25">
        <v>0.28000000000000003</v>
      </c>
      <c r="V153" s="25">
        <v>0</v>
      </c>
      <c r="W153" s="179">
        <v>0.30499999999999999</v>
      </c>
      <c r="X153" s="179">
        <v>0.33750000000000002</v>
      </c>
      <c r="Y153" s="179">
        <v>-1.6500000000000001E-2</v>
      </c>
      <c r="Z153" s="179">
        <v>-2.6499999999999999E-2</v>
      </c>
      <c r="AA153" s="179">
        <v>-6.5000000000000006E-3</v>
      </c>
      <c r="AB153" s="179">
        <v>-2.1499999999999998E-2</v>
      </c>
      <c r="AC153" s="179">
        <v>5.0000000000000001E-3</v>
      </c>
      <c r="AD153" s="179">
        <v>4.5000000000000005E-3</v>
      </c>
      <c r="AE153" s="179">
        <v>-6.5000000000000002E-2</v>
      </c>
      <c r="AF153" s="179">
        <v>-3.7000000000000005E-2</v>
      </c>
      <c r="AG153" s="180">
        <v>-4.8500000000000008E-2</v>
      </c>
      <c r="AH153" s="179">
        <v>-1.0500000000000001E-2</v>
      </c>
      <c r="AI153" s="25">
        <v>-6.3E-2</v>
      </c>
      <c r="AJ153" s="25">
        <v>-0.14499999999999999</v>
      </c>
      <c r="AK153" s="25">
        <v>-5.0000000000000001E-4</v>
      </c>
      <c r="AL153" s="25">
        <v>1.6E-2</v>
      </c>
      <c r="AM153" s="25">
        <v>1.19</v>
      </c>
      <c r="AN153" s="25">
        <v>-5.5E-2</v>
      </c>
      <c r="AO153" s="25">
        <v>-0.27500000000000002</v>
      </c>
      <c r="AP153" s="25">
        <v>-0.1275</v>
      </c>
      <c r="AQ153" s="25">
        <v>-0.19</v>
      </c>
      <c r="AR153" s="25">
        <v>0.06</v>
      </c>
      <c r="AS153" s="25">
        <v>0</v>
      </c>
      <c r="AT153" s="25">
        <v>0</v>
      </c>
      <c r="AU153" s="25">
        <v>0.12</v>
      </c>
      <c r="AV153" s="25">
        <v>-0.27500000000000002</v>
      </c>
      <c r="AW153" s="25">
        <v>-0.13150000000000001</v>
      </c>
      <c r="AY153" s="25">
        <v>-0.13150000000000001</v>
      </c>
      <c r="AZ153" s="25">
        <v>-4.0500000000000001E-2</v>
      </c>
      <c r="BA153" s="25">
        <v>-0.12150000000000001</v>
      </c>
      <c r="BB153" s="25">
        <v>-1.5500000000000002E-2</v>
      </c>
      <c r="BC153" s="25">
        <v>-6.0499999999999998E-2</v>
      </c>
      <c r="BD153" s="25">
        <v>-0.09</v>
      </c>
      <c r="BE153" s="25">
        <v>-6.5000000000000002E-2</v>
      </c>
      <c r="BF153" s="25">
        <v>-0.17</v>
      </c>
      <c r="BG153" s="25">
        <v>0.245</v>
      </c>
      <c r="BH153" s="25">
        <v>0.42</v>
      </c>
      <c r="BI153" s="25">
        <v>0.42</v>
      </c>
      <c r="BJ153" s="25">
        <v>0.8</v>
      </c>
    </row>
    <row r="154" spans="1:62" x14ac:dyDescent="0.25">
      <c r="A154" s="26" t="e">
        <f>#REF!-B154</f>
        <v>#REF!</v>
      </c>
      <c r="B154" s="26">
        <v>3.6230000000000002</v>
      </c>
      <c r="C154" s="145">
        <v>41275</v>
      </c>
      <c r="D154" s="26">
        <v>3.6869999999999998</v>
      </c>
      <c r="E154" s="26">
        <v>0.15</v>
      </c>
      <c r="F154" s="26">
        <v>7.0229238492366036E-2</v>
      </c>
      <c r="G154" s="26">
        <v>-0.2</v>
      </c>
      <c r="H154" s="26">
        <v>-0.20499999999999999</v>
      </c>
      <c r="I154" s="26">
        <v>-0.13</v>
      </c>
      <c r="J154" s="26">
        <v>-0.26500000000000001</v>
      </c>
      <c r="K154" s="26">
        <v>-0.05</v>
      </c>
      <c r="L154" s="26">
        <v>-4.0500000000000001E-2</v>
      </c>
      <c r="M154" s="26">
        <v>-7.5499999999999998E-2</v>
      </c>
      <c r="N154" s="26">
        <v>-0.17</v>
      </c>
      <c r="O154" s="26">
        <v>-0.2</v>
      </c>
      <c r="P154" s="25">
        <v>-0.2</v>
      </c>
      <c r="Q154" s="25">
        <v>-9.4E-2</v>
      </c>
      <c r="R154" s="25">
        <v>-4.0500000000000001E-2</v>
      </c>
      <c r="S154" s="25">
        <v>0.38500000000000001</v>
      </c>
      <c r="T154" s="25">
        <v>0.38500000000000001</v>
      </c>
      <c r="U154" s="25">
        <v>0.28999999999999998</v>
      </c>
      <c r="V154" s="25">
        <v>0</v>
      </c>
      <c r="W154" s="179">
        <v>0.30499999999999999</v>
      </c>
      <c r="X154" s="179">
        <v>0.4375</v>
      </c>
      <c r="Y154" s="179">
        <v>-1.2E-2</v>
      </c>
      <c r="Z154" s="179">
        <v>-2.6499999999999999E-2</v>
      </c>
      <c r="AA154" s="179">
        <v>-6.5000000000000006E-3</v>
      </c>
      <c r="AB154" s="179">
        <v>-2.1499999999999998E-2</v>
      </c>
      <c r="AC154" s="179">
        <v>5.0000000000000001E-3</v>
      </c>
      <c r="AD154" s="179">
        <v>4.5000000000000005E-3</v>
      </c>
      <c r="AE154" s="179">
        <v>-6.5000000000000002E-2</v>
      </c>
      <c r="AF154" s="179">
        <v>-3.5000000000000003E-2</v>
      </c>
      <c r="AG154" s="180">
        <v>-4.8500000000000008E-2</v>
      </c>
      <c r="AH154" s="179">
        <v>-1.0500000000000001E-2</v>
      </c>
      <c r="AI154" s="25">
        <v>-5.6000000000000008E-2</v>
      </c>
      <c r="AJ154" s="25">
        <v>-0.14749999999999999</v>
      </c>
      <c r="AK154" s="25">
        <v>1.5E-3</v>
      </c>
      <c r="AL154" s="25">
        <v>1.6E-2</v>
      </c>
      <c r="AM154" s="25">
        <v>1.5249999999999999</v>
      </c>
      <c r="AN154" s="25">
        <v>-5.7500000000000002E-2</v>
      </c>
      <c r="AO154" s="25">
        <v>-0.27</v>
      </c>
      <c r="AP154" s="25">
        <v>-0.1275</v>
      </c>
      <c r="AQ154" s="25">
        <v>-0.19</v>
      </c>
      <c r="AR154" s="25">
        <v>0.13</v>
      </c>
      <c r="AS154" s="25">
        <v>0</v>
      </c>
      <c r="AT154" s="25">
        <v>0</v>
      </c>
      <c r="AU154" s="25">
        <v>0.12</v>
      </c>
      <c r="AV154" s="25">
        <v>-0.27</v>
      </c>
      <c r="AW154" s="25">
        <v>-0.11650000000000001</v>
      </c>
      <c r="AY154" s="25">
        <v>-0.11650000000000001</v>
      </c>
      <c r="AZ154" s="25">
        <v>-4.0500000000000001E-2</v>
      </c>
      <c r="BA154" s="25">
        <v>-0.127</v>
      </c>
      <c r="BB154" s="25">
        <v>-1.5500000000000002E-2</v>
      </c>
      <c r="BC154" s="25">
        <v>-6.0499999999999998E-2</v>
      </c>
      <c r="BD154" s="25">
        <v>-9.2499999999999999E-2</v>
      </c>
      <c r="BE154" s="25">
        <v>-6.5000000000000002E-2</v>
      </c>
      <c r="BF154" s="25">
        <v>-0.17</v>
      </c>
      <c r="BG154" s="25">
        <v>0.28000000000000003</v>
      </c>
      <c r="BH154" s="25">
        <v>0.43</v>
      </c>
      <c r="BI154" s="25">
        <v>0.43</v>
      </c>
      <c r="BJ154" s="25">
        <v>0.97499999999999998</v>
      </c>
    </row>
    <row r="155" spans="1:62" x14ac:dyDescent="0.25">
      <c r="A155" s="26" t="e">
        <f>#REF!-B155</f>
        <v>#REF!</v>
      </c>
      <c r="B155" s="26">
        <v>3.7050000000000001</v>
      </c>
      <c r="C155" s="145">
        <v>41306</v>
      </c>
      <c r="D155" s="26">
        <v>3.585</v>
      </c>
      <c r="E155" s="26">
        <v>0.15</v>
      </c>
      <c r="F155" s="26">
        <v>7.0231402902339993E-2</v>
      </c>
      <c r="G155" s="26">
        <v>-0.20250000000000001</v>
      </c>
      <c r="H155" s="26">
        <v>-0.20749999999999999</v>
      </c>
      <c r="I155" s="26">
        <v>-0.13</v>
      </c>
      <c r="J155" s="26">
        <v>-0.26750000000000002</v>
      </c>
      <c r="K155" s="26">
        <v>-0.05</v>
      </c>
      <c r="L155" s="26">
        <v>-4.0500000000000001E-2</v>
      </c>
      <c r="M155" s="26">
        <v>-7.5499999999999998E-2</v>
      </c>
      <c r="N155" s="26">
        <v>-0.17249999999999999</v>
      </c>
      <c r="O155" s="26">
        <v>-0.20250000000000001</v>
      </c>
      <c r="P155" s="25">
        <v>-0.20250000000000001</v>
      </c>
      <c r="Q155" s="25">
        <v>-8.5250000000000006E-2</v>
      </c>
      <c r="R155" s="25">
        <v>-4.0500000000000001E-2</v>
      </c>
      <c r="S155" s="25">
        <v>0.36</v>
      </c>
      <c r="T155" s="25">
        <v>0.36</v>
      </c>
      <c r="U155" s="25">
        <v>0.26500000000000001</v>
      </c>
      <c r="V155" s="25">
        <v>0</v>
      </c>
      <c r="W155" s="179">
        <v>0.30499999999999999</v>
      </c>
      <c r="X155" s="179">
        <v>0.435</v>
      </c>
      <c r="Y155" s="179">
        <v>-1.2E-2</v>
      </c>
      <c r="Z155" s="179">
        <v>-2.6499999999999999E-2</v>
      </c>
      <c r="AA155" s="179">
        <v>-6.5000000000000006E-3</v>
      </c>
      <c r="AB155" s="179">
        <v>-2.1499999999999998E-2</v>
      </c>
      <c r="AC155" s="179">
        <v>5.0000000000000001E-3</v>
      </c>
      <c r="AD155" s="179">
        <v>4.5000000000000005E-3</v>
      </c>
      <c r="AE155" s="179">
        <v>-6.5000000000000002E-2</v>
      </c>
      <c r="AF155" s="179">
        <v>-3.5000000000000003E-2</v>
      </c>
      <c r="AG155" s="180">
        <v>-4.8500000000000008E-2</v>
      </c>
      <c r="AH155" s="179">
        <v>-1.0500000000000001E-2</v>
      </c>
      <c r="AI155" s="25">
        <v>-5.6000000000000008E-2</v>
      </c>
      <c r="AJ155" s="25">
        <v>-0.13</v>
      </c>
      <c r="AK155" s="25">
        <v>1.5E-3</v>
      </c>
      <c r="AL155" s="25">
        <v>1.6E-2</v>
      </c>
      <c r="AM155" s="25">
        <v>1.4550000000000001</v>
      </c>
      <c r="AN155" s="25">
        <v>-0.04</v>
      </c>
      <c r="AO155" s="25">
        <v>-0.27</v>
      </c>
      <c r="AP155" s="25">
        <v>-0.1275</v>
      </c>
      <c r="AQ155" s="25">
        <v>-0.19</v>
      </c>
      <c r="AR155" s="25">
        <v>0</v>
      </c>
      <c r="AS155" s="25">
        <v>0</v>
      </c>
      <c r="AT155" s="25">
        <v>0</v>
      </c>
      <c r="AU155" s="25">
        <v>0.12</v>
      </c>
      <c r="AV155" s="25">
        <v>-0.27</v>
      </c>
      <c r="AW155" s="25">
        <v>-0.11900000000000001</v>
      </c>
      <c r="AY155" s="25">
        <v>-0.11900000000000001</v>
      </c>
      <c r="AZ155" s="25">
        <v>-4.0500000000000001E-2</v>
      </c>
      <c r="BA155" s="25">
        <v>-0.10950000000000001</v>
      </c>
      <c r="BB155" s="25">
        <v>-1.5500000000000002E-2</v>
      </c>
      <c r="BC155" s="25">
        <v>-6.0499999999999998E-2</v>
      </c>
      <c r="BD155" s="25">
        <v>-7.4999999999999997E-2</v>
      </c>
      <c r="BE155" s="25">
        <v>-6.5000000000000002E-2</v>
      </c>
      <c r="BF155" s="25">
        <v>-0.17</v>
      </c>
      <c r="BG155" s="25">
        <v>0.33</v>
      </c>
      <c r="BH155" s="25">
        <v>0.40500000000000003</v>
      </c>
      <c r="BI155" s="25">
        <v>0.40500000000000003</v>
      </c>
      <c r="BJ155" s="25">
        <v>0.97499999999999998</v>
      </c>
    </row>
    <row r="156" spans="1:62" x14ac:dyDescent="0.25">
      <c r="A156" s="26" t="e">
        <f>#REF!-B156</f>
        <v>#REF!</v>
      </c>
      <c r="B156" s="26">
        <v>3.9780000000000002</v>
      </c>
      <c r="C156" s="145">
        <v>41334</v>
      </c>
      <c r="D156" s="26">
        <v>3.4449999999999998</v>
      </c>
      <c r="E156" s="26">
        <v>0.15</v>
      </c>
      <c r="F156" s="26">
        <v>7.0233357853286008E-2</v>
      </c>
      <c r="G156" s="26">
        <v>-0.20499999999999999</v>
      </c>
      <c r="H156" s="26">
        <v>-0.21</v>
      </c>
      <c r="I156" s="26">
        <v>-0.13</v>
      </c>
      <c r="J156" s="26">
        <v>-0.27</v>
      </c>
      <c r="K156" s="26">
        <v>-0.05</v>
      </c>
      <c r="L156" s="26">
        <v>-4.0500000000000001E-2</v>
      </c>
      <c r="M156" s="26">
        <v>-7.5499999999999998E-2</v>
      </c>
      <c r="N156" s="26">
        <v>-0.17499999999999999</v>
      </c>
      <c r="O156" s="26">
        <v>-0.20499999999999999</v>
      </c>
      <c r="P156" s="25">
        <v>-0.20499999999999999</v>
      </c>
      <c r="Q156" s="25">
        <v>-7.9000000000000001E-2</v>
      </c>
      <c r="R156" s="25">
        <v>-4.0500000000000001E-2</v>
      </c>
      <c r="S156" s="25">
        <v>0.35800000000000004</v>
      </c>
      <c r="T156" s="25">
        <v>0.35800000000000004</v>
      </c>
      <c r="U156" s="25">
        <v>0.26300000000000001</v>
      </c>
      <c r="V156" s="25">
        <v>0</v>
      </c>
      <c r="W156" s="179">
        <v>0.26500000000000001</v>
      </c>
      <c r="X156" s="179">
        <v>0.30249999999999999</v>
      </c>
      <c r="Y156" s="179">
        <v>-1.2E-2</v>
      </c>
      <c r="Z156" s="179">
        <v>-2.6499999999999999E-2</v>
      </c>
      <c r="AA156" s="179">
        <v>1.2E-2</v>
      </c>
      <c r="AB156" s="179">
        <v>-3.0000000000000001E-3</v>
      </c>
      <c r="AC156" s="179">
        <v>5.0000000000000001E-3</v>
      </c>
      <c r="AD156" s="179">
        <v>4.5000000000000005E-3</v>
      </c>
      <c r="AE156" s="179">
        <v>-6.5000000000000002E-2</v>
      </c>
      <c r="AF156" s="179">
        <v>-3.5000000000000003E-2</v>
      </c>
      <c r="AG156" s="180">
        <v>-4.8500000000000008E-2</v>
      </c>
      <c r="AH156" s="179">
        <v>-1.0500000000000001E-2</v>
      </c>
      <c r="AI156" s="25">
        <v>-6.3E-2</v>
      </c>
      <c r="AJ156" s="25">
        <v>-0.11749999999999999</v>
      </c>
      <c r="AK156" s="25">
        <v>1.5E-3</v>
      </c>
      <c r="AL156" s="25">
        <v>1.6E-2</v>
      </c>
      <c r="AM156" s="25">
        <v>0.83499999999999996</v>
      </c>
      <c r="AN156" s="25">
        <v>-2.75E-2</v>
      </c>
      <c r="AO156" s="25">
        <v>-0.27</v>
      </c>
      <c r="AP156" s="25">
        <v>-0.13250000000000001</v>
      </c>
      <c r="AQ156" s="25">
        <v>-0.19</v>
      </c>
      <c r="AR156" s="25">
        <v>-0.18</v>
      </c>
      <c r="AS156" s="25">
        <v>0</v>
      </c>
      <c r="AT156" s="25">
        <v>0</v>
      </c>
      <c r="AU156" s="25">
        <v>0.12</v>
      </c>
      <c r="AV156" s="25">
        <v>-0.27</v>
      </c>
      <c r="AW156" s="25">
        <v>-9.9000000000000005E-2</v>
      </c>
      <c r="AY156" s="25">
        <v>-9.9000000000000005E-2</v>
      </c>
      <c r="AZ156" s="25">
        <v>-4.0500000000000001E-2</v>
      </c>
      <c r="BA156" s="25">
        <v>-9.2000000000000012E-2</v>
      </c>
      <c r="BB156" s="25">
        <v>-1.5500000000000002E-2</v>
      </c>
      <c r="BC156" s="25">
        <v>-6.0499999999999998E-2</v>
      </c>
      <c r="BD156" s="25">
        <v>-6.25E-2</v>
      </c>
      <c r="BE156" s="25">
        <v>-6.5000000000000002E-2</v>
      </c>
      <c r="BF156" s="25">
        <v>-0.17</v>
      </c>
      <c r="BG156" s="25">
        <v>0.32</v>
      </c>
      <c r="BH156" s="25">
        <v>0.40300000000000002</v>
      </c>
      <c r="BI156" s="25">
        <v>0.40300000000000002</v>
      </c>
      <c r="BJ156" s="25">
        <v>0.60750000000000004</v>
      </c>
    </row>
    <row r="157" spans="1:62" x14ac:dyDescent="0.25">
      <c r="A157" s="26" t="e">
        <f>#REF!-B157</f>
        <v>#REF!</v>
      </c>
      <c r="B157" s="26">
        <v>3.8910000000000005</v>
      </c>
      <c r="C157" s="145">
        <v>41365</v>
      </c>
      <c r="D157" s="26">
        <v>3.2970000000000002</v>
      </c>
      <c r="E157" s="26">
        <v>0.15</v>
      </c>
      <c r="F157" s="26">
        <v>7.0235522263263003E-2</v>
      </c>
      <c r="G157" s="26">
        <v>-0.19500000000000001</v>
      </c>
      <c r="H157" s="26">
        <v>-0.2</v>
      </c>
      <c r="I157" s="26">
        <v>-0.17499999999999999</v>
      </c>
      <c r="J157" s="26">
        <v>-0.26</v>
      </c>
      <c r="K157" s="26">
        <v>-9.5000000000000001E-2</v>
      </c>
      <c r="L157" s="26">
        <v>-3.8000000000000006E-2</v>
      </c>
      <c r="M157" s="26">
        <v>-5.7999999999999996E-2</v>
      </c>
      <c r="N157" s="26">
        <v>-0.16500000000000001</v>
      </c>
      <c r="O157" s="26">
        <v>-0.19500000000000001</v>
      </c>
      <c r="P157" s="25">
        <v>-0.19500000000000001</v>
      </c>
      <c r="Q157" s="25">
        <v>-5.6500000000000002E-2</v>
      </c>
      <c r="R157" s="25">
        <v>-3.8000000000000006E-2</v>
      </c>
      <c r="S157" s="25">
        <v>0.26300000000000001</v>
      </c>
      <c r="T157" s="25">
        <v>0.26300000000000001</v>
      </c>
      <c r="U157" s="25">
        <v>0.16800000000000001</v>
      </c>
      <c r="V157" s="25">
        <v>0</v>
      </c>
      <c r="W157" s="179">
        <v>0.19500000000000001</v>
      </c>
      <c r="X157" s="179">
        <v>0.25</v>
      </c>
      <c r="Y157" s="179">
        <v>-1.1500000000000002E-2</v>
      </c>
      <c r="Z157" s="179">
        <v>-1.9000000000000003E-2</v>
      </c>
      <c r="AA157" s="179">
        <v>1.2E-2</v>
      </c>
      <c r="AB157" s="179">
        <v>-3.0000000000000001E-3</v>
      </c>
      <c r="AC157" s="179">
        <v>5.0000000000000001E-3</v>
      </c>
      <c r="AD157" s="179">
        <v>1.4499999999999999E-2</v>
      </c>
      <c r="AE157" s="179">
        <v>-6.25E-2</v>
      </c>
      <c r="AF157" s="179">
        <v>-3.7499999999999999E-2</v>
      </c>
      <c r="AG157" s="180">
        <v>-4.6000000000000006E-2</v>
      </c>
      <c r="AH157" s="179">
        <v>-1.3000000000000001E-2</v>
      </c>
      <c r="AI157" s="25">
        <v>-5.6000000000000008E-2</v>
      </c>
      <c r="AJ157" s="25">
        <v>-7.4999999999999997E-2</v>
      </c>
      <c r="AK157" s="25">
        <v>-5.9999990000000015E-3</v>
      </c>
      <c r="AL157" s="25">
        <v>6.5000000000000006E-3</v>
      </c>
      <c r="AM157" s="25">
        <v>0.45</v>
      </c>
      <c r="AN157" s="25">
        <v>1.4999999999999999E-2</v>
      </c>
      <c r="AO157" s="25">
        <v>-0.33</v>
      </c>
      <c r="AP157" s="25">
        <v>-0.12</v>
      </c>
      <c r="AQ157" s="25">
        <v>-0.19</v>
      </c>
      <c r="AR157" s="25">
        <v>-0.28999999999999998</v>
      </c>
      <c r="AS157" s="25">
        <v>0</v>
      </c>
      <c r="AT157" s="25">
        <v>0</v>
      </c>
      <c r="AU157" s="25">
        <v>0.29499999999999998</v>
      </c>
      <c r="AV157" s="25">
        <v>-0.33</v>
      </c>
      <c r="AW157" s="25">
        <v>-9.4500000000000015E-2</v>
      </c>
      <c r="AY157" s="25">
        <v>-9.4500000000000015E-2</v>
      </c>
      <c r="AZ157" s="25">
        <v>-3.8000000000000006E-2</v>
      </c>
      <c r="BA157" s="25">
        <v>-8.4499999999999992E-2</v>
      </c>
      <c r="BB157" s="25">
        <v>-1.3000000000000001E-2</v>
      </c>
      <c r="BC157" s="25">
        <v>-4.2999999999999997E-2</v>
      </c>
      <c r="BD157" s="25">
        <v>-0.02</v>
      </c>
      <c r="BE157" s="25">
        <v>-6.25E-2</v>
      </c>
      <c r="BF157" s="25">
        <v>-0.17</v>
      </c>
      <c r="BG157" s="25">
        <v>0.14749999999999999</v>
      </c>
      <c r="BH157" s="25">
        <v>0.29300000000000004</v>
      </c>
      <c r="BI157" s="25">
        <v>0.29300000000000004</v>
      </c>
      <c r="BJ157" s="25">
        <v>0.35499999999999998</v>
      </c>
    </row>
    <row r="158" spans="1:62" x14ac:dyDescent="0.25">
      <c r="A158" s="26" t="e">
        <f>#REF!-B158</f>
        <v>#REF!</v>
      </c>
      <c r="B158" s="26">
        <v>3.7630000000000003</v>
      </c>
      <c r="C158" s="145">
        <v>41395</v>
      </c>
      <c r="D158" s="26">
        <v>3.2919999999999998</v>
      </c>
      <c r="E158" s="26">
        <v>0.15</v>
      </c>
      <c r="F158" s="26">
        <v>7.0237616853566026E-2</v>
      </c>
      <c r="G158" s="26">
        <v>-0.19500000000000001</v>
      </c>
      <c r="H158" s="26">
        <v>-0.2</v>
      </c>
      <c r="I158" s="26">
        <v>-0.20499999999999999</v>
      </c>
      <c r="J158" s="26">
        <v>-0.26</v>
      </c>
      <c r="K158" s="26">
        <v>-0.11</v>
      </c>
      <c r="L158" s="26">
        <v>-3.8000000000000006E-2</v>
      </c>
      <c r="M158" s="26">
        <v>-5.7999999999999996E-2</v>
      </c>
      <c r="N158" s="26">
        <v>-0.16500000000000001</v>
      </c>
      <c r="O158" s="26">
        <v>-0.19500000000000001</v>
      </c>
      <c r="P158" s="25">
        <v>-0.19500000000000001</v>
      </c>
      <c r="Q158" s="25">
        <v>-5.6500000000000002E-2</v>
      </c>
      <c r="R158" s="25">
        <v>-3.8000000000000006E-2</v>
      </c>
      <c r="S158" s="25">
        <v>0.27300000000000002</v>
      </c>
      <c r="T158" s="25">
        <v>0.27300000000000002</v>
      </c>
      <c r="U158" s="25">
        <v>0.17800000000000002</v>
      </c>
      <c r="V158" s="25">
        <v>0</v>
      </c>
      <c r="W158" s="179">
        <v>0.1825</v>
      </c>
      <c r="X158" s="179">
        <v>0.20250000000000001</v>
      </c>
      <c r="Y158" s="179">
        <v>-1.1500000000000002E-2</v>
      </c>
      <c r="Z158" s="179">
        <v>-1.925E-2</v>
      </c>
      <c r="AA158" s="179">
        <v>1.175E-2</v>
      </c>
      <c r="AB158" s="179">
        <v>-3.2500000000000003E-3</v>
      </c>
      <c r="AC158" s="179">
        <v>5.0000000000000001E-3</v>
      </c>
      <c r="AD158" s="179">
        <v>1.4499999999999999E-2</v>
      </c>
      <c r="AE158" s="179">
        <v>-6.25E-2</v>
      </c>
      <c r="AF158" s="179">
        <v>-3.7499999999999999E-2</v>
      </c>
      <c r="AG158" s="180">
        <v>-4.6000000000000006E-2</v>
      </c>
      <c r="AH158" s="179">
        <v>-1.3000000000000001E-2</v>
      </c>
      <c r="AI158" s="25">
        <v>-5.6000000000000008E-2</v>
      </c>
      <c r="AJ158" s="25">
        <v>-7.4999999999999997E-2</v>
      </c>
      <c r="AK158" s="25">
        <v>-5.9999990000000015E-3</v>
      </c>
      <c r="AL158" s="25">
        <v>6.5000000000000006E-3</v>
      </c>
      <c r="AM158" s="25">
        <v>0.40500000000000003</v>
      </c>
      <c r="AN158" s="25">
        <v>1.4999999999999999E-2</v>
      </c>
      <c r="AO158" s="25">
        <v>-0.33</v>
      </c>
      <c r="AP158" s="25">
        <v>-0.12</v>
      </c>
      <c r="AQ158" s="25">
        <v>-0.19</v>
      </c>
      <c r="AR158" s="25">
        <v>-0.28999999999999998</v>
      </c>
      <c r="AS158" s="25">
        <v>0</v>
      </c>
      <c r="AT158" s="25">
        <v>0</v>
      </c>
      <c r="AU158" s="25">
        <v>0.29499999999999998</v>
      </c>
      <c r="AV158" s="25">
        <v>-0.33</v>
      </c>
      <c r="AW158" s="25">
        <v>-9.2000000000000012E-2</v>
      </c>
      <c r="AY158" s="25">
        <v>-9.2000000000000012E-2</v>
      </c>
      <c r="AZ158" s="25">
        <v>-3.8000000000000006E-2</v>
      </c>
      <c r="BA158" s="25">
        <v>-8.4499999999999992E-2</v>
      </c>
      <c r="BB158" s="25">
        <v>-1.3000000000000001E-2</v>
      </c>
      <c r="BC158" s="25">
        <v>-4.2999999999999997E-2</v>
      </c>
      <c r="BD158" s="25">
        <v>-0.02</v>
      </c>
      <c r="BE158" s="25">
        <v>-6.25E-2</v>
      </c>
      <c r="BF158" s="25">
        <v>-0.17</v>
      </c>
      <c r="BG158" s="25">
        <v>0.14749999999999999</v>
      </c>
      <c r="BH158" s="25">
        <v>0.30299999999999999</v>
      </c>
      <c r="BI158" s="25">
        <v>0.30299999999999999</v>
      </c>
      <c r="BJ158" s="25">
        <v>0.28749999999999998</v>
      </c>
    </row>
    <row r="159" spans="1:62" x14ac:dyDescent="0.25">
      <c r="A159" s="26" t="e">
        <f>#REF!-B159</f>
        <v>#REF!</v>
      </c>
      <c r="B159" s="26">
        <v>3.6380000000000003</v>
      </c>
      <c r="C159" s="145">
        <v>41426</v>
      </c>
      <c r="D159" s="26">
        <v>3.3220000000000001</v>
      </c>
      <c r="E159" s="26">
        <v>0.15</v>
      </c>
      <c r="F159" s="26">
        <v>7.0239781263547005E-2</v>
      </c>
      <c r="G159" s="26">
        <v>-0.19500000000000001</v>
      </c>
      <c r="H159" s="26">
        <v>-0.2</v>
      </c>
      <c r="I159" s="26">
        <v>-0.215</v>
      </c>
      <c r="J159" s="26">
        <v>-0.26</v>
      </c>
      <c r="K159" s="26">
        <v>-0.12</v>
      </c>
      <c r="L159" s="26">
        <v>-3.8000000000000006E-2</v>
      </c>
      <c r="M159" s="26">
        <v>-5.7999999999999996E-2</v>
      </c>
      <c r="N159" s="26">
        <v>-0.16500000000000001</v>
      </c>
      <c r="O159" s="26">
        <v>-0.19500000000000001</v>
      </c>
      <c r="P159" s="25">
        <v>-0.19500000000000001</v>
      </c>
      <c r="Q159" s="25">
        <v>-5.4000000000000006E-2</v>
      </c>
      <c r="R159" s="25">
        <v>-3.8000000000000006E-2</v>
      </c>
      <c r="S159" s="25">
        <v>0.26800000000000002</v>
      </c>
      <c r="T159" s="25">
        <v>0.26800000000000002</v>
      </c>
      <c r="U159" s="25">
        <v>0.17300000000000001</v>
      </c>
      <c r="V159" s="25">
        <v>0</v>
      </c>
      <c r="W159" s="179">
        <v>0.1825</v>
      </c>
      <c r="X159" s="179">
        <v>0.20250000000000001</v>
      </c>
      <c r="Y159" s="179">
        <v>-1.1500000000000002E-2</v>
      </c>
      <c r="Z159" s="179">
        <v>-1.925E-2</v>
      </c>
      <c r="AA159" s="179">
        <v>1.175E-2</v>
      </c>
      <c r="AB159" s="179">
        <v>-3.2500000000000003E-3</v>
      </c>
      <c r="AC159" s="179">
        <v>5.0000000000000001E-3</v>
      </c>
      <c r="AD159" s="179">
        <v>1.4499999999999999E-2</v>
      </c>
      <c r="AE159" s="179">
        <v>-6.25E-2</v>
      </c>
      <c r="AF159" s="179">
        <v>-3.7499999999999999E-2</v>
      </c>
      <c r="AG159" s="180">
        <v>-4.6000000000000006E-2</v>
      </c>
      <c r="AH159" s="179">
        <v>-1.3000000000000001E-2</v>
      </c>
      <c r="AI159" s="25">
        <v>-7.2000000000000008E-2</v>
      </c>
      <c r="AJ159" s="25">
        <v>-7.0000000000000007E-2</v>
      </c>
      <c r="AK159" s="25">
        <v>-5.9999990000000015E-3</v>
      </c>
      <c r="AL159" s="25">
        <v>6.5000000000000006E-3</v>
      </c>
      <c r="AM159" s="25">
        <v>0.39500000000000002</v>
      </c>
      <c r="AN159" s="25">
        <v>0.02</v>
      </c>
      <c r="AO159" s="25">
        <v>-0.33</v>
      </c>
      <c r="AP159" s="25">
        <v>-0.12</v>
      </c>
      <c r="AQ159" s="25">
        <v>-0.19</v>
      </c>
      <c r="AR159" s="25">
        <v>-0.28999999999999998</v>
      </c>
      <c r="AS159" s="25">
        <v>0</v>
      </c>
      <c r="AT159" s="25">
        <v>0</v>
      </c>
      <c r="AU159" s="25">
        <v>0.29499999999999998</v>
      </c>
      <c r="AV159" s="25">
        <v>-0.33</v>
      </c>
      <c r="AW159" s="25">
        <v>-8.4499999999999992E-2</v>
      </c>
      <c r="AY159" s="25">
        <v>-8.4499999999999992E-2</v>
      </c>
      <c r="AZ159" s="25">
        <v>-3.8000000000000006E-2</v>
      </c>
      <c r="BA159" s="25">
        <v>-7.4499999999999997E-2</v>
      </c>
      <c r="BB159" s="25">
        <v>-1.3000000000000001E-2</v>
      </c>
      <c r="BC159" s="25">
        <v>-4.2999999999999997E-2</v>
      </c>
      <c r="BD159" s="25">
        <v>-1.4999999999999999E-2</v>
      </c>
      <c r="BE159" s="25">
        <v>-6.25E-2</v>
      </c>
      <c r="BF159" s="25">
        <v>-0.17</v>
      </c>
      <c r="BG159" s="25">
        <v>0.14749999999999999</v>
      </c>
      <c r="BH159" s="25">
        <v>0.29799999999999999</v>
      </c>
      <c r="BI159" s="25">
        <v>0.29799999999999999</v>
      </c>
      <c r="BJ159" s="25">
        <v>0.28749999999999998</v>
      </c>
    </row>
    <row r="160" spans="1:62" x14ac:dyDescent="0.25">
      <c r="A160" s="26" t="e">
        <f>#REF!-B160</f>
        <v>#REF!</v>
      </c>
      <c r="B160" s="26">
        <v>3.62</v>
      </c>
      <c r="C160" s="145">
        <v>41456</v>
      </c>
      <c r="D160" s="26">
        <v>3.3440000000000003</v>
      </c>
      <c r="E160" s="26">
        <v>0.15</v>
      </c>
      <c r="F160" s="26">
        <v>7.0241875853852026E-2</v>
      </c>
      <c r="G160" s="26">
        <v>-0.19500000000000001</v>
      </c>
      <c r="H160" s="26">
        <v>-0.2</v>
      </c>
      <c r="I160" s="26">
        <v>-0.215</v>
      </c>
      <c r="J160" s="26">
        <v>-0.28000000000000003</v>
      </c>
      <c r="K160" s="26">
        <v>-0.12</v>
      </c>
      <c r="L160" s="26">
        <v>-3.8000000000000006E-2</v>
      </c>
      <c r="M160" s="26">
        <v>-5.7999999999999996E-2</v>
      </c>
      <c r="N160" s="26">
        <v>-0.16500000000000001</v>
      </c>
      <c r="O160" s="26">
        <v>-0.19500000000000001</v>
      </c>
      <c r="P160" s="25">
        <v>-0.19500000000000001</v>
      </c>
      <c r="Q160" s="25">
        <v>-5.2750000000000005E-2</v>
      </c>
      <c r="R160" s="25">
        <v>-3.8000000000000006E-2</v>
      </c>
      <c r="S160" s="25">
        <v>0.25800000000000001</v>
      </c>
      <c r="T160" s="25">
        <v>0.25800000000000001</v>
      </c>
      <c r="U160" s="25">
        <v>0.16300000000000001</v>
      </c>
      <c r="V160" s="25">
        <v>0</v>
      </c>
      <c r="W160" s="179">
        <v>0.1825</v>
      </c>
      <c r="X160" s="179">
        <v>0.215</v>
      </c>
      <c r="Y160" s="179">
        <v>-1.1500000000000002E-2</v>
      </c>
      <c r="Z160" s="179">
        <v>-1.925E-2</v>
      </c>
      <c r="AA160" s="179">
        <v>1.175E-2</v>
      </c>
      <c r="AB160" s="179">
        <v>-3.2500000000000003E-3</v>
      </c>
      <c r="AC160" s="179">
        <v>5.0000000000000001E-3</v>
      </c>
      <c r="AD160" s="179">
        <v>1.4499999999999999E-2</v>
      </c>
      <c r="AE160" s="179">
        <v>-6.25E-2</v>
      </c>
      <c r="AF160" s="179">
        <v>-3.7499999999999999E-2</v>
      </c>
      <c r="AG160" s="180">
        <v>-4.6000000000000006E-2</v>
      </c>
      <c r="AH160" s="179">
        <v>-1.3000000000000001E-2</v>
      </c>
      <c r="AI160" s="25">
        <v>-6.5000000000000002E-2</v>
      </c>
      <c r="AJ160" s="25">
        <v>-6.7500000000000004E-2</v>
      </c>
      <c r="AK160" s="25">
        <v>-5.9999990000000015E-3</v>
      </c>
      <c r="AL160" s="25">
        <v>6.5000000000000006E-3</v>
      </c>
      <c r="AM160" s="25">
        <v>0.43</v>
      </c>
      <c r="AN160" s="25">
        <v>2.2499999999999999E-2</v>
      </c>
      <c r="AO160" s="25">
        <v>-0.33</v>
      </c>
      <c r="AP160" s="25">
        <v>-0.12</v>
      </c>
      <c r="AQ160" s="25">
        <v>-0.19</v>
      </c>
      <c r="AR160" s="25">
        <v>-0.28999999999999998</v>
      </c>
      <c r="AS160" s="25">
        <v>0</v>
      </c>
      <c r="AT160" s="25">
        <v>0</v>
      </c>
      <c r="AU160" s="25">
        <v>0.29499999999999998</v>
      </c>
      <c r="AV160" s="25">
        <v>-0.33</v>
      </c>
      <c r="AW160" s="25">
        <v>-9.2000000000000012E-2</v>
      </c>
      <c r="AY160" s="25">
        <v>-9.2000000000000012E-2</v>
      </c>
      <c r="AZ160" s="25">
        <v>-3.8000000000000006E-2</v>
      </c>
      <c r="BA160" s="25">
        <v>-6.9500000000000006E-2</v>
      </c>
      <c r="BB160" s="25">
        <v>-1.3000000000000001E-2</v>
      </c>
      <c r="BC160" s="25">
        <v>-4.2999999999999997E-2</v>
      </c>
      <c r="BD160" s="25">
        <v>-1.2500000000000001E-2</v>
      </c>
      <c r="BE160" s="25">
        <v>-6.25E-2</v>
      </c>
      <c r="BF160" s="25">
        <v>-0.17</v>
      </c>
      <c r="BG160" s="25">
        <v>0.14749999999999999</v>
      </c>
      <c r="BH160" s="25">
        <v>0.28800000000000003</v>
      </c>
      <c r="BI160" s="25">
        <v>0.28800000000000003</v>
      </c>
      <c r="BJ160" s="25">
        <v>0.3</v>
      </c>
    </row>
    <row r="161" spans="1:62" x14ac:dyDescent="0.25">
      <c r="A161" s="26" t="e">
        <f>#REF!-B161</f>
        <v>#REF!</v>
      </c>
      <c r="B161" s="26">
        <v>3.61</v>
      </c>
      <c r="C161" s="145">
        <v>41487</v>
      </c>
      <c r="D161" s="26">
        <v>3.3650000000000002</v>
      </c>
      <c r="E161" s="26">
        <v>0.15</v>
      </c>
      <c r="F161" s="26">
        <v>7.0244040263835017E-2</v>
      </c>
      <c r="G161" s="26">
        <v>-0.19500000000000001</v>
      </c>
      <c r="H161" s="26">
        <v>-0.2</v>
      </c>
      <c r="I161" s="26">
        <v>-0.215</v>
      </c>
      <c r="J161" s="26">
        <v>-0.28000000000000003</v>
      </c>
      <c r="K161" s="26">
        <v>-0.12</v>
      </c>
      <c r="L161" s="26">
        <v>-3.8000000000000006E-2</v>
      </c>
      <c r="M161" s="26">
        <v>-5.7999999999999996E-2</v>
      </c>
      <c r="N161" s="26">
        <v>-0.16500000000000001</v>
      </c>
      <c r="O161" s="26">
        <v>-0.19500000000000001</v>
      </c>
      <c r="P161" s="25">
        <v>-0.19500000000000001</v>
      </c>
      <c r="Q161" s="25">
        <v>-5.1500000000000004E-2</v>
      </c>
      <c r="R161" s="25">
        <v>-3.8000000000000006E-2</v>
      </c>
      <c r="S161" s="25">
        <v>0.255</v>
      </c>
      <c r="T161" s="25">
        <v>0.255</v>
      </c>
      <c r="U161" s="25">
        <v>0.16</v>
      </c>
      <c r="V161" s="25">
        <v>0</v>
      </c>
      <c r="W161" s="179">
        <v>0.1825</v>
      </c>
      <c r="X161" s="179">
        <v>0.215</v>
      </c>
      <c r="Y161" s="179">
        <v>-1.1500000000000002E-2</v>
      </c>
      <c r="Z161" s="179">
        <v>-1.925E-2</v>
      </c>
      <c r="AA161" s="179">
        <v>1.175E-2</v>
      </c>
      <c r="AB161" s="179">
        <v>-3.2500000000000003E-3</v>
      </c>
      <c r="AC161" s="179">
        <v>5.0000000000000001E-3</v>
      </c>
      <c r="AD161" s="179">
        <v>1.4499999999999999E-2</v>
      </c>
      <c r="AE161" s="179">
        <v>-6.25E-2</v>
      </c>
      <c r="AF161" s="179">
        <v>-3.7499999999999999E-2</v>
      </c>
      <c r="AG161" s="180">
        <v>-4.6000000000000006E-2</v>
      </c>
      <c r="AH161" s="179">
        <v>-1.3000000000000001E-2</v>
      </c>
      <c r="AI161" s="25">
        <v>-4.6000000000000006E-2</v>
      </c>
      <c r="AJ161" s="25">
        <v>-6.5000000000000002E-2</v>
      </c>
      <c r="AK161" s="25">
        <v>-5.9999990000000015E-3</v>
      </c>
      <c r="AL161" s="25">
        <v>6.5000000000000006E-3</v>
      </c>
      <c r="AM161" s="25">
        <v>0.495</v>
      </c>
      <c r="AN161" s="25">
        <v>2.5000000000000001E-2</v>
      </c>
      <c r="AO161" s="25">
        <v>-0.33</v>
      </c>
      <c r="AP161" s="25">
        <v>-0.12</v>
      </c>
      <c r="AQ161" s="25">
        <v>-0.19</v>
      </c>
      <c r="AR161" s="25">
        <v>-0.28999999999999998</v>
      </c>
      <c r="AS161" s="25">
        <v>0</v>
      </c>
      <c r="AT161" s="25">
        <v>0</v>
      </c>
      <c r="AU161" s="25">
        <v>0.29499999999999998</v>
      </c>
      <c r="AV161" s="25">
        <v>-0.33</v>
      </c>
      <c r="AW161" s="25">
        <v>-7.9500000000000001E-2</v>
      </c>
      <c r="AY161" s="25">
        <v>-7.9500000000000001E-2</v>
      </c>
      <c r="AZ161" s="25">
        <v>-3.8000000000000006E-2</v>
      </c>
      <c r="BA161" s="25">
        <v>-6.9500000000000006E-2</v>
      </c>
      <c r="BB161" s="25">
        <v>-1.3000000000000001E-2</v>
      </c>
      <c r="BC161" s="25">
        <v>-4.2999999999999997E-2</v>
      </c>
      <c r="BD161" s="25">
        <v>-0.01</v>
      </c>
      <c r="BE161" s="25">
        <v>-6.25E-2</v>
      </c>
      <c r="BF161" s="25">
        <v>-0.17</v>
      </c>
      <c r="BG161" s="25">
        <v>0.14749999999999999</v>
      </c>
      <c r="BH161" s="25">
        <v>0.28499999999999998</v>
      </c>
      <c r="BI161" s="25">
        <v>0.28499999999999998</v>
      </c>
      <c r="BJ161" s="25">
        <v>0.3</v>
      </c>
    </row>
    <row r="162" spans="1:62" x14ac:dyDescent="0.25">
      <c r="A162" s="26" t="e">
        <f>#REF!-B162</f>
        <v>#REF!</v>
      </c>
      <c r="B162" s="26">
        <v>3.6749999999999998</v>
      </c>
      <c r="C162" s="145">
        <v>41518</v>
      </c>
      <c r="D162" s="26">
        <v>3.3450000000000002</v>
      </c>
      <c r="E162" s="26">
        <v>0.15</v>
      </c>
      <c r="F162" s="26">
        <v>7.0246204673821019E-2</v>
      </c>
      <c r="G162" s="26">
        <v>-0.19500000000000001</v>
      </c>
      <c r="H162" s="26">
        <v>-0.2</v>
      </c>
      <c r="I162" s="26">
        <v>-0.20499999999999999</v>
      </c>
      <c r="J162" s="26">
        <v>-0.28000000000000003</v>
      </c>
      <c r="K162" s="26">
        <v>-0.11</v>
      </c>
      <c r="L162" s="26">
        <v>-3.8000000000000006E-2</v>
      </c>
      <c r="M162" s="26">
        <v>-5.7999999999999996E-2</v>
      </c>
      <c r="N162" s="26">
        <v>-0.16500000000000001</v>
      </c>
      <c r="O162" s="26">
        <v>-0.19500000000000001</v>
      </c>
      <c r="P162" s="25">
        <v>-0.19500000000000001</v>
      </c>
      <c r="Q162" s="25">
        <v>-5.5250000000000007E-2</v>
      </c>
      <c r="R162" s="25">
        <v>-3.8000000000000006E-2</v>
      </c>
      <c r="S162" s="25">
        <v>0.253</v>
      </c>
      <c r="T162" s="25">
        <v>0.253</v>
      </c>
      <c r="U162" s="25">
        <v>0.158</v>
      </c>
      <c r="V162" s="25">
        <v>0</v>
      </c>
      <c r="W162" s="179">
        <v>0.1825</v>
      </c>
      <c r="X162" s="179">
        <v>0.19500000000000001</v>
      </c>
      <c r="Y162" s="179">
        <v>-1.1500000000000002E-2</v>
      </c>
      <c r="Z162" s="179">
        <v>-1.925E-2</v>
      </c>
      <c r="AA162" s="179">
        <v>1.175E-2</v>
      </c>
      <c r="AB162" s="179">
        <v>-3.2500000000000003E-3</v>
      </c>
      <c r="AC162" s="179">
        <v>5.0000000000000001E-3</v>
      </c>
      <c r="AD162" s="179">
        <v>1.4499999999999999E-2</v>
      </c>
      <c r="AE162" s="179">
        <v>-6.25E-2</v>
      </c>
      <c r="AF162" s="179">
        <v>-3.5000000000000003E-2</v>
      </c>
      <c r="AG162" s="180">
        <v>-4.3500000000000004E-2</v>
      </c>
      <c r="AH162" s="179">
        <v>-1.3000000000000001E-2</v>
      </c>
      <c r="AI162" s="25">
        <v>-4.4000000000000004E-2</v>
      </c>
      <c r="AJ162" s="25">
        <v>-7.2499999999999995E-2</v>
      </c>
      <c r="AK162" s="25">
        <v>-5.9999990000000015E-3</v>
      </c>
      <c r="AL162" s="25">
        <v>6.5000000000000006E-3</v>
      </c>
      <c r="AM162" s="25">
        <v>0.39500000000000002</v>
      </c>
      <c r="AN162" s="25">
        <v>1.7500000000000002E-2</v>
      </c>
      <c r="AO162" s="25">
        <v>-0.33</v>
      </c>
      <c r="AP162" s="25">
        <v>-0.12</v>
      </c>
      <c r="AQ162" s="25">
        <v>-0.19</v>
      </c>
      <c r="AR162" s="25">
        <v>-0.28999999999999998</v>
      </c>
      <c r="AS162" s="25">
        <v>0</v>
      </c>
      <c r="AT162" s="25">
        <v>0</v>
      </c>
      <c r="AU162" s="25">
        <v>0.29499999999999998</v>
      </c>
      <c r="AV162" s="25">
        <v>-0.33</v>
      </c>
      <c r="AW162" s="25">
        <v>-8.4499999999999992E-2</v>
      </c>
      <c r="AY162" s="25">
        <v>-8.4499999999999992E-2</v>
      </c>
      <c r="AZ162" s="25">
        <v>-3.8000000000000006E-2</v>
      </c>
      <c r="BA162" s="25">
        <v>-8.4499999999999992E-2</v>
      </c>
      <c r="BB162" s="25">
        <v>-1.3000000000000001E-2</v>
      </c>
      <c r="BC162" s="25">
        <v>-4.2999999999999997E-2</v>
      </c>
      <c r="BD162" s="25">
        <v>-1.7500000000000002E-2</v>
      </c>
      <c r="BE162" s="25">
        <v>-6.25E-2</v>
      </c>
      <c r="BF162" s="25">
        <v>-0.17</v>
      </c>
      <c r="BG162" s="25">
        <v>0.14749999999999999</v>
      </c>
      <c r="BH162" s="25">
        <v>0.28300000000000003</v>
      </c>
      <c r="BI162" s="25">
        <v>0.28300000000000003</v>
      </c>
      <c r="BJ162" s="25">
        <v>0.28999999999999998</v>
      </c>
    </row>
    <row r="163" spans="1:62" x14ac:dyDescent="0.25">
      <c r="A163" s="26" t="e">
        <f>#REF!-B163</f>
        <v>#REF!</v>
      </c>
      <c r="B163" s="26">
        <v>3.67</v>
      </c>
      <c r="C163" s="145">
        <v>41548</v>
      </c>
      <c r="D163" s="26">
        <v>3.34</v>
      </c>
      <c r="E163" s="26">
        <v>0.15</v>
      </c>
      <c r="F163" s="26">
        <v>7.0248299264130024E-2</v>
      </c>
      <c r="G163" s="26">
        <v>-0.19500000000000001</v>
      </c>
      <c r="H163" s="26">
        <v>-0.2</v>
      </c>
      <c r="I163" s="26">
        <v>-0.19</v>
      </c>
      <c r="J163" s="26">
        <v>-0.28000000000000003</v>
      </c>
      <c r="K163" s="26">
        <v>-9.5000000000000001E-2</v>
      </c>
      <c r="L163" s="26">
        <v>-3.8000000000000006E-2</v>
      </c>
      <c r="M163" s="26">
        <v>-5.7999999999999996E-2</v>
      </c>
      <c r="N163" s="26">
        <v>-0.16500000000000001</v>
      </c>
      <c r="O163" s="26">
        <v>-0.19500000000000001</v>
      </c>
      <c r="P163" s="25">
        <v>-0.19500000000000001</v>
      </c>
      <c r="Q163" s="25">
        <v>-6.0250000000000005E-2</v>
      </c>
      <c r="R163" s="25">
        <v>-3.8000000000000006E-2</v>
      </c>
      <c r="S163" s="25">
        <v>0.26800000000000002</v>
      </c>
      <c r="T163" s="25">
        <v>0.26800000000000002</v>
      </c>
      <c r="U163" s="25">
        <v>0.17300000000000001</v>
      </c>
      <c r="V163" s="25">
        <v>0</v>
      </c>
      <c r="W163" s="179">
        <v>0.1875</v>
      </c>
      <c r="X163" s="179">
        <v>0.215</v>
      </c>
      <c r="Y163" s="179">
        <v>-1.1500000000000002E-2</v>
      </c>
      <c r="Z163" s="179">
        <v>-1.925E-2</v>
      </c>
      <c r="AA163" s="179">
        <v>-6.5000000000000006E-3</v>
      </c>
      <c r="AB163" s="179">
        <v>-2.1499999999999998E-2</v>
      </c>
      <c r="AC163" s="179">
        <v>5.0000000000000001E-3</v>
      </c>
      <c r="AD163" s="179">
        <v>1.4499999999999999E-2</v>
      </c>
      <c r="AE163" s="179">
        <v>-6.25E-2</v>
      </c>
      <c r="AF163" s="179">
        <v>-3.5000000000000003E-2</v>
      </c>
      <c r="AG163" s="180">
        <v>-4.3500000000000004E-2</v>
      </c>
      <c r="AH163" s="179">
        <v>-1.3000000000000001E-2</v>
      </c>
      <c r="AI163" s="25">
        <v>-4.6000000000000006E-2</v>
      </c>
      <c r="AJ163" s="25">
        <v>-8.2500000000000004E-2</v>
      </c>
      <c r="AK163" s="25">
        <v>-5.9999990000000015E-3</v>
      </c>
      <c r="AL163" s="25">
        <v>6.5000000000000006E-3</v>
      </c>
      <c r="AM163" s="25">
        <v>0.46100000000000002</v>
      </c>
      <c r="AN163" s="25">
        <v>7.4999999999999997E-3</v>
      </c>
      <c r="AO163" s="25">
        <v>-0.33</v>
      </c>
      <c r="AP163" s="25">
        <v>-0.12</v>
      </c>
      <c r="AQ163" s="25">
        <v>-0.19</v>
      </c>
      <c r="AR163" s="25">
        <v>-0.28999999999999998</v>
      </c>
      <c r="AS163" s="25">
        <v>0</v>
      </c>
      <c r="AT163" s="25">
        <v>0</v>
      </c>
      <c r="AU163" s="25">
        <v>0.29499999999999998</v>
      </c>
      <c r="AV163" s="25">
        <v>-0.33</v>
      </c>
      <c r="AW163" s="25">
        <v>-9.4500000000000015E-2</v>
      </c>
      <c r="AY163" s="25">
        <v>-9.4500000000000015E-2</v>
      </c>
      <c r="AZ163" s="25">
        <v>-3.8000000000000006E-2</v>
      </c>
      <c r="BA163" s="25">
        <v>-8.7000000000000008E-2</v>
      </c>
      <c r="BB163" s="25">
        <v>-1.3000000000000001E-2</v>
      </c>
      <c r="BC163" s="25">
        <v>-4.2999999999999997E-2</v>
      </c>
      <c r="BD163" s="25">
        <v>-2.75E-2</v>
      </c>
      <c r="BE163" s="25">
        <v>-6.25E-2</v>
      </c>
      <c r="BF163" s="25">
        <v>-0.17</v>
      </c>
      <c r="BG163" s="25">
        <v>0.14749999999999999</v>
      </c>
      <c r="BH163" s="25">
        <v>0.29799999999999999</v>
      </c>
      <c r="BI163" s="25">
        <v>0.29799999999999999</v>
      </c>
      <c r="BJ163" s="25">
        <v>0.36249999999999999</v>
      </c>
    </row>
    <row r="164" spans="1:62" x14ac:dyDescent="0.25">
      <c r="A164" s="26" t="e">
        <f>#REF!-B164</f>
        <v>#REF!</v>
      </c>
      <c r="B164" s="26">
        <v>3.65</v>
      </c>
      <c r="C164" s="145">
        <v>41579</v>
      </c>
      <c r="D164" s="26">
        <v>3.3820000000000001</v>
      </c>
      <c r="E164" s="26">
        <v>0.15</v>
      </c>
      <c r="F164" s="26">
        <v>7.0250463674118011E-2</v>
      </c>
      <c r="G164" s="26">
        <v>-0.19</v>
      </c>
      <c r="H164" s="26">
        <v>-0.19500000000000001</v>
      </c>
      <c r="I164" s="26">
        <v>-0.1525</v>
      </c>
      <c r="J164" s="26">
        <v>-0.27500000000000002</v>
      </c>
      <c r="K164" s="26">
        <v>-5.7500000000000002E-2</v>
      </c>
      <c r="L164" s="26">
        <v>-3.7499999999999999E-2</v>
      </c>
      <c r="M164" s="26">
        <v>-7.2499999999999995E-2</v>
      </c>
      <c r="N164" s="26">
        <v>-0.16</v>
      </c>
      <c r="O164" s="26">
        <v>-0.19</v>
      </c>
      <c r="P164" s="25">
        <v>-0.19</v>
      </c>
      <c r="Q164" s="25">
        <v>-0.08</v>
      </c>
      <c r="R164" s="25">
        <v>-3.7499999999999999E-2</v>
      </c>
      <c r="S164" s="25">
        <v>0.33</v>
      </c>
      <c r="T164" s="25">
        <v>0.33</v>
      </c>
      <c r="U164" s="25">
        <v>0.23499999999999999</v>
      </c>
      <c r="V164" s="25">
        <v>0</v>
      </c>
      <c r="W164" s="179">
        <v>0.27</v>
      </c>
      <c r="X164" s="179">
        <v>0.28749999999999998</v>
      </c>
      <c r="Y164" s="179">
        <v>-1.4499999999999999E-2</v>
      </c>
      <c r="Z164" s="179">
        <v>-3.2500000000000001E-2</v>
      </c>
      <c r="AA164" s="179">
        <v>-5.5000000000000005E-3</v>
      </c>
      <c r="AB164" s="179">
        <v>-2.0499999999999997E-2</v>
      </c>
      <c r="AC164" s="179">
        <v>5.0000000000000001E-3</v>
      </c>
      <c r="AD164" s="179">
        <v>6.5000000000000006E-3</v>
      </c>
      <c r="AE164" s="179">
        <v>-6.5000000000000002E-2</v>
      </c>
      <c r="AF164" s="179">
        <v>-3.5000000000000003E-2</v>
      </c>
      <c r="AG164" s="180">
        <v>-4.6500000000000007E-2</v>
      </c>
      <c r="AH164" s="179">
        <v>-9.4999990000000003E-3</v>
      </c>
      <c r="AI164" s="25">
        <v>-6.1000000000000006E-2</v>
      </c>
      <c r="AJ164" s="25">
        <v>-0.1225</v>
      </c>
      <c r="AK164" s="25">
        <v>1.5E-3</v>
      </c>
      <c r="AL164" s="25">
        <v>1.6E-2</v>
      </c>
      <c r="AM164" s="25">
        <v>0.76749999999999996</v>
      </c>
      <c r="AN164" s="25">
        <v>-3.2500000000000001E-2</v>
      </c>
      <c r="AO164" s="25">
        <v>-0.255</v>
      </c>
      <c r="AP164" s="25">
        <v>-0.13250000000000001</v>
      </c>
      <c r="AQ164" s="25">
        <v>-0.19</v>
      </c>
      <c r="AR164" s="25">
        <v>0</v>
      </c>
      <c r="AS164" s="25">
        <v>0</v>
      </c>
      <c r="AT164" s="25">
        <v>0</v>
      </c>
      <c r="AU164" s="25">
        <v>0.12</v>
      </c>
      <c r="AV164" s="25">
        <v>-0.255</v>
      </c>
      <c r="AW164" s="25">
        <v>-9.9500000000000019E-2</v>
      </c>
      <c r="AY164" s="25">
        <v>-9.9500000000000019E-2</v>
      </c>
      <c r="AZ164" s="25">
        <v>-3.7499999999999999E-2</v>
      </c>
      <c r="BA164" s="25">
        <v>-8.4499999999999992E-2</v>
      </c>
      <c r="BB164" s="25">
        <v>-1.4499999999999999E-2</v>
      </c>
      <c r="BC164" s="25">
        <v>-5.7500000000000002E-2</v>
      </c>
      <c r="BD164" s="25">
        <v>-6.7500000000000004E-2</v>
      </c>
      <c r="BE164" s="25">
        <v>-6.5000000000000002E-2</v>
      </c>
      <c r="BF164" s="25">
        <v>-0.17</v>
      </c>
      <c r="BG164" s="25">
        <v>0.27500000000000002</v>
      </c>
      <c r="BH164" s="25">
        <v>0.375</v>
      </c>
      <c r="BI164" s="25">
        <v>0.375</v>
      </c>
      <c r="BJ164" s="25">
        <v>0.46500000000000002</v>
      </c>
    </row>
    <row r="165" spans="1:62" x14ac:dyDescent="0.25">
      <c r="A165" s="26" t="e">
        <f>#REF!-B165</f>
        <v>#REF!</v>
      </c>
      <c r="B165" s="26">
        <v>3.6580000000000004</v>
      </c>
      <c r="C165" s="145">
        <v>41609</v>
      </c>
      <c r="D165" s="26">
        <v>3.4340000000000006</v>
      </c>
      <c r="E165" s="26">
        <v>0.15</v>
      </c>
      <c r="F165" s="26">
        <v>7.0252558264430998E-2</v>
      </c>
      <c r="G165" s="26">
        <v>-0.19750000000000001</v>
      </c>
      <c r="H165" s="26">
        <v>-0.20250000000000001</v>
      </c>
      <c r="I165" s="26">
        <v>-0.14499999999999999</v>
      </c>
      <c r="J165" s="26">
        <v>-0.28249999999999997</v>
      </c>
      <c r="K165" s="26">
        <v>-0.05</v>
      </c>
      <c r="L165" s="26">
        <v>-3.7499999999999999E-2</v>
      </c>
      <c r="M165" s="26">
        <v>-7.2499999999999995E-2</v>
      </c>
      <c r="N165" s="26">
        <v>-0.16750000000000001</v>
      </c>
      <c r="O165" s="26">
        <v>-0.19750000000000001</v>
      </c>
      <c r="P165" s="25">
        <v>-0.19750000000000001</v>
      </c>
      <c r="Q165" s="25">
        <v>-9.1249999999999998E-2</v>
      </c>
      <c r="R165" s="25">
        <v>-3.7499999999999999E-2</v>
      </c>
      <c r="S165" s="25">
        <v>0.37</v>
      </c>
      <c r="T165" s="25">
        <v>0.37</v>
      </c>
      <c r="U165" s="25">
        <v>0.27500000000000002</v>
      </c>
      <c r="V165" s="25">
        <v>0</v>
      </c>
      <c r="W165" s="179">
        <v>0.30499999999999999</v>
      </c>
      <c r="X165" s="179">
        <v>0.33750000000000002</v>
      </c>
      <c r="Y165" s="179">
        <v>-1.4499999999999999E-2</v>
      </c>
      <c r="Z165" s="179">
        <v>-2.5000000000000001E-2</v>
      </c>
      <c r="AA165" s="179">
        <v>-5.5000000000000005E-3</v>
      </c>
      <c r="AB165" s="179">
        <v>-2.0499999999999997E-2</v>
      </c>
      <c r="AC165" s="179">
        <v>5.0000000000000001E-3</v>
      </c>
      <c r="AD165" s="179">
        <v>6.5000000000000006E-3</v>
      </c>
      <c r="AE165" s="179">
        <v>-6.5000000000000002E-2</v>
      </c>
      <c r="AF165" s="179">
        <v>-3.5000000000000003E-2</v>
      </c>
      <c r="AG165" s="180">
        <v>-4.6500000000000007E-2</v>
      </c>
      <c r="AH165" s="179">
        <v>-9.4999990000000003E-3</v>
      </c>
      <c r="AI165" s="25">
        <v>-6.1000000000000006E-2</v>
      </c>
      <c r="AJ165" s="25">
        <v>-0.14499999999999999</v>
      </c>
      <c r="AK165" s="25">
        <v>1.5E-3</v>
      </c>
      <c r="AL165" s="25">
        <v>1.6E-2</v>
      </c>
      <c r="AM165" s="25">
        <v>1.19</v>
      </c>
      <c r="AN165" s="25">
        <v>-5.5E-2</v>
      </c>
      <c r="AO165" s="25">
        <v>-0.255</v>
      </c>
      <c r="AP165" s="25">
        <v>-0.1275</v>
      </c>
      <c r="AQ165" s="25">
        <v>-0.19</v>
      </c>
      <c r="AR165" s="25">
        <v>0.06</v>
      </c>
      <c r="AS165" s="25">
        <v>0</v>
      </c>
      <c r="AT165" s="25">
        <v>0</v>
      </c>
      <c r="AU165" s="25">
        <v>0.12</v>
      </c>
      <c r="AV165" s="25">
        <v>-0.255</v>
      </c>
      <c r="AW165" s="25">
        <v>-0.1295</v>
      </c>
      <c r="AY165" s="25">
        <v>-0.1295</v>
      </c>
      <c r="AZ165" s="25">
        <v>-3.7499999999999999E-2</v>
      </c>
      <c r="BA165" s="25">
        <v>-0.11950000000000001</v>
      </c>
      <c r="BB165" s="25">
        <v>-1.4499999999999999E-2</v>
      </c>
      <c r="BC165" s="25">
        <v>-5.7500000000000002E-2</v>
      </c>
      <c r="BD165" s="25">
        <v>-0.09</v>
      </c>
      <c r="BE165" s="25">
        <v>-6.5000000000000002E-2</v>
      </c>
      <c r="BF165" s="25">
        <v>-0.17</v>
      </c>
      <c r="BG165" s="25">
        <v>0.245</v>
      </c>
      <c r="BH165" s="25">
        <v>0.41499999999999998</v>
      </c>
      <c r="BI165" s="25">
        <v>0.41499999999999998</v>
      </c>
      <c r="BJ165" s="25">
        <v>0.8</v>
      </c>
    </row>
    <row r="166" spans="1:62" x14ac:dyDescent="0.25">
      <c r="A166" s="26" t="e">
        <f>#REF!-B166</f>
        <v>#REF!</v>
      </c>
      <c r="B166" s="26">
        <v>3.72</v>
      </c>
      <c r="C166" s="145">
        <v>41640</v>
      </c>
      <c r="D166" s="26">
        <v>3.7590000000000003</v>
      </c>
      <c r="E166" s="26">
        <v>0.15</v>
      </c>
      <c r="F166" s="26">
        <v>7.025472267442201E-2</v>
      </c>
      <c r="G166" s="26">
        <v>-0.2</v>
      </c>
      <c r="H166" s="26">
        <v>-0.20499999999999999</v>
      </c>
      <c r="I166" s="26">
        <v>-0.13</v>
      </c>
      <c r="J166" s="26">
        <v>-0.26500000000000001</v>
      </c>
      <c r="K166" s="26">
        <v>-3.5000000000000003E-2</v>
      </c>
      <c r="L166" s="26">
        <v>-3.7499999999999999E-2</v>
      </c>
      <c r="M166" s="26">
        <v>-7.2499999999999995E-2</v>
      </c>
      <c r="N166" s="26">
        <v>-0.17</v>
      </c>
      <c r="O166" s="26">
        <v>-0.2</v>
      </c>
      <c r="P166" s="25">
        <v>-0.2</v>
      </c>
      <c r="Q166" s="25">
        <v>-9.2499999999999999E-2</v>
      </c>
      <c r="R166" s="25">
        <v>-3.7499999999999999E-2</v>
      </c>
      <c r="S166" s="25">
        <v>0.38</v>
      </c>
      <c r="T166" s="25">
        <v>0.38</v>
      </c>
      <c r="U166" s="25">
        <v>0.28499999999999998</v>
      </c>
      <c r="V166" s="25">
        <v>0</v>
      </c>
      <c r="W166" s="179">
        <v>0.30499999999999999</v>
      </c>
      <c r="X166" s="179">
        <v>0.4375</v>
      </c>
      <c r="Y166" s="179">
        <v>-9.999998999999999E-3</v>
      </c>
      <c r="Z166" s="179">
        <v>-2.5000000000000001E-2</v>
      </c>
      <c r="AA166" s="179">
        <v>-5.5000000000000005E-3</v>
      </c>
      <c r="AB166" s="179">
        <v>-2.0499999999999997E-2</v>
      </c>
      <c r="AC166" s="179">
        <v>5.0000000000000001E-3</v>
      </c>
      <c r="AD166" s="179">
        <v>6.5000000000000006E-3</v>
      </c>
      <c r="AE166" s="179">
        <v>-6.5000000000000002E-2</v>
      </c>
      <c r="AF166" s="179">
        <v>-3.3000000000000002E-2</v>
      </c>
      <c r="AG166" s="180">
        <v>-4.6500000000000007E-2</v>
      </c>
      <c r="AH166" s="179">
        <v>-9.4999990000000003E-3</v>
      </c>
      <c r="AI166" s="25">
        <v>-5.4000000000000006E-2</v>
      </c>
      <c r="AJ166" s="25">
        <v>-0.14749999999999999</v>
      </c>
      <c r="AK166" s="25">
        <v>3.5000000000000005E-3</v>
      </c>
      <c r="AL166" s="25">
        <v>1.6E-2</v>
      </c>
      <c r="AM166" s="25">
        <v>1.5249999999999999</v>
      </c>
      <c r="AN166" s="25">
        <v>-5.7500000000000002E-2</v>
      </c>
      <c r="AO166" s="25">
        <v>-0.25</v>
      </c>
      <c r="AP166" s="25">
        <v>-0.1275</v>
      </c>
      <c r="AQ166" s="25">
        <v>-0.19</v>
      </c>
      <c r="AR166" s="25">
        <v>0.13</v>
      </c>
      <c r="AS166" s="25">
        <v>0</v>
      </c>
      <c r="AT166" s="25">
        <v>0</v>
      </c>
      <c r="AU166" s="25">
        <v>0.12</v>
      </c>
      <c r="AV166" s="25">
        <v>-0.25</v>
      </c>
      <c r="AW166" s="25">
        <v>-0.11450000000000002</v>
      </c>
      <c r="AY166" s="25">
        <v>-0.11450000000000002</v>
      </c>
      <c r="AZ166" s="25">
        <v>-3.7499999999999999E-2</v>
      </c>
      <c r="BA166" s="25">
        <v>-0.125</v>
      </c>
      <c r="BB166" s="25">
        <v>-1.4499999999999999E-2</v>
      </c>
      <c r="BC166" s="25">
        <v>-5.7500000000000002E-2</v>
      </c>
      <c r="BD166" s="25">
        <v>-9.2499999999999999E-2</v>
      </c>
      <c r="BE166" s="25">
        <v>-6.5000000000000002E-2</v>
      </c>
      <c r="BF166" s="25">
        <v>-0.17</v>
      </c>
      <c r="BG166" s="25">
        <v>0.28000000000000003</v>
      </c>
      <c r="BH166" s="25">
        <v>0.42499999999999999</v>
      </c>
      <c r="BI166" s="25">
        <v>0.42499999999999999</v>
      </c>
      <c r="BJ166" s="25">
        <v>0.97499999999999998</v>
      </c>
    </row>
    <row r="167" spans="1:62" x14ac:dyDescent="0.25">
      <c r="A167" s="26" t="e">
        <f>#REF!-B167</f>
        <v>#REF!</v>
      </c>
      <c r="B167" s="26">
        <v>3.7990000000000004</v>
      </c>
      <c r="C167" s="145">
        <v>41671</v>
      </c>
      <c r="D167" s="26">
        <v>3.6610000000000005</v>
      </c>
      <c r="E167" s="26">
        <v>0.15</v>
      </c>
      <c r="F167" s="26">
        <v>7.0256887084415007E-2</v>
      </c>
      <c r="G167" s="26">
        <v>-0.20250000000000001</v>
      </c>
      <c r="H167" s="26">
        <v>-0.20749999999999999</v>
      </c>
      <c r="I167" s="26">
        <v>-0.13</v>
      </c>
      <c r="J167" s="26">
        <v>-0.26750000000000002</v>
      </c>
      <c r="K167" s="26">
        <v>-3.5000000000000003E-2</v>
      </c>
      <c r="L167" s="26">
        <v>-3.7499999999999999E-2</v>
      </c>
      <c r="M167" s="26">
        <v>-7.2499999999999995E-2</v>
      </c>
      <c r="N167" s="26">
        <v>-0.17249999999999999</v>
      </c>
      <c r="O167" s="26">
        <v>-0.20250000000000001</v>
      </c>
      <c r="P167" s="25">
        <v>-0.20250000000000001</v>
      </c>
      <c r="Q167" s="25">
        <v>-8.3750000000000005E-2</v>
      </c>
      <c r="R167" s="25">
        <v>-3.7499999999999999E-2</v>
      </c>
      <c r="S167" s="25">
        <v>0.35499999999999998</v>
      </c>
      <c r="T167" s="25">
        <v>0.35499999999999998</v>
      </c>
      <c r="U167" s="25">
        <v>0.26</v>
      </c>
      <c r="V167" s="25">
        <v>0</v>
      </c>
      <c r="W167" s="179">
        <v>0.30499999999999999</v>
      </c>
      <c r="X167" s="179">
        <v>0.435</v>
      </c>
      <c r="Y167" s="179">
        <v>-9.999998999999999E-3</v>
      </c>
      <c r="Z167" s="179">
        <v>-2.5000000000000001E-2</v>
      </c>
      <c r="AA167" s="179">
        <v>-5.5000000000000005E-3</v>
      </c>
      <c r="AB167" s="179">
        <v>-2.0499999999999997E-2</v>
      </c>
      <c r="AC167" s="179">
        <v>5.0000000000000001E-3</v>
      </c>
      <c r="AD167" s="179">
        <v>6.5000000000000006E-3</v>
      </c>
      <c r="AE167" s="179">
        <v>-6.5000000000000002E-2</v>
      </c>
      <c r="AF167" s="179">
        <v>-3.3000000000000002E-2</v>
      </c>
      <c r="AG167" s="180">
        <v>-4.6500000000000007E-2</v>
      </c>
      <c r="AH167" s="179">
        <v>-9.4999990000000003E-3</v>
      </c>
      <c r="AI167" s="25">
        <v>-5.4000000000000006E-2</v>
      </c>
      <c r="AJ167" s="25">
        <v>-0.13</v>
      </c>
      <c r="AK167" s="25">
        <v>3.5000000000000005E-3</v>
      </c>
      <c r="AL167" s="25">
        <v>1.6E-2</v>
      </c>
      <c r="AM167" s="25">
        <v>1.4550000000000001</v>
      </c>
      <c r="AN167" s="25">
        <v>-0.04</v>
      </c>
      <c r="AO167" s="25">
        <v>-0.25</v>
      </c>
      <c r="AP167" s="25">
        <v>-0.1275</v>
      </c>
      <c r="AQ167" s="25">
        <v>-0.19</v>
      </c>
      <c r="AR167" s="25">
        <v>0</v>
      </c>
      <c r="AS167" s="25">
        <v>0</v>
      </c>
      <c r="AT167" s="25">
        <v>0</v>
      </c>
      <c r="AU167" s="25">
        <v>0.12</v>
      </c>
      <c r="AV167" s="25">
        <v>-0.25</v>
      </c>
      <c r="AW167" s="25">
        <v>-0.11700000000000001</v>
      </c>
      <c r="AY167" s="25">
        <v>-0.11700000000000001</v>
      </c>
      <c r="AZ167" s="25">
        <v>-3.7499999999999999E-2</v>
      </c>
      <c r="BA167" s="25">
        <v>-0.1075</v>
      </c>
      <c r="BB167" s="25">
        <v>-1.4499999999999999E-2</v>
      </c>
      <c r="BC167" s="25">
        <v>-5.7500000000000002E-2</v>
      </c>
      <c r="BD167" s="25">
        <v>-7.4999999999999997E-2</v>
      </c>
      <c r="BE167" s="25">
        <v>-6.5000000000000002E-2</v>
      </c>
      <c r="BF167" s="25">
        <v>-0.17</v>
      </c>
      <c r="BG167" s="25">
        <v>0.33</v>
      </c>
      <c r="BH167" s="25">
        <v>0.4</v>
      </c>
      <c r="BI167" s="25">
        <v>0.4</v>
      </c>
      <c r="BJ167" s="25">
        <v>0.97499999999999998</v>
      </c>
    </row>
    <row r="168" spans="1:62" x14ac:dyDescent="0.25">
      <c r="A168" s="26" t="e">
        <f>#REF!-B168</f>
        <v>#REF!</v>
      </c>
      <c r="B168" s="26">
        <v>4.0750000000000002</v>
      </c>
      <c r="C168" s="145">
        <v>41699</v>
      </c>
      <c r="D168" s="26">
        <v>3.5240000000000005</v>
      </c>
      <c r="E168" s="26">
        <v>0.15</v>
      </c>
      <c r="F168" s="26">
        <v>7.0258842035377009E-2</v>
      </c>
      <c r="G168" s="26">
        <v>-0.20499999999999999</v>
      </c>
      <c r="H168" s="26">
        <v>-0.21</v>
      </c>
      <c r="I168" s="26">
        <v>-0.13</v>
      </c>
      <c r="J168" s="26">
        <v>-0.27</v>
      </c>
      <c r="K168" s="26">
        <v>-3.5000000000000003E-2</v>
      </c>
      <c r="L168" s="26">
        <v>-3.7499999999999999E-2</v>
      </c>
      <c r="M168" s="26">
        <v>-7.2499999999999995E-2</v>
      </c>
      <c r="N168" s="26">
        <v>-0.17499999999999999</v>
      </c>
      <c r="O168" s="26">
        <v>-0.20499999999999999</v>
      </c>
      <c r="P168" s="25">
        <v>-0.20499999999999999</v>
      </c>
      <c r="Q168" s="25">
        <v>-7.7499999999999999E-2</v>
      </c>
      <c r="R168" s="25">
        <v>-3.7499999999999999E-2</v>
      </c>
      <c r="S168" s="25">
        <v>0.35300000000000004</v>
      </c>
      <c r="T168" s="25">
        <v>0.35300000000000004</v>
      </c>
      <c r="U168" s="25">
        <v>0.25800000000000001</v>
      </c>
      <c r="V168" s="25">
        <v>0</v>
      </c>
      <c r="W168" s="179">
        <v>0.26500000000000001</v>
      </c>
      <c r="X168" s="179">
        <v>0.30249999999999999</v>
      </c>
      <c r="Y168" s="179">
        <v>-9.999998999999999E-3</v>
      </c>
      <c r="Z168" s="179">
        <v>-2.5000000000000001E-2</v>
      </c>
      <c r="AA168" s="179">
        <v>1.3000000000000001E-2</v>
      </c>
      <c r="AB168" s="179">
        <v>-1.9999990000000001E-3</v>
      </c>
      <c r="AC168" s="179">
        <v>5.0000000000000001E-3</v>
      </c>
      <c r="AD168" s="179">
        <v>6.5000000000000006E-3</v>
      </c>
      <c r="AE168" s="179">
        <v>-6.5000000000000002E-2</v>
      </c>
      <c r="AF168" s="179">
        <v>-3.3000000000000002E-2</v>
      </c>
      <c r="AG168" s="180">
        <v>-4.6500000000000007E-2</v>
      </c>
      <c r="AH168" s="179">
        <v>-9.4999990000000003E-3</v>
      </c>
      <c r="AI168" s="25">
        <v>-6.1000000000000006E-2</v>
      </c>
      <c r="AJ168" s="25">
        <v>-0.11749999999999999</v>
      </c>
      <c r="AK168" s="25">
        <v>3.5000000000000005E-3</v>
      </c>
      <c r="AL168" s="25">
        <v>1.6E-2</v>
      </c>
      <c r="AM168" s="25">
        <v>0.83499999999999996</v>
      </c>
      <c r="AN168" s="25">
        <v>-2.75E-2</v>
      </c>
      <c r="AO168" s="25">
        <v>-0.25</v>
      </c>
      <c r="AP168" s="25">
        <v>-0.13250000000000001</v>
      </c>
      <c r="AQ168" s="25">
        <v>-0.19</v>
      </c>
      <c r="AR168" s="25">
        <v>-0.18</v>
      </c>
      <c r="AS168" s="25">
        <v>0</v>
      </c>
      <c r="AT168" s="25">
        <v>0</v>
      </c>
      <c r="AU168" s="25">
        <v>0.12</v>
      </c>
      <c r="AV168" s="25">
        <v>-0.25</v>
      </c>
      <c r="AW168" s="25">
        <v>-9.7000000000000017E-2</v>
      </c>
      <c r="AY168" s="25">
        <v>-9.7000000000000017E-2</v>
      </c>
      <c r="AZ168" s="25">
        <v>-3.7499999999999999E-2</v>
      </c>
      <c r="BA168" s="25">
        <v>-0.09</v>
      </c>
      <c r="BB168" s="25">
        <v>-1.4499999999999999E-2</v>
      </c>
      <c r="BC168" s="25">
        <v>-5.7500000000000002E-2</v>
      </c>
      <c r="BD168" s="25">
        <v>-6.25E-2</v>
      </c>
      <c r="BE168" s="25">
        <v>-6.5000000000000002E-2</v>
      </c>
      <c r="BF168" s="25">
        <v>-0.17</v>
      </c>
      <c r="BG168" s="25">
        <v>0.32</v>
      </c>
      <c r="BH168" s="25">
        <v>0.39800000000000008</v>
      </c>
      <c r="BI168" s="25">
        <v>0.39800000000000008</v>
      </c>
      <c r="BJ168" s="25">
        <v>0.60750000000000004</v>
      </c>
    </row>
    <row r="169" spans="1:62" x14ac:dyDescent="0.25">
      <c r="A169" s="26" t="e">
        <f>#REF!-B169</f>
        <v>#REF!</v>
      </c>
      <c r="B169" s="26">
        <v>3.992</v>
      </c>
      <c r="C169" s="145">
        <v>41730</v>
      </c>
      <c r="D169" s="26">
        <v>3.3790000000000004</v>
      </c>
      <c r="E169" s="26">
        <v>0.15</v>
      </c>
      <c r="F169" s="26">
        <v>7.0261006445373003E-2</v>
      </c>
      <c r="G169" s="26">
        <v>-0.19500000000000001</v>
      </c>
      <c r="H169" s="26">
        <v>-0.2</v>
      </c>
      <c r="I169" s="26">
        <v>-0.17499999999999999</v>
      </c>
      <c r="J169" s="26">
        <v>-0.26</v>
      </c>
      <c r="K169" s="26">
        <v>-0.08</v>
      </c>
      <c r="L169" s="26">
        <v>-0.03</v>
      </c>
      <c r="M169" s="26">
        <v>-5.5500000000000001E-2</v>
      </c>
      <c r="N169" s="26">
        <v>-0.16500000000000001</v>
      </c>
      <c r="O169" s="26">
        <v>-0.19500000000000001</v>
      </c>
      <c r="P169" s="25">
        <v>-0.19500000000000001</v>
      </c>
      <c r="Q169" s="25">
        <v>-5.5E-2</v>
      </c>
      <c r="R169" s="25">
        <v>-3.5000000000000003E-2</v>
      </c>
      <c r="S169" s="25">
        <v>0.25800000000000001</v>
      </c>
      <c r="T169" s="25">
        <v>0.25800000000000001</v>
      </c>
      <c r="U169" s="25">
        <v>0.16300000000000001</v>
      </c>
      <c r="V169" s="25">
        <v>0</v>
      </c>
      <c r="W169" s="179">
        <v>0.19500000000000001</v>
      </c>
      <c r="X169" s="179">
        <v>0.25</v>
      </c>
      <c r="Y169" s="179">
        <v>-9.4999990000000003E-3</v>
      </c>
      <c r="Z169" s="179">
        <v>-1.7500000000000002E-2</v>
      </c>
      <c r="AA169" s="179">
        <v>1.3000000000000001E-2</v>
      </c>
      <c r="AB169" s="179">
        <v>-1.9999990000000001E-3</v>
      </c>
      <c r="AC169" s="179">
        <v>5.0000000000000001E-3</v>
      </c>
      <c r="AD169" s="179">
        <v>1.6500000000000001E-2</v>
      </c>
      <c r="AE169" s="179">
        <v>-6.25E-2</v>
      </c>
      <c r="AF169" s="179">
        <v>-3.5500000000000004E-2</v>
      </c>
      <c r="AG169" s="180">
        <v>-4.4000000000000004E-2</v>
      </c>
      <c r="AH169" s="179">
        <v>-1.2E-2</v>
      </c>
      <c r="AI169" s="25">
        <v>-5.4000000000000006E-2</v>
      </c>
      <c r="AJ169" s="25">
        <v>-7.4999999999999997E-2</v>
      </c>
      <c r="AK169" s="25">
        <v>-3.9999990000000006E-3</v>
      </c>
      <c r="AL169" s="25">
        <v>6.5000000000000006E-3</v>
      </c>
      <c r="AM169" s="25">
        <v>0.45</v>
      </c>
      <c r="AN169" s="25">
        <v>1.4999999999999999E-2</v>
      </c>
      <c r="AO169" s="25">
        <v>-0.31</v>
      </c>
      <c r="AP169" s="25">
        <v>-0.12</v>
      </c>
      <c r="AQ169" s="25">
        <v>-0.19</v>
      </c>
      <c r="AR169" s="25">
        <v>-0.28999999999999998</v>
      </c>
      <c r="AS169" s="25">
        <v>0</v>
      </c>
      <c r="AT169" s="25">
        <v>0</v>
      </c>
      <c r="AU169" s="25">
        <v>0.29499999999999998</v>
      </c>
      <c r="AV169" s="25">
        <v>-0.31</v>
      </c>
      <c r="AW169" s="25">
        <v>-9.2499999999999999E-2</v>
      </c>
      <c r="AY169" s="25">
        <v>-9.2499999999999999E-2</v>
      </c>
      <c r="AZ169" s="25">
        <v>-3.5000000000000003E-2</v>
      </c>
      <c r="BA169" s="25">
        <v>-8.2500000000000004E-2</v>
      </c>
      <c r="BB169" s="25">
        <v>-1.2E-2</v>
      </c>
      <c r="BC169" s="25">
        <v>-4.0500000000000001E-2</v>
      </c>
      <c r="BD169" s="25">
        <v>-0.02</v>
      </c>
      <c r="BE169" s="25">
        <v>-6.25E-2</v>
      </c>
      <c r="BF169" s="25">
        <v>-0.17</v>
      </c>
      <c r="BG169" s="25">
        <v>0.14749999999999999</v>
      </c>
      <c r="BH169" s="25">
        <v>0.28800000000000003</v>
      </c>
      <c r="BI169" s="25">
        <v>0.28800000000000003</v>
      </c>
      <c r="BJ169" s="25">
        <v>0.35499999999999998</v>
      </c>
    </row>
    <row r="170" spans="1:62" x14ac:dyDescent="0.25">
      <c r="A170" s="26" t="e">
        <f>#REF!-B170</f>
        <v>#REF!</v>
      </c>
      <c r="B170" s="26">
        <v>3.867</v>
      </c>
      <c r="C170" s="145">
        <v>41760</v>
      </c>
      <c r="D170" s="26">
        <v>3.375</v>
      </c>
      <c r="E170" s="26">
        <v>0.15</v>
      </c>
      <c r="F170" s="26">
        <v>7.0263101035692999E-2</v>
      </c>
      <c r="G170" s="26">
        <v>-0.19500000000000001</v>
      </c>
      <c r="H170" s="26">
        <v>-0.2</v>
      </c>
      <c r="I170" s="26">
        <v>-0.20499999999999999</v>
      </c>
      <c r="J170" s="26">
        <v>-0.26</v>
      </c>
      <c r="K170" s="26">
        <v>-9.5000000000000001E-2</v>
      </c>
      <c r="L170" s="26">
        <v>-0.03</v>
      </c>
      <c r="M170" s="26">
        <v>-5.5500000000000001E-2</v>
      </c>
      <c r="N170" s="26">
        <v>-0.16500000000000001</v>
      </c>
      <c r="O170" s="26">
        <v>-0.19500000000000001</v>
      </c>
      <c r="P170" s="25">
        <v>-0.19500000000000001</v>
      </c>
      <c r="Q170" s="25">
        <v>-5.5E-2</v>
      </c>
      <c r="R170" s="25">
        <v>-3.5000000000000003E-2</v>
      </c>
      <c r="S170" s="25">
        <v>0.26800000000000002</v>
      </c>
      <c r="T170" s="25">
        <v>0.26800000000000002</v>
      </c>
      <c r="U170" s="25">
        <v>0.17300000000000001</v>
      </c>
      <c r="V170" s="25">
        <v>0</v>
      </c>
      <c r="W170" s="179">
        <v>0.1825</v>
      </c>
      <c r="X170" s="179">
        <v>0.20250000000000001</v>
      </c>
      <c r="Y170" s="179">
        <v>-9.4999990000000003E-3</v>
      </c>
      <c r="Z170" s="179">
        <v>-1.7750000000000002E-2</v>
      </c>
      <c r="AA170" s="179">
        <v>1.2750000000000001E-2</v>
      </c>
      <c r="AB170" s="179">
        <v>-2.2500000000000003E-3</v>
      </c>
      <c r="AC170" s="179">
        <v>5.0000000000000001E-3</v>
      </c>
      <c r="AD170" s="179">
        <v>1.6500000000000001E-2</v>
      </c>
      <c r="AE170" s="179">
        <v>-6.25E-2</v>
      </c>
      <c r="AF170" s="179">
        <v>-3.5500000000000004E-2</v>
      </c>
      <c r="AG170" s="180">
        <v>-4.4000000000000004E-2</v>
      </c>
      <c r="AH170" s="179">
        <v>-1.2E-2</v>
      </c>
      <c r="AI170" s="25">
        <v>-5.4000000000000006E-2</v>
      </c>
      <c r="AJ170" s="25">
        <v>-7.4999999999999997E-2</v>
      </c>
      <c r="AK170" s="25">
        <v>-3.9999990000000006E-3</v>
      </c>
      <c r="AL170" s="25">
        <v>6.5000000000000006E-3</v>
      </c>
      <c r="AM170" s="25">
        <v>0.40500000000000003</v>
      </c>
      <c r="AN170" s="25">
        <v>1.4999999999999999E-2</v>
      </c>
      <c r="AO170" s="25">
        <v>-0.31</v>
      </c>
      <c r="AP170" s="25">
        <v>-0.12</v>
      </c>
      <c r="AQ170" s="25">
        <v>-0.19</v>
      </c>
      <c r="AR170" s="25">
        <v>-0.28999999999999998</v>
      </c>
      <c r="AS170" s="25">
        <v>0</v>
      </c>
      <c r="AT170" s="25">
        <v>0</v>
      </c>
      <c r="AU170" s="25">
        <v>0.29499999999999998</v>
      </c>
      <c r="AV170" s="25">
        <v>-0.31</v>
      </c>
      <c r="AW170" s="25">
        <v>-0.09</v>
      </c>
      <c r="AY170" s="25">
        <v>-0.09</v>
      </c>
      <c r="AZ170" s="25">
        <v>-3.5000000000000003E-2</v>
      </c>
      <c r="BA170" s="25">
        <v>-8.2500000000000004E-2</v>
      </c>
      <c r="BB170" s="25">
        <v>-1.2E-2</v>
      </c>
      <c r="BC170" s="25">
        <v>-4.0500000000000001E-2</v>
      </c>
      <c r="BD170" s="25">
        <v>-0.02</v>
      </c>
      <c r="BE170" s="25">
        <v>-6.25E-2</v>
      </c>
      <c r="BF170" s="25">
        <v>-0.17</v>
      </c>
      <c r="BG170" s="25">
        <v>0.14749999999999999</v>
      </c>
      <c r="BH170" s="25">
        <v>0.29799999999999999</v>
      </c>
      <c r="BI170" s="25">
        <v>0.29799999999999999</v>
      </c>
      <c r="BJ170" s="25">
        <v>0.28749999999999998</v>
      </c>
    </row>
    <row r="171" spans="1:62" x14ac:dyDescent="0.25">
      <c r="A171" s="26" t="e">
        <f>#REF!-B171</f>
        <v>#REF!</v>
      </c>
      <c r="B171" s="26">
        <v>3.7450000000000001</v>
      </c>
      <c r="C171" s="145">
        <v>41791</v>
      </c>
      <c r="D171" s="26">
        <v>3.4060000000000001</v>
      </c>
      <c r="E171" s="26">
        <v>0.15</v>
      </c>
      <c r="F171" s="26">
        <v>7.0265265445692004E-2</v>
      </c>
      <c r="G171" s="26">
        <v>-0.19500000000000001</v>
      </c>
      <c r="H171" s="26">
        <v>-0.2</v>
      </c>
      <c r="I171" s="26">
        <v>-0.215</v>
      </c>
      <c r="J171" s="26">
        <v>-0.26</v>
      </c>
      <c r="K171" s="26">
        <v>-0.105</v>
      </c>
      <c r="L171" s="26">
        <v>-0.03</v>
      </c>
      <c r="M171" s="26">
        <v>-5.5500000000000001E-2</v>
      </c>
      <c r="N171" s="26">
        <v>-0.16500000000000001</v>
      </c>
      <c r="O171" s="26">
        <v>-0.19500000000000001</v>
      </c>
      <c r="P171" s="25">
        <v>-0.19500000000000001</v>
      </c>
      <c r="Q171" s="25">
        <v>-5.2499999999999998E-2</v>
      </c>
      <c r="R171" s="25">
        <v>-3.5000000000000003E-2</v>
      </c>
      <c r="S171" s="25">
        <v>0.26300000000000001</v>
      </c>
      <c r="T171" s="25">
        <v>0.26300000000000001</v>
      </c>
      <c r="U171" s="25">
        <v>0.16800000000000001</v>
      </c>
      <c r="V171" s="25">
        <v>0</v>
      </c>
      <c r="W171" s="179">
        <v>0.1825</v>
      </c>
      <c r="X171" s="179">
        <v>0.20250000000000001</v>
      </c>
      <c r="Y171" s="179">
        <v>-9.4999990000000003E-3</v>
      </c>
      <c r="Z171" s="179">
        <v>-1.7750000000000002E-2</v>
      </c>
      <c r="AA171" s="179">
        <v>1.2750000000000001E-2</v>
      </c>
      <c r="AB171" s="179">
        <v>-2.2500000000000003E-3</v>
      </c>
      <c r="AC171" s="179">
        <v>5.0000000000000001E-3</v>
      </c>
      <c r="AD171" s="179">
        <v>1.6500000000000001E-2</v>
      </c>
      <c r="AE171" s="179">
        <v>-6.25E-2</v>
      </c>
      <c r="AF171" s="179">
        <v>-3.5500000000000004E-2</v>
      </c>
      <c r="AG171" s="180">
        <v>-4.4000000000000004E-2</v>
      </c>
      <c r="AH171" s="179">
        <v>-1.2E-2</v>
      </c>
      <c r="AI171" s="25">
        <v>-7.0000000000000007E-2</v>
      </c>
      <c r="AJ171" s="25">
        <v>-7.0000000000000007E-2</v>
      </c>
      <c r="AK171" s="25">
        <v>-3.9999990000000006E-3</v>
      </c>
      <c r="AL171" s="25">
        <v>6.5000000000000006E-3</v>
      </c>
      <c r="AM171" s="25">
        <v>0.39500000000000002</v>
      </c>
      <c r="AN171" s="25">
        <v>0.02</v>
      </c>
      <c r="AO171" s="25">
        <v>-0.31</v>
      </c>
      <c r="AP171" s="25">
        <v>-0.12</v>
      </c>
      <c r="AQ171" s="25">
        <v>-0.19</v>
      </c>
      <c r="AR171" s="25">
        <v>-0.28999999999999998</v>
      </c>
      <c r="AS171" s="25">
        <v>0</v>
      </c>
      <c r="AT171" s="25">
        <v>0</v>
      </c>
      <c r="AU171" s="25">
        <v>0.29499999999999998</v>
      </c>
      <c r="AV171" s="25">
        <v>-0.31</v>
      </c>
      <c r="AW171" s="25">
        <v>-8.2500000000000004E-2</v>
      </c>
      <c r="AY171" s="25">
        <v>-8.2500000000000004E-2</v>
      </c>
      <c r="AZ171" s="25">
        <v>-3.5000000000000003E-2</v>
      </c>
      <c r="BA171" s="25">
        <v>-7.2499999999999995E-2</v>
      </c>
      <c r="BB171" s="25">
        <v>-1.2E-2</v>
      </c>
      <c r="BC171" s="25">
        <v>-4.0500000000000001E-2</v>
      </c>
      <c r="BD171" s="25">
        <v>-1.4999999999999999E-2</v>
      </c>
      <c r="BE171" s="25">
        <v>-6.25E-2</v>
      </c>
      <c r="BF171" s="25">
        <v>-0.17</v>
      </c>
      <c r="BG171" s="25">
        <v>0.14749999999999999</v>
      </c>
      <c r="BH171" s="25">
        <v>0.29300000000000004</v>
      </c>
      <c r="BI171" s="25">
        <v>0.29300000000000004</v>
      </c>
      <c r="BJ171" s="25">
        <v>0.28749999999999998</v>
      </c>
    </row>
    <row r="172" spans="1:62" x14ac:dyDescent="0.25">
      <c r="A172" s="26" t="e">
        <f>#REF!-B172</f>
        <v>#REF!</v>
      </c>
      <c r="B172" s="26">
        <v>3.7280000000000002</v>
      </c>
      <c r="C172" s="145">
        <v>41821</v>
      </c>
      <c r="D172" s="26">
        <v>3.4280000000000004</v>
      </c>
      <c r="E172" s="26">
        <v>0.15</v>
      </c>
      <c r="F172" s="26">
        <v>7.0267360036014997E-2</v>
      </c>
      <c r="G172" s="26">
        <v>-0.19500000000000001</v>
      </c>
      <c r="H172" s="26">
        <v>-0.2</v>
      </c>
      <c r="I172" s="26">
        <v>-0.215</v>
      </c>
      <c r="J172" s="26">
        <v>-0.28000000000000003</v>
      </c>
      <c r="K172" s="26">
        <v>-0.105</v>
      </c>
      <c r="L172" s="26">
        <v>-0.03</v>
      </c>
      <c r="M172" s="26">
        <v>-5.5500000000000001E-2</v>
      </c>
      <c r="N172" s="26">
        <v>-0.16500000000000001</v>
      </c>
      <c r="O172" s="26">
        <v>-0.19500000000000001</v>
      </c>
      <c r="P172" s="25">
        <v>-0.19500000000000001</v>
      </c>
      <c r="Q172" s="25">
        <v>-5.1249999999999997E-2</v>
      </c>
      <c r="R172" s="25">
        <v>-3.5000000000000003E-2</v>
      </c>
      <c r="S172" s="25">
        <v>0.253</v>
      </c>
      <c r="T172" s="25">
        <v>0.253</v>
      </c>
      <c r="U172" s="25">
        <v>0.158</v>
      </c>
      <c r="V172" s="25">
        <v>0</v>
      </c>
      <c r="W172" s="179">
        <v>0.1825</v>
      </c>
      <c r="X172" s="179">
        <v>0.215</v>
      </c>
      <c r="Y172" s="179">
        <v>-9.4999990000000003E-3</v>
      </c>
      <c r="Z172" s="179">
        <v>-1.7750000000000002E-2</v>
      </c>
      <c r="AA172" s="179">
        <v>1.2750000000000001E-2</v>
      </c>
      <c r="AB172" s="179">
        <v>-2.2500000000000003E-3</v>
      </c>
      <c r="AC172" s="179">
        <v>5.0000000000000001E-3</v>
      </c>
      <c r="AD172" s="179">
        <v>1.6500000000000001E-2</v>
      </c>
      <c r="AE172" s="179">
        <v>-6.25E-2</v>
      </c>
      <c r="AF172" s="179">
        <v>-3.5500000000000004E-2</v>
      </c>
      <c r="AG172" s="180">
        <v>-4.4000000000000004E-2</v>
      </c>
      <c r="AH172" s="179">
        <v>-1.2E-2</v>
      </c>
      <c r="AI172" s="25">
        <v>-6.3E-2</v>
      </c>
      <c r="AJ172" s="25">
        <v>-6.7500000000000004E-2</v>
      </c>
      <c r="AK172" s="25">
        <v>-3.9999990000000006E-3</v>
      </c>
      <c r="AL172" s="25">
        <v>6.5000000000000006E-3</v>
      </c>
      <c r="AM172" s="25">
        <v>0.43</v>
      </c>
      <c r="AN172" s="25">
        <v>2.2499999999999999E-2</v>
      </c>
      <c r="AO172" s="25">
        <v>-0.31</v>
      </c>
      <c r="AP172" s="25">
        <v>-0.12</v>
      </c>
      <c r="AQ172" s="25">
        <v>-0.19</v>
      </c>
      <c r="AR172" s="25">
        <v>-0.28999999999999998</v>
      </c>
      <c r="AS172" s="25">
        <v>0</v>
      </c>
      <c r="AT172" s="25">
        <v>0</v>
      </c>
      <c r="AU172" s="25">
        <v>0.29499999999999998</v>
      </c>
      <c r="AV172" s="25">
        <v>-0.31</v>
      </c>
      <c r="AW172" s="25">
        <v>-0.09</v>
      </c>
      <c r="AY172" s="25">
        <v>-0.09</v>
      </c>
      <c r="AZ172" s="25">
        <v>-3.5000000000000003E-2</v>
      </c>
      <c r="BA172" s="25">
        <v>-6.7500000000000004E-2</v>
      </c>
      <c r="BB172" s="25">
        <v>-1.2E-2</v>
      </c>
      <c r="BC172" s="25">
        <v>-4.0500000000000001E-2</v>
      </c>
      <c r="BD172" s="25">
        <v>-1.2500000000000001E-2</v>
      </c>
      <c r="BE172" s="25">
        <v>-6.25E-2</v>
      </c>
      <c r="BF172" s="25">
        <v>-0.17</v>
      </c>
      <c r="BG172" s="25">
        <v>0.14749999999999999</v>
      </c>
      <c r="BH172" s="25">
        <v>0.28300000000000003</v>
      </c>
      <c r="BI172" s="25">
        <v>0.28300000000000003</v>
      </c>
      <c r="BJ172" s="25">
        <v>0.3</v>
      </c>
    </row>
    <row r="173" spans="1:62" x14ac:dyDescent="0.25">
      <c r="A173" s="26" t="e">
        <f>#REF!-B173</f>
        <v>#REF!</v>
      </c>
      <c r="B173" s="26">
        <v>3.7190000000000003</v>
      </c>
      <c r="C173" s="145">
        <v>41852</v>
      </c>
      <c r="D173" s="26">
        <v>3.4490000000000003</v>
      </c>
      <c r="E173" s="26">
        <v>0.15</v>
      </c>
      <c r="F173" s="26">
        <v>7.026952444601603E-2</v>
      </c>
      <c r="G173" s="26">
        <v>-0.19500000000000001</v>
      </c>
      <c r="H173" s="26">
        <v>-0.2</v>
      </c>
      <c r="I173" s="26">
        <v>-0.215</v>
      </c>
      <c r="J173" s="26">
        <v>-0.28000000000000003</v>
      </c>
      <c r="K173" s="26">
        <v>-0.105</v>
      </c>
      <c r="L173" s="26">
        <v>-0.03</v>
      </c>
      <c r="M173" s="26">
        <v>-5.5500000000000001E-2</v>
      </c>
      <c r="N173" s="26">
        <v>-0.16500000000000001</v>
      </c>
      <c r="O173" s="26">
        <v>-0.19500000000000001</v>
      </c>
      <c r="P173" s="25">
        <v>-0.19500000000000001</v>
      </c>
      <c r="Q173" s="25">
        <v>-0.05</v>
      </c>
      <c r="R173" s="25">
        <v>-3.5000000000000003E-2</v>
      </c>
      <c r="S173" s="25">
        <v>0.25</v>
      </c>
      <c r="T173" s="25">
        <v>0.25</v>
      </c>
      <c r="U173" s="25">
        <v>0.155</v>
      </c>
      <c r="V173" s="25">
        <v>0</v>
      </c>
      <c r="W173" s="179">
        <v>0.1825</v>
      </c>
      <c r="X173" s="179">
        <v>0.215</v>
      </c>
      <c r="Y173" s="179">
        <v>-9.4999990000000003E-3</v>
      </c>
      <c r="Z173" s="179">
        <v>-1.7750000000000002E-2</v>
      </c>
      <c r="AA173" s="179">
        <v>1.2750000000000001E-2</v>
      </c>
      <c r="AB173" s="179">
        <v>-2.2500000000000003E-3</v>
      </c>
      <c r="AC173" s="179">
        <v>5.0000000000000001E-3</v>
      </c>
      <c r="AD173" s="179">
        <v>1.6500000000000001E-2</v>
      </c>
      <c r="AE173" s="179">
        <v>-6.25E-2</v>
      </c>
      <c r="AF173" s="179">
        <v>-3.5500000000000004E-2</v>
      </c>
      <c r="AG173" s="180">
        <v>-4.4000000000000004E-2</v>
      </c>
      <c r="AH173" s="179">
        <v>-1.2E-2</v>
      </c>
      <c r="AI173" s="25">
        <v>-4.4000000000000004E-2</v>
      </c>
      <c r="AJ173" s="25">
        <v>-6.5000000000000002E-2</v>
      </c>
      <c r="AK173" s="25">
        <v>-3.9999990000000006E-3</v>
      </c>
      <c r="AL173" s="25">
        <v>6.5000000000000006E-3</v>
      </c>
      <c r="AM173" s="25">
        <v>0.495</v>
      </c>
      <c r="AN173" s="25">
        <v>2.5000000000000001E-2</v>
      </c>
      <c r="AO173" s="25">
        <v>-0.31</v>
      </c>
      <c r="AP173" s="25">
        <v>-0.12</v>
      </c>
      <c r="AQ173" s="25">
        <v>-0.19</v>
      </c>
      <c r="AR173" s="25">
        <v>-0.28999999999999998</v>
      </c>
      <c r="AS173" s="25">
        <v>0</v>
      </c>
      <c r="AT173" s="25">
        <v>0</v>
      </c>
      <c r="AU173" s="25">
        <v>0.29499999999999998</v>
      </c>
      <c r="AV173" s="25">
        <v>-0.31</v>
      </c>
      <c r="AW173" s="25">
        <v>-7.7499999999999999E-2</v>
      </c>
      <c r="AY173" s="25">
        <v>-7.7499999999999999E-2</v>
      </c>
      <c r="AZ173" s="25">
        <v>-3.5000000000000003E-2</v>
      </c>
      <c r="BA173" s="25">
        <v>-6.7500000000000004E-2</v>
      </c>
      <c r="BB173" s="25">
        <v>-1.2E-2</v>
      </c>
      <c r="BC173" s="25">
        <v>-4.0500000000000001E-2</v>
      </c>
      <c r="BD173" s="25">
        <v>-0.01</v>
      </c>
      <c r="BE173" s="25">
        <v>-6.25E-2</v>
      </c>
      <c r="BF173" s="25">
        <v>-0.17</v>
      </c>
      <c r="BG173" s="25">
        <v>0.14749999999999999</v>
      </c>
      <c r="BH173" s="25">
        <v>0.28000000000000003</v>
      </c>
      <c r="BI173" s="25">
        <v>0.28000000000000003</v>
      </c>
      <c r="BJ173" s="25">
        <v>0.3</v>
      </c>
    </row>
    <row r="174" spans="1:62" x14ac:dyDescent="0.25">
      <c r="A174" s="26" t="e">
        <f>#REF!-B174</f>
        <v>#REF!</v>
      </c>
      <c r="B174" s="26">
        <v>3.7840000000000003</v>
      </c>
      <c r="C174" s="145">
        <v>41883</v>
      </c>
      <c r="D174" s="26">
        <v>3.4280000000000004</v>
      </c>
      <c r="E174" s="26">
        <v>0.15</v>
      </c>
      <c r="F174" s="26">
        <v>7.0271688856020018E-2</v>
      </c>
      <c r="G174" s="26">
        <v>-0.19500000000000001</v>
      </c>
      <c r="H174" s="26">
        <v>-0.2</v>
      </c>
      <c r="I174" s="26">
        <v>-0.20499999999999999</v>
      </c>
      <c r="J174" s="26">
        <v>-0.28000000000000003</v>
      </c>
      <c r="K174" s="26">
        <v>-9.5000000000000001E-2</v>
      </c>
      <c r="L174" s="26">
        <v>-0.03</v>
      </c>
      <c r="M174" s="26">
        <v>-5.5500000000000001E-2</v>
      </c>
      <c r="N174" s="26">
        <v>-0.16500000000000001</v>
      </c>
      <c r="O174" s="26">
        <v>-0.19500000000000001</v>
      </c>
      <c r="P174" s="25">
        <v>-0.19500000000000001</v>
      </c>
      <c r="Q174" s="25">
        <v>-5.3749999999999999E-2</v>
      </c>
      <c r="R174" s="25">
        <v>-3.5000000000000003E-2</v>
      </c>
      <c r="S174" s="25">
        <v>0.24800000000000003</v>
      </c>
      <c r="T174" s="25">
        <v>0.24800000000000003</v>
      </c>
      <c r="U174" s="25">
        <v>0.153</v>
      </c>
      <c r="V174" s="25">
        <v>0</v>
      </c>
      <c r="W174" s="179">
        <v>0.1825</v>
      </c>
      <c r="X174" s="179">
        <v>0.19500000000000001</v>
      </c>
      <c r="Y174" s="179">
        <v>-9.4999990000000003E-3</v>
      </c>
      <c r="Z174" s="179">
        <v>-1.7750000000000002E-2</v>
      </c>
      <c r="AA174" s="179">
        <v>1.2750000000000001E-2</v>
      </c>
      <c r="AB174" s="179">
        <v>-2.2500000000000003E-3</v>
      </c>
      <c r="AC174" s="179">
        <v>5.0000000000000001E-3</v>
      </c>
      <c r="AD174" s="179">
        <v>1.6500000000000001E-2</v>
      </c>
      <c r="AE174" s="179">
        <v>-6.25E-2</v>
      </c>
      <c r="AF174" s="179">
        <v>-3.3000000000000002E-2</v>
      </c>
      <c r="AG174" s="180">
        <v>-4.1500000000000002E-2</v>
      </c>
      <c r="AH174" s="179">
        <v>-1.2E-2</v>
      </c>
      <c r="AI174" s="25">
        <v>-4.2000000000000003E-2</v>
      </c>
      <c r="AJ174" s="25">
        <v>-7.2499999999999995E-2</v>
      </c>
      <c r="AK174" s="25">
        <v>-3.9999990000000006E-3</v>
      </c>
      <c r="AL174" s="25">
        <v>6.5000000000000006E-3</v>
      </c>
      <c r="AM174" s="25">
        <v>0.39500000000000002</v>
      </c>
      <c r="AN174" s="25">
        <v>1.7500000000000002E-2</v>
      </c>
      <c r="AO174" s="25">
        <v>-0.31</v>
      </c>
      <c r="AP174" s="25">
        <v>-0.12</v>
      </c>
      <c r="AQ174" s="25">
        <v>-0.19</v>
      </c>
      <c r="AR174" s="25">
        <v>-0.28999999999999998</v>
      </c>
      <c r="AS174" s="25">
        <v>0</v>
      </c>
      <c r="AT174" s="25">
        <v>0</v>
      </c>
      <c r="AU174" s="25">
        <v>0.29499999999999998</v>
      </c>
      <c r="AV174" s="25">
        <v>-0.31</v>
      </c>
      <c r="AW174" s="25">
        <v>-8.2500000000000004E-2</v>
      </c>
      <c r="AY174" s="25">
        <v>-8.2500000000000004E-2</v>
      </c>
      <c r="AZ174" s="25">
        <v>-3.5000000000000003E-2</v>
      </c>
      <c r="BA174" s="25">
        <v>-8.2500000000000004E-2</v>
      </c>
      <c r="BB174" s="25">
        <v>-1.2E-2</v>
      </c>
      <c r="BC174" s="25">
        <v>-4.0500000000000001E-2</v>
      </c>
      <c r="BD174" s="25">
        <v>-1.7500000000000002E-2</v>
      </c>
      <c r="BE174" s="25">
        <v>-6.25E-2</v>
      </c>
      <c r="BF174" s="25">
        <v>-0.17</v>
      </c>
      <c r="BG174" s="25">
        <v>0.14749999999999999</v>
      </c>
      <c r="BH174" s="25">
        <v>0.27800000000000002</v>
      </c>
      <c r="BI174" s="25">
        <v>0.27800000000000002</v>
      </c>
      <c r="BJ174" s="25">
        <v>0.28999999999999998</v>
      </c>
    </row>
    <row r="175" spans="1:62" x14ac:dyDescent="0.25">
      <c r="A175" s="26" t="e">
        <f>#REF!-B175</f>
        <v>#REF!</v>
      </c>
      <c r="B175" s="26">
        <v>3.7790000000000004</v>
      </c>
      <c r="C175" s="145">
        <v>41913</v>
      </c>
      <c r="D175" s="26">
        <v>3.4220000000000002</v>
      </c>
      <c r="E175" s="26">
        <v>0.15</v>
      </c>
      <c r="F175" s="26">
        <v>7.0273783446346993E-2</v>
      </c>
      <c r="G175" s="26">
        <v>-0.19500000000000001</v>
      </c>
      <c r="H175" s="26">
        <v>-0.2</v>
      </c>
      <c r="I175" s="26">
        <v>-0.19</v>
      </c>
      <c r="J175" s="26">
        <v>-0.28000000000000003</v>
      </c>
      <c r="K175" s="26">
        <v>-0.08</v>
      </c>
      <c r="L175" s="26">
        <v>-0.03</v>
      </c>
      <c r="M175" s="26">
        <v>-5.5500000000000001E-2</v>
      </c>
      <c r="N175" s="26">
        <v>-0.16500000000000001</v>
      </c>
      <c r="O175" s="26">
        <v>-0.19500000000000001</v>
      </c>
      <c r="P175" s="25">
        <v>-0.19500000000000001</v>
      </c>
      <c r="Q175" s="25">
        <v>-5.8749999999999997E-2</v>
      </c>
      <c r="R175" s="25">
        <v>-3.5000000000000003E-2</v>
      </c>
      <c r="S175" s="25">
        <v>0.26300000000000001</v>
      </c>
      <c r="T175" s="25">
        <v>0.26300000000000001</v>
      </c>
      <c r="U175" s="25">
        <v>0.16800000000000001</v>
      </c>
      <c r="V175" s="25">
        <v>0</v>
      </c>
      <c r="W175" s="179">
        <v>0.1875</v>
      </c>
      <c r="X175" s="179">
        <v>0.215</v>
      </c>
      <c r="Y175" s="179">
        <v>-9.4999990000000003E-3</v>
      </c>
      <c r="Z175" s="179">
        <v>-1.7750000000000002E-2</v>
      </c>
      <c r="AA175" s="179">
        <v>-5.5000000000000005E-3</v>
      </c>
      <c r="AB175" s="179">
        <v>-2.0499999999999997E-2</v>
      </c>
      <c r="AC175" s="179">
        <v>5.0000000000000001E-3</v>
      </c>
      <c r="AD175" s="179">
        <v>1.6500000000000001E-2</v>
      </c>
      <c r="AE175" s="179">
        <v>-6.25E-2</v>
      </c>
      <c r="AF175" s="179">
        <v>-3.3000000000000002E-2</v>
      </c>
      <c r="AG175" s="180">
        <v>-4.1500000000000002E-2</v>
      </c>
      <c r="AH175" s="179">
        <v>-1.2E-2</v>
      </c>
      <c r="AI175" s="25">
        <v>-4.4000000000000004E-2</v>
      </c>
      <c r="AJ175" s="25">
        <v>-8.2500000000000004E-2</v>
      </c>
      <c r="AK175" s="25">
        <v>-3.9999990000000006E-3</v>
      </c>
      <c r="AL175" s="25">
        <v>6.5000000000000006E-3</v>
      </c>
      <c r="AM175" s="25">
        <v>0.46100000000000002</v>
      </c>
      <c r="AN175" s="25">
        <v>7.4999999999999997E-3</v>
      </c>
      <c r="AO175" s="25">
        <v>-0.31</v>
      </c>
      <c r="AP175" s="25">
        <v>-0.12</v>
      </c>
      <c r="AQ175" s="25">
        <v>-0.19</v>
      </c>
      <c r="AR175" s="25">
        <v>-0.28999999999999998</v>
      </c>
      <c r="AS175" s="25">
        <v>0</v>
      </c>
      <c r="AT175" s="25">
        <v>0</v>
      </c>
      <c r="AU175" s="25">
        <v>0.29499999999999998</v>
      </c>
      <c r="AV175" s="25">
        <v>-0.31</v>
      </c>
      <c r="AW175" s="25">
        <v>-9.2499999999999999E-2</v>
      </c>
      <c r="AY175" s="25">
        <v>-9.2499999999999999E-2</v>
      </c>
      <c r="AZ175" s="25">
        <v>-3.5000000000000003E-2</v>
      </c>
      <c r="BA175" s="25">
        <v>-8.5000000000000006E-2</v>
      </c>
      <c r="BB175" s="25">
        <v>-1.2E-2</v>
      </c>
      <c r="BC175" s="25">
        <v>-4.0500000000000001E-2</v>
      </c>
      <c r="BD175" s="25">
        <v>-2.75E-2</v>
      </c>
      <c r="BE175" s="25">
        <v>-6.25E-2</v>
      </c>
      <c r="BF175" s="25">
        <v>-0.17</v>
      </c>
      <c r="BG175" s="25">
        <v>0.14749999999999999</v>
      </c>
      <c r="BH175" s="25">
        <v>0.29300000000000004</v>
      </c>
      <c r="BI175" s="25">
        <v>0.29300000000000004</v>
      </c>
      <c r="BJ175" s="25">
        <v>0.36249999999999999</v>
      </c>
    </row>
    <row r="176" spans="1:62" x14ac:dyDescent="0.25">
      <c r="A176" s="26"/>
      <c r="B176" s="26">
        <v>3.758</v>
      </c>
      <c r="C176" s="145">
        <v>41944</v>
      </c>
      <c r="D176" s="26">
        <v>3.4590000000000005</v>
      </c>
      <c r="E176" s="26">
        <v>0.15</v>
      </c>
      <c r="F176" s="26">
        <v>7.0275947856354021E-2</v>
      </c>
      <c r="G176" s="26">
        <v>-0.19</v>
      </c>
      <c r="H176" s="26">
        <v>-0.19500000000000001</v>
      </c>
      <c r="I176" s="26">
        <v>-0.1525</v>
      </c>
      <c r="J176" s="26">
        <v>-0.27500000000000002</v>
      </c>
      <c r="K176" s="26">
        <v>-4.2500000000000003E-2</v>
      </c>
      <c r="L176" s="26">
        <v>-0.03</v>
      </c>
      <c r="M176" s="26">
        <v>-7.0000000000000007E-2</v>
      </c>
      <c r="N176" s="26">
        <v>-0.16</v>
      </c>
      <c r="O176" s="26">
        <v>-0.19</v>
      </c>
      <c r="P176" s="25">
        <v>-0.19</v>
      </c>
      <c r="Q176" s="25">
        <v>-7.85E-2</v>
      </c>
      <c r="R176" s="25">
        <v>-3.4500000000000003E-2</v>
      </c>
      <c r="S176" s="25">
        <v>0.32500000000000001</v>
      </c>
      <c r="T176" s="25">
        <v>0.32500000000000001</v>
      </c>
      <c r="U176" s="25">
        <v>0.23</v>
      </c>
      <c r="V176" s="25">
        <v>0</v>
      </c>
      <c r="W176" s="179">
        <v>0.27</v>
      </c>
      <c r="X176" s="179">
        <v>0.28749999999999998</v>
      </c>
      <c r="Y176" s="179">
        <v>-1.2500000000000001E-2</v>
      </c>
      <c r="Z176" s="179">
        <v>-3.1000000000000003E-2</v>
      </c>
      <c r="AA176" s="179">
        <v>-4.5000000000000005E-3</v>
      </c>
      <c r="AB176" s="179">
        <v>-1.95E-2</v>
      </c>
      <c r="AC176" s="179">
        <v>5.0000000000000001E-3</v>
      </c>
      <c r="AD176" s="179">
        <v>8.5000000000000006E-3</v>
      </c>
      <c r="AE176" s="179">
        <v>-6.5000000000000002E-2</v>
      </c>
      <c r="AF176" s="179">
        <v>-3.3000000000000002E-2</v>
      </c>
      <c r="AG176" s="180">
        <v>-4.4500000000000005E-2</v>
      </c>
      <c r="AH176" s="179">
        <v>-8.4999990000000011E-3</v>
      </c>
      <c r="AI176" s="25">
        <v>-5.9000000000000004E-2</v>
      </c>
      <c r="AJ176" s="25">
        <v>-0.1225</v>
      </c>
      <c r="AK176" s="25">
        <v>3.5000000000000005E-3</v>
      </c>
      <c r="AL176" s="25">
        <v>1.6E-2</v>
      </c>
      <c r="AM176" s="25">
        <v>0.76749999999999996</v>
      </c>
      <c r="AN176" s="25">
        <v>-3.2500000000000001E-2</v>
      </c>
      <c r="AO176" s="25">
        <v>-0.23499999999999999</v>
      </c>
      <c r="AP176" s="25">
        <v>-0.13250000000000001</v>
      </c>
      <c r="AQ176" s="25">
        <v>-0.19</v>
      </c>
      <c r="AR176" s="25">
        <v>0</v>
      </c>
      <c r="AS176" s="25">
        <v>0</v>
      </c>
      <c r="AT176" s="25">
        <v>0</v>
      </c>
      <c r="AU176" s="25">
        <v>0.12</v>
      </c>
      <c r="AV176" s="25">
        <v>-0.23499999999999999</v>
      </c>
      <c r="AW176" s="25">
        <v>-9.7500000000000003E-2</v>
      </c>
      <c r="AY176" s="25">
        <v>-9.7500000000000003E-2</v>
      </c>
      <c r="AZ176" s="25">
        <v>-3.4500000000000003E-2</v>
      </c>
      <c r="BA176" s="25">
        <v>-8.2500000000000004E-2</v>
      </c>
      <c r="BB176" s="25">
        <v>-1.3500000000000002E-2</v>
      </c>
      <c r="BC176" s="25">
        <v>-5.5E-2</v>
      </c>
      <c r="BD176" s="25">
        <v>-6.7500000000000004E-2</v>
      </c>
      <c r="BE176" s="25">
        <v>-6.5000000000000002E-2</v>
      </c>
      <c r="BF176" s="25">
        <v>-0.17</v>
      </c>
      <c r="BG176" s="25">
        <v>0</v>
      </c>
      <c r="BH176" s="25">
        <v>0.37</v>
      </c>
      <c r="BI176" s="25">
        <v>0.37</v>
      </c>
      <c r="BJ176" s="25">
        <v>0.46500000000000002</v>
      </c>
    </row>
    <row r="177" spans="1:62" x14ac:dyDescent="0.25">
      <c r="A177" s="26"/>
      <c r="B177" s="26">
        <v>3.7650000000000001</v>
      </c>
      <c r="C177" s="145">
        <v>41974</v>
      </c>
      <c r="D177" s="26">
        <v>3.508</v>
      </c>
      <c r="E177" s="26">
        <v>0.15</v>
      </c>
      <c r="F177" s="26">
        <v>7.0278042446684008E-2</v>
      </c>
      <c r="G177" s="26">
        <v>-0.19750000000000001</v>
      </c>
      <c r="H177" s="26">
        <v>-0.20250000000000001</v>
      </c>
      <c r="I177" s="26">
        <v>-0.14499999999999999</v>
      </c>
      <c r="J177" s="26">
        <v>-0.28249999999999997</v>
      </c>
      <c r="K177" s="26">
        <v>-3.5000000000000003E-2</v>
      </c>
      <c r="L177" s="26">
        <v>-0.03</v>
      </c>
      <c r="M177" s="26">
        <v>-7.0000000000000007E-2</v>
      </c>
      <c r="N177" s="26">
        <v>-0.16750000000000001</v>
      </c>
      <c r="O177" s="26">
        <v>-0.19750000000000001</v>
      </c>
      <c r="P177" s="25">
        <v>-0.19750000000000001</v>
      </c>
      <c r="Q177" s="25">
        <v>-8.9749999999999996E-2</v>
      </c>
      <c r="R177" s="25">
        <v>-3.4500000000000003E-2</v>
      </c>
      <c r="S177" s="25">
        <v>0.36499999999999999</v>
      </c>
      <c r="T177" s="25">
        <v>0.36499999999999999</v>
      </c>
      <c r="U177" s="25">
        <v>0.27</v>
      </c>
      <c r="V177" s="25">
        <v>0</v>
      </c>
      <c r="W177" s="179">
        <v>0.30499999999999999</v>
      </c>
      <c r="X177" s="179">
        <v>0.33750000000000002</v>
      </c>
      <c r="Y177" s="179">
        <v>-1.2500000000000001E-2</v>
      </c>
      <c r="Z177" s="179">
        <v>-2.35E-2</v>
      </c>
      <c r="AA177" s="179">
        <v>-4.5000000000000005E-3</v>
      </c>
      <c r="AB177" s="179">
        <v>-1.95E-2</v>
      </c>
      <c r="AC177" s="179">
        <v>5.0000000000000001E-3</v>
      </c>
      <c r="AD177" s="179">
        <v>8.5000000000000006E-3</v>
      </c>
      <c r="AE177" s="179">
        <v>-6.5000000000000002E-2</v>
      </c>
      <c r="AF177" s="179">
        <v>-3.3000000000000002E-2</v>
      </c>
      <c r="AG177" s="180">
        <v>-4.4500000000000005E-2</v>
      </c>
      <c r="AH177" s="179">
        <v>-8.4999990000000011E-3</v>
      </c>
      <c r="AI177" s="25">
        <v>-5.9000000000000004E-2</v>
      </c>
      <c r="AJ177" s="25">
        <v>-0.14499999999999999</v>
      </c>
      <c r="AK177" s="25">
        <v>3.5000000000000005E-3</v>
      </c>
      <c r="AL177" s="25">
        <v>1.6E-2</v>
      </c>
      <c r="AM177" s="25">
        <v>1.19</v>
      </c>
      <c r="AN177" s="25">
        <v>-5.5E-2</v>
      </c>
      <c r="AO177" s="25">
        <v>-0.23499999999999999</v>
      </c>
      <c r="AP177" s="25">
        <v>-0.1275</v>
      </c>
      <c r="AQ177" s="25">
        <v>-0.19</v>
      </c>
      <c r="AR177" s="25">
        <v>0.06</v>
      </c>
      <c r="AS177" s="25">
        <v>0</v>
      </c>
      <c r="AT177" s="25">
        <v>0</v>
      </c>
      <c r="AU177" s="25">
        <v>0.12</v>
      </c>
      <c r="AV177" s="25">
        <v>-0.23499999999999999</v>
      </c>
      <c r="AW177" s="25">
        <v>-0.1275</v>
      </c>
      <c r="AY177" s="25">
        <v>-0.1275</v>
      </c>
      <c r="AZ177" s="25">
        <v>-3.4500000000000003E-2</v>
      </c>
      <c r="BA177" s="25">
        <v>-0.11749999999999999</v>
      </c>
      <c r="BB177" s="25">
        <v>-1.3500000000000002E-2</v>
      </c>
      <c r="BC177" s="25">
        <v>-5.5E-2</v>
      </c>
      <c r="BD177" s="25">
        <v>-0.09</v>
      </c>
      <c r="BE177" s="25">
        <v>-6.5000000000000002E-2</v>
      </c>
      <c r="BF177" s="25">
        <v>-0.17</v>
      </c>
      <c r="BG177" s="25">
        <v>0</v>
      </c>
      <c r="BH177" s="25">
        <v>0.41</v>
      </c>
      <c r="BI177" s="25">
        <v>0.41</v>
      </c>
      <c r="BJ177" s="25">
        <v>0.8</v>
      </c>
    </row>
    <row r="178" spans="1:62" x14ac:dyDescent="0.25">
      <c r="A178" s="26"/>
      <c r="B178" s="26">
        <v>3.8220000000000001</v>
      </c>
      <c r="C178" s="145">
        <v>42005</v>
      </c>
      <c r="D178" s="26">
        <v>3.8360000000000003</v>
      </c>
      <c r="E178" s="26">
        <v>0.15</v>
      </c>
      <c r="F178" s="26">
        <v>7.0280206856692992E-2</v>
      </c>
      <c r="G178" s="26">
        <v>-0.2</v>
      </c>
      <c r="H178" s="26">
        <v>-0.20499999999999999</v>
      </c>
      <c r="I178" s="26">
        <v>-0.13</v>
      </c>
      <c r="J178" s="26">
        <v>-0.26500000000000001</v>
      </c>
      <c r="K178" s="26">
        <v>-0.02</v>
      </c>
      <c r="L178" s="26">
        <v>-0.03</v>
      </c>
      <c r="M178" s="26">
        <v>-7.0000000000000007E-2</v>
      </c>
      <c r="N178" s="26">
        <v>-0.17</v>
      </c>
      <c r="O178" s="26">
        <v>-0.2</v>
      </c>
      <c r="P178" s="25">
        <v>-0.2</v>
      </c>
      <c r="Q178" s="25">
        <v>-0.09</v>
      </c>
      <c r="R178" s="25">
        <v>-3.2500000000000001E-2</v>
      </c>
      <c r="S178" s="25">
        <v>0.375</v>
      </c>
      <c r="T178" s="25">
        <v>0.375</v>
      </c>
      <c r="U178" s="25">
        <v>0.28000000000000003</v>
      </c>
      <c r="V178" s="25">
        <v>0</v>
      </c>
      <c r="W178" s="179">
        <v>0.30499999999999999</v>
      </c>
      <c r="X178" s="179">
        <v>0.4375</v>
      </c>
      <c r="Y178" s="179">
        <v>-7.9999990000000007E-3</v>
      </c>
      <c r="Z178" s="179">
        <v>-2.35E-2</v>
      </c>
      <c r="AA178" s="179">
        <v>-4.5000000000000005E-3</v>
      </c>
      <c r="AB178" s="179">
        <v>-1.95E-2</v>
      </c>
      <c r="AC178" s="179">
        <v>5.0000000000000001E-3</v>
      </c>
      <c r="AD178" s="179">
        <v>8.5000000000000006E-3</v>
      </c>
      <c r="AE178" s="179">
        <v>-6.5000000000000002E-2</v>
      </c>
      <c r="AF178" s="179">
        <v>-3.1000000000000003E-2</v>
      </c>
      <c r="AG178" s="180">
        <v>-4.4500000000000005E-2</v>
      </c>
      <c r="AH178" s="179">
        <v>-8.4999990000000011E-3</v>
      </c>
      <c r="AI178" s="25">
        <v>-5.2000000000000005E-2</v>
      </c>
      <c r="AJ178" s="25">
        <v>-0.14749999999999999</v>
      </c>
      <c r="AK178" s="25">
        <v>5.5000000000000005E-3</v>
      </c>
      <c r="AL178" s="25">
        <v>1.6E-2</v>
      </c>
      <c r="AM178" s="25">
        <v>1.5249999999999999</v>
      </c>
      <c r="AN178" s="25">
        <v>-5.7500000000000002E-2</v>
      </c>
      <c r="AO178" s="25">
        <v>-0.23</v>
      </c>
      <c r="AP178" s="25">
        <v>-0.1275</v>
      </c>
      <c r="AQ178" s="25">
        <v>-0.19</v>
      </c>
      <c r="AS178" s="25">
        <v>0</v>
      </c>
      <c r="AT178" s="25">
        <v>0</v>
      </c>
      <c r="AU178" s="25">
        <v>0.12</v>
      </c>
      <c r="AV178" s="25">
        <v>-0.23</v>
      </c>
      <c r="AW178" s="25">
        <v>-0.1125</v>
      </c>
      <c r="AY178" s="25">
        <v>-0.1125</v>
      </c>
      <c r="AZ178" s="25">
        <v>-3.2500000000000001E-2</v>
      </c>
      <c r="BA178" s="25">
        <v>-0.12300000000000001</v>
      </c>
      <c r="BB178" s="25">
        <v>-1.3500000000000002E-2</v>
      </c>
      <c r="BC178" s="25">
        <v>-5.5E-2</v>
      </c>
      <c r="BD178" s="25">
        <v>-9.2499999999999999E-2</v>
      </c>
      <c r="BE178" s="25">
        <v>-6.5000000000000002E-2</v>
      </c>
      <c r="BF178" s="25">
        <v>-0.17</v>
      </c>
      <c r="BG178" s="25">
        <v>0</v>
      </c>
      <c r="BH178" s="25">
        <v>0.42</v>
      </c>
      <c r="BI178" s="25">
        <v>0.42</v>
      </c>
      <c r="BJ178" s="25">
        <v>0.97499999999999998</v>
      </c>
    </row>
    <row r="179" spans="1:62" x14ac:dyDescent="0.25">
      <c r="A179" s="26"/>
      <c r="B179" s="26">
        <v>3.8980000000000001</v>
      </c>
      <c r="C179" s="145">
        <v>42036</v>
      </c>
      <c r="D179" s="26">
        <v>3.742</v>
      </c>
      <c r="E179" s="26">
        <v>0.15</v>
      </c>
      <c r="F179" s="26">
        <v>7.0282371266705002E-2</v>
      </c>
      <c r="G179" s="26">
        <v>-0.20250000000000001</v>
      </c>
      <c r="H179" s="26">
        <v>-0.20749999999999999</v>
      </c>
      <c r="I179" s="26">
        <v>-0.13</v>
      </c>
      <c r="J179" s="26">
        <v>-0.26750000000000002</v>
      </c>
      <c r="K179" s="26">
        <v>-0.02</v>
      </c>
      <c r="L179" s="26">
        <v>-0.03</v>
      </c>
      <c r="M179" s="26">
        <v>-7.0000000000000007E-2</v>
      </c>
      <c r="N179" s="26">
        <v>-0.17249999999999999</v>
      </c>
      <c r="O179" s="26">
        <v>-0.20250000000000001</v>
      </c>
      <c r="P179" s="25">
        <v>-0.20250000000000001</v>
      </c>
      <c r="Q179" s="25">
        <v>-8.1250000000000003E-2</v>
      </c>
      <c r="R179" s="25">
        <v>-3.2500000000000001E-2</v>
      </c>
      <c r="S179" s="25">
        <v>0.35</v>
      </c>
      <c r="T179" s="25">
        <v>0.35</v>
      </c>
      <c r="U179" s="25">
        <v>0.255</v>
      </c>
      <c r="V179" s="25">
        <v>0</v>
      </c>
      <c r="W179" s="179">
        <v>0.30499999999999999</v>
      </c>
      <c r="X179" s="179">
        <v>0.435</v>
      </c>
      <c r="Y179" s="179">
        <v>-7.9999990000000007E-3</v>
      </c>
      <c r="Z179" s="179">
        <v>-2.35E-2</v>
      </c>
      <c r="AA179" s="179">
        <v>-4.5000000000000005E-3</v>
      </c>
      <c r="AB179" s="179">
        <v>-1.95E-2</v>
      </c>
      <c r="AC179" s="179">
        <v>5.0000000000000001E-3</v>
      </c>
      <c r="AD179" s="179">
        <v>8.5000000000000006E-3</v>
      </c>
      <c r="AE179" s="179">
        <v>-6.5000000000000002E-2</v>
      </c>
      <c r="AF179" s="179">
        <v>-3.1000000000000003E-2</v>
      </c>
      <c r="AG179" s="180">
        <v>-4.4500000000000005E-2</v>
      </c>
      <c r="AH179" s="179">
        <v>-8.4999990000000011E-3</v>
      </c>
      <c r="AI179" s="25">
        <v>-5.2000000000000005E-2</v>
      </c>
      <c r="AJ179" s="25">
        <v>-0.13</v>
      </c>
      <c r="AK179" s="25">
        <v>5.5000000000000005E-3</v>
      </c>
      <c r="AL179" s="25">
        <v>1.6E-2</v>
      </c>
      <c r="AM179" s="25">
        <v>1.4550000000000001</v>
      </c>
      <c r="AN179" s="25">
        <v>-0.04</v>
      </c>
      <c r="AO179" s="25">
        <v>-0.23</v>
      </c>
      <c r="AP179" s="25">
        <v>-0.1275</v>
      </c>
      <c r="AQ179" s="25">
        <v>-0.19</v>
      </c>
      <c r="AS179" s="25">
        <v>0</v>
      </c>
      <c r="AT179" s="25">
        <v>0</v>
      </c>
      <c r="AU179" s="25">
        <v>0.12</v>
      </c>
      <c r="AV179" s="25">
        <v>-0.23</v>
      </c>
      <c r="AW179" s="25">
        <v>-0.115</v>
      </c>
      <c r="AY179" s="25">
        <v>-0.115</v>
      </c>
      <c r="AZ179" s="25">
        <v>-3.2500000000000001E-2</v>
      </c>
      <c r="BA179" s="25">
        <v>-0.10550000000000001</v>
      </c>
      <c r="BB179" s="25">
        <v>-1.3500000000000002E-2</v>
      </c>
      <c r="BC179" s="25">
        <v>-5.5E-2</v>
      </c>
      <c r="BD179" s="25">
        <v>-7.4999999999999997E-2</v>
      </c>
      <c r="BE179" s="25">
        <v>-6.5000000000000002E-2</v>
      </c>
      <c r="BF179" s="25">
        <v>-0.17</v>
      </c>
      <c r="BG179" s="25">
        <v>0</v>
      </c>
      <c r="BH179" s="25">
        <v>0.39500000000000002</v>
      </c>
      <c r="BI179" s="25">
        <v>0.39500000000000002</v>
      </c>
      <c r="BJ179" s="25">
        <v>0.97499999999999998</v>
      </c>
    </row>
    <row r="180" spans="1:62" x14ac:dyDescent="0.25">
      <c r="A180" s="26"/>
      <c r="B180" s="26">
        <v>4.1719999999999997</v>
      </c>
      <c r="C180" s="145">
        <v>42064</v>
      </c>
      <c r="D180" s="26">
        <v>3.6080000000000001</v>
      </c>
      <c r="E180" s="26">
        <v>0.15</v>
      </c>
      <c r="F180" s="26">
        <v>7.0284326217684004E-2</v>
      </c>
      <c r="G180" s="26">
        <v>-0.20499999999999999</v>
      </c>
      <c r="H180" s="26">
        <v>-0.21</v>
      </c>
      <c r="I180" s="26">
        <v>-0.13</v>
      </c>
      <c r="J180" s="26">
        <v>-0.27</v>
      </c>
      <c r="K180" s="26">
        <v>-0.02</v>
      </c>
      <c r="L180" s="26">
        <v>-0.03</v>
      </c>
      <c r="M180" s="26">
        <v>-7.0000000000000007E-2</v>
      </c>
      <c r="N180" s="26">
        <v>-0.17499999999999999</v>
      </c>
      <c r="O180" s="26">
        <v>-0.20499999999999999</v>
      </c>
      <c r="P180" s="25">
        <v>-0.20499999999999999</v>
      </c>
      <c r="Q180" s="25">
        <v>-7.4999999999999997E-2</v>
      </c>
      <c r="R180" s="25">
        <v>-3.2500000000000001E-2</v>
      </c>
      <c r="S180" s="25">
        <v>0.34800000000000003</v>
      </c>
      <c r="T180" s="25">
        <v>0.34800000000000003</v>
      </c>
      <c r="U180" s="25">
        <v>0.253</v>
      </c>
      <c r="V180" s="25">
        <v>0</v>
      </c>
      <c r="W180" s="179">
        <v>0.26500000000000001</v>
      </c>
      <c r="X180" s="179">
        <v>0.30249999999999999</v>
      </c>
      <c r="Y180" s="179">
        <v>-7.9999990000000007E-3</v>
      </c>
      <c r="Z180" s="179">
        <v>-2.35E-2</v>
      </c>
      <c r="AA180" s="179">
        <v>1.4000000000000002E-2</v>
      </c>
      <c r="AB180" s="179">
        <v>9.9999999999999395E-4</v>
      </c>
      <c r="AC180" s="179">
        <v>5.0000000000000001E-3</v>
      </c>
      <c r="AD180" s="179">
        <v>8.5000000000000006E-3</v>
      </c>
      <c r="AE180" s="179">
        <v>-6.5000000000000002E-2</v>
      </c>
      <c r="AF180" s="179">
        <v>-3.1000000000000003E-2</v>
      </c>
      <c r="AG180" s="180">
        <v>-4.4500000000000005E-2</v>
      </c>
      <c r="AH180" s="179">
        <v>-8.4999990000000011E-3</v>
      </c>
      <c r="AI180" s="25">
        <v>-5.9000000000000004E-2</v>
      </c>
      <c r="AJ180" s="25">
        <v>-0.11749999999999999</v>
      </c>
      <c r="AK180" s="25">
        <v>5.5000000000000005E-3</v>
      </c>
      <c r="AL180" s="25">
        <v>1.6E-2</v>
      </c>
      <c r="AM180" s="25">
        <v>0.83499999999999996</v>
      </c>
      <c r="AN180" s="25">
        <v>-2.75E-2</v>
      </c>
      <c r="AO180" s="25">
        <v>-0.23</v>
      </c>
      <c r="AP180" s="25">
        <v>-0.13250000000000001</v>
      </c>
      <c r="AQ180" s="25">
        <v>-0.19</v>
      </c>
      <c r="AS180" s="25">
        <v>0</v>
      </c>
      <c r="AT180" s="25">
        <v>0</v>
      </c>
      <c r="AU180" s="25">
        <v>0.12</v>
      </c>
      <c r="AV180" s="25">
        <v>-0.23</v>
      </c>
      <c r="AW180" s="25">
        <v>-9.5000000000000001E-2</v>
      </c>
      <c r="AY180" s="25">
        <v>-9.5000000000000001E-2</v>
      </c>
      <c r="AZ180" s="25">
        <v>-3.2500000000000001E-2</v>
      </c>
      <c r="BA180" s="25">
        <v>-8.8000000000000009E-2</v>
      </c>
      <c r="BB180" s="25">
        <v>-1.3500000000000002E-2</v>
      </c>
      <c r="BC180" s="25">
        <v>-5.5E-2</v>
      </c>
      <c r="BD180" s="25">
        <v>-6.25E-2</v>
      </c>
      <c r="BE180" s="25">
        <v>-6.5000000000000002E-2</v>
      </c>
      <c r="BF180" s="25">
        <v>-0.17</v>
      </c>
      <c r="BG180" s="25">
        <v>0</v>
      </c>
      <c r="BH180" s="25">
        <v>0.39300000000000007</v>
      </c>
      <c r="BI180" s="25">
        <v>0.39300000000000007</v>
      </c>
      <c r="BJ180" s="25">
        <v>0.60750000000000004</v>
      </c>
    </row>
    <row r="181" spans="1:62" x14ac:dyDescent="0.25">
      <c r="A181" s="26"/>
      <c r="B181" s="26">
        <v>4.093</v>
      </c>
      <c r="C181" s="145">
        <v>42095</v>
      </c>
      <c r="D181" s="26">
        <v>3.4660000000000002</v>
      </c>
      <c r="E181" s="26">
        <v>0.15</v>
      </c>
      <c r="F181" s="26">
        <v>7.0286490627697026E-2</v>
      </c>
      <c r="G181" s="26">
        <v>-0.19500000000000001</v>
      </c>
      <c r="H181" s="26">
        <v>-0.2</v>
      </c>
      <c r="I181" s="26">
        <v>-0.17499999999999999</v>
      </c>
      <c r="J181" s="26">
        <v>-0.26</v>
      </c>
      <c r="K181" s="26">
        <v>-6.5000000000000002E-2</v>
      </c>
      <c r="L181" s="26">
        <v>-0.03</v>
      </c>
      <c r="M181" s="26">
        <v>-5.2999999999999999E-2</v>
      </c>
      <c r="N181" s="26">
        <v>-0.16500000000000001</v>
      </c>
      <c r="O181" s="26">
        <v>-0.19500000000000001</v>
      </c>
      <c r="P181" s="25">
        <v>-0.19500000000000001</v>
      </c>
      <c r="Q181" s="25">
        <v>-5.2499999999999998E-2</v>
      </c>
      <c r="R181" s="25">
        <v>-0.03</v>
      </c>
      <c r="S181" s="25">
        <v>0.253</v>
      </c>
      <c r="T181" s="25">
        <v>0.253</v>
      </c>
      <c r="U181" s="25">
        <v>0.158</v>
      </c>
      <c r="V181" s="25">
        <v>0</v>
      </c>
      <c r="W181" s="179">
        <v>0.19500000000000001</v>
      </c>
      <c r="X181" s="179">
        <v>0.25</v>
      </c>
      <c r="Y181" s="179">
        <v>-7.499999000000002E-3</v>
      </c>
      <c r="Z181" s="179">
        <v>-1.6E-2</v>
      </c>
      <c r="AA181" s="179">
        <v>1.4000000000000002E-2</v>
      </c>
      <c r="AB181" s="179">
        <v>9.9999999999999395E-4</v>
      </c>
      <c r="AC181" s="179">
        <v>5.0000000000000001E-3</v>
      </c>
      <c r="AD181" s="179">
        <v>1.8500000000000003E-2</v>
      </c>
      <c r="AE181" s="179">
        <v>-6.25E-2</v>
      </c>
      <c r="AF181" s="179">
        <v>-3.3500000000000002E-2</v>
      </c>
      <c r="AG181" s="180">
        <v>-4.2000000000000003E-2</v>
      </c>
      <c r="AH181" s="179">
        <v>-1.1000000000000001E-2</v>
      </c>
      <c r="AI181" s="25">
        <v>-5.2000000000000005E-2</v>
      </c>
      <c r="AJ181" s="25">
        <v>-7.4999999999999997E-2</v>
      </c>
      <c r="AK181" s="25">
        <v>-1.9999990000000001E-3</v>
      </c>
      <c r="AL181" s="25">
        <v>6.5000000000000006E-3</v>
      </c>
      <c r="AM181" s="25">
        <v>0.45</v>
      </c>
      <c r="AN181" s="25">
        <v>1.4999999999999999E-2</v>
      </c>
      <c r="AO181" s="25">
        <v>0</v>
      </c>
      <c r="AP181" s="25">
        <v>-0.12</v>
      </c>
      <c r="AQ181" s="25">
        <v>-0.19</v>
      </c>
      <c r="AS181" s="25">
        <v>0</v>
      </c>
      <c r="AT181" s="25">
        <v>0</v>
      </c>
      <c r="AU181" s="25">
        <v>0.29499999999999998</v>
      </c>
      <c r="AV181" s="25">
        <v>0</v>
      </c>
      <c r="AW181" s="25">
        <v>-9.0500000000000011E-2</v>
      </c>
      <c r="AY181" s="25">
        <v>-9.0500000000000011E-2</v>
      </c>
      <c r="AZ181" s="25">
        <v>-0.03</v>
      </c>
      <c r="BA181" s="25">
        <v>-8.0500000000000002E-2</v>
      </c>
      <c r="BB181" s="25">
        <v>-1.1000000000000001E-2</v>
      </c>
      <c r="BC181" s="25">
        <v>-3.8000000000000006E-2</v>
      </c>
      <c r="BD181" s="25">
        <v>-0.02</v>
      </c>
      <c r="BE181" s="25">
        <v>-6.25E-2</v>
      </c>
      <c r="BF181" s="25">
        <v>-0.17</v>
      </c>
      <c r="BG181" s="25">
        <v>0</v>
      </c>
      <c r="BH181" s="25">
        <v>0.28300000000000003</v>
      </c>
      <c r="BI181" s="25">
        <v>0.28300000000000003</v>
      </c>
      <c r="BJ181" s="25">
        <v>0.35499999999999998</v>
      </c>
    </row>
    <row r="182" spans="1:62" x14ac:dyDescent="0.25">
      <c r="A182" s="26"/>
      <c r="B182" s="26">
        <v>3.9710000000000005</v>
      </c>
      <c r="C182" s="145">
        <v>42125</v>
      </c>
      <c r="D182" s="26">
        <v>3.4630000000000001</v>
      </c>
      <c r="E182" s="26">
        <v>0.15</v>
      </c>
      <c r="F182" s="26">
        <v>7.0288585218035021E-2</v>
      </c>
      <c r="G182" s="26">
        <v>-0.19500000000000001</v>
      </c>
      <c r="H182" s="26">
        <v>-0.2</v>
      </c>
      <c r="I182" s="26">
        <v>-0.20499999999999999</v>
      </c>
      <c r="J182" s="26">
        <v>-0.26</v>
      </c>
      <c r="K182" s="26">
        <v>-0.08</v>
      </c>
      <c r="L182" s="26">
        <v>-0.03</v>
      </c>
      <c r="M182" s="26">
        <v>-5.2999999999999999E-2</v>
      </c>
      <c r="N182" s="26">
        <v>-0.16500000000000001</v>
      </c>
      <c r="O182" s="26">
        <v>-0.19500000000000001</v>
      </c>
      <c r="P182" s="25">
        <v>-0.19500000000000001</v>
      </c>
      <c r="Q182" s="25">
        <v>-5.2499999999999998E-2</v>
      </c>
      <c r="R182" s="25">
        <v>-0.03</v>
      </c>
      <c r="S182" s="25">
        <v>0.26300000000000001</v>
      </c>
      <c r="T182" s="25">
        <v>0.26300000000000001</v>
      </c>
      <c r="U182" s="25">
        <v>0.16800000000000001</v>
      </c>
      <c r="V182" s="25">
        <v>0</v>
      </c>
      <c r="W182" s="179">
        <v>0.1825</v>
      </c>
      <c r="X182" s="179">
        <v>0.20250000000000001</v>
      </c>
      <c r="Y182" s="179">
        <v>-7.499999000000002E-3</v>
      </c>
      <c r="Z182" s="179">
        <v>-1.6250000000000001E-2</v>
      </c>
      <c r="AA182" s="179">
        <v>1.375E-2</v>
      </c>
      <c r="AB182" s="179">
        <v>-1.2499990000000001E-3</v>
      </c>
      <c r="AC182" s="179">
        <v>5.0000000000000001E-3</v>
      </c>
      <c r="AD182" s="179">
        <v>1.8500000000000003E-2</v>
      </c>
      <c r="AE182" s="179">
        <v>-6.25E-2</v>
      </c>
      <c r="AF182" s="179">
        <v>-3.3500000000000002E-2</v>
      </c>
      <c r="AG182" s="180">
        <v>-4.2000000000000003E-2</v>
      </c>
      <c r="AH182" s="179">
        <v>-1.1000000000000001E-2</v>
      </c>
      <c r="AI182" s="25">
        <v>-5.2000000000000005E-2</v>
      </c>
      <c r="AJ182" s="25">
        <v>-7.4999999999999997E-2</v>
      </c>
      <c r="AK182" s="25">
        <v>-1.9999990000000001E-3</v>
      </c>
      <c r="AL182" s="25">
        <v>6.5000000000000006E-3</v>
      </c>
      <c r="AM182" s="25">
        <v>0.40500000000000003</v>
      </c>
      <c r="AN182" s="25">
        <v>1.4999999999999999E-2</v>
      </c>
      <c r="AO182" s="25">
        <v>0</v>
      </c>
      <c r="AP182" s="25">
        <v>-0.12</v>
      </c>
      <c r="AQ182" s="25">
        <v>-0.19</v>
      </c>
      <c r="AS182" s="25">
        <v>0</v>
      </c>
      <c r="AT182" s="25">
        <v>0</v>
      </c>
      <c r="AU182" s="25">
        <v>0.29499999999999998</v>
      </c>
      <c r="AV182" s="25">
        <v>0</v>
      </c>
      <c r="AW182" s="25">
        <v>-8.8000000000000009E-2</v>
      </c>
      <c r="AY182" s="25">
        <v>-8.8000000000000009E-2</v>
      </c>
      <c r="AZ182" s="25">
        <v>-0.03</v>
      </c>
      <c r="BA182" s="25">
        <v>-8.0500000000000002E-2</v>
      </c>
      <c r="BB182" s="25">
        <v>-1.1000000000000001E-2</v>
      </c>
      <c r="BC182" s="25">
        <v>-3.8000000000000006E-2</v>
      </c>
      <c r="BD182" s="25">
        <v>-0.02</v>
      </c>
      <c r="BE182" s="25">
        <v>-6.25E-2</v>
      </c>
      <c r="BF182" s="25">
        <v>-0.17</v>
      </c>
      <c r="BG182" s="25">
        <v>0</v>
      </c>
      <c r="BH182" s="25">
        <v>0.29300000000000004</v>
      </c>
      <c r="BI182" s="25">
        <v>0.29300000000000004</v>
      </c>
      <c r="BJ182" s="25">
        <v>0.28749999999999998</v>
      </c>
    </row>
    <row r="183" spans="1:62" x14ac:dyDescent="0.25">
      <c r="A183" s="26"/>
      <c r="B183" s="26">
        <v>3.8519999999999999</v>
      </c>
      <c r="C183" s="145">
        <v>42156</v>
      </c>
      <c r="D183" s="26">
        <v>3.4950000000000001</v>
      </c>
      <c r="E183" s="26">
        <v>0.15</v>
      </c>
      <c r="F183" s="26">
        <v>7.0290749628052013E-2</v>
      </c>
      <c r="G183" s="26">
        <v>-0.19500000000000001</v>
      </c>
      <c r="H183" s="26">
        <v>-0.2</v>
      </c>
      <c r="I183" s="26">
        <v>-0.215</v>
      </c>
      <c r="J183" s="26">
        <v>-0.26</v>
      </c>
      <c r="K183" s="26">
        <v>-0.09</v>
      </c>
      <c r="L183" s="26">
        <v>-0.03</v>
      </c>
      <c r="M183" s="26">
        <v>-5.2999999999999999E-2</v>
      </c>
      <c r="N183" s="26">
        <v>-0.16500000000000001</v>
      </c>
      <c r="O183" s="26">
        <v>-0.19500000000000001</v>
      </c>
      <c r="P183" s="25">
        <v>-0.19500000000000001</v>
      </c>
      <c r="Q183" s="25">
        <v>-0.05</v>
      </c>
      <c r="R183" s="25">
        <v>-0.03</v>
      </c>
      <c r="S183" s="25">
        <v>0.25800000000000001</v>
      </c>
      <c r="T183" s="25">
        <v>0.25800000000000001</v>
      </c>
      <c r="U183" s="25">
        <v>0.16300000000000001</v>
      </c>
      <c r="V183" s="25">
        <v>0</v>
      </c>
      <c r="W183" s="179">
        <v>0.1825</v>
      </c>
      <c r="X183" s="179">
        <v>0.20250000000000001</v>
      </c>
      <c r="Y183" s="179">
        <v>-7.499999000000002E-3</v>
      </c>
      <c r="Z183" s="179">
        <v>-1.6250000000000001E-2</v>
      </c>
      <c r="AA183" s="179">
        <v>1.375E-2</v>
      </c>
      <c r="AB183" s="179">
        <v>-1.2499990000000001E-3</v>
      </c>
      <c r="AC183" s="179">
        <v>5.0000000000000001E-3</v>
      </c>
      <c r="AD183" s="179">
        <v>1.8500000000000003E-2</v>
      </c>
      <c r="AE183" s="179">
        <v>-6.25E-2</v>
      </c>
      <c r="AF183" s="179">
        <v>-3.3500000000000002E-2</v>
      </c>
      <c r="AG183" s="180">
        <v>-4.2000000000000003E-2</v>
      </c>
      <c r="AH183" s="179">
        <v>-1.1000000000000001E-2</v>
      </c>
      <c r="AI183" s="25">
        <v>-6.8000000000000005E-2</v>
      </c>
      <c r="AJ183" s="25">
        <v>-7.0000000000000007E-2</v>
      </c>
      <c r="AK183" s="25">
        <v>-1.9999990000000001E-3</v>
      </c>
      <c r="AL183" s="25">
        <v>6.5000000000000006E-3</v>
      </c>
      <c r="AM183" s="25">
        <v>0.39500000000000002</v>
      </c>
      <c r="AN183" s="25">
        <v>0.02</v>
      </c>
      <c r="AO183" s="25">
        <v>0</v>
      </c>
      <c r="AP183" s="25">
        <v>-0.12</v>
      </c>
      <c r="AQ183" s="25">
        <v>-0.19</v>
      </c>
      <c r="AS183" s="25">
        <v>0</v>
      </c>
      <c r="AT183" s="25">
        <v>0</v>
      </c>
      <c r="AU183" s="25">
        <v>0.29499999999999998</v>
      </c>
      <c r="AV183" s="25">
        <v>0</v>
      </c>
      <c r="AW183" s="25">
        <v>-8.0500000000000002E-2</v>
      </c>
      <c r="AY183" s="25">
        <v>-8.0500000000000002E-2</v>
      </c>
      <c r="AZ183" s="25">
        <v>-0.03</v>
      </c>
      <c r="BA183" s="25">
        <v>-7.0499999999999993E-2</v>
      </c>
      <c r="BB183" s="25">
        <v>-1.1000000000000001E-2</v>
      </c>
      <c r="BC183" s="25">
        <v>-3.8000000000000006E-2</v>
      </c>
      <c r="BD183" s="25">
        <v>-1.4999999999999999E-2</v>
      </c>
      <c r="BE183" s="25">
        <v>-6.25E-2</v>
      </c>
      <c r="BF183" s="25">
        <v>-0.17</v>
      </c>
      <c r="BG183" s="25">
        <v>0</v>
      </c>
      <c r="BH183" s="25">
        <v>0.28800000000000003</v>
      </c>
      <c r="BI183" s="25">
        <v>0.28800000000000003</v>
      </c>
      <c r="BJ183" s="25">
        <v>0.28749999999999998</v>
      </c>
    </row>
    <row r="184" spans="1:62" x14ac:dyDescent="0.25">
      <c r="A184" s="26"/>
      <c r="B184" s="26">
        <v>3.8360000000000003</v>
      </c>
      <c r="C184" s="145">
        <v>42186</v>
      </c>
      <c r="D184" s="26">
        <v>3.5169999999999999</v>
      </c>
      <c r="E184" s="26">
        <v>0.15</v>
      </c>
      <c r="F184" s="26">
        <v>7.0292844218393005E-2</v>
      </c>
      <c r="G184" s="26">
        <v>-0.19500000000000001</v>
      </c>
      <c r="H184" s="26">
        <v>-0.2</v>
      </c>
      <c r="I184" s="26">
        <v>-0.215</v>
      </c>
      <c r="J184" s="26">
        <v>-0.28000000000000003</v>
      </c>
      <c r="K184" s="26">
        <v>-0.09</v>
      </c>
      <c r="L184" s="26">
        <v>-0.03</v>
      </c>
      <c r="M184" s="26">
        <v>-5.2999999999999999E-2</v>
      </c>
      <c r="N184" s="26">
        <v>-0.16500000000000001</v>
      </c>
      <c r="O184" s="26">
        <v>-0.19500000000000001</v>
      </c>
      <c r="P184" s="25">
        <v>-0.19500000000000001</v>
      </c>
      <c r="Q184" s="25">
        <v>-4.8750000000000002E-2</v>
      </c>
      <c r="R184" s="25">
        <v>-0.03</v>
      </c>
      <c r="S184" s="25">
        <v>0.24800000000000003</v>
      </c>
      <c r="T184" s="25">
        <v>0.24800000000000003</v>
      </c>
      <c r="U184" s="25">
        <v>0.153</v>
      </c>
      <c r="V184" s="25">
        <v>0</v>
      </c>
      <c r="W184" s="179">
        <v>0.1825</v>
      </c>
      <c r="X184" s="179">
        <v>0.215</v>
      </c>
      <c r="Y184" s="179">
        <v>-7.499999000000002E-3</v>
      </c>
      <c r="Z184" s="179">
        <v>-1.6250000000000001E-2</v>
      </c>
      <c r="AA184" s="179">
        <v>1.375E-2</v>
      </c>
      <c r="AB184" s="179">
        <v>-1.2499990000000001E-3</v>
      </c>
      <c r="AC184" s="179">
        <v>5.0000000000000001E-3</v>
      </c>
      <c r="AD184" s="179">
        <v>1.8500000000000003E-2</v>
      </c>
      <c r="AE184" s="179">
        <v>-6.25E-2</v>
      </c>
      <c r="AF184" s="179">
        <v>-3.3500000000000002E-2</v>
      </c>
      <c r="AG184" s="180">
        <v>-4.2000000000000003E-2</v>
      </c>
      <c r="AH184" s="179">
        <v>-1.1000000000000001E-2</v>
      </c>
      <c r="AI184" s="25">
        <v>-6.1000000000000006E-2</v>
      </c>
      <c r="AJ184" s="25">
        <v>-6.7500000000000004E-2</v>
      </c>
      <c r="AK184" s="25">
        <v>-1.9999990000000001E-3</v>
      </c>
      <c r="AL184" s="25">
        <v>6.5000000000000006E-3</v>
      </c>
      <c r="AM184" s="25">
        <v>0.43</v>
      </c>
      <c r="AN184" s="25">
        <v>2.2499999999999999E-2</v>
      </c>
      <c r="AO184" s="25">
        <v>0</v>
      </c>
      <c r="AP184" s="25">
        <v>-0.12</v>
      </c>
      <c r="AQ184" s="25">
        <v>-0.19</v>
      </c>
      <c r="AS184" s="25">
        <v>0</v>
      </c>
      <c r="AT184" s="25">
        <v>0</v>
      </c>
      <c r="AU184" s="25">
        <v>0.29499999999999998</v>
      </c>
      <c r="AV184" s="25">
        <v>0</v>
      </c>
      <c r="AW184" s="25">
        <v>-8.8000000000000009E-2</v>
      </c>
      <c r="AY184" s="25">
        <v>-8.8000000000000009E-2</v>
      </c>
      <c r="AZ184" s="25">
        <v>-0.03</v>
      </c>
      <c r="BA184" s="25">
        <v>-6.5500000000000003E-2</v>
      </c>
      <c r="BB184" s="25">
        <v>-1.1000000000000001E-2</v>
      </c>
      <c r="BC184" s="25">
        <v>-3.8000000000000006E-2</v>
      </c>
      <c r="BD184" s="25">
        <v>-1.2500000000000001E-2</v>
      </c>
      <c r="BE184" s="25">
        <v>-6.25E-2</v>
      </c>
      <c r="BF184" s="25">
        <v>-0.17</v>
      </c>
      <c r="BG184" s="25">
        <v>0</v>
      </c>
      <c r="BH184" s="25">
        <v>0.27800000000000002</v>
      </c>
      <c r="BI184" s="25">
        <v>0.27800000000000002</v>
      </c>
      <c r="BJ184" s="25">
        <v>0.3</v>
      </c>
    </row>
    <row r="185" spans="1:62" x14ac:dyDescent="0.25">
      <c r="A185" s="26"/>
      <c r="B185" s="26">
        <v>3.8280000000000003</v>
      </c>
      <c r="C185" s="145">
        <v>42217</v>
      </c>
      <c r="D185" s="26">
        <v>3.5380000000000003</v>
      </c>
      <c r="E185" s="26">
        <v>0.15</v>
      </c>
      <c r="F185" s="26">
        <v>7.0295008628412994E-2</v>
      </c>
      <c r="G185" s="26">
        <v>-0.19500000000000001</v>
      </c>
      <c r="H185" s="26">
        <v>-0.2</v>
      </c>
      <c r="I185" s="26">
        <v>-0.215</v>
      </c>
      <c r="J185" s="26">
        <v>-0.28000000000000003</v>
      </c>
      <c r="K185" s="26">
        <v>-0.09</v>
      </c>
      <c r="L185" s="26">
        <v>-0.03</v>
      </c>
      <c r="M185" s="26">
        <v>-5.2999999999999999E-2</v>
      </c>
      <c r="N185" s="26">
        <v>-0.16500000000000001</v>
      </c>
      <c r="O185" s="26">
        <v>-0.19500000000000001</v>
      </c>
      <c r="P185" s="25">
        <v>-0.19500000000000001</v>
      </c>
      <c r="Q185" s="25">
        <v>-4.7500000000000001E-2</v>
      </c>
      <c r="R185" s="25">
        <v>-0.03</v>
      </c>
      <c r="S185" s="25">
        <v>0.245</v>
      </c>
      <c r="T185" s="25">
        <v>0.245</v>
      </c>
      <c r="U185" s="25">
        <v>0.15</v>
      </c>
      <c r="V185" s="25">
        <v>0</v>
      </c>
      <c r="W185" s="179">
        <v>0.1825</v>
      </c>
      <c r="X185" s="179">
        <v>0.215</v>
      </c>
      <c r="Y185" s="179">
        <v>-7.499999000000002E-3</v>
      </c>
      <c r="Z185" s="179">
        <v>-1.6250000000000001E-2</v>
      </c>
      <c r="AA185" s="179">
        <v>1.375E-2</v>
      </c>
      <c r="AB185" s="179">
        <v>-1.2499990000000001E-3</v>
      </c>
      <c r="AC185" s="179">
        <v>5.0000000000000001E-3</v>
      </c>
      <c r="AD185" s="179">
        <v>1.8500000000000003E-2</v>
      </c>
      <c r="AE185" s="179">
        <v>-6.25E-2</v>
      </c>
      <c r="AF185" s="179">
        <v>-3.3500000000000002E-2</v>
      </c>
      <c r="AG185" s="180">
        <v>-4.2000000000000003E-2</v>
      </c>
      <c r="AH185" s="179">
        <v>-1.1000000000000001E-2</v>
      </c>
      <c r="AI185" s="25">
        <v>-4.2000000000000003E-2</v>
      </c>
      <c r="AJ185" s="25">
        <v>-6.5000000000000002E-2</v>
      </c>
      <c r="AK185" s="25">
        <v>-1.9999990000000001E-3</v>
      </c>
      <c r="AL185" s="25">
        <v>6.5000000000000006E-3</v>
      </c>
      <c r="AM185" s="25">
        <v>0.495</v>
      </c>
      <c r="AN185" s="25">
        <v>2.5000000000000001E-2</v>
      </c>
      <c r="AO185" s="25">
        <v>0</v>
      </c>
      <c r="AP185" s="25">
        <v>0</v>
      </c>
      <c r="AQ185" s="25">
        <v>-0.19</v>
      </c>
      <c r="AS185" s="25">
        <v>0</v>
      </c>
      <c r="AT185" s="25">
        <v>0</v>
      </c>
      <c r="AU185" s="25">
        <v>0.29499999999999998</v>
      </c>
      <c r="AV185" s="25">
        <v>0</v>
      </c>
      <c r="AW185" s="25">
        <v>-7.5499999999999998E-2</v>
      </c>
      <c r="AY185" s="25">
        <v>-7.5499999999999998E-2</v>
      </c>
      <c r="AZ185" s="25">
        <v>-0.03</v>
      </c>
      <c r="BA185" s="25">
        <v>-6.5500000000000003E-2</v>
      </c>
      <c r="BB185" s="25">
        <v>-1.1000000000000001E-2</v>
      </c>
      <c r="BC185" s="25">
        <v>-3.8000000000000006E-2</v>
      </c>
      <c r="BD185" s="25">
        <v>-0.01</v>
      </c>
      <c r="BE185" s="25">
        <v>-6.25E-2</v>
      </c>
      <c r="BF185" s="25">
        <v>-0.17</v>
      </c>
      <c r="BG185" s="25">
        <v>0</v>
      </c>
      <c r="BH185" s="25">
        <v>0.27500000000000002</v>
      </c>
      <c r="BI185" s="25">
        <v>0.27500000000000002</v>
      </c>
      <c r="BJ185" s="25">
        <v>0.3</v>
      </c>
    </row>
    <row r="186" spans="1:62" x14ac:dyDescent="0.25">
      <c r="A186" s="26"/>
      <c r="B186" s="26">
        <v>3.8930000000000002</v>
      </c>
      <c r="C186" s="145">
        <v>42248</v>
      </c>
      <c r="D186" s="26">
        <v>3.5160000000000005</v>
      </c>
      <c r="E186" s="26">
        <v>0.15</v>
      </c>
      <c r="F186" s="26">
        <v>7.0297173038434996E-2</v>
      </c>
      <c r="G186" s="26">
        <v>-0.19500000000000001</v>
      </c>
      <c r="H186" s="26">
        <v>-0.2</v>
      </c>
      <c r="I186" s="26">
        <v>-0.20499999999999999</v>
      </c>
      <c r="J186" s="26">
        <v>-0.28000000000000003</v>
      </c>
      <c r="K186" s="26">
        <v>-0.08</v>
      </c>
      <c r="L186" s="26">
        <v>0</v>
      </c>
      <c r="M186" s="26">
        <v>-5.2999999999999999E-2</v>
      </c>
      <c r="N186" s="26">
        <v>-0.16500000000000001</v>
      </c>
      <c r="O186" s="26">
        <v>-0.19500000000000001</v>
      </c>
      <c r="P186" s="25">
        <v>-0.19500000000000001</v>
      </c>
      <c r="Q186" s="25">
        <v>0</v>
      </c>
      <c r="R186" s="25">
        <v>0</v>
      </c>
      <c r="S186" s="25">
        <v>0.24300000000000002</v>
      </c>
      <c r="T186" s="25">
        <v>0.24300000000000002</v>
      </c>
      <c r="U186" s="25">
        <v>0.14800000000000002</v>
      </c>
      <c r="V186" s="25">
        <v>0</v>
      </c>
      <c r="W186" s="179">
        <v>0.1825</v>
      </c>
      <c r="X186" s="179">
        <v>0.19500000000000001</v>
      </c>
      <c r="Y186" s="179">
        <v>-7.499999000000002E-3</v>
      </c>
      <c r="Z186" s="179">
        <v>-1.6250000000000001E-2</v>
      </c>
      <c r="AA186" s="179">
        <v>1.375E-2</v>
      </c>
      <c r="AB186" s="179">
        <v>-1.2499990000000001E-3</v>
      </c>
      <c r="AC186" s="179">
        <v>5.0000000000000001E-3</v>
      </c>
      <c r="AD186" s="179">
        <v>1.8500000000000003E-2</v>
      </c>
      <c r="AE186" s="179">
        <v>-6.25E-2</v>
      </c>
      <c r="AF186" s="179">
        <v>-3.1000000000000003E-2</v>
      </c>
      <c r="AG186" s="180">
        <v>-3.95E-2</v>
      </c>
      <c r="AH186" s="179">
        <v>-1.1000000000000001E-2</v>
      </c>
      <c r="AI186" s="25">
        <v>-0.04</v>
      </c>
      <c r="AJ186" s="25">
        <v>0</v>
      </c>
      <c r="AK186" s="25">
        <v>-1.9999990000000001E-3</v>
      </c>
      <c r="AL186" s="25">
        <v>6.5000000000000006E-3</v>
      </c>
      <c r="AM186" s="25">
        <v>0.39500000000000002</v>
      </c>
      <c r="AN186" s="25">
        <v>1.7500000000000002E-2</v>
      </c>
      <c r="AO186" s="25">
        <v>0</v>
      </c>
      <c r="AP186" s="25">
        <v>0</v>
      </c>
      <c r="AQ186" s="25">
        <v>-0.19</v>
      </c>
      <c r="AS186" s="25">
        <v>0</v>
      </c>
      <c r="AT186" s="25">
        <v>0</v>
      </c>
      <c r="AU186" s="25">
        <v>0.29499999999999998</v>
      </c>
      <c r="AV186" s="25">
        <v>0</v>
      </c>
      <c r="AW186" s="25">
        <v>-8.0500000000000002E-2</v>
      </c>
      <c r="AY186" s="25">
        <v>-8.0500000000000002E-2</v>
      </c>
      <c r="AZ186" s="25">
        <v>0</v>
      </c>
      <c r="BA186" s="25">
        <v>-8.0500000000000002E-2</v>
      </c>
      <c r="BB186" s="25">
        <v>-1.1000000000000001E-2</v>
      </c>
      <c r="BC186" s="25">
        <v>-3.8000000000000006E-2</v>
      </c>
      <c r="BD186" s="25">
        <v>-1.7500000000000002E-2</v>
      </c>
      <c r="BE186" s="25">
        <v>-6.25E-2</v>
      </c>
      <c r="BF186" s="25">
        <v>-0.17</v>
      </c>
      <c r="BG186" s="25">
        <v>0</v>
      </c>
      <c r="BH186" s="25">
        <v>0.27300000000000002</v>
      </c>
      <c r="BI186" s="25">
        <v>0.27300000000000002</v>
      </c>
      <c r="BJ186" s="25">
        <v>0.28999999999999998</v>
      </c>
    </row>
    <row r="187" spans="1:62" x14ac:dyDescent="0.25">
      <c r="A187" s="26"/>
      <c r="B187" s="26">
        <v>3.8880000000000003</v>
      </c>
      <c r="C187" s="145">
        <v>42278</v>
      </c>
      <c r="D187" s="26">
        <v>3.5090000000000003</v>
      </c>
      <c r="E187" s="26">
        <v>0.15</v>
      </c>
      <c r="F187" s="26">
        <v>7.0299267628779014E-2</v>
      </c>
      <c r="G187" s="26">
        <v>-0.19500000000000001</v>
      </c>
      <c r="H187" s="26">
        <v>-0.2</v>
      </c>
      <c r="I187" s="26">
        <v>-0.19</v>
      </c>
      <c r="J187" s="26">
        <v>-0.28000000000000003</v>
      </c>
      <c r="K187" s="26">
        <v>-6.5000000000000002E-2</v>
      </c>
      <c r="L187" s="26">
        <v>0</v>
      </c>
      <c r="M187" s="26">
        <v>-5.2999999999999999E-2</v>
      </c>
      <c r="N187" s="26">
        <v>-0.16500000000000001</v>
      </c>
      <c r="O187" s="26">
        <v>-0.19500000000000001</v>
      </c>
      <c r="P187" s="25">
        <v>-0.19500000000000001</v>
      </c>
      <c r="Q187" s="25">
        <v>0</v>
      </c>
      <c r="R187" s="25">
        <v>0</v>
      </c>
      <c r="S187" s="25">
        <v>0.25800000000000001</v>
      </c>
      <c r="T187" s="25">
        <v>0.25800000000000001</v>
      </c>
      <c r="U187" s="25">
        <v>0.16300000000000001</v>
      </c>
      <c r="V187" s="25">
        <v>0</v>
      </c>
      <c r="W187" s="179">
        <v>0.1875</v>
      </c>
      <c r="X187" s="179">
        <v>0.215</v>
      </c>
      <c r="Y187" s="179">
        <v>-7.499999000000002E-3</v>
      </c>
      <c r="Z187" s="179">
        <v>-1.6250000000000001E-2</v>
      </c>
      <c r="AA187" s="179">
        <v>-4.5000000000000005E-3</v>
      </c>
      <c r="AB187" s="179">
        <v>-1.95E-2</v>
      </c>
      <c r="AC187" s="179">
        <v>5.0000000000000001E-3</v>
      </c>
      <c r="AD187" s="179">
        <v>1.8500000000000003E-2</v>
      </c>
      <c r="AE187" s="179">
        <v>-6.25E-2</v>
      </c>
      <c r="AF187" s="179">
        <v>-3.1000000000000003E-2</v>
      </c>
      <c r="AG187" s="180">
        <v>-3.95E-2</v>
      </c>
      <c r="AH187" s="179">
        <v>-1.1000000000000001E-2</v>
      </c>
      <c r="AI187" s="25">
        <v>-4.2000000000000003E-2</v>
      </c>
      <c r="AJ187" s="25">
        <v>0</v>
      </c>
      <c r="AK187" s="25">
        <v>-1.9999990000000001E-3</v>
      </c>
      <c r="AL187" s="25">
        <v>6.5000000000000006E-3</v>
      </c>
      <c r="AM187" s="25">
        <v>0.46100000000000002</v>
      </c>
      <c r="AN187" s="25">
        <v>7.4999999999999997E-3</v>
      </c>
      <c r="AO187" s="25">
        <v>0</v>
      </c>
      <c r="AP187" s="25">
        <v>0</v>
      </c>
      <c r="AQ187" s="25">
        <v>-0.19</v>
      </c>
      <c r="AS187" s="25">
        <v>0</v>
      </c>
      <c r="AT187" s="25">
        <v>0</v>
      </c>
      <c r="AU187" s="25">
        <v>0.29499999999999998</v>
      </c>
      <c r="AV187" s="25">
        <v>0</v>
      </c>
      <c r="AW187" s="25">
        <v>-9.0500000000000011E-2</v>
      </c>
      <c r="AY187" s="25">
        <v>-9.0500000000000011E-2</v>
      </c>
      <c r="AZ187" s="25">
        <v>0</v>
      </c>
      <c r="BA187" s="25">
        <v>-8.3000000000000004E-2</v>
      </c>
      <c r="BB187" s="25">
        <v>-1.1000000000000001E-2</v>
      </c>
      <c r="BC187" s="25">
        <v>-3.8000000000000006E-2</v>
      </c>
      <c r="BD187" s="25">
        <v>-2.75E-2</v>
      </c>
      <c r="BE187" s="25">
        <v>-6.25E-2</v>
      </c>
      <c r="BF187" s="25">
        <v>-0.17</v>
      </c>
      <c r="BG187" s="25">
        <v>0</v>
      </c>
      <c r="BH187" s="25">
        <v>0.28800000000000003</v>
      </c>
      <c r="BI187" s="25">
        <v>0.28800000000000003</v>
      </c>
      <c r="BJ187" s="25">
        <v>0.36249999999999999</v>
      </c>
    </row>
    <row r="188" spans="1:62" x14ac:dyDescent="0.25">
      <c r="A188" s="26"/>
      <c r="B188" s="26">
        <v>3.8660000000000001</v>
      </c>
      <c r="C188" s="145">
        <v>42309</v>
      </c>
      <c r="D188" s="26">
        <v>3.5410000000000004</v>
      </c>
      <c r="E188" s="26">
        <v>0.15</v>
      </c>
      <c r="F188" s="26">
        <v>7.0301432038804013E-2</v>
      </c>
      <c r="G188" s="26">
        <v>-0.19</v>
      </c>
      <c r="H188" s="26">
        <v>-0.19500000000000001</v>
      </c>
      <c r="I188" s="26">
        <v>-0.1525</v>
      </c>
      <c r="J188" s="26">
        <v>-0.27500000000000002</v>
      </c>
      <c r="K188" s="26">
        <v>-2.75E-2</v>
      </c>
      <c r="L188" s="26">
        <v>0</v>
      </c>
      <c r="M188" s="26">
        <v>-6.7500000000000004E-2</v>
      </c>
      <c r="N188" s="26">
        <v>-0.16</v>
      </c>
      <c r="O188" s="26">
        <v>-0.19</v>
      </c>
      <c r="P188" s="25">
        <v>-0.19</v>
      </c>
      <c r="Q188" s="25">
        <v>0</v>
      </c>
      <c r="R188" s="25">
        <v>0</v>
      </c>
      <c r="S188" s="25">
        <v>0.32</v>
      </c>
      <c r="T188" s="25">
        <v>0.32</v>
      </c>
      <c r="U188" s="25">
        <v>0.22500000000000001</v>
      </c>
      <c r="V188" s="25">
        <v>0</v>
      </c>
      <c r="W188" s="179">
        <v>0.27</v>
      </c>
      <c r="X188" s="179">
        <v>0.28749999999999998</v>
      </c>
      <c r="Y188" s="179">
        <v>-1.0500000000000001E-2</v>
      </c>
      <c r="Z188" s="179">
        <v>-2.9500000000000002E-2</v>
      </c>
      <c r="AA188" s="179">
        <v>-3.5000000000000005E-3</v>
      </c>
      <c r="AB188" s="179">
        <v>-1.8500000000000003E-2</v>
      </c>
      <c r="AC188" s="179">
        <v>5.0000000000000001E-3</v>
      </c>
      <c r="AD188" s="179">
        <v>1.0500000000000001E-2</v>
      </c>
      <c r="AE188" s="179">
        <v>-6.5000000000000002E-2</v>
      </c>
      <c r="AF188" s="179">
        <v>-3.1000000000000003E-2</v>
      </c>
      <c r="AG188" s="180">
        <v>-4.2500000000000003E-2</v>
      </c>
      <c r="AH188" s="179">
        <v>-7.499999000000002E-3</v>
      </c>
      <c r="AI188" s="25">
        <v>-5.7000000000000002E-2</v>
      </c>
      <c r="AJ188" s="25">
        <v>0</v>
      </c>
      <c r="AK188" s="25">
        <v>5.5000000000000005E-3</v>
      </c>
      <c r="AL188" s="25">
        <v>1.6E-2</v>
      </c>
      <c r="AM188" s="25">
        <v>0.76749999999999996</v>
      </c>
      <c r="AN188" s="25">
        <v>-3.2500000000000001E-2</v>
      </c>
      <c r="AO188" s="25">
        <v>0</v>
      </c>
      <c r="AP188" s="25">
        <v>0</v>
      </c>
      <c r="AQ188" s="25">
        <v>-0.19</v>
      </c>
      <c r="AS188" s="25">
        <v>0</v>
      </c>
      <c r="AT188" s="25">
        <v>0</v>
      </c>
      <c r="AU188" s="25">
        <v>0.12</v>
      </c>
      <c r="AV188" s="25">
        <v>0</v>
      </c>
      <c r="AW188" s="25">
        <v>-9.5500000000000015E-2</v>
      </c>
      <c r="AY188" s="25">
        <v>-9.5500000000000015E-2</v>
      </c>
      <c r="AZ188" s="25">
        <v>0</v>
      </c>
      <c r="BA188" s="25">
        <v>-8.0500000000000002E-2</v>
      </c>
      <c r="BB188" s="25">
        <v>-1.2500000000000001E-2</v>
      </c>
      <c r="BC188" s="25">
        <v>-5.2499999999999998E-2</v>
      </c>
      <c r="BD188" s="25">
        <v>-6.7500000000000004E-2</v>
      </c>
      <c r="BE188" s="25">
        <v>-6.5000000000000002E-2</v>
      </c>
      <c r="BF188" s="25">
        <v>-0.17</v>
      </c>
      <c r="BG188" s="25">
        <v>0</v>
      </c>
      <c r="BH188" s="25">
        <v>0.36499999999999999</v>
      </c>
      <c r="BI188" s="25">
        <v>0.36499999999999999</v>
      </c>
      <c r="BJ188" s="25">
        <v>0.46500000000000002</v>
      </c>
    </row>
    <row r="189" spans="1:62" x14ac:dyDescent="0.25">
      <c r="A189" s="26"/>
      <c r="B189" s="26">
        <v>3.8719999999999999</v>
      </c>
      <c r="C189" s="145">
        <v>42339</v>
      </c>
      <c r="D189" s="26">
        <v>3.5869999999999997</v>
      </c>
      <c r="E189" s="26">
        <v>0.15</v>
      </c>
      <c r="F189" s="26">
        <v>7.0303526629152013E-2</v>
      </c>
      <c r="G189" s="26">
        <v>-0.19750000000000001</v>
      </c>
      <c r="H189" s="26">
        <v>-0.20250000000000001</v>
      </c>
      <c r="I189" s="26">
        <v>-0.14499999999999999</v>
      </c>
      <c r="J189" s="26">
        <v>-0.28249999999999997</v>
      </c>
      <c r="K189" s="26">
        <v>-0.02</v>
      </c>
      <c r="L189" s="26">
        <v>0</v>
      </c>
      <c r="M189" s="26">
        <v>-6.7500000000000004E-2</v>
      </c>
      <c r="N189" s="26">
        <v>-0.16750000000000001</v>
      </c>
      <c r="O189" s="26">
        <v>-0.19750000000000001</v>
      </c>
      <c r="P189" s="25">
        <v>-0.19750000000000001</v>
      </c>
      <c r="Q189" s="25">
        <v>0</v>
      </c>
      <c r="R189" s="25">
        <v>0</v>
      </c>
      <c r="S189" s="25">
        <v>0.36</v>
      </c>
      <c r="T189" s="25">
        <v>0.36</v>
      </c>
      <c r="U189" s="25">
        <v>0.26500000000000001</v>
      </c>
      <c r="V189" s="25">
        <v>0</v>
      </c>
      <c r="W189" s="179">
        <v>0.30499999999999999</v>
      </c>
      <c r="X189" s="179">
        <v>0.33750000000000002</v>
      </c>
      <c r="Y189" s="179">
        <v>-1.0500000000000001E-2</v>
      </c>
      <c r="Z189" s="179">
        <v>-2.2000000000000002E-2</v>
      </c>
      <c r="AA189" s="179">
        <v>-3.5000000000000005E-3</v>
      </c>
      <c r="AB189" s="179">
        <v>-1.8500000000000003E-2</v>
      </c>
      <c r="AC189" s="179">
        <v>5.0000000000000001E-3</v>
      </c>
      <c r="AD189" s="179">
        <v>1.0500000000000001E-2</v>
      </c>
      <c r="AE189" s="179">
        <v>-6.5000000000000002E-2</v>
      </c>
      <c r="AF189" s="179">
        <v>-3.1000000000000003E-2</v>
      </c>
      <c r="AG189" s="180">
        <v>-4.2500000000000003E-2</v>
      </c>
      <c r="AH189" s="179">
        <v>-7.499999000000002E-3</v>
      </c>
      <c r="AI189" s="25">
        <v>-5.7000000000000002E-2</v>
      </c>
      <c r="AJ189" s="25">
        <v>0</v>
      </c>
      <c r="AK189" s="25">
        <v>5.5000000000000005E-3</v>
      </c>
      <c r="AL189" s="25">
        <v>1.6E-2</v>
      </c>
      <c r="AM189" s="25">
        <v>1.19</v>
      </c>
      <c r="AN189" s="25">
        <v>-5.5E-2</v>
      </c>
      <c r="AO189" s="25">
        <v>0</v>
      </c>
      <c r="AP189" s="25">
        <v>0</v>
      </c>
      <c r="AQ189" s="25">
        <v>-0.19</v>
      </c>
      <c r="AS189" s="25">
        <v>0</v>
      </c>
      <c r="AT189" s="25">
        <v>0</v>
      </c>
      <c r="AU189" s="25">
        <v>0.12</v>
      </c>
      <c r="AV189" s="25">
        <v>0</v>
      </c>
      <c r="AW189" s="25">
        <v>-0.1255</v>
      </c>
      <c r="AY189" s="25">
        <v>-0.1255</v>
      </c>
      <c r="AZ189" s="25">
        <v>0</v>
      </c>
      <c r="BA189" s="25">
        <v>-0.11550000000000001</v>
      </c>
      <c r="BB189" s="25">
        <v>-1.2500000000000001E-2</v>
      </c>
      <c r="BC189" s="25">
        <v>-5.2499999999999998E-2</v>
      </c>
      <c r="BD189" s="25">
        <v>-0.09</v>
      </c>
      <c r="BE189" s="25">
        <v>-6.5000000000000002E-2</v>
      </c>
      <c r="BF189" s="25">
        <v>-0.17</v>
      </c>
      <c r="BG189" s="25">
        <v>0</v>
      </c>
      <c r="BH189" s="25">
        <v>0.40500000000000003</v>
      </c>
      <c r="BI189" s="25">
        <v>0.40500000000000003</v>
      </c>
      <c r="BJ189" s="25">
        <v>0.8</v>
      </c>
    </row>
    <row r="190" spans="1:62" x14ac:dyDescent="0.25">
      <c r="A190" s="26"/>
      <c r="B190" s="26">
        <v>3.9240000000000004</v>
      </c>
      <c r="C190" s="145">
        <v>42370</v>
      </c>
      <c r="D190" s="26">
        <v>3.9180000000000001</v>
      </c>
      <c r="E190" s="26">
        <v>0.15</v>
      </c>
      <c r="F190" s="26">
        <v>7.0305691039178997E-2</v>
      </c>
      <c r="G190" s="26">
        <v>-0.16</v>
      </c>
      <c r="H190" s="26">
        <v>-0.16500000000000001</v>
      </c>
      <c r="I190" s="26">
        <v>-0.13</v>
      </c>
      <c r="J190" s="26">
        <v>-0.26500000000000001</v>
      </c>
      <c r="K190" s="26">
        <v>-5.0000000000000001E-3</v>
      </c>
      <c r="L190" s="26">
        <v>0</v>
      </c>
      <c r="M190" s="26">
        <v>-6.7500000000000004E-2</v>
      </c>
      <c r="N190" s="26">
        <v>-0.13</v>
      </c>
      <c r="O190" s="26">
        <v>-0.16</v>
      </c>
      <c r="P190" s="25">
        <v>-0.16</v>
      </c>
      <c r="Q190" s="25">
        <v>0</v>
      </c>
      <c r="R190" s="25">
        <v>0</v>
      </c>
      <c r="S190" s="25">
        <v>0.37</v>
      </c>
      <c r="T190" s="25">
        <v>0.37</v>
      </c>
      <c r="U190" s="25">
        <v>0.27500000000000002</v>
      </c>
      <c r="V190" s="25">
        <v>0</v>
      </c>
      <c r="W190" s="179">
        <v>0.30499999999999999</v>
      </c>
      <c r="X190" s="179">
        <v>0.4375</v>
      </c>
      <c r="Y190" s="179">
        <v>-5.9999990000000015E-3</v>
      </c>
      <c r="Z190" s="179">
        <v>-2.2000000000000002E-2</v>
      </c>
      <c r="AA190" s="179">
        <v>-3.5000000000000005E-3</v>
      </c>
      <c r="AB190" s="179">
        <v>-1.8500000000000003E-2</v>
      </c>
      <c r="AC190" s="179">
        <v>5.0000000000000001E-3</v>
      </c>
      <c r="AD190" s="179">
        <v>1.0500000000000001E-2</v>
      </c>
      <c r="AE190" s="179">
        <v>-6.5000000000000002E-2</v>
      </c>
      <c r="AF190" s="179">
        <v>-2.8999999999999998E-2</v>
      </c>
      <c r="AG190" s="180">
        <v>-4.2500000000000003E-2</v>
      </c>
      <c r="AH190" s="179">
        <v>-7.499999000000002E-3</v>
      </c>
      <c r="AI190" s="25">
        <v>-0.05</v>
      </c>
      <c r="AJ190" s="25">
        <v>0</v>
      </c>
      <c r="AK190" s="25">
        <v>7.4999999999999997E-3</v>
      </c>
      <c r="AL190" s="25">
        <v>1.6E-2</v>
      </c>
      <c r="AM190" s="25">
        <v>1.5249999999999999</v>
      </c>
      <c r="AN190" s="25">
        <v>-5.7500000000000002E-2</v>
      </c>
      <c r="AO190" s="25">
        <v>0</v>
      </c>
      <c r="AP190" s="25">
        <v>0</v>
      </c>
      <c r="AQ190" s="25">
        <v>-0.19</v>
      </c>
      <c r="AS190" s="25">
        <v>0</v>
      </c>
      <c r="AT190" s="25">
        <v>0</v>
      </c>
      <c r="AU190" s="25">
        <v>0.12</v>
      </c>
      <c r="AV190" s="25">
        <v>0</v>
      </c>
      <c r="AW190" s="25">
        <v>-0.11050000000000001</v>
      </c>
      <c r="AY190" s="25">
        <v>-0.11050000000000001</v>
      </c>
      <c r="AZ190" s="25">
        <v>0</v>
      </c>
      <c r="BA190" s="25">
        <v>-0.121</v>
      </c>
      <c r="BB190" s="25">
        <v>-1.2500000000000001E-2</v>
      </c>
      <c r="BC190" s="25">
        <v>-5.2499999999999998E-2</v>
      </c>
      <c r="BD190" s="25">
        <v>-9.2499999999999999E-2</v>
      </c>
      <c r="BE190" s="25">
        <v>-6.5000000000000002E-2</v>
      </c>
      <c r="BF190" s="25">
        <v>-0.17</v>
      </c>
      <c r="BG190" s="25">
        <v>0</v>
      </c>
      <c r="BH190" s="25">
        <v>0.41499999999999998</v>
      </c>
      <c r="BI190" s="25">
        <v>0.41499999999999998</v>
      </c>
      <c r="BJ190" s="25">
        <v>0.97499999999999998</v>
      </c>
    </row>
    <row r="191" spans="1:62" x14ac:dyDescent="0.25">
      <c r="A191" s="26"/>
      <c r="B191" s="26">
        <v>3.9969999999999999</v>
      </c>
      <c r="C191" s="145">
        <v>42401</v>
      </c>
      <c r="D191" s="26">
        <v>3.8280000000000003</v>
      </c>
      <c r="E191" s="26">
        <v>0.15</v>
      </c>
      <c r="F191" s="26">
        <v>7.0307855449209006E-2</v>
      </c>
      <c r="G191" s="26">
        <v>-0.16</v>
      </c>
      <c r="H191" s="26">
        <v>-0.16500000000000001</v>
      </c>
      <c r="I191" s="26">
        <v>-0.13</v>
      </c>
      <c r="J191" s="26">
        <v>-0.26750000000000002</v>
      </c>
      <c r="K191" s="26">
        <v>-5.0000000000000001E-3</v>
      </c>
      <c r="L191" s="26">
        <v>0</v>
      </c>
      <c r="M191" s="26">
        <v>-6.7500000000000004E-2</v>
      </c>
      <c r="N191" s="26">
        <v>-0.13</v>
      </c>
      <c r="O191" s="26">
        <v>-0.16</v>
      </c>
      <c r="P191" s="25">
        <v>-0.16</v>
      </c>
      <c r="Q191" s="25">
        <v>0</v>
      </c>
      <c r="R191" s="25">
        <v>0</v>
      </c>
      <c r="S191" s="25">
        <v>0.34499999999999997</v>
      </c>
      <c r="T191" s="25">
        <v>0.34499999999999997</v>
      </c>
      <c r="U191" s="25">
        <v>0.25</v>
      </c>
      <c r="V191" s="25">
        <v>0</v>
      </c>
      <c r="W191" s="179">
        <v>0.30499999999999999</v>
      </c>
      <c r="X191" s="179">
        <v>0.435</v>
      </c>
      <c r="Y191" s="179">
        <v>-5.9999990000000015E-3</v>
      </c>
      <c r="Z191" s="179">
        <v>-2.2000000000000002E-2</v>
      </c>
      <c r="AA191" s="179">
        <v>-3.5000000000000005E-3</v>
      </c>
      <c r="AB191" s="179">
        <v>-1.8500000000000003E-2</v>
      </c>
      <c r="AC191" s="179">
        <v>5.0000000000000001E-3</v>
      </c>
      <c r="AD191" s="179">
        <v>1.0500000000000001E-2</v>
      </c>
      <c r="AE191" s="179">
        <v>-6.5000000000000002E-2</v>
      </c>
      <c r="AF191" s="179">
        <v>-2.8999999999999998E-2</v>
      </c>
      <c r="AG191" s="180">
        <v>-4.2500000000000003E-2</v>
      </c>
      <c r="AH191" s="179">
        <v>-7.499999000000002E-3</v>
      </c>
      <c r="AI191" s="25">
        <v>-0.05</v>
      </c>
      <c r="AJ191" s="25">
        <v>0</v>
      </c>
      <c r="AK191" s="25">
        <v>7.4999999999999997E-3</v>
      </c>
      <c r="AL191" s="25">
        <v>1.6E-2</v>
      </c>
      <c r="AM191" s="25">
        <v>1.4550000000000001</v>
      </c>
      <c r="AN191" s="25">
        <v>-0.04</v>
      </c>
      <c r="AO191" s="25">
        <v>0</v>
      </c>
      <c r="AP191" s="25">
        <v>0</v>
      </c>
      <c r="AQ191" s="25">
        <v>-0.19</v>
      </c>
      <c r="AS191" s="25">
        <v>0</v>
      </c>
      <c r="AT191" s="25">
        <v>0</v>
      </c>
      <c r="AU191" s="25">
        <v>0.12</v>
      </c>
      <c r="AV191" s="25">
        <v>0</v>
      </c>
      <c r="AW191" s="25">
        <v>-0.113</v>
      </c>
      <c r="AY191" s="25">
        <v>-0.113</v>
      </c>
      <c r="AZ191" s="25">
        <v>0</v>
      </c>
      <c r="BA191" s="25">
        <v>-0.10349999999999999</v>
      </c>
      <c r="BB191" s="25">
        <v>-1.2500000000000001E-2</v>
      </c>
      <c r="BC191" s="25">
        <v>-5.2499999999999998E-2</v>
      </c>
      <c r="BD191" s="25">
        <v>-7.4999999999999997E-2</v>
      </c>
      <c r="BE191" s="25">
        <v>-6.5000000000000002E-2</v>
      </c>
      <c r="BF191" s="25">
        <v>-0.17</v>
      </c>
      <c r="BG191" s="25">
        <v>0</v>
      </c>
      <c r="BH191" s="25">
        <v>0.39</v>
      </c>
      <c r="BI191" s="25">
        <v>0.39</v>
      </c>
      <c r="BJ191" s="25">
        <v>0.97499999999999998</v>
      </c>
    </row>
    <row r="192" spans="1:62" x14ac:dyDescent="0.25">
      <c r="A192" s="26"/>
      <c r="B192" s="26">
        <v>4.2690000000000001</v>
      </c>
      <c r="C192" s="145">
        <v>42430</v>
      </c>
      <c r="D192" s="26">
        <v>3.6970000000000001</v>
      </c>
      <c r="E192" s="26">
        <v>0.15</v>
      </c>
      <c r="F192" s="26">
        <v>7.0309880219883006E-2</v>
      </c>
      <c r="G192" s="26">
        <v>-0.16</v>
      </c>
      <c r="H192" s="26">
        <v>-0.16500000000000001</v>
      </c>
      <c r="I192" s="26">
        <v>-0.13</v>
      </c>
      <c r="J192" s="26">
        <v>-0.27</v>
      </c>
      <c r="K192" s="26">
        <v>-5.0000000000000001E-3</v>
      </c>
      <c r="L192" s="26">
        <v>0</v>
      </c>
      <c r="M192" s="26">
        <v>-6.7500000000000004E-2</v>
      </c>
      <c r="N192" s="26">
        <v>-0.13</v>
      </c>
      <c r="O192" s="26">
        <v>-0.16</v>
      </c>
      <c r="P192" s="25">
        <v>-0.16</v>
      </c>
      <c r="Q192" s="25">
        <v>0</v>
      </c>
      <c r="R192" s="25">
        <v>0</v>
      </c>
      <c r="S192" s="25">
        <v>0.34300000000000003</v>
      </c>
      <c r="T192" s="25">
        <v>0.34300000000000003</v>
      </c>
      <c r="U192" s="25">
        <v>0.24800000000000003</v>
      </c>
      <c r="V192" s="25">
        <v>0</v>
      </c>
      <c r="W192" s="179">
        <v>0.26500000000000001</v>
      </c>
      <c r="X192" s="179">
        <v>0.30249999999999999</v>
      </c>
      <c r="Y192" s="179">
        <v>-5.9999990000000015E-3</v>
      </c>
      <c r="Z192" s="179">
        <v>-2.2000000000000002E-2</v>
      </c>
      <c r="AA192" s="179">
        <v>1.4999999999999999E-2</v>
      </c>
      <c r="AB192" s="179">
        <v>0</v>
      </c>
      <c r="AC192" s="179">
        <v>5.0000000000000001E-3</v>
      </c>
      <c r="AD192" s="179">
        <v>0</v>
      </c>
      <c r="AE192" s="179">
        <v>-6.5000000000000002E-2</v>
      </c>
      <c r="AF192" s="179">
        <v>-2.8999999999999998E-2</v>
      </c>
      <c r="AG192" s="180">
        <v>-4.2500000000000003E-2</v>
      </c>
      <c r="AH192" s="179">
        <v>-7.499999000000002E-3</v>
      </c>
      <c r="AI192" s="25">
        <v>-5.7000000000000002E-2</v>
      </c>
      <c r="AJ192" s="25">
        <v>0</v>
      </c>
      <c r="AK192" s="25">
        <v>7.4999999999999997E-3</v>
      </c>
      <c r="AL192" s="25">
        <v>1.6E-2</v>
      </c>
      <c r="AM192" s="25">
        <v>0.83499999999999996</v>
      </c>
      <c r="AN192" s="25">
        <v>-2.75E-2</v>
      </c>
      <c r="AO192" s="25">
        <v>0</v>
      </c>
      <c r="AP192" s="25">
        <v>0</v>
      </c>
      <c r="AQ192" s="25">
        <v>-0.19</v>
      </c>
      <c r="AS192" s="25">
        <v>0</v>
      </c>
      <c r="AT192" s="25">
        <v>0</v>
      </c>
      <c r="AU192" s="25">
        <v>0.12</v>
      </c>
      <c r="AV192" s="25">
        <v>0</v>
      </c>
      <c r="AW192" s="25">
        <v>-9.3000000000000013E-2</v>
      </c>
      <c r="AY192" s="25">
        <v>-9.3000000000000013E-2</v>
      </c>
      <c r="AZ192" s="25">
        <v>0</v>
      </c>
      <c r="BA192" s="25">
        <v>-8.5999999999999993E-2</v>
      </c>
      <c r="BB192" s="25">
        <v>-1.2500000000000001E-2</v>
      </c>
      <c r="BC192" s="25">
        <v>-5.2499999999999998E-2</v>
      </c>
      <c r="BD192" s="25">
        <v>-6.25E-2</v>
      </c>
      <c r="BE192" s="25">
        <v>-6.5000000000000002E-2</v>
      </c>
      <c r="BF192" s="25">
        <v>-0.17</v>
      </c>
      <c r="BG192" s="25">
        <v>0</v>
      </c>
      <c r="BH192" s="25">
        <v>0.38800000000000007</v>
      </c>
      <c r="BI192" s="25">
        <v>0.38800000000000007</v>
      </c>
      <c r="BJ192" s="25">
        <v>0.60750000000000004</v>
      </c>
    </row>
    <row r="193" spans="1:62" x14ac:dyDescent="0.25">
      <c r="A193" s="26"/>
      <c r="B193" s="26">
        <v>4.1940000000000008</v>
      </c>
      <c r="C193" s="145">
        <v>42461</v>
      </c>
      <c r="D193" s="26">
        <v>3.5580000000000003</v>
      </c>
      <c r="E193" s="26">
        <v>0.15</v>
      </c>
      <c r="F193" s="26">
        <v>7.0312044629915027E-2</v>
      </c>
      <c r="G193" s="26">
        <v>-0.16</v>
      </c>
      <c r="H193" s="26">
        <v>-0.16500000000000001</v>
      </c>
      <c r="I193" s="26">
        <v>-0.17499999999999999</v>
      </c>
      <c r="J193" s="26">
        <v>-0.26</v>
      </c>
      <c r="K193" s="26">
        <v>-0.05</v>
      </c>
      <c r="L193" s="26">
        <v>0</v>
      </c>
      <c r="M193" s="26">
        <v>-5.0499999999999996E-2</v>
      </c>
      <c r="N193" s="26">
        <v>-0.13</v>
      </c>
      <c r="O193" s="26">
        <v>-0.16</v>
      </c>
      <c r="P193" s="25">
        <v>-0.16</v>
      </c>
      <c r="Q193" s="25">
        <v>0</v>
      </c>
      <c r="R193" s="25">
        <v>0</v>
      </c>
      <c r="S193" s="25">
        <v>0.24800000000000003</v>
      </c>
      <c r="T193" s="25">
        <v>0.24800000000000003</v>
      </c>
      <c r="U193" s="25">
        <v>0.153</v>
      </c>
      <c r="V193" s="25">
        <v>0</v>
      </c>
      <c r="W193" s="179">
        <v>0.19500000000000001</v>
      </c>
      <c r="X193" s="179">
        <v>0.25</v>
      </c>
      <c r="Y193" s="179">
        <v>-5.4999990000000011E-3</v>
      </c>
      <c r="Z193" s="179">
        <v>-1.4499999999999999E-2</v>
      </c>
      <c r="AA193" s="179">
        <v>1.4999999999999999E-2</v>
      </c>
      <c r="AB193" s="179">
        <v>0</v>
      </c>
      <c r="AC193" s="179">
        <v>5.0000000000000001E-3</v>
      </c>
      <c r="AD193" s="179">
        <v>0</v>
      </c>
      <c r="AE193" s="179">
        <v>-6.25E-2</v>
      </c>
      <c r="AF193" s="179">
        <v>-3.15E-2</v>
      </c>
      <c r="AG193" s="180">
        <v>-0.04</v>
      </c>
      <c r="AH193" s="179">
        <v>-9.999998999999999E-3</v>
      </c>
      <c r="AI193" s="25">
        <v>-0.05</v>
      </c>
      <c r="AJ193" s="25">
        <v>0</v>
      </c>
      <c r="AK193" s="25">
        <v>6.938893903907233E-18</v>
      </c>
      <c r="AL193" s="25">
        <v>6.5000000000000006E-3</v>
      </c>
      <c r="AM193" s="25">
        <v>0.45</v>
      </c>
      <c r="AN193" s="25">
        <v>1.4999999999999999E-2</v>
      </c>
      <c r="AO193" s="25">
        <v>0</v>
      </c>
      <c r="AP193" s="25">
        <v>0</v>
      </c>
      <c r="AQ193" s="25">
        <v>-0.19</v>
      </c>
      <c r="AS193" s="25">
        <v>0</v>
      </c>
      <c r="AT193" s="25">
        <v>0</v>
      </c>
      <c r="AU193" s="25">
        <v>0.29499999999999998</v>
      </c>
      <c r="AV193" s="25">
        <v>0</v>
      </c>
      <c r="AW193" s="25">
        <v>-8.8499999999999995E-2</v>
      </c>
      <c r="AY193" s="25">
        <v>-8.8499999999999995E-2</v>
      </c>
      <c r="AZ193" s="25">
        <v>0</v>
      </c>
      <c r="BA193" s="25">
        <v>-7.85E-2</v>
      </c>
      <c r="BB193" s="25">
        <v>-9.999998999999999E-3</v>
      </c>
      <c r="BC193" s="25">
        <v>-3.5500000000000004E-2</v>
      </c>
      <c r="BD193" s="25">
        <v>-0.02</v>
      </c>
      <c r="BE193" s="25">
        <v>-6.25E-2</v>
      </c>
      <c r="BF193" s="25">
        <v>-0.17</v>
      </c>
      <c r="BG193" s="25">
        <v>0</v>
      </c>
      <c r="BH193" s="25">
        <v>0.27800000000000002</v>
      </c>
      <c r="BI193" s="25">
        <v>0.27800000000000002</v>
      </c>
      <c r="BJ193" s="25">
        <v>0.35499999999999998</v>
      </c>
    </row>
    <row r="194" spans="1:62" x14ac:dyDescent="0.25">
      <c r="A194" s="26"/>
      <c r="B194" s="26">
        <v>4.0750000000000002</v>
      </c>
      <c r="C194" s="145">
        <v>42491</v>
      </c>
      <c r="D194" s="26">
        <v>3.5560000000000005</v>
      </c>
      <c r="E194" s="26">
        <v>0.15</v>
      </c>
      <c r="F194" s="26">
        <v>7.0314139220271021E-2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6">
        <v>0</v>
      </c>
      <c r="O194" s="26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179">
        <v>0.1825</v>
      </c>
      <c r="X194" s="179">
        <v>0.20250000000000001</v>
      </c>
      <c r="Y194" s="179">
        <v>-5.4999990000000011E-3</v>
      </c>
      <c r="Z194" s="179">
        <v>-1.4750000000000001E-2</v>
      </c>
      <c r="AA194" s="179">
        <v>1.4750000000000001E-2</v>
      </c>
      <c r="AB194" s="179">
        <v>2.4999999999999307E-4</v>
      </c>
      <c r="AC194" s="179">
        <v>5.0000000000000001E-3</v>
      </c>
      <c r="AD194" s="179">
        <v>0</v>
      </c>
      <c r="AE194" s="179">
        <v>-6.25E-2</v>
      </c>
      <c r="AF194" s="179">
        <v>-3.15E-2</v>
      </c>
      <c r="AG194" s="180">
        <v>-0.04</v>
      </c>
      <c r="AH194" s="179">
        <v>-9.999998999999999E-3</v>
      </c>
      <c r="AI194" s="25">
        <v>-0.05</v>
      </c>
      <c r="AJ194" s="25">
        <v>0</v>
      </c>
      <c r="AK194" s="25">
        <v>6.938893903907233E-18</v>
      </c>
      <c r="AL194" s="25">
        <v>6.5000000000000006E-3</v>
      </c>
      <c r="AM194" s="25">
        <v>0.40500000000000003</v>
      </c>
      <c r="AN194" s="25">
        <v>1.4999999999999999E-2</v>
      </c>
      <c r="AO194" s="25">
        <v>0</v>
      </c>
      <c r="AP194" s="25">
        <v>0</v>
      </c>
      <c r="AQ194" s="25">
        <v>-0.19</v>
      </c>
      <c r="AS194" s="25">
        <v>0</v>
      </c>
      <c r="AT194" s="25">
        <v>0</v>
      </c>
      <c r="AU194" s="25">
        <v>0.29499999999999998</v>
      </c>
      <c r="AV194" s="25">
        <v>0</v>
      </c>
      <c r="AW194" s="25">
        <v>-8.5999999999999993E-2</v>
      </c>
      <c r="AY194" s="25">
        <v>-8.5999999999999993E-2</v>
      </c>
      <c r="AZ194" s="25">
        <v>0</v>
      </c>
      <c r="BA194" s="25">
        <v>-7.85E-2</v>
      </c>
      <c r="BB194" s="25">
        <v>-9.999998999999999E-3</v>
      </c>
      <c r="BC194" s="25">
        <v>0</v>
      </c>
      <c r="BD194" s="25">
        <v>-0.02</v>
      </c>
      <c r="BE194" s="25">
        <v>-6.25E-2</v>
      </c>
      <c r="BF194" s="25">
        <v>-0.17</v>
      </c>
      <c r="BG194" s="25">
        <v>0</v>
      </c>
      <c r="BH194" s="25">
        <v>0</v>
      </c>
      <c r="BI194" s="25">
        <v>0</v>
      </c>
      <c r="BJ194" s="25">
        <v>0.28749999999999998</v>
      </c>
    </row>
    <row r="195" spans="1:62" x14ac:dyDescent="0.25">
      <c r="A195" s="26"/>
      <c r="B195" s="26">
        <v>3.9590000000000005</v>
      </c>
      <c r="C195" s="145">
        <v>42522</v>
      </c>
      <c r="D195" s="26">
        <v>3.5890000000000004</v>
      </c>
      <c r="E195" s="26">
        <v>0.15</v>
      </c>
      <c r="F195" s="26">
        <v>7.0316303630305013E-2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179">
        <v>0.1825</v>
      </c>
      <c r="X195" s="179">
        <v>0.20250000000000001</v>
      </c>
      <c r="Y195" s="179">
        <v>-5.4999990000000011E-3</v>
      </c>
      <c r="Z195" s="179">
        <v>-1.4750000000000001E-2</v>
      </c>
      <c r="AA195" s="179">
        <v>1.4750000000000001E-2</v>
      </c>
      <c r="AB195" s="179">
        <v>2.4999999999999307E-4</v>
      </c>
      <c r="AC195" s="179">
        <v>5.0000000000000001E-3</v>
      </c>
      <c r="AD195" s="179">
        <v>0</v>
      </c>
      <c r="AE195" s="179">
        <v>-6.25E-2</v>
      </c>
      <c r="AF195" s="179">
        <v>-3.15E-2</v>
      </c>
      <c r="AG195" s="180">
        <v>-0.04</v>
      </c>
      <c r="AH195" s="179">
        <v>-9.999998999999999E-3</v>
      </c>
      <c r="AI195" s="25">
        <v>-6.6000000000000003E-2</v>
      </c>
      <c r="AJ195" s="25">
        <v>0</v>
      </c>
      <c r="AK195" s="25">
        <v>6.938893903907233E-18</v>
      </c>
      <c r="AL195" s="25">
        <v>6.5000000000000006E-3</v>
      </c>
      <c r="AM195" s="25">
        <v>0.39500000000000002</v>
      </c>
      <c r="AN195" s="25">
        <v>0.02</v>
      </c>
      <c r="AO195" s="25">
        <v>0</v>
      </c>
      <c r="AP195" s="25">
        <v>0</v>
      </c>
      <c r="AQ195" s="25">
        <v>-0.19</v>
      </c>
      <c r="AS195" s="25">
        <v>0</v>
      </c>
      <c r="AT195" s="25">
        <v>0</v>
      </c>
      <c r="AU195" s="25">
        <v>0.29499999999999998</v>
      </c>
      <c r="AV195" s="25">
        <v>0</v>
      </c>
      <c r="AW195" s="25">
        <v>-7.85E-2</v>
      </c>
      <c r="AY195" s="25">
        <v>-7.85E-2</v>
      </c>
      <c r="AZ195" s="25">
        <v>0</v>
      </c>
      <c r="BA195" s="25">
        <v>-6.8500000000000005E-2</v>
      </c>
      <c r="BB195" s="25">
        <v>-9.999998999999999E-3</v>
      </c>
      <c r="BC195" s="25">
        <v>0</v>
      </c>
      <c r="BD195" s="25">
        <v>-1.4999999999999999E-2</v>
      </c>
      <c r="BE195" s="25">
        <v>-6.25E-2</v>
      </c>
      <c r="BF195" s="25">
        <v>-0.17</v>
      </c>
      <c r="BG195" s="25">
        <v>0</v>
      </c>
      <c r="BH195" s="25">
        <v>0</v>
      </c>
      <c r="BI195" s="25">
        <v>0</v>
      </c>
      <c r="BJ195" s="25">
        <v>0.28749999999999998</v>
      </c>
    </row>
    <row r="196" spans="1:62" x14ac:dyDescent="0.25">
      <c r="A196" s="26"/>
      <c r="B196" s="26">
        <v>3.9440000000000004</v>
      </c>
      <c r="C196" s="145">
        <v>42552</v>
      </c>
      <c r="D196" s="26">
        <v>3.6110000000000002</v>
      </c>
      <c r="E196" s="26">
        <v>0.15</v>
      </c>
      <c r="F196" s="26">
        <v>7.0318398220664005E-2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0</v>
      </c>
      <c r="N196" s="26">
        <v>0</v>
      </c>
      <c r="O196" s="26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179">
        <v>0.1825</v>
      </c>
      <c r="X196" s="179">
        <v>0.215</v>
      </c>
      <c r="Y196" s="179">
        <v>-5.4999990000000011E-3</v>
      </c>
      <c r="Z196" s="179">
        <v>-1.4750000000000001E-2</v>
      </c>
      <c r="AA196" s="179">
        <v>1.4750000000000001E-2</v>
      </c>
      <c r="AB196" s="179">
        <v>2.4999999999999307E-4</v>
      </c>
      <c r="AC196" s="179">
        <v>5.0000000000000001E-3</v>
      </c>
      <c r="AD196" s="179">
        <v>0</v>
      </c>
      <c r="AE196" s="179">
        <v>-6.25E-2</v>
      </c>
      <c r="AF196" s="179">
        <v>-3.15E-2</v>
      </c>
      <c r="AG196" s="180">
        <v>-0.04</v>
      </c>
      <c r="AH196" s="179">
        <v>-9.999998999999999E-3</v>
      </c>
      <c r="AI196" s="25">
        <v>-5.9000000000000004E-2</v>
      </c>
      <c r="AJ196" s="25">
        <v>0</v>
      </c>
      <c r="AK196" s="25">
        <v>6.938893903907233E-18</v>
      </c>
      <c r="AL196" s="25">
        <v>6.5000000000000006E-3</v>
      </c>
      <c r="AM196" s="25">
        <v>0.43</v>
      </c>
      <c r="AN196" s="25">
        <v>2.2499999999999999E-2</v>
      </c>
      <c r="AO196" s="25">
        <v>0</v>
      </c>
      <c r="AP196" s="25">
        <v>0</v>
      </c>
      <c r="AQ196" s="25">
        <v>-0.19</v>
      </c>
      <c r="AS196" s="25">
        <v>0</v>
      </c>
      <c r="AT196" s="25">
        <v>0</v>
      </c>
      <c r="AU196" s="25">
        <v>0.29499999999999998</v>
      </c>
      <c r="AV196" s="25">
        <v>0</v>
      </c>
      <c r="AW196" s="25">
        <v>-8.5999999999999993E-2</v>
      </c>
      <c r="AY196" s="25">
        <v>-8.5999999999999993E-2</v>
      </c>
      <c r="AZ196" s="25">
        <v>0</v>
      </c>
      <c r="BA196" s="25">
        <v>-6.3500000000000001E-2</v>
      </c>
      <c r="BB196" s="25">
        <v>-9.999998999999999E-3</v>
      </c>
      <c r="BC196" s="25">
        <v>0</v>
      </c>
      <c r="BD196" s="25">
        <v>-1.2500000000000001E-2</v>
      </c>
      <c r="BE196" s="25">
        <v>-6.25E-2</v>
      </c>
      <c r="BF196" s="25">
        <v>-0.17</v>
      </c>
      <c r="BG196" s="25">
        <v>0</v>
      </c>
      <c r="BH196" s="25">
        <v>0</v>
      </c>
      <c r="BI196" s="25">
        <v>0</v>
      </c>
      <c r="BJ196" s="25">
        <v>0.3</v>
      </c>
    </row>
    <row r="197" spans="1:62" x14ac:dyDescent="0.25">
      <c r="A197" s="26"/>
      <c r="B197" s="26">
        <v>3.9369999999999998</v>
      </c>
      <c r="C197" s="145">
        <v>42583</v>
      </c>
      <c r="D197" s="26">
        <v>3.6320000000000001</v>
      </c>
      <c r="E197" s="26">
        <v>0.15</v>
      </c>
      <c r="F197" s="26">
        <v>7.0320562630702008E-2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0</v>
      </c>
      <c r="O197" s="26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179">
        <v>0.1825</v>
      </c>
      <c r="X197" s="179">
        <v>0.215</v>
      </c>
      <c r="Y197" s="179">
        <v>-5.4999990000000011E-3</v>
      </c>
      <c r="Z197" s="179">
        <v>-1.4750000000000001E-2</v>
      </c>
      <c r="AA197" s="179">
        <v>1.4750000000000001E-2</v>
      </c>
      <c r="AB197" s="179">
        <v>2.4999999999999307E-4</v>
      </c>
      <c r="AC197" s="179">
        <v>5.0000000000000001E-3</v>
      </c>
      <c r="AD197" s="179">
        <v>0</v>
      </c>
      <c r="AE197" s="179">
        <v>-6.25E-2</v>
      </c>
      <c r="AF197" s="179">
        <v>-3.15E-2</v>
      </c>
      <c r="AG197" s="180">
        <v>-0.04</v>
      </c>
      <c r="AH197" s="179">
        <v>-9.999998999999999E-3</v>
      </c>
      <c r="AI197" s="25">
        <v>-0.04</v>
      </c>
      <c r="AJ197" s="25">
        <v>0</v>
      </c>
      <c r="AK197" s="25">
        <v>6.938893903907233E-18</v>
      </c>
      <c r="AL197" s="25">
        <v>6.5000000000000006E-3</v>
      </c>
      <c r="AM197" s="25">
        <v>0.495</v>
      </c>
      <c r="AN197" s="25">
        <v>2.5000000000000001E-2</v>
      </c>
      <c r="AO197" s="25">
        <v>0</v>
      </c>
      <c r="AP197" s="25">
        <v>0</v>
      </c>
      <c r="AQ197" s="25">
        <v>-0.19</v>
      </c>
      <c r="AS197" s="25">
        <v>0</v>
      </c>
      <c r="AT197" s="25">
        <v>0</v>
      </c>
      <c r="AU197" s="25">
        <v>0.29499999999999998</v>
      </c>
      <c r="AV197" s="25">
        <v>0</v>
      </c>
      <c r="AW197" s="25">
        <v>-7.350000000000001E-2</v>
      </c>
      <c r="AY197" s="25">
        <v>-7.350000000000001E-2</v>
      </c>
      <c r="AZ197" s="25">
        <v>0</v>
      </c>
      <c r="BA197" s="25">
        <v>-6.3500000000000001E-2</v>
      </c>
      <c r="BB197" s="25">
        <v>-9.999998999999999E-3</v>
      </c>
      <c r="BC197" s="25">
        <v>0</v>
      </c>
      <c r="BD197" s="25">
        <v>-0.01</v>
      </c>
      <c r="BE197" s="25">
        <v>-6.25E-2</v>
      </c>
      <c r="BF197" s="25">
        <v>-0.17</v>
      </c>
      <c r="BG197" s="25">
        <v>0</v>
      </c>
      <c r="BH197" s="25">
        <v>0</v>
      </c>
      <c r="BI197" s="25">
        <v>0</v>
      </c>
      <c r="BJ197" s="25">
        <v>0.3</v>
      </c>
    </row>
    <row r="198" spans="1:62" x14ac:dyDescent="0.25">
      <c r="A198" s="26"/>
      <c r="B198" s="26">
        <v>4.0019999999999998</v>
      </c>
      <c r="C198" s="145">
        <v>42614</v>
      </c>
      <c r="D198" s="26">
        <v>3.6090000000000004</v>
      </c>
      <c r="E198" s="26">
        <v>0.15</v>
      </c>
      <c r="F198" s="26">
        <v>7.0322727040742009E-2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26">
        <v>0</v>
      </c>
      <c r="O198" s="26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179">
        <v>0.1825</v>
      </c>
      <c r="X198" s="179">
        <v>0.19500000000000001</v>
      </c>
      <c r="Y198" s="179">
        <v>-5.4999990000000011E-3</v>
      </c>
      <c r="Z198" s="179">
        <v>-1.4750000000000001E-2</v>
      </c>
      <c r="AA198" s="179">
        <v>1.4750000000000001E-2</v>
      </c>
      <c r="AB198" s="179">
        <v>2.4999999999999307E-4</v>
      </c>
      <c r="AC198" s="179">
        <v>5.0000000000000001E-3</v>
      </c>
      <c r="AD198" s="179">
        <v>0</v>
      </c>
      <c r="AE198" s="179">
        <v>-6.25E-2</v>
      </c>
      <c r="AF198" s="179">
        <v>-2.8999999999999998E-2</v>
      </c>
      <c r="AG198" s="180">
        <v>-3.7499999999999999E-2</v>
      </c>
      <c r="AH198" s="179">
        <v>-9.999998999999999E-3</v>
      </c>
      <c r="AI198" s="25">
        <v>-3.8000000000000006E-2</v>
      </c>
      <c r="AJ198" s="25">
        <v>0</v>
      </c>
      <c r="AK198" s="25">
        <v>6.938893903907233E-18</v>
      </c>
      <c r="AL198" s="25">
        <v>6.5000000000000006E-3</v>
      </c>
      <c r="AM198" s="25">
        <v>0.39500000000000002</v>
      </c>
      <c r="AN198" s="25">
        <v>1.7500000000000002E-2</v>
      </c>
      <c r="AO198" s="25">
        <v>0</v>
      </c>
      <c r="AP198" s="25">
        <v>0</v>
      </c>
      <c r="AQ198" s="25">
        <v>-0.19</v>
      </c>
      <c r="AS198" s="25">
        <v>0</v>
      </c>
      <c r="AT198" s="25">
        <v>0</v>
      </c>
      <c r="AU198" s="25">
        <v>0.29499999999999998</v>
      </c>
      <c r="AV198" s="25">
        <v>0</v>
      </c>
      <c r="AW198" s="25">
        <v>-7.85E-2</v>
      </c>
      <c r="AY198" s="25">
        <v>-7.85E-2</v>
      </c>
      <c r="AZ198" s="25">
        <v>0</v>
      </c>
      <c r="BA198" s="25">
        <v>-7.85E-2</v>
      </c>
      <c r="BB198" s="25">
        <v>-9.999998999999999E-3</v>
      </c>
      <c r="BC198" s="25">
        <v>0</v>
      </c>
      <c r="BD198" s="25">
        <v>-1.7500000000000002E-2</v>
      </c>
      <c r="BE198" s="25">
        <v>-6.25E-2</v>
      </c>
      <c r="BF198" s="25">
        <v>-0.17</v>
      </c>
      <c r="BG198" s="25">
        <v>0</v>
      </c>
      <c r="BH198" s="25">
        <v>0</v>
      </c>
      <c r="BI198" s="25">
        <v>0</v>
      </c>
      <c r="BJ198" s="25">
        <v>0.28999999999999998</v>
      </c>
    </row>
    <row r="199" spans="1:62" x14ac:dyDescent="0.25">
      <c r="A199" s="26"/>
      <c r="B199" s="26">
        <v>3.9969999999999999</v>
      </c>
      <c r="C199" s="145">
        <v>42644</v>
      </c>
      <c r="D199" s="26">
        <v>3.6010000000000004</v>
      </c>
      <c r="E199" s="26">
        <v>0.15</v>
      </c>
      <c r="F199" s="26">
        <v>7.0324821631104997E-2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179">
        <v>0.1875</v>
      </c>
      <c r="X199" s="179">
        <v>0.215</v>
      </c>
      <c r="Y199" s="179">
        <v>-5.4999990000000011E-3</v>
      </c>
      <c r="Z199" s="179">
        <v>-1.4750000000000001E-2</v>
      </c>
      <c r="AA199" s="179">
        <v>-3.5000000000000005E-3</v>
      </c>
      <c r="AB199" s="179">
        <v>-1.8500000000000003E-2</v>
      </c>
      <c r="AC199" s="179">
        <v>5.0000000000000001E-3</v>
      </c>
      <c r="AD199" s="179">
        <v>0</v>
      </c>
      <c r="AE199" s="179">
        <v>-6.25E-2</v>
      </c>
      <c r="AF199" s="179">
        <v>-2.8999999999999998E-2</v>
      </c>
      <c r="AG199" s="180">
        <v>-3.7499999999999999E-2</v>
      </c>
      <c r="AH199" s="179">
        <v>-9.999998999999999E-3</v>
      </c>
      <c r="AI199" s="25">
        <v>-0.04</v>
      </c>
      <c r="AJ199" s="25">
        <v>0</v>
      </c>
      <c r="AK199" s="25">
        <v>6.938893903907233E-18</v>
      </c>
      <c r="AL199" s="25">
        <v>6.5000000000000006E-3</v>
      </c>
      <c r="AM199" s="25">
        <v>0.46100000000000002</v>
      </c>
      <c r="AN199" s="25">
        <v>7.4999999999999997E-3</v>
      </c>
      <c r="AO199" s="25">
        <v>0</v>
      </c>
      <c r="AP199" s="25">
        <v>0</v>
      </c>
      <c r="AQ199" s="25">
        <v>-0.19</v>
      </c>
      <c r="AS199" s="25">
        <v>0</v>
      </c>
      <c r="AT199" s="25">
        <v>0</v>
      </c>
      <c r="AU199" s="25">
        <v>0.29499999999999998</v>
      </c>
      <c r="AV199" s="25">
        <v>0</v>
      </c>
      <c r="AW199" s="25">
        <v>-8.8499999999999995E-2</v>
      </c>
      <c r="AY199" s="25">
        <v>-8.8499999999999995E-2</v>
      </c>
      <c r="AZ199" s="25">
        <v>0</v>
      </c>
      <c r="BA199" s="25">
        <v>-8.1000000000000003E-2</v>
      </c>
      <c r="BB199" s="25">
        <v>-9.999998999999999E-3</v>
      </c>
      <c r="BC199" s="25">
        <v>0</v>
      </c>
      <c r="BD199" s="25">
        <v>-2.75E-2</v>
      </c>
      <c r="BE199" s="25">
        <v>-6.25E-2</v>
      </c>
      <c r="BF199" s="25">
        <v>-0.17</v>
      </c>
      <c r="BG199" s="25">
        <v>0</v>
      </c>
      <c r="BH199" s="25">
        <v>0</v>
      </c>
      <c r="BI199" s="25">
        <v>0</v>
      </c>
      <c r="BJ199" s="25">
        <v>0.36249999999999999</v>
      </c>
    </row>
    <row r="200" spans="1:62" x14ac:dyDescent="0.25">
      <c r="A200" s="26"/>
      <c r="B200" s="26">
        <v>3.9740000000000006</v>
      </c>
      <c r="C200" s="145">
        <v>42675</v>
      </c>
      <c r="D200" s="26">
        <v>3.6280000000000001</v>
      </c>
      <c r="E200" s="26">
        <v>0.15</v>
      </c>
      <c r="F200" s="26">
        <v>7.0326986041147024E-2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179">
        <v>0.27</v>
      </c>
      <c r="X200" s="179">
        <v>0.28749999999999998</v>
      </c>
      <c r="Y200" s="179">
        <v>-8.4999990000000011E-3</v>
      </c>
      <c r="Z200" s="179">
        <v>-2.8000000000000004E-2</v>
      </c>
      <c r="AA200" s="179">
        <v>-2.5000000000000001E-3</v>
      </c>
      <c r="AB200" s="179">
        <v>-1.7500000000000002E-2</v>
      </c>
      <c r="AC200" s="179">
        <v>5.0000000000000001E-3</v>
      </c>
      <c r="AD200" s="179">
        <v>0</v>
      </c>
      <c r="AE200" s="179">
        <v>-6.5000000000000002E-2</v>
      </c>
      <c r="AF200" s="179">
        <v>-2.8999999999999998E-2</v>
      </c>
      <c r="AG200" s="180">
        <v>-4.0500000000000001E-2</v>
      </c>
      <c r="AH200" s="179">
        <v>-6.4999990000000011E-3</v>
      </c>
      <c r="AI200" s="25">
        <v>-5.5E-2</v>
      </c>
      <c r="AJ200" s="25">
        <v>0</v>
      </c>
      <c r="AK200" s="25">
        <v>7.4999999999999997E-3</v>
      </c>
      <c r="AL200" s="25">
        <v>1.6E-2</v>
      </c>
      <c r="AM200" s="25">
        <v>0.76749999999999996</v>
      </c>
      <c r="AN200" s="25">
        <v>-3.2500000000000001E-2</v>
      </c>
      <c r="AO200" s="25">
        <v>0</v>
      </c>
      <c r="AP200" s="25">
        <v>0</v>
      </c>
      <c r="AQ200" s="25">
        <v>-0.19</v>
      </c>
      <c r="AS200" s="25">
        <v>0</v>
      </c>
      <c r="AT200" s="25">
        <v>0</v>
      </c>
      <c r="AU200" s="25">
        <v>0.12</v>
      </c>
      <c r="AV200" s="25">
        <v>0</v>
      </c>
      <c r="AW200" s="25">
        <v>-9.35E-2</v>
      </c>
      <c r="AY200" s="25">
        <v>-9.35E-2</v>
      </c>
      <c r="AZ200" s="25">
        <v>0</v>
      </c>
      <c r="BA200" s="25">
        <v>-7.85E-2</v>
      </c>
      <c r="BB200" s="25">
        <v>-1.1500000000000002E-2</v>
      </c>
      <c r="BC200" s="25">
        <v>0</v>
      </c>
      <c r="BD200" s="25">
        <v>-6.7500000000000004E-2</v>
      </c>
      <c r="BE200" s="25">
        <v>-6.5000000000000002E-2</v>
      </c>
      <c r="BF200" s="25">
        <v>-0.17</v>
      </c>
      <c r="BG200" s="25">
        <v>0</v>
      </c>
      <c r="BH200" s="25">
        <v>0</v>
      </c>
      <c r="BI200" s="25">
        <v>0</v>
      </c>
      <c r="BJ200" s="25">
        <v>0.46500000000000002</v>
      </c>
    </row>
    <row r="201" spans="1:62" x14ac:dyDescent="0.25">
      <c r="A201" s="26"/>
      <c r="B201" s="26">
        <v>3.9790000000000005</v>
      </c>
      <c r="C201" s="145">
        <v>42705</v>
      </c>
      <c r="D201" s="26">
        <v>3.6710000000000003</v>
      </c>
      <c r="E201" s="26">
        <v>0.15</v>
      </c>
      <c r="F201" s="26">
        <v>7.0329080631512997E-2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179">
        <v>0.30499999999999999</v>
      </c>
      <c r="X201" s="179">
        <v>0.33750000000000002</v>
      </c>
      <c r="Y201" s="179">
        <v>-8.4999990000000011E-3</v>
      </c>
      <c r="Z201" s="179">
        <v>-2.0499999999999997E-2</v>
      </c>
      <c r="AA201" s="179">
        <v>-2.5000000000000001E-3</v>
      </c>
      <c r="AB201" s="179">
        <v>-1.7500000000000002E-2</v>
      </c>
      <c r="AC201" s="179">
        <v>5.0000000000000001E-3</v>
      </c>
      <c r="AD201" s="179">
        <v>0</v>
      </c>
      <c r="AE201" s="179">
        <v>-6.5000000000000002E-2</v>
      </c>
      <c r="AF201" s="179">
        <v>-2.8999999999999998E-2</v>
      </c>
      <c r="AG201" s="180">
        <v>-4.0500000000000001E-2</v>
      </c>
      <c r="AH201" s="179">
        <v>-6.4999990000000011E-3</v>
      </c>
      <c r="AI201" s="25">
        <v>-5.5E-2</v>
      </c>
      <c r="AJ201" s="25">
        <v>0</v>
      </c>
      <c r="AK201" s="25">
        <v>7.4999999999999997E-3</v>
      </c>
      <c r="AL201" s="25">
        <v>1.6E-2</v>
      </c>
      <c r="AM201" s="25">
        <v>1.19</v>
      </c>
      <c r="AN201" s="25">
        <v>-5.5E-2</v>
      </c>
      <c r="AO201" s="25">
        <v>0</v>
      </c>
      <c r="AP201" s="25">
        <v>0</v>
      </c>
      <c r="AQ201" s="25">
        <v>-0.19</v>
      </c>
      <c r="AS201" s="25">
        <v>0</v>
      </c>
      <c r="AT201" s="25">
        <v>0</v>
      </c>
      <c r="AU201" s="25">
        <v>0.12</v>
      </c>
      <c r="AV201" s="25">
        <v>0</v>
      </c>
      <c r="AW201" s="25">
        <v>-0.1235</v>
      </c>
      <c r="AY201" s="25">
        <v>-0.1235</v>
      </c>
      <c r="AZ201" s="25">
        <v>0</v>
      </c>
      <c r="BA201" s="25">
        <v>-0.1135</v>
      </c>
      <c r="BB201" s="25">
        <v>-1.1500000000000002E-2</v>
      </c>
      <c r="BC201" s="25">
        <v>0</v>
      </c>
      <c r="BD201" s="25">
        <v>-0.09</v>
      </c>
      <c r="BE201" s="25">
        <v>-6.5000000000000002E-2</v>
      </c>
      <c r="BF201" s="25">
        <v>-0.17</v>
      </c>
      <c r="BG201" s="25">
        <v>0</v>
      </c>
      <c r="BH201" s="25">
        <v>0</v>
      </c>
      <c r="BI201" s="25">
        <v>0</v>
      </c>
      <c r="BJ201" s="25">
        <v>0.8</v>
      </c>
    </row>
    <row r="202" spans="1:62" x14ac:dyDescent="0.25">
      <c r="A202" s="26"/>
      <c r="B202" s="26">
        <v>4.0260000000000007</v>
      </c>
      <c r="C202" s="145">
        <v>42736</v>
      </c>
      <c r="D202" s="26">
        <v>4.0025000000000004</v>
      </c>
      <c r="E202" s="26">
        <v>0.15</v>
      </c>
      <c r="F202" s="26">
        <v>7.0331245041559007E-2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179">
        <v>0.30499999999999999</v>
      </c>
      <c r="X202" s="179">
        <v>0.4375</v>
      </c>
      <c r="Y202" s="179">
        <v>-3.9999990000000006E-3</v>
      </c>
      <c r="Z202" s="179">
        <v>-2.0499999999999997E-2</v>
      </c>
      <c r="AA202" s="179">
        <v>-2.5000000000000001E-3</v>
      </c>
      <c r="AB202" s="179">
        <v>-1.7500000000000002E-2</v>
      </c>
      <c r="AC202" s="179">
        <v>5.0000000000000001E-3</v>
      </c>
      <c r="AD202" s="179">
        <v>0</v>
      </c>
      <c r="AE202" s="179">
        <v>-6.5000000000000002E-2</v>
      </c>
      <c r="AF202" s="179">
        <v>-2.7000000000000003E-2</v>
      </c>
      <c r="AG202" s="180">
        <v>-4.0500000000000001E-2</v>
      </c>
      <c r="AH202" s="179">
        <v>-6.4999990000000011E-3</v>
      </c>
      <c r="AI202" s="25">
        <v>-4.8000000000000001E-2</v>
      </c>
      <c r="AJ202" s="25">
        <v>0</v>
      </c>
      <c r="AK202" s="25">
        <v>9.5000000000000015E-3</v>
      </c>
      <c r="AL202" s="25">
        <v>1.6E-2</v>
      </c>
      <c r="AM202" s="25">
        <v>1.5249999999999999</v>
      </c>
      <c r="AN202" s="25">
        <v>-5.7500000000000002E-2</v>
      </c>
      <c r="AO202" s="25">
        <v>0</v>
      </c>
      <c r="AP202" s="25">
        <v>0</v>
      </c>
      <c r="AQ202" s="25">
        <v>-0.19</v>
      </c>
      <c r="AS202" s="25">
        <v>0</v>
      </c>
      <c r="AT202" s="25">
        <v>0</v>
      </c>
      <c r="AU202" s="25">
        <v>0.12</v>
      </c>
      <c r="AV202" s="25">
        <v>0</v>
      </c>
      <c r="AW202" s="25">
        <v>-0.1085</v>
      </c>
      <c r="AY202" s="25">
        <v>-0.1085</v>
      </c>
      <c r="AZ202" s="25">
        <v>0</v>
      </c>
      <c r="BA202" s="25">
        <v>-0.11900000000000001</v>
      </c>
      <c r="BB202" s="25">
        <v>-1.1500000000000002E-2</v>
      </c>
      <c r="BC202" s="25">
        <v>0</v>
      </c>
      <c r="BD202" s="25">
        <v>-9.2499999999999999E-2</v>
      </c>
      <c r="BE202" s="25">
        <v>-6.5000000000000002E-2</v>
      </c>
      <c r="BF202" s="25">
        <v>-0.17</v>
      </c>
      <c r="BG202" s="25">
        <v>0</v>
      </c>
      <c r="BH202" s="25">
        <v>0</v>
      </c>
      <c r="BI202" s="25">
        <v>0</v>
      </c>
      <c r="BJ202" s="25">
        <v>0.97499999999999998</v>
      </c>
    </row>
    <row r="203" spans="1:62" x14ac:dyDescent="0.25">
      <c r="A203" s="26"/>
      <c r="B203" s="26">
        <v>4.0960000000000001</v>
      </c>
      <c r="C203" s="145">
        <v>42767</v>
      </c>
      <c r="D203" s="26">
        <v>3.9165000000000005</v>
      </c>
      <c r="E203" s="26">
        <v>0.15</v>
      </c>
      <c r="F203" s="26">
        <v>7.0333409451607029E-2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179">
        <v>0.30499999999999999</v>
      </c>
      <c r="X203" s="179">
        <v>0.435</v>
      </c>
      <c r="Y203" s="179">
        <v>-3.9999990000000006E-3</v>
      </c>
      <c r="Z203" s="179">
        <v>-2.0499999999999997E-2</v>
      </c>
      <c r="AA203" s="179">
        <v>-2.5000000000000001E-3</v>
      </c>
      <c r="AB203" s="179">
        <v>-1.7500000000000002E-2</v>
      </c>
      <c r="AC203" s="179">
        <v>5.0000000000000001E-3</v>
      </c>
      <c r="AD203" s="179">
        <v>0</v>
      </c>
      <c r="AE203" s="179">
        <v>-6.5000000000000002E-2</v>
      </c>
      <c r="AF203" s="179">
        <v>-2.7000000000000003E-2</v>
      </c>
      <c r="AG203" s="180">
        <v>-4.0500000000000001E-2</v>
      </c>
      <c r="AH203" s="179">
        <v>-6.4999990000000011E-3</v>
      </c>
      <c r="AI203" s="25">
        <v>-4.8000000000000001E-2</v>
      </c>
      <c r="AJ203" s="25">
        <v>0</v>
      </c>
      <c r="AK203" s="25">
        <v>9.5000000000000015E-3</v>
      </c>
      <c r="AL203" s="25">
        <v>1.6E-2</v>
      </c>
      <c r="AM203" s="25">
        <v>1.4550000000000001</v>
      </c>
      <c r="AN203" s="25">
        <v>-0.04</v>
      </c>
      <c r="AO203" s="25">
        <v>0</v>
      </c>
      <c r="AP203" s="25">
        <v>0</v>
      </c>
      <c r="AQ203" s="25">
        <v>-0.19</v>
      </c>
      <c r="AS203" s="25">
        <v>0</v>
      </c>
      <c r="AT203" s="25">
        <v>0</v>
      </c>
      <c r="AU203" s="25">
        <v>0.12</v>
      </c>
      <c r="AV203" s="25">
        <v>0</v>
      </c>
      <c r="AW203" s="25">
        <v>-0.111</v>
      </c>
      <c r="AY203" s="25">
        <v>-0.111</v>
      </c>
      <c r="AZ203" s="25">
        <v>0</v>
      </c>
      <c r="BA203" s="25">
        <v>-0.10150000000000001</v>
      </c>
      <c r="BB203" s="25">
        <v>-1.1500000000000002E-2</v>
      </c>
      <c r="BC203" s="25">
        <v>0</v>
      </c>
      <c r="BD203" s="25">
        <v>-7.4999999999999997E-2</v>
      </c>
      <c r="BE203" s="25">
        <v>-6.5000000000000002E-2</v>
      </c>
      <c r="BF203" s="25">
        <v>-0.17</v>
      </c>
      <c r="BG203" s="25">
        <v>0</v>
      </c>
      <c r="BH203" s="25">
        <v>0</v>
      </c>
      <c r="BI203" s="25">
        <v>0</v>
      </c>
      <c r="BJ203" s="25">
        <v>0.97499999999999998</v>
      </c>
    </row>
    <row r="204" spans="1:62" x14ac:dyDescent="0.25">
      <c r="A204" s="26"/>
      <c r="B204" s="26">
        <v>4.3660000000000005</v>
      </c>
      <c r="C204" s="145">
        <v>42795</v>
      </c>
      <c r="D204" s="26">
        <v>3.7885000000000004</v>
      </c>
      <c r="E204" s="26">
        <v>0.15</v>
      </c>
      <c r="F204" s="26">
        <v>7.0335364402619005E-2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179">
        <v>0.26500000000000001</v>
      </c>
      <c r="X204" s="179">
        <v>0.30249999999999999</v>
      </c>
      <c r="Y204" s="179">
        <v>0</v>
      </c>
      <c r="Z204" s="179">
        <v>-2.0499999999999997E-2</v>
      </c>
      <c r="AA204" s="179">
        <v>1.6E-2</v>
      </c>
      <c r="AB204" s="179">
        <v>1E-3</v>
      </c>
      <c r="AC204" s="179">
        <v>0</v>
      </c>
      <c r="AD204" s="179">
        <v>0</v>
      </c>
      <c r="AE204" s="179">
        <v>0</v>
      </c>
      <c r="AF204" s="179">
        <v>0</v>
      </c>
      <c r="AG204" s="180">
        <v>0</v>
      </c>
      <c r="AH204" s="179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0.83499999999999996</v>
      </c>
      <c r="AN204" s="25">
        <v>-2.75E-2</v>
      </c>
      <c r="AO204" s="25">
        <v>0</v>
      </c>
      <c r="AP204" s="25">
        <v>0</v>
      </c>
      <c r="AQ204" s="25">
        <v>-0.19</v>
      </c>
      <c r="AS204" s="25">
        <v>0</v>
      </c>
      <c r="AT204" s="25">
        <v>0</v>
      </c>
      <c r="AU204" s="25">
        <v>0.12</v>
      </c>
      <c r="AV204" s="25">
        <v>0</v>
      </c>
      <c r="AW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-6.25E-2</v>
      </c>
      <c r="BE204" s="25">
        <v>0</v>
      </c>
      <c r="BF204" s="25">
        <v>-0.17</v>
      </c>
      <c r="BG204" s="25">
        <v>0</v>
      </c>
      <c r="BH204" s="25">
        <v>0</v>
      </c>
      <c r="BI204" s="25">
        <v>0</v>
      </c>
      <c r="BJ204" s="25">
        <v>0.60750000000000004</v>
      </c>
    </row>
    <row r="205" spans="1:62" x14ac:dyDescent="0.25">
      <c r="A205" s="26"/>
      <c r="B205" s="26">
        <v>4.2949999999999999</v>
      </c>
      <c r="C205" s="145">
        <v>42826</v>
      </c>
      <c r="D205" s="26">
        <v>3.6524999999999999</v>
      </c>
      <c r="E205" s="26">
        <v>0.15</v>
      </c>
      <c r="F205" s="26">
        <v>7.0337528812668998E-2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179">
        <v>0.19500000000000001</v>
      </c>
      <c r="X205" s="179">
        <v>0.25</v>
      </c>
      <c r="Y205" s="179">
        <v>0</v>
      </c>
      <c r="Z205" s="179">
        <v>-1.3000000000000001E-2</v>
      </c>
      <c r="AA205" s="179">
        <v>1.6E-2</v>
      </c>
      <c r="AB205" s="179">
        <v>1E-3</v>
      </c>
      <c r="AC205" s="179">
        <v>0</v>
      </c>
      <c r="AD205" s="179">
        <v>0</v>
      </c>
      <c r="AE205" s="179">
        <v>0</v>
      </c>
      <c r="AF205" s="179">
        <v>0</v>
      </c>
      <c r="AG205" s="180">
        <v>0</v>
      </c>
      <c r="AH205" s="179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0.45</v>
      </c>
      <c r="AN205" s="25">
        <v>4.4976600000000005E-2</v>
      </c>
      <c r="AO205" s="25">
        <v>0</v>
      </c>
      <c r="AP205" s="25">
        <v>0</v>
      </c>
      <c r="AQ205" s="25">
        <v>-0.19</v>
      </c>
      <c r="AS205" s="25">
        <v>0</v>
      </c>
      <c r="AT205" s="25">
        <v>0</v>
      </c>
      <c r="AU205" s="25">
        <v>0.29499999999999998</v>
      </c>
      <c r="AV205" s="25">
        <v>0</v>
      </c>
      <c r="AW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9.9766390000000024E-3</v>
      </c>
      <c r="BE205" s="25">
        <v>0</v>
      </c>
      <c r="BF205" s="25">
        <v>-0.17</v>
      </c>
      <c r="BG205" s="25">
        <v>0</v>
      </c>
      <c r="BH205" s="25">
        <v>0</v>
      </c>
      <c r="BI205" s="25">
        <v>0</v>
      </c>
      <c r="BJ205" s="25">
        <v>0.35499999999999998</v>
      </c>
    </row>
    <row r="206" spans="1:62" x14ac:dyDescent="0.25">
      <c r="A206" s="26"/>
      <c r="B206" s="26">
        <v>4.1790000000000003</v>
      </c>
      <c r="C206" s="145">
        <v>42856</v>
      </c>
      <c r="D206" s="26">
        <v>3.6515000000000004</v>
      </c>
      <c r="E206" s="26">
        <v>0.15</v>
      </c>
      <c r="F206" s="26">
        <v>7.0339623403042006E-2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179">
        <v>0.1825</v>
      </c>
      <c r="X206" s="179">
        <v>0.20250000000000001</v>
      </c>
      <c r="Y206" s="179">
        <v>0</v>
      </c>
      <c r="Z206" s="179">
        <v>-1.325E-2</v>
      </c>
      <c r="AA206" s="179">
        <v>1.575E-2</v>
      </c>
      <c r="AB206" s="179">
        <v>7.5000000000000815E-4</v>
      </c>
      <c r="AC206" s="179">
        <v>0</v>
      </c>
      <c r="AD206" s="179">
        <v>0</v>
      </c>
      <c r="AE206" s="179">
        <v>0</v>
      </c>
      <c r="AF206" s="179">
        <v>0</v>
      </c>
      <c r="AG206" s="180">
        <v>0</v>
      </c>
      <c r="AH206" s="179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0.40500000000000003</v>
      </c>
      <c r="AN206" s="25">
        <v>4.4968100000000004E-2</v>
      </c>
      <c r="AO206" s="25">
        <v>0</v>
      </c>
      <c r="AP206" s="25">
        <v>0</v>
      </c>
      <c r="AQ206" s="25">
        <v>-0.19</v>
      </c>
      <c r="AS206" s="25">
        <v>0</v>
      </c>
      <c r="AT206" s="25">
        <v>0</v>
      </c>
      <c r="AU206" s="25">
        <v>0.29499999999999998</v>
      </c>
      <c r="AV206" s="25">
        <v>0</v>
      </c>
      <c r="AW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9.9681000000000006E-3</v>
      </c>
      <c r="BE206" s="25">
        <v>0</v>
      </c>
      <c r="BF206" s="25">
        <v>-0.17</v>
      </c>
      <c r="BG206" s="25">
        <v>0</v>
      </c>
      <c r="BH206" s="25">
        <v>0</v>
      </c>
      <c r="BI206" s="25">
        <v>0</v>
      </c>
      <c r="BJ206" s="25">
        <v>0.28749999999999998</v>
      </c>
    </row>
    <row r="207" spans="1:62" x14ac:dyDescent="0.25">
      <c r="A207" s="26"/>
      <c r="B207" s="26">
        <v>4.0660000000000007</v>
      </c>
      <c r="C207" s="145">
        <v>42887</v>
      </c>
      <c r="D207" s="26">
        <v>3.6855000000000002</v>
      </c>
      <c r="E207" s="26">
        <v>0.15</v>
      </c>
      <c r="F207" s="26">
        <v>7.0341787813096024E-2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179">
        <v>0.1825</v>
      </c>
      <c r="X207" s="179">
        <v>0.20250000000000001</v>
      </c>
      <c r="Y207" s="179">
        <v>0</v>
      </c>
      <c r="Z207" s="179">
        <v>-1.325E-2</v>
      </c>
      <c r="AA207" s="179">
        <v>1.575E-2</v>
      </c>
      <c r="AB207" s="179">
        <v>7.5000000000000815E-4</v>
      </c>
      <c r="AC207" s="179">
        <v>0</v>
      </c>
      <c r="AD207" s="179">
        <v>0</v>
      </c>
      <c r="AE207" s="179">
        <v>0</v>
      </c>
      <c r="AF207" s="179">
        <v>0</v>
      </c>
      <c r="AG207" s="180">
        <v>0</v>
      </c>
      <c r="AH207" s="179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0.39500000000000002</v>
      </c>
      <c r="AN207" s="25">
        <v>4.4968100000000004E-2</v>
      </c>
      <c r="AO207" s="25">
        <v>0</v>
      </c>
      <c r="AP207" s="25">
        <v>0</v>
      </c>
      <c r="AQ207" s="25">
        <v>-0.19</v>
      </c>
      <c r="AS207" s="25">
        <v>0</v>
      </c>
      <c r="AT207" s="25">
        <v>0</v>
      </c>
      <c r="AU207" s="25">
        <v>0.29499999999999998</v>
      </c>
      <c r="AV207" s="25">
        <v>0</v>
      </c>
      <c r="AW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9.9681000000000006E-3</v>
      </c>
      <c r="BE207" s="25">
        <v>0</v>
      </c>
      <c r="BF207" s="25">
        <v>-0.17</v>
      </c>
      <c r="BG207" s="25">
        <v>0</v>
      </c>
      <c r="BH207" s="25">
        <v>0</v>
      </c>
      <c r="BI207" s="25">
        <v>0</v>
      </c>
      <c r="BJ207" s="25">
        <v>0.28749999999999998</v>
      </c>
    </row>
    <row r="208" spans="1:62" x14ac:dyDescent="0.25">
      <c r="A208" s="26"/>
      <c r="B208" s="26">
        <v>4.0519999999999996</v>
      </c>
      <c r="C208" s="145">
        <v>42917</v>
      </c>
      <c r="D208" s="26">
        <v>3.7075</v>
      </c>
      <c r="E208" s="26">
        <v>0.15</v>
      </c>
      <c r="F208" s="26">
        <v>7.0343882403471017E-2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5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179">
        <v>0.1825</v>
      </c>
      <c r="X208" s="179">
        <v>0.215</v>
      </c>
      <c r="Y208" s="179">
        <v>0</v>
      </c>
      <c r="Z208" s="179">
        <v>-1.325E-2</v>
      </c>
      <c r="AA208" s="179">
        <v>1.575E-2</v>
      </c>
      <c r="AB208" s="179">
        <v>7.5000000000000815E-4</v>
      </c>
      <c r="AC208" s="179">
        <v>0</v>
      </c>
      <c r="AD208" s="179">
        <v>0</v>
      </c>
      <c r="AE208" s="179">
        <v>0</v>
      </c>
      <c r="AF208" s="179">
        <v>0</v>
      </c>
      <c r="AG208" s="180">
        <v>0</v>
      </c>
      <c r="AH208" s="179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0.43</v>
      </c>
      <c r="AN208" s="25">
        <v>4.4968100000000004E-2</v>
      </c>
      <c r="AO208" s="25">
        <v>0</v>
      </c>
      <c r="AP208" s="25">
        <v>0</v>
      </c>
      <c r="AQ208" s="25">
        <v>-0.19</v>
      </c>
      <c r="AS208" s="25">
        <v>0</v>
      </c>
      <c r="AT208" s="25">
        <v>0</v>
      </c>
      <c r="AU208" s="25">
        <v>0.29499999999999998</v>
      </c>
      <c r="AV208" s="25">
        <v>0</v>
      </c>
      <c r="AW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9.9681000000000006E-3</v>
      </c>
      <c r="BE208" s="25">
        <v>0</v>
      </c>
      <c r="BF208" s="25">
        <v>-0.17</v>
      </c>
      <c r="BG208" s="25">
        <v>0</v>
      </c>
      <c r="BH208" s="25">
        <v>0</v>
      </c>
      <c r="BI208" s="25">
        <v>0</v>
      </c>
      <c r="BJ208" s="25">
        <v>0.3</v>
      </c>
    </row>
    <row r="209" spans="1:62" x14ac:dyDescent="0.25">
      <c r="A209" s="26"/>
      <c r="B209" s="26">
        <v>4.0460000000000003</v>
      </c>
      <c r="C209" s="145">
        <v>42948</v>
      </c>
      <c r="D209" s="26">
        <v>3.7285000000000004</v>
      </c>
      <c r="E209" s="26">
        <v>0.15</v>
      </c>
      <c r="F209" s="26">
        <v>7.0346046813528018E-2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179">
        <v>0.1825</v>
      </c>
      <c r="X209" s="179">
        <v>0.215</v>
      </c>
      <c r="Y209" s="179">
        <v>0</v>
      </c>
      <c r="Z209" s="179">
        <v>-1.325E-2</v>
      </c>
      <c r="AA209" s="179">
        <v>1.575E-2</v>
      </c>
      <c r="AB209" s="179">
        <v>7.5000000000000815E-4</v>
      </c>
      <c r="AC209" s="179">
        <v>0</v>
      </c>
      <c r="AD209" s="179">
        <v>0</v>
      </c>
      <c r="AE209" s="179">
        <v>0</v>
      </c>
      <c r="AF209" s="179">
        <v>0</v>
      </c>
      <c r="AG209" s="180">
        <v>0</v>
      </c>
      <c r="AH209" s="179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0.495</v>
      </c>
      <c r="AN209" s="25">
        <v>4.4968100000000004E-2</v>
      </c>
      <c r="AO209" s="25">
        <v>0</v>
      </c>
      <c r="AP209" s="25">
        <v>0</v>
      </c>
      <c r="AQ209" s="25">
        <v>-0.19</v>
      </c>
      <c r="AS209" s="25">
        <v>0</v>
      </c>
      <c r="AT209" s="25">
        <v>0</v>
      </c>
      <c r="AU209" s="25">
        <v>0.29499999999999998</v>
      </c>
      <c r="AV209" s="25">
        <v>0</v>
      </c>
      <c r="AW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9.9681000000000006E-3</v>
      </c>
      <c r="BE209" s="25">
        <v>0</v>
      </c>
      <c r="BF209" s="25">
        <v>-0.17</v>
      </c>
      <c r="BG209" s="25">
        <v>0</v>
      </c>
      <c r="BH209" s="25">
        <v>0</v>
      </c>
      <c r="BI209" s="25">
        <v>0</v>
      </c>
      <c r="BJ209" s="25">
        <v>0.3</v>
      </c>
    </row>
    <row r="210" spans="1:62" x14ac:dyDescent="0.25">
      <c r="A210" s="26"/>
      <c r="B210" s="26">
        <v>4.1110000000000007</v>
      </c>
      <c r="C210" s="145">
        <v>42979</v>
      </c>
      <c r="D210" s="26">
        <v>3.7044999999999999</v>
      </c>
      <c r="E210" s="26">
        <v>0.15</v>
      </c>
      <c r="F210" s="26">
        <v>7.0348211223586005E-2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179">
        <v>0.1825</v>
      </c>
      <c r="X210" s="179">
        <v>0.19500000000000001</v>
      </c>
      <c r="Y210" s="179">
        <v>0</v>
      </c>
      <c r="Z210" s="179">
        <v>-1.325E-2</v>
      </c>
      <c r="AA210" s="179">
        <v>1.575E-2</v>
      </c>
      <c r="AB210" s="179">
        <v>7.5000000000000815E-4</v>
      </c>
      <c r="AC210" s="179">
        <v>0</v>
      </c>
      <c r="AD210" s="179">
        <v>0</v>
      </c>
      <c r="AE210" s="179">
        <v>0</v>
      </c>
      <c r="AF210" s="179">
        <v>0</v>
      </c>
      <c r="AG210" s="180">
        <v>0</v>
      </c>
      <c r="AH210" s="179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0.39500000000000002</v>
      </c>
      <c r="AN210" s="25">
        <v>4.4968100000000004E-2</v>
      </c>
      <c r="AO210" s="25">
        <v>0</v>
      </c>
      <c r="AP210" s="25">
        <v>0</v>
      </c>
      <c r="AQ210" s="25">
        <v>-0.19</v>
      </c>
      <c r="AS210" s="25">
        <v>0</v>
      </c>
      <c r="AT210" s="25">
        <v>0</v>
      </c>
      <c r="AU210" s="25">
        <v>0.29499999999999998</v>
      </c>
      <c r="AV210" s="25">
        <v>0</v>
      </c>
      <c r="AW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9.9681000000000006E-3</v>
      </c>
      <c r="BE210" s="25">
        <v>0</v>
      </c>
      <c r="BF210" s="25">
        <v>-0.17</v>
      </c>
      <c r="BG210" s="25">
        <v>0</v>
      </c>
      <c r="BH210" s="25">
        <v>0</v>
      </c>
      <c r="BI210" s="25">
        <v>0</v>
      </c>
      <c r="BJ210" s="25">
        <v>0.28999999999999998</v>
      </c>
    </row>
    <row r="211" spans="1:62" x14ac:dyDescent="0.25">
      <c r="A211" s="26"/>
      <c r="B211" s="26">
        <v>4.1059999999999999</v>
      </c>
      <c r="C211" s="145">
        <v>43009</v>
      </c>
      <c r="D211" s="26">
        <v>3.6955</v>
      </c>
      <c r="E211" s="26">
        <v>0.15</v>
      </c>
      <c r="F211" s="26">
        <v>7.0350305813967021E-2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179">
        <v>0.1875</v>
      </c>
      <c r="X211" s="179">
        <v>0.215</v>
      </c>
      <c r="Y211" s="179">
        <v>0</v>
      </c>
      <c r="Z211" s="179">
        <v>-1.325E-2</v>
      </c>
      <c r="AA211" s="179">
        <v>-2.5000000000000001E-3</v>
      </c>
      <c r="AB211" s="179">
        <v>-1.7500000000000002E-2</v>
      </c>
      <c r="AC211" s="179">
        <v>0</v>
      </c>
      <c r="AD211" s="179">
        <v>0</v>
      </c>
      <c r="AE211" s="179">
        <v>0</v>
      </c>
      <c r="AF211" s="179">
        <v>0</v>
      </c>
      <c r="AG211" s="180">
        <v>0</v>
      </c>
      <c r="AH211" s="179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0.46100000000000002</v>
      </c>
      <c r="AN211" s="25">
        <v>4.4968100000000004E-2</v>
      </c>
      <c r="AO211" s="25">
        <v>0</v>
      </c>
      <c r="AP211" s="25">
        <v>0</v>
      </c>
      <c r="AQ211" s="25">
        <v>-0.19</v>
      </c>
      <c r="AS211" s="25">
        <v>0</v>
      </c>
      <c r="AT211" s="25">
        <v>0</v>
      </c>
      <c r="AU211" s="25">
        <v>0.29499999999999998</v>
      </c>
      <c r="AV211" s="25">
        <v>0</v>
      </c>
      <c r="AW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9.9681000000000006E-3</v>
      </c>
      <c r="BE211" s="25">
        <v>0</v>
      </c>
      <c r="BF211" s="25">
        <v>-0.17</v>
      </c>
      <c r="BG211" s="25">
        <v>0</v>
      </c>
      <c r="BH211" s="25">
        <v>0</v>
      </c>
      <c r="BI211" s="25">
        <v>0</v>
      </c>
      <c r="BJ211" s="25">
        <v>0.36249999999999999</v>
      </c>
    </row>
    <row r="212" spans="1:62" x14ac:dyDescent="0.25">
      <c r="A212" s="26"/>
      <c r="B212" s="26">
        <v>4.0819999999999999</v>
      </c>
      <c r="C212" s="145">
        <v>43040</v>
      </c>
      <c r="D212" s="26">
        <v>3.7174999999999998</v>
      </c>
      <c r="E212" s="26">
        <v>0.15</v>
      </c>
      <c r="F212" s="26">
        <v>7.0352470224028005E-2</v>
      </c>
      <c r="V212" s="25">
        <v>0</v>
      </c>
      <c r="W212" s="179">
        <v>0.27</v>
      </c>
      <c r="X212" s="179">
        <v>0.28749999999999998</v>
      </c>
      <c r="Y212" s="179">
        <v>0</v>
      </c>
      <c r="Z212" s="179">
        <v>-2.6499999999999999E-2</v>
      </c>
      <c r="AA212" s="179">
        <v>-1.5E-3</v>
      </c>
      <c r="AB212" s="179">
        <v>-1.6500000000000001E-2</v>
      </c>
      <c r="AC212" s="179">
        <v>0</v>
      </c>
      <c r="AD212" s="179">
        <v>0</v>
      </c>
      <c r="AE212" s="179">
        <v>0</v>
      </c>
      <c r="AF212" s="179">
        <v>0</v>
      </c>
      <c r="AG212" s="180">
        <v>0</v>
      </c>
      <c r="AH212" s="179">
        <v>0</v>
      </c>
      <c r="AI212" s="25">
        <v>0</v>
      </c>
      <c r="AK212" s="25">
        <v>0</v>
      </c>
      <c r="AL212" s="25">
        <v>0</v>
      </c>
      <c r="AM212" s="25">
        <v>0.76749999999999996</v>
      </c>
      <c r="AN212" s="25">
        <v>-3.4988700000000005E-2</v>
      </c>
      <c r="AO212" s="25">
        <v>0</v>
      </c>
      <c r="AP212" s="25">
        <v>0</v>
      </c>
      <c r="AQ212" s="25">
        <v>-0.19</v>
      </c>
      <c r="AS212" s="25">
        <v>0</v>
      </c>
      <c r="AT212" s="25">
        <v>0</v>
      </c>
      <c r="AU212" s="25">
        <v>0.12</v>
      </c>
      <c r="AV212" s="25">
        <v>0</v>
      </c>
      <c r="AW212" s="25">
        <v>0</v>
      </c>
      <c r="AY212" s="25">
        <v>0</v>
      </c>
      <c r="BA212" s="25">
        <v>0</v>
      </c>
      <c r="BB212" s="25">
        <v>0</v>
      </c>
      <c r="BD212" s="25">
        <v>-6.9988700000000001E-2</v>
      </c>
      <c r="BE212" s="25">
        <v>0</v>
      </c>
      <c r="BF212" s="25">
        <v>-0.17</v>
      </c>
      <c r="BJ212" s="25">
        <v>0.46500000000000002</v>
      </c>
    </row>
    <row r="213" spans="1:62" x14ac:dyDescent="0.25">
      <c r="A213" s="26"/>
      <c r="B213" s="26">
        <v>4.0860000000000003</v>
      </c>
      <c r="C213" s="145">
        <v>43070</v>
      </c>
      <c r="D213" s="26">
        <v>3.7574999999999998</v>
      </c>
      <c r="E213" s="26">
        <v>0.15</v>
      </c>
      <c r="F213" s="26">
        <v>7.0354564814411019E-2</v>
      </c>
      <c r="V213" s="25">
        <v>0</v>
      </c>
      <c r="W213" s="179">
        <v>0.30499999999999999</v>
      </c>
      <c r="X213" s="179">
        <v>0.33750000000000002</v>
      </c>
      <c r="Y213" s="179">
        <v>0</v>
      </c>
      <c r="Z213" s="179">
        <v>-1.9000000000000003E-2</v>
      </c>
      <c r="AA213" s="179">
        <v>-1.5E-3</v>
      </c>
      <c r="AB213" s="179">
        <v>-1.6500000000000001E-2</v>
      </c>
      <c r="AC213" s="179">
        <v>0</v>
      </c>
      <c r="AD213" s="179">
        <v>0</v>
      </c>
      <c r="AE213" s="179">
        <v>0</v>
      </c>
      <c r="AF213" s="179">
        <v>0</v>
      </c>
      <c r="AG213" s="180">
        <v>0</v>
      </c>
      <c r="AH213" s="179">
        <v>0</v>
      </c>
      <c r="AI213" s="25">
        <v>0</v>
      </c>
      <c r="AK213" s="25">
        <v>0</v>
      </c>
      <c r="AL213" s="25">
        <v>0</v>
      </c>
      <c r="AM213" s="25">
        <v>1.19</v>
      </c>
      <c r="AN213" s="25">
        <v>-4.99519E-2</v>
      </c>
      <c r="AO213" s="25">
        <v>0</v>
      </c>
      <c r="AP213" s="25">
        <v>0</v>
      </c>
      <c r="AQ213" s="25">
        <v>-0.19</v>
      </c>
      <c r="AS213" s="25">
        <v>0</v>
      </c>
      <c r="AT213" s="25">
        <v>0</v>
      </c>
      <c r="AU213" s="25">
        <v>0.12</v>
      </c>
      <c r="AV213" s="25">
        <v>0</v>
      </c>
      <c r="AW213" s="25">
        <v>0</v>
      </c>
      <c r="AY213" s="25">
        <v>0</v>
      </c>
      <c r="BA213" s="25">
        <v>0</v>
      </c>
      <c r="BB213" s="25">
        <v>0</v>
      </c>
      <c r="BD213" s="25">
        <v>-8.4951900000000011E-2</v>
      </c>
      <c r="BE213" s="25">
        <v>0</v>
      </c>
      <c r="BF213" s="25">
        <v>-0.17</v>
      </c>
      <c r="BJ213" s="25">
        <v>0.8</v>
      </c>
    </row>
    <row r="214" spans="1:62" x14ac:dyDescent="0.25">
      <c r="A214" s="26"/>
      <c r="B214" s="26">
        <v>4.1280000000000001</v>
      </c>
      <c r="C214" s="145">
        <v>43101</v>
      </c>
      <c r="D214" s="26">
        <v>4.0895000000000001</v>
      </c>
      <c r="E214" s="26">
        <v>0.15</v>
      </c>
      <c r="F214" s="26">
        <v>7.0356729224475015E-2</v>
      </c>
      <c r="V214" s="25">
        <v>0</v>
      </c>
      <c r="W214" s="179">
        <v>0.30499999999999999</v>
      </c>
      <c r="X214" s="179">
        <v>0.4375</v>
      </c>
      <c r="Y214" s="179">
        <v>0</v>
      </c>
      <c r="Z214" s="179">
        <v>-1.9000000000000003E-2</v>
      </c>
      <c r="AA214" s="179">
        <v>-1.5E-3</v>
      </c>
      <c r="AB214" s="179">
        <v>-1.6500000000000001E-2</v>
      </c>
      <c r="AC214" s="179">
        <v>0</v>
      </c>
      <c r="AD214" s="179">
        <v>0</v>
      </c>
      <c r="AE214" s="179">
        <v>0</v>
      </c>
      <c r="AF214" s="179">
        <v>0</v>
      </c>
      <c r="AG214" s="180">
        <v>0</v>
      </c>
      <c r="AH214" s="179">
        <v>0</v>
      </c>
      <c r="AI214" s="25">
        <v>0</v>
      </c>
      <c r="AK214" s="25">
        <v>0</v>
      </c>
      <c r="AL214" s="25">
        <v>0</v>
      </c>
      <c r="AM214" s="25">
        <v>1.5249999999999999</v>
      </c>
      <c r="AN214" s="25">
        <v>-4.4955100000000005E-2</v>
      </c>
      <c r="AO214" s="25">
        <v>0</v>
      </c>
      <c r="AP214" s="25">
        <v>0</v>
      </c>
      <c r="AQ214" s="25">
        <v>-0.19</v>
      </c>
      <c r="AS214" s="25">
        <v>0</v>
      </c>
      <c r="AT214" s="25">
        <v>0</v>
      </c>
      <c r="AU214" s="25">
        <v>0.12</v>
      </c>
      <c r="AV214" s="25">
        <v>0</v>
      </c>
      <c r="AW214" s="25">
        <v>0</v>
      </c>
      <c r="AY214" s="25">
        <v>0</v>
      </c>
      <c r="BA214" s="25">
        <v>0</v>
      </c>
      <c r="BB214" s="25">
        <v>0</v>
      </c>
      <c r="BD214" s="25">
        <v>-7.9955100000000001E-2</v>
      </c>
      <c r="BE214" s="25">
        <v>0</v>
      </c>
      <c r="BF214" s="25">
        <v>-0.17</v>
      </c>
      <c r="BJ214" s="25">
        <v>0.97499999999999998</v>
      </c>
    </row>
    <row r="215" spans="1:62" x14ac:dyDescent="0.25">
      <c r="A215" s="26"/>
      <c r="B215" s="26">
        <v>4.1950000000000003</v>
      </c>
      <c r="C215" s="145">
        <v>43132</v>
      </c>
      <c r="D215" s="26">
        <v>4.0075000000000003</v>
      </c>
      <c r="E215" s="26">
        <v>0.15</v>
      </c>
      <c r="F215" s="26">
        <v>7.0358893634541009E-2</v>
      </c>
      <c r="V215" s="25">
        <v>0</v>
      </c>
      <c r="W215" s="179">
        <v>0.30499999999999999</v>
      </c>
      <c r="X215" s="179">
        <v>0.435</v>
      </c>
      <c r="Y215" s="179">
        <v>0</v>
      </c>
      <c r="Z215" s="179">
        <v>-1.9000000000000003E-2</v>
      </c>
      <c r="AA215" s="179">
        <v>-1.5E-3</v>
      </c>
      <c r="AB215" s="179">
        <v>-1.6500000000000001E-2</v>
      </c>
      <c r="AC215" s="179">
        <v>0</v>
      </c>
      <c r="AD215" s="179">
        <v>0</v>
      </c>
      <c r="AE215" s="179">
        <v>0</v>
      </c>
      <c r="AF215" s="179">
        <v>0</v>
      </c>
      <c r="AG215" s="180">
        <v>0</v>
      </c>
      <c r="AH215" s="179">
        <v>0</v>
      </c>
      <c r="AI215" s="25">
        <v>0</v>
      </c>
      <c r="AK215" s="25">
        <v>0</v>
      </c>
      <c r="AL215" s="25">
        <v>0</v>
      </c>
      <c r="AM215" s="25">
        <v>1.4550000000000001</v>
      </c>
      <c r="AN215" s="25">
        <v>-1.99574E-2</v>
      </c>
      <c r="AO215" s="25">
        <v>0</v>
      </c>
      <c r="AP215" s="25">
        <v>0</v>
      </c>
      <c r="AQ215" s="25">
        <v>-0.19</v>
      </c>
      <c r="AS215" s="25">
        <v>0</v>
      </c>
      <c r="AT215" s="25">
        <v>0</v>
      </c>
      <c r="AU215" s="25">
        <v>0.12</v>
      </c>
      <c r="AV215" s="25">
        <v>0</v>
      </c>
      <c r="AW215" s="25">
        <v>0</v>
      </c>
      <c r="AY215" s="25">
        <v>0</v>
      </c>
      <c r="BA215" s="25">
        <v>0</v>
      </c>
      <c r="BB215" s="25">
        <v>0</v>
      </c>
      <c r="BD215" s="25">
        <v>-5.4957400000000003E-2</v>
      </c>
      <c r="BE215" s="25">
        <v>0</v>
      </c>
      <c r="BF215" s="25">
        <v>-0.17</v>
      </c>
      <c r="BJ215" s="25">
        <v>0.97499999999999998</v>
      </c>
    </row>
    <row r="216" spans="1:62" x14ac:dyDescent="0.25">
      <c r="A216" s="26"/>
      <c r="B216" s="26">
        <v>4.4630000000000001</v>
      </c>
      <c r="C216" s="145">
        <v>43160</v>
      </c>
      <c r="D216" s="26">
        <v>3.8824999999999998</v>
      </c>
      <c r="E216" s="26">
        <v>0.15</v>
      </c>
      <c r="F216" s="26">
        <v>7.0360848585570013E-2</v>
      </c>
      <c r="V216" s="25">
        <v>0</v>
      </c>
      <c r="W216" s="179">
        <v>0.26500000000000001</v>
      </c>
      <c r="X216" s="179">
        <v>0.30249999999999999</v>
      </c>
      <c r="Y216" s="179">
        <v>0</v>
      </c>
      <c r="Z216" s="179">
        <v>-1.9000000000000003E-2</v>
      </c>
      <c r="AA216" s="179">
        <v>1.7000000000000001E-2</v>
      </c>
      <c r="AB216" s="179">
        <v>2E-3</v>
      </c>
      <c r="AC216" s="179">
        <v>0</v>
      </c>
      <c r="AD216" s="179">
        <v>0</v>
      </c>
      <c r="AE216" s="179">
        <v>0</v>
      </c>
      <c r="AF216" s="179">
        <v>0</v>
      </c>
      <c r="AG216" s="180">
        <v>0</v>
      </c>
      <c r="AH216" s="179">
        <v>0</v>
      </c>
      <c r="AI216" s="25">
        <v>0</v>
      </c>
      <c r="AK216" s="25">
        <v>0</v>
      </c>
      <c r="AL216" s="25">
        <v>0</v>
      </c>
      <c r="AM216" s="25">
        <v>0.83499999999999996</v>
      </c>
      <c r="AN216" s="25">
        <v>-9.9573999999999999E-3</v>
      </c>
      <c r="AO216" s="25">
        <v>0</v>
      </c>
      <c r="AP216" s="25">
        <v>0</v>
      </c>
      <c r="AQ216" s="25">
        <v>-0.19</v>
      </c>
      <c r="AS216" s="25">
        <v>0</v>
      </c>
      <c r="AT216" s="25">
        <v>0</v>
      </c>
      <c r="AU216" s="25">
        <v>0.12</v>
      </c>
      <c r="AV216" s="25">
        <v>0</v>
      </c>
      <c r="AW216" s="25">
        <v>0</v>
      </c>
      <c r="AY216" s="25">
        <v>0</v>
      </c>
      <c r="BA216" s="25">
        <v>0</v>
      </c>
      <c r="BB216" s="25">
        <v>0</v>
      </c>
      <c r="BD216" s="25">
        <v>-4.4957400000000008E-2</v>
      </c>
      <c r="BE216" s="25">
        <v>0</v>
      </c>
      <c r="BF216" s="25">
        <v>-0.17</v>
      </c>
      <c r="BJ216" s="25">
        <v>0.60750000000000004</v>
      </c>
    </row>
    <row r="217" spans="1:62" x14ac:dyDescent="0.25">
      <c r="A217" s="26"/>
      <c r="B217" s="26">
        <v>4.3959999999999999</v>
      </c>
      <c r="C217" s="145">
        <v>43191</v>
      </c>
      <c r="D217" s="26">
        <v>3.7494999999999998</v>
      </c>
      <c r="E217" s="26">
        <v>0.15</v>
      </c>
      <c r="F217" s="26">
        <v>7.0363012995639032E-2</v>
      </c>
      <c r="V217" s="25">
        <v>0</v>
      </c>
      <c r="W217" s="179">
        <v>0.19500000000000001</v>
      </c>
      <c r="X217" s="179">
        <v>0.25</v>
      </c>
      <c r="Y217" s="179">
        <v>0</v>
      </c>
      <c r="Z217" s="179">
        <v>-1.1500000000000002E-2</v>
      </c>
      <c r="AA217" s="179">
        <v>1.7000000000000001E-2</v>
      </c>
      <c r="AB217" s="179">
        <v>2E-3</v>
      </c>
      <c r="AC217" s="179">
        <v>0</v>
      </c>
      <c r="AD217" s="179">
        <v>0</v>
      </c>
      <c r="AE217" s="179">
        <v>0</v>
      </c>
      <c r="AF217" s="179">
        <v>0</v>
      </c>
      <c r="AG217" s="180">
        <v>0</v>
      </c>
      <c r="AH217" s="179">
        <v>0</v>
      </c>
      <c r="AI217" s="25">
        <v>0</v>
      </c>
      <c r="AK217" s="25">
        <v>0</v>
      </c>
      <c r="AL217" s="25">
        <v>0</v>
      </c>
      <c r="AM217" s="25">
        <v>0.45</v>
      </c>
      <c r="AN217" s="25">
        <v>4.997660000000001E-2</v>
      </c>
      <c r="AO217" s="25">
        <v>0</v>
      </c>
      <c r="AP217" s="25">
        <v>0</v>
      </c>
      <c r="AQ217" s="25">
        <v>-0.19</v>
      </c>
      <c r="AS217" s="25">
        <v>0</v>
      </c>
      <c r="AT217" s="25">
        <v>0</v>
      </c>
      <c r="AU217" s="25">
        <v>0.29499999999999998</v>
      </c>
      <c r="AV217" s="25">
        <v>0</v>
      </c>
      <c r="AW217" s="25">
        <v>0</v>
      </c>
      <c r="AY217" s="25">
        <v>0</v>
      </c>
      <c r="BA217" s="25">
        <v>0</v>
      </c>
      <c r="BB217" s="25">
        <v>0</v>
      </c>
      <c r="BD217" s="25">
        <v>1.4976600000000003E-2</v>
      </c>
      <c r="BE217" s="25">
        <v>0</v>
      </c>
      <c r="BF217" s="25">
        <v>-0.17</v>
      </c>
      <c r="BJ217" s="25">
        <v>0.35499999999999998</v>
      </c>
    </row>
    <row r="218" spans="1:62" x14ac:dyDescent="0.25">
      <c r="A218" s="26"/>
      <c r="B218" s="26">
        <v>4.2830000000000004</v>
      </c>
      <c r="C218" s="145">
        <v>43221</v>
      </c>
      <c r="D218" s="26">
        <v>3.7494999999999998</v>
      </c>
      <c r="E218" s="26">
        <v>0.15</v>
      </c>
      <c r="F218" s="26">
        <v>7.0365107586028999E-2</v>
      </c>
      <c r="V218" s="25">
        <v>0</v>
      </c>
      <c r="W218" s="179">
        <v>0.1825</v>
      </c>
      <c r="X218" s="179">
        <v>0.20250000000000001</v>
      </c>
      <c r="Y218" s="179">
        <v>0</v>
      </c>
      <c r="Z218" s="179">
        <v>-1.175E-2</v>
      </c>
      <c r="AA218" s="179">
        <v>1.6750000000000001E-2</v>
      </c>
      <c r="AB218" s="179">
        <v>1.7500000000000003E-3</v>
      </c>
      <c r="AC218" s="179">
        <v>0</v>
      </c>
      <c r="AD218" s="179">
        <v>0</v>
      </c>
      <c r="AE218" s="179">
        <v>0</v>
      </c>
      <c r="AF218" s="179">
        <v>0</v>
      </c>
      <c r="AG218" s="180">
        <v>0</v>
      </c>
      <c r="AH218" s="179">
        <v>0</v>
      </c>
      <c r="AI218" s="25">
        <v>0</v>
      </c>
      <c r="AK218" s="25">
        <v>0</v>
      </c>
      <c r="AL218" s="25">
        <v>0</v>
      </c>
      <c r="AM218" s="25">
        <v>0.40500000000000003</v>
      </c>
      <c r="AN218" s="25">
        <v>4.9968100000000001E-2</v>
      </c>
      <c r="AO218" s="25">
        <v>0</v>
      </c>
      <c r="AP218" s="25">
        <v>0</v>
      </c>
      <c r="AQ218" s="25">
        <v>-0.19</v>
      </c>
      <c r="AS218" s="25">
        <v>0</v>
      </c>
      <c r="AT218" s="25">
        <v>0</v>
      </c>
      <c r="AU218" s="25">
        <v>0.29499999999999998</v>
      </c>
      <c r="AV218" s="25">
        <v>0</v>
      </c>
      <c r="AW218" s="25">
        <v>0</v>
      </c>
      <c r="AY218" s="25">
        <v>0</v>
      </c>
      <c r="BA218" s="25">
        <v>0</v>
      </c>
      <c r="BB218" s="25">
        <v>0</v>
      </c>
      <c r="BD218" s="25">
        <v>1.4968100000000002E-2</v>
      </c>
      <c r="BE218" s="25">
        <v>0</v>
      </c>
      <c r="BF218" s="25">
        <v>-0.17</v>
      </c>
      <c r="BJ218" s="25">
        <v>0.28749999999999998</v>
      </c>
    </row>
    <row r="219" spans="1:62" x14ac:dyDescent="0.25">
      <c r="A219" s="26"/>
      <c r="B219" s="26">
        <v>4.173</v>
      </c>
      <c r="C219" s="145">
        <v>43252</v>
      </c>
      <c r="D219" s="26">
        <v>3.7845</v>
      </c>
      <c r="E219" s="26">
        <v>0.15</v>
      </c>
      <c r="F219" s="26">
        <v>7.036727199610103E-2</v>
      </c>
      <c r="V219" s="25">
        <v>0</v>
      </c>
      <c r="W219" s="179">
        <v>0.1825</v>
      </c>
      <c r="X219" s="179">
        <v>0.20250000000000001</v>
      </c>
      <c r="Y219" s="179">
        <v>0</v>
      </c>
      <c r="Z219" s="179">
        <v>-1.175E-2</v>
      </c>
      <c r="AA219" s="179">
        <v>1.6750000000000001E-2</v>
      </c>
      <c r="AB219" s="179">
        <v>1.7500000000000003E-3</v>
      </c>
      <c r="AC219" s="179">
        <v>0</v>
      </c>
      <c r="AD219" s="179">
        <v>0</v>
      </c>
      <c r="AE219" s="179">
        <v>0</v>
      </c>
      <c r="AF219" s="179">
        <v>0</v>
      </c>
      <c r="AG219" s="180">
        <v>0</v>
      </c>
      <c r="AH219" s="179">
        <v>0</v>
      </c>
      <c r="AI219" s="25">
        <v>0</v>
      </c>
      <c r="AK219" s="25">
        <v>0</v>
      </c>
      <c r="AL219" s="25">
        <v>0</v>
      </c>
      <c r="AM219" s="25">
        <v>0.39500000000000002</v>
      </c>
      <c r="AN219" s="25">
        <v>4.9968100000000001E-2</v>
      </c>
      <c r="AO219" s="25">
        <v>0</v>
      </c>
      <c r="AP219" s="25">
        <v>0</v>
      </c>
      <c r="AQ219" s="25">
        <v>-0.19</v>
      </c>
      <c r="AS219" s="25">
        <v>0</v>
      </c>
      <c r="AT219" s="25">
        <v>0</v>
      </c>
      <c r="AU219" s="25">
        <v>0.29499999999999998</v>
      </c>
      <c r="AV219" s="25">
        <v>0</v>
      </c>
      <c r="AW219" s="25">
        <v>0</v>
      </c>
      <c r="AY219" s="25">
        <v>0</v>
      </c>
      <c r="BA219" s="25">
        <v>0</v>
      </c>
      <c r="BB219" s="25">
        <v>0</v>
      </c>
      <c r="BD219" s="25">
        <v>1.4968100000000002E-2</v>
      </c>
      <c r="BE219" s="25">
        <v>0</v>
      </c>
      <c r="BF219" s="25">
        <v>-0.17</v>
      </c>
      <c r="BJ219" s="25">
        <v>0.28749999999999998</v>
      </c>
    </row>
    <row r="220" spans="1:62" x14ac:dyDescent="0.25">
      <c r="A220" s="26"/>
      <c r="B220" s="26">
        <v>4.16</v>
      </c>
      <c r="C220" s="145">
        <v>43282</v>
      </c>
      <c r="D220" s="26">
        <v>3.8065000000000002</v>
      </c>
      <c r="E220" s="26">
        <v>0.15</v>
      </c>
      <c r="F220" s="26">
        <v>7.0369366586494023E-2</v>
      </c>
      <c r="V220" s="25">
        <v>0</v>
      </c>
      <c r="W220" s="179">
        <v>0.1825</v>
      </c>
      <c r="X220" s="179">
        <v>0.215</v>
      </c>
      <c r="Y220" s="179">
        <v>0</v>
      </c>
      <c r="Z220" s="179">
        <v>-1.175E-2</v>
      </c>
      <c r="AA220" s="179">
        <v>1.6750000000000001E-2</v>
      </c>
      <c r="AB220" s="179">
        <v>1.7500000000000003E-3</v>
      </c>
      <c r="AC220" s="179">
        <v>0</v>
      </c>
      <c r="AD220" s="179">
        <v>0</v>
      </c>
      <c r="AE220" s="179">
        <v>0</v>
      </c>
      <c r="AF220" s="179">
        <v>0</v>
      </c>
      <c r="AG220" s="180">
        <v>0</v>
      </c>
      <c r="AH220" s="179">
        <v>0</v>
      </c>
      <c r="AI220" s="25">
        <v>0</v>
      </c>
      <c r="AK220" s="25">
        <v>0</v>
      </c>
      <c r="AL220" s="25">
        <v>0</v>
      </c>
      <c r="AM220" s="25">
        <v>0.43</v>
      </c>
      <c r="AN220" s="25">
        <v>4.9968100000000001E-2</v>
      </c>
      <c r="AO220" s="25">
        <v>0</v>
      </c>
      <c r="AP220" s="25">
        <v>0</v>
      </c>
      <c r="AQ220" s="25">
        <v>-0.19</v>
      </c>
      <c r="AS220" s="25">
        <v>0</v>
      </c>
      <c r="AT220" s="25">
        <v>0</v>
      </c>
      <c r="AU220" s="25">
        <v>0.29499999999999998</v>
      </c>
      <c r="AV220" s="25">
        <v>0</v>
      </c>
      <c r="AW220" s="25">
        <v>0</v>
      </c>
      <c r="AY220" s="25">
        <v>0</v>
      </c>
      <c r="BA220" s="25">
        <v>0</v>
      </c>
      <c r="BB220" s="25">
        <v>0</v>
      </c>
      <c r="BD220" s="25">
        <v>1.4968100000000002E-2</v>
      </c>
      <c r="BE220" s="25">
        <v>0</v>
      </c>
      <c r="BF220" s="25">
        <v>-0.17</v>
      </c>
      <c r="BJ220" s="25">
        <v>0.3</v>
      </c>
    </row>
    <row r="221" spans="1:62" x14ac:dyDescent="0.25">
      <c r="A221" s="26"/>
      <c r="B221" s="26">
        <v>4.1550000000000002</v>
      </c>
      <c r="C221" s="145">
        <v>43313</v>
      </c>
      <c r="D221" s="26">
        <v>3.8275000000000001</v>
      </c>
      <c r="E221" s="26">
        <v>0.15</v>
      </c>
      <c r="F221" s="26">
        <v>7.0371530996569009E-2</v>
      </c>
      <c r="V221" s="25">
        <v>0</v>
      </c>
      <c r="W221" s="179">
        <v>0.1825</v>
      </c>
      <c r="X221" s="179">
        <v>0.215</v>
      </c>
      <c r="Y221" s="179">
        <v>0</v>
      </c>
      <c r="Z221" s="179">
        <v>-1.175E-2</v>
      </c>
      <c r="AA221" s="179">
        <v>1.6750000000000001E-2</v>
      </c>
      <c r="AB221" s="179">
        <v>1.7500000000000003E-3</v>
      </c>
      <c r="AC221" s="179">
        <v>0</v>
      </c>
      <c r="AD221" s="179">
        <v>0</v>
      </c>
      <c r="AE221" s="179">
        <v>0</v>
      </c>
      <c r="AF221" s="179">
        <v>0</v>
      </c>
      <c r="AG221" s="180">
        <v>0</v>
      </c>
      <c r="AH221" s="179">
        <v>0</v>
      </c>
      <c r="AI221" s="25">
        <v>0</v>
      </c>
      <c r="AK221" s="25">
        <v>0</v>
      </c>
      <c r="AL221" s="25">
        <v>0</v>
      </c>
      <c r="AM221" s="25">
        <v>0.495</v>
      </c>
      <c r="AN221" s="25">
        <v>4.9968100000000001E-2</v>
      </c>
      <c r="AO221" s="25">
        <v>0</v>
      </c>
      <c r="AP221" s="25">
        <v>0</v>
      </c>
      <c r="AQ221" s="25">
        <v>-0.19</v>
      </c>
      <c r="AS221" s="25">
        <v>0</v>
      </c>
      <c r="AT221" s="25">
        <v>0</v>
      </c>
      <c r="AU221" s="25">
        <v>0.29499999999999998</v>
      </c>
      <c r="AV221" s="25">
        <v>0</v>
      </c>
      <c r="AW221" s="25">
        <v>0</v>
      </c>
      <c r="AY221" s="25">
        <v>0</v>
      </c>
      <c r="BA221" s="25">
        <v>0</v>
      </c>
      <c r="BB221" s="25">
        <v>0</v>
      </c>
      <c r="BD221" s="25">
        <v>1.4968100000000002E-2</v>
      </c>
      <c r="BE221" s="25">
        <v>0</v>
      </c>
      <c r="BF221" s="25">
        <v>-0.17</v>
      </c>
      <c r="BJ221" s="25">
        <v>0.3</v>
      </c>
    </row>
    <row r="222" spans="1:62" x14ac:dyDescent="0.25">
      <c r="A222" s="26"/>
      <c r="B222" s="26">
        <v>4.22</v>
      </c>
      <c r="C222" s="145">
        <v>43344</v>
      </c>
      <c r="D222" s="26">
        <v>3.8025000000000002</v>
      </c>
      <c r="E222" s="26">
        <v>0.15</v>
      </c>
      <c r="F222" s="26">
        <v>7.0373695406646022E-2</v>
      </c>
      <c r="V222" s="25">
        <v>0</v>
      </c>
      <c r="W222" s="179">
        <v>0.1825</v>
      </c>
      <c r="X222" s="179">
        <v>0.19500000000000001</v>
      </c>
      <c r="Y222" s="179">
        <v>0</v>
      </c>
      <c r="Z222" s="179">
        <v>-1.175E-2</v>
      </c>
      <c r="AA222" s="179">
        <v>1.6750000000000001E-2</v>
      </c>
      <c r="AB222" s="179">
        <v>1.7500000000000003E-3</v>
      </c>
      <c r="AC222" s="179">
        <v>0</v>
      </c>
      <c r="AD222" s="179">
        <v>0</v>
      </c>
      <c r="AE222" s="179">
        <v>0</v>
      </c>
      <c r="AF222" s="179">
        <v>0</v>
      </c>
      <c r="AG222" s="180">
        <v>0</v>
      </c>
      <c r="AH222" s="179">
        <v>0</v>
      </c>
      <c r="AI222" s="25">
        <v>0</v>
      </c>
      <c r="AK222" s="25">
        <v>0</v>
      </c>
      <c r="AL222" s="25">
        <v>0</v>
      </c>
      <c r="AM222" s="25">
        <v>0.39500000000000002</v>
      </c>
      <c r="AN222" s="25">
        <v>4.9968100000000001E-2</v>
      </c>
      <c r="AO222" s="25">
        <v>0</v>
      </c>
      <c r="AP222" s="25">
        <v>0</v>
      </c>
      <c r="AQ222" s="25">
        <v>-0.19</v>
      </c>
      <c r="AS222" s="25">
        <v>0</v>
      </c>
      <c r="AT222" s="25">
        <v>0</v>
      </c>
      <c r="AU222" s="25">
        <v>0.29499999999999998</v>
      </c>
      <c r="AV222" s="25">
        <v>0</v>
      </c>
      <c r="AW222" s="25">
        <v>0</v>
      </c>
      <c r="AY222" s="25">
        <v>0</v>
      </c>
      <c r="BA222" s="25">
        <v>0</v>
      </c>
      <c r="BB222" s="25">
        <v>0</v>
      </c>
      <c r="BD222" s="25">
        <v>1.4968100000000002E-2</v>
      </c>
      <c r="BE222" s="25">
        <v>0</v>
      </c>
      <c r="BF222" s="25">
        <v>-0.17</v>
      </c>
      <c r="BJ222" s="25">
        <v>0.28999999999999998</v>
      </c>
    </row>
    <row r="223" spans="1:62" x14ac:dyDescent="0.25">
      <c r="A223" s="26"/>
      <c r="B223" s="26">
        <v>4.2149999999999999</v>
      </c>
      <c r="C223" s="145">
        <v>43374</v>
      </c>
      <c r="D223" s="26">
        <v>3.7925</v>
      </c>
      <c r="E223" s="26">
        <v>0.15</v>
      </c>
      <c r="F223" s="26">
        <v>7.0375789997043012E-2</v>
      </c>
      <c r="V223" s="25">
        <v>0</v>
      </c>
      <c r="W223" s="179">
        <v>0.1875</v>
      </c>
      <c r="X223" s="179">
        <v>0.215</v>
      </c>
      <c r="Y223" s="179">
        <v>0</v>
      </c>
      <c r="Z223" s="179">
        <v>-1.175E-2</v>
      </c>
      <c r="AA223" s="179">
        <v>-1.5E-3</v>
      </c>
      <c r="AB223" s="179">
        <v>-1.6500000000000001E-2</v>
      </c>
      <c r="AC223" s="179">
        <v>0</v>
      </c>
      <c r="AD223" s="179">
        <v>0</v>
      </c>
      <c r="AE223" s="179">
        <v>0</v>
      </c>
      <c r="AF223" s="179">
        <v>0</v>
      </c>
      <c r="AG223" s="180">
        <v>0</v>
      </c>
      <c r="AH223" s="179">
        <v>0</v>
      </c>
      <c r="AI223" s="25">
        <v>0</v>
      </c>
      <c r="AK223" s="25">
        <v>0</v>
      </c>
      <c r="AL223" s="25">
        <v>0</v>
      </c>
      <c r="AM223" s="25">
        <v>0.46100000000000002</v>
      </c>
      <c r="AN223" s="25">
        <v>4.9968100000000001E-2</v>
      </c>
      <c r="AO223" s="25">
        <v>0</v>
      </c>
      <c r="AP223" s="25">
        <v>0</v>
      </c>
      <c r="AQ223" s="25">
        <v>-0.19</v>
      </c>
      <c r="AS223" s="25">
        <v>0</v>
      </c>
      <c r="AT223" s="25">
        <v>0</v>
      </c>
      <c r="AU223" s="25">
        <v>0.29499999999999998</v>
      </c>
      <c r="AV223" s="25">
        <v>0</v>
      </c>
      <c r="AW223" s="25">
        <v>0</v>
      </c>
      <c r="AY223" s="25">
        <v>0</v>
      </c>
      <c r="BA223" s="25">
        <v>0</v>
      </c>
      <c r="BB223" s="25">
        <v>0</v>
      </c>
      <c r="BD223" s="25">
        <v>1.4968100000000002E-2</v>
      </c>
      <c r="BE223" s="25">
        <v>0</v>
      </c>
      <c r="BF223" s="25">
        <v>-0.17</v>
      </c>
      <c r="BJ223" s="25">
        <v>0.36249999999999999</v>
      </c>
    </row>
    <row r="224" spans="1:62" x14ac:dyDescent="0.25">
      <c r="A224" s="26"/>
      <c r="B224" s="26">
        <v>4.1900000000000004</v>
      </c>
      <c r="C224" s="145">
        <v>43405</v>
      </c>
      <c r="D224" s="26">
        <v>3.8094999999999999</v>
      </c>
      <c r="E224" s="26">
        <v>0.15</v>
      </c>
      <c r="F224" s="26">
        <v>7.0377954407123022E-2</v>
      </c>
      <c r="V224" s="25">
        <v>0</v>
      </c>
      <c r="W224" s="179">
        <v>0.27</v>
      </c>
      <c r="X224" s="179">
        <v>0.28749999999999998</v>
      </c>
      <c r="Y224" s="179">
        <v>0</v>
      </c>
      <c r="Z224" s="179">
        <v>-2.5000000000000001E-2</v>
      </c>
      <c r="AA224" s="179">
        <v>4.9999999999999697E-4</v>
      </c>
      <c r="AB224" s="179">
        <v>-1.5500000000000002E-2</v>
      </c>
      <c r="AC224" s="179">
        <v>0</v>
      </c>
      <c r="AD224" s="179">
        <v>0</v>
      </c>
      <c r="AE224" s="179">
        <v>0</v>
      </c>
      <c r="AF224" s="179">
        <v>0</v>
      </c>
      <c r="AG224" s="180">
        <v>0</v>
      </c>
      <c r="AH224" s="179">
        <v>0</v>
      </c>
      <c r="AI224" s="25">
        <v>0</v>
      </c>
      <c r="AK224" s="25">
        <v>0</v>
      </c>
      <c r="AL224" s="25">
        <v>0</v>
      </c>
      <c r="AM224" s="25">
        <v>0.76749999999999996</v>
      </c>
      <c r="AN224" s="25">
        <v>-2.9988700000000004E-2</v>
      </c>
      <c r="AO224" s="25">
        <v>0</v>
      </c>
      <c r="AP224" s="25">
        <v>0</v>
      </c>
      <c r="AQ224" s="25">
        <v>-0.19</v>
      </c>
      <c r="AS224" s="25">
        <v>0</v>
      </c>
      <c r="AT224" s="25">
        <v>0</v>
      </c>
      <c r="AU224" s="25">
        <v>0.12</v>
      </c>
      <c r="AV224" s="25">
        <v>0</v>
      </c>
      <c r="AW224" s="25">
        <v>0</v>
      </c>
      <c r="AY224" s="25">
        <v>0</v>
      </c>
      <c r="BA224" s="25">
        <v>0</v>
      </c>
      <c r="BB224" s="25">
        <v>0</v>
      </c>
      <c r="BD224" s="25">
        <v>-6.498870000000001E-2</v>
      </c>
      <c r="BE224" s="25">
        <v>0</v>
      </c>
      <c r="BF224" s="25">
        <v>-0.17</v>
      </c>
      <c r="BJ224" s="25">
        <v>0.46500000000000002</v>
      </c>
    </row>
    <row r="225" spans="1:62" x14ac:dyDescent="0.25">
      <c r="A225" s="26"/>
      <c r="B225" s="26">
        <v>4.1930000000000005</v>
      </c>
      <c r="C225" s="145">
        <v>43435</v>
      </c>
      <c r="D225" s="26">
        <v>3.8465000000000003</v>
      </c>
      <c r="E225" s="26">
        <v>0.15</v>
      </c>
      <c r="F225" s="26">
        <v>7.0380048997524022E-2</v>
      </c>
      <c r="V225" s="25">
        <v>0</v>
      </c>
      <c r="W225" s="179">
        <v>0.30499999999999999</v>
      </c>
      <c r="X225" s="179">
        <v>0.33750000000000002</v>
      </c>
      <c r="Y225" s="179">
        <v>0</v>
      </c>
      <c r="Z225" s="179">
        <v>-1.7500000000000002E-2</v>
      </c>
      <c r="AA225" s="179">
        <v>4.9999999999999697E-4</v>
      </c>
      <c r="AB225" s="179">
        <v>-1.5500000000000002E-2</v>
      </c>
      <c r="AC225" s="179">
        <v>0</v>
      </c>
      <c r="AD225" s="179">
        <v>0</v>
      </c>
      <c r="AE225" s="179">
        <v>0</v>
      </c>
      <c r="AF225" s="179">
        <v>0</v>
      </c>
      <c r="AG225" s="180">
        <v>0</v>
      </c>
      <c r="AH225" s="179">
        <v>0</v>
      </c>
      <c r="AI225" s="25">
        <v>0</v>
      </c>
      <c r="AK225" s="25">
        <v>0</v>
      </c>
      <c r="AL225" s="25">
        <v>0</v>
      </c>
      <c r="AM225" s="25">
        <v>1.19</v>
      </c>
      <c r="AN225" s="25">
        <v>-4.4951900000000003E-2</v>
      </c>
      <c r="AO225" s="25">
        <v>0</v>
      </c>
      <c r="AP225" s="25">
        <v>0</v>
      </c>
      <c r="AQ225" s="25">
        <v>-0.19</v>
      </c>
      <c r="AS225" s="25">
        <v>0</v>
      </c>
      <c r="AT225" s="25">
        <v>0</v>
      </c>
      <c r="AU225" s="25">
        <v>0.12</v>
      </c>
      <c r="AV225" s="25">
        <v>0</v>
      </c>
      <c r="AW225" s="25">
        <v>0</v>
      </c>
      <c r="AY225" s="25">
        <v>0</v>
      </c>
      <c r="BA225" s="25">
        <v>0</v>
      </c>
      <c r="BB225" s="25">
        <v>0</v>
      </c>
      <c r="BD225" s="25">
        <v>-7.995190000000002E-2</v>
      </c>
      <c r="BE225" s="25">
        <v>0</v>
      </c>
      <c r="BF225" s="25">
        <v>-0.17</v>
      </c>
      <c r="BJ225" s="25">
        <v>0.8</v>
      </c>
    </row>
    <row r="226" spans="1:62" x14ac:dyDescent="0.25">
      <c r="A226" s="26"/>
      <c r="B226" s="26">
        <v>4.2300000000000004</v>
      </c>
      <c r="C226" s="145">
        <v>43466</v>
      </c>
      <c r="D226" s="26">
        <v>4.1790000000000003</v>
      </c>
      <c r="E226" s="26">
        <v>0.15</v>
      </c>
      <c r="F226" s="26">
        <v>7.0382213407607003E-2</v>
      </c>
      <c r="V226" s="25">
        <v>0</v>
      </c>
      <c r="W226" s="179">
        <v>0.30499999999999999</v>
      </c>
      <c r="X226" s="179">
        <v>0.4375</v>
      </c>
      <c r="Y226" s="179">
        <v>0</v>
      </c>
      <c r="Z226" s="179">
        <v>-1.7500000000000002E-2</v>
      </c>
      <c r="AA226" s="179">
        <v>4.9999999999999697E-4</v>
      </c>
      <c r="AB226" s="179">
        <v>-1.5500000000000002E-2</v>
      </c>
      <c r="AC226" s="179">
        <v>0</v>
      </c>
      <c r="AD226" s="179">
        <v>0</v>
      </c>
      <c r="AE226" s="179">
        <v>0</v>
      </c>
      <c r="AF226" s="179">
        <v>0</v>
      </c>
      <c r="AG226" s="180">
        <v>0</v>
      </c>
      <c r="AH226" s="179">
        <v>0</v>
      </c>
      <c r="AI226" s="25">
        <v>0</v>
      </c>
      <c r="AK226" s="25">
        <v>0</v>
      </c>
      <c r="AL226" s="25">
        <v>0</v>
      </c>
      <c r="AM226" s="25">
        <v>1.5249999999999999</v>
      </c>
      <c r="AN226" s="25">
        <v>-3.99551E-2</v>
      </c>
      <c r="AO226" s="25">
        <v>0</v>
      </c>
      <c r="AP226" s="25">
        <v>0</v>
      </c>
      <c r="AQ226" s="25">
        <v>-0.19</v>
      </c>
      <c r="AS226" s="25">
        <v>0</v>
      </c>
      <c r="AT226" s="25">
        <v>0</v>
      </c>
      <c r="AU226" s="25">
        <v>0.12</v>
      </c>
      <c r="AV226" s="25">
        <v>0</v>
      </c>
      <c r="AW226" s="25">
        <v>0</v>
      </c>
      <c r="AY226" s="25">
        <v>0</v>
      </c>
      <c r="BA226" s="25">
        <v>0</v>
      </c>
      <c r="BB226" s="25">
        <v>0</v>
      </c>
      <c r="BD226" s="25">
        <v>-7.4955100000000011E-2</v>
      </c>
      <c r="BE226" s="25">
        <v>0</v>
      </c>
      <c r="BF226" s="25">
        <v>-0.17</v>
      </c>
      <c r="BJ226" s="25">
        <v>0.97499999999999998</v>
      </c>
    </row>
    <row r="227" spans="1:62" x14ac:dyDescent="0.25">
      <c r="A227" s="26"/>
      <c r="B227" s="26">
        <v>4.2940000000000005</v>
      </c>
      <c r="C227" s="145">
        <v>43497</v>
      </c>
      <c r="D227" s="26">
        <v>4.101</v>
      </c>
      <c r="E227" s="26">
        <v>0.15</v>
      </c>
      <c r="F227" s="26">
        <v>7.0384377817690011E-2</v>
      </c>
      <c r="V227" s="25">
        <v>0</v>
      </c>
      <c r="W227" s="179">
        <v>0.30499999999999999</v>
      </c>
      <c r="X227" s="179">
        <v>0.435</v>
      </c>
      <c r="Y227" s="179">
        <v>0</v>
      </c>
      <c r="Z227" s="179">
        <v>-1.7500000000000002E-2</v>
      </c>
      <c r="AA227" s="179">
        <v>4.9999999999999697E-4</v>
      </c>
      <c r="AB227" s="179">
        <v>-1.5500000000000002E-2</v>
      </c>
      <c r="AC227" s="179">
        <v>0</v>
      </c>
      <c r="AD227" s="179">
        <v>0</v>
      </c>
      <c r="AE227" s="179">
        <v>0</v>
      </c>
      <c r="AF227" s="179">
        <v>0</v>
      </c>
      <c r="AG227" s="180">
        <v>0</v>
      </c>
      <c r="AH227" s="179">
        <v>0</v>
      </c>
      <c r="AI227" s="25">
        <v>0</v>
      </c>
      <c r="AK227" s="25">
        <v>0</v>
      </c>
      <c r="AL227" s="25">
        <v>0</v>
      </c>
      <c r="AM227" s="25">
        <v>1.4550000000000001</v>
      </c>
      <c r="AN227" s="25">
        <v>-1.4957400000000001E-2</v>
      </c>
      <c r="AO227" s="25">
        <v>0</v>
      </c>
      <c r="AP227" s="25">
        <v>0</v>
      </c>
      <c r="AQ227" s="25">
        <v>0</v>
      </c>
      <c r="AS227" s="25">
        <v>0</v>
      </c>
      <c r="AT227" s="25">
        <v>0</v>
      </c>
      <c r="AU227" s="25">
        <v>0.31</v>
      </c>
      <c r="AV227" s="25">
        <v>0</v>
      </c>
      <c r="AW227" s="25">
        <v>0</v>
      </c>
      <c r="AY227" s="25">
        <v>0</v>
      </c>
      <c r="BA227" s="25">
        <v>0</v>
      </c>
      <c r="BB227" s="25">
        <v>0</v>
      </c>
      <c r="BD227" s="25">
        <v>-4.9957400000000006E-2</v>
      </c>
      <c r="BE227" s="25">
        <v>0</v>
      </c>
      <c r="BF227" s="25">
        <v>-0.17</v>
      </c>
      <c r="BJ227" s="25">
        <v>0.97499999999999998</v>
      </c>
    </row>
    <row r="228" spans="1:62" x14ac:dyDescent="0.25">
      <c r="A228" s="26"/>
      <c r="B228" s="26">
        <v>4.5599999999999996</v>
      </c>
      <c r="C228" s="145">
        <v>43525</v>
      </c>
      <c r="D228" s="26">
        <v>3.9790000000000005</v>
      </c>
      <c r="E228" s="26">
        <v>0.15</v>
      </c>
      <c r="F228" s="26">
        <v>7.0386332768735002E-2</v>
      </c>
      <c r="V228" s="25">
        <v>0</v>
      </c>
      <c r="W228" s="179">
        <v>0.26500000000000001</v>
      </c>
      <c r="X228" s="179">
        <v>0.30249999999999999</v>
      </c>
      <c r="Y228" s="179">
        <v>0</v>
      </c>
      <c r="Z228" s="179">
        <v>-1.7500000000000002E-2</v>
      </c>
      <c r="AA228" s="179">
        <v>1.8000000000000002E-2</v>
      </c>
      <c r="AB228" s="179">
        <v>3.0000000000000001E-3</v>
      </c>
      <c r="AC228" s="179">
        <v>0</v>
      </c>
      <c r="AD228" s="179">
        <v>0</v>
      </c>
      <c r="AE228" s="179">
        <v>0</v>
      </c>
      <c r="AF228" s="179">
        <v>0</v>
      </c>
      <c r="AG228" s="180">
        <v>0</v>
      </c>
      <c r="AH228" s="179">
        <v>0</v>
      </c>
      <c r="AI228" s="25">
        <v>0</v>
      </c>
      <c r="AK228" s="25">
        <v>0</v>
      </c>
      <c r="AL228" s="25">
        <v>0</v>
      </c>
      <c r="AM228" s="25">
        <v>0.83499999999999996</v>
      </c>
      <c r="AN228" s="25">
        <v>-4.9574000000000007E-3</v>
      </c>
      <c r="AO228" s="25">
        <v>0</v>
      </c>
      <c r="AP228" s="25">
        <v>0</v>
      </c>
      <c r="AQ228" s="25">
        <v>0</v>
      </c>
      <c r="AS228" s="25">
        <v>0</v>
      </c>
      <c r="AT228" s="25">
        <v>0</v>
      </c>
      <c r="AU228" s="25">
        <v>0.31</v>
      </c>
      <c r="AV228" s="25">
        <v>0</v>
      </c>
      <c r="AW228" s="25">
        <v>0</v>
      </c>
      <c r="AY228" s="25">
        <v>0</v>
      </c>
      <c r="BA228" s="25">
        <v>0</v>
      </c>
      <c r="BB228" s="25">
        <v>0</v>
      </c>
      <c r="BD228" s="25">
        <v>-3.9957400000000004E-2</v>
      </c>
      <c r="BE228" s="25">
        <v>0</v>
      </c>
      <c r="BF228" s="25">
        <v>-0.17</v>
      </c>
      <c r="BJ228" s="25">
        <v>0.60750000000000004</v>
      </c>
    </row>
    <row r="229" spans="1:62" x14ac:dyDescent="0.25">
      <c r="A229" s="26"/>
      <c r="B229" s="26">
        <v>4.4969999999999999</v>
      </c>
      <c r="C229" s="145">
        <v>43556</v>
      </c>
      <c r="D229" s="26">
        <v>3.8490000000000006</v>
      </c>
      <c r="E229" s="26">
        <v>0.15</v>
      </c>
      <c r="F229" s="26">
        <v>7.0388497178822021E-2</v>
      </c>
      <c r="V229" s="25">
        <v>0</v>
      </c>
      <c r="W229" s="179">
        <v>0.19500000000000001</v>
      </c>
      <c r="X229" s="179">
        <v>0.25</v>
      </c>
      <c r="Y229" s="179">
        <v>0</v>
      </c>
      <c r="Z229" s="179">
        <v>-0.01</v>
      </c>
      <c r="AA229" s="179">
        <v>1.8000000000000002E-2</v>
      </c>
      <c r="AB229" s="179">
        <v>3.0000000000000001E-3</v>
      </c>
      <c r="AC229" s="179">
        <v>0</v>
      </c>
      <c r="AD229" s="179">
        <v>0</v>
      </c>
      <c r="AE229" s="179">
        <v>0</v>
      </c>
      <c r="AF229" s="179">
        <v>0</v>
      </c>
      <c r="AG229" s="180">
        <v>0</v>
      </c>
      <c r="AH229" s="179">
        <v>0</v>
      </c>
      <c r="AI229" s="25">
        <v>0</v>
      </c>
      <c r="AK229" s="25">
        <v>0</v>
      </c>
      <c r="AL229" s="25">
        <v>0</v>
      </c>
      <c r="AM229" s="25">
        <v>0.45</v>
      </c>
      <c r="AN229" s="25">
        <v>5.49766E-2</v>
      </c>
      <c r="AO229" s="25">
        <v>0</v>
      </c>
      <c r="AP229" s="25">
        <v>0</v>
      </c>
      <c r="AQ229" s="25">
        <v>0</v>
      </c>
      <c r="AS229" s="25">
        <v>0</v>
      </c>
      <c r="AT229" s="25">
        <v>0</v>
      </c>
      <c r="AU229" s="25">
        <v>0.3775</v>
      </c>
      <c r="AV229" s="25">
        <v>0</v>
      </c>
      <c r="AW229" s="25">
        <v>0</v>
      </c>
      <c r="AY229" s="25">
        <v>0</v>
      </c>
      <c r="BA229" s="25">
        <v>0</v>
      </c>
      <c r="BB229" s="25">
        <v>0</v>
      </c>
      <c r="BD229" s="25">
        <v>1.9976600000000004E-2</v>
      </c>
      <c r="BE229" s="25">
        <v>0</v>
      </c>
      <c r="BF229" s="25">
        <v>-0.17</v>
      </c>
      <c r="BJ229" s="25">
        <v>0.35499999999999998</v>
      </c>
    </row>
    <row r="230" spans="1:62" x14ac:dyDescent="0.25">
      <c r="A230" s="26"/>
      <c r="B230" s="26">
        <v>4.3869999999999996</v>
      </c>
      <c r="C230" s="145">
        <v>43586</v>
      </c>
      <c r="D230" s="26">
        <v>3.85</v>
      </c>
      <c r="E230" s="26">
        <v>0.15</v>
      </c>
      <c r="F230" s="26">
        <v>7.0390591769231001E-2</v>
      </c>
      <c r="V230" s="25">
        <v>0</v>
      </c>
      <c r="W230" s="179">
        <v>0.1825</v>
      </c>
      <c r="X230" s="179">
        <v>0.20250000000000001</v>
      </c>
      <c r="Y230" s="179">
        <v>0</v>
      </c>
      <c r="Z230" s="179">
        <v>-1.0249999999999999E-2</v>
      </c>
      <c r="AA230" s="179">
        <v>1.7750000000000002E-2</v>
      </c>
      <c r="AB230" s="179">
        <v>2.7500000000000003E-3</v>
      </c>
      <c r="AC230" s="179">
        <v>0</v>
      </c>
      <c r="AD230" s="179">
        <v>0</v>
      </c>
      <c r="AE230" s="179">
        <v>0</v>
      </c>
      <c r="AF230" s="179">
        <v>0</v>
      </c>
      <c r="AG230" s="180">
        <v>0</v>
      </c>
      <c r="AH230" s="179">
        <v>0</v>
      </c>
      <c r="AI230" s="25">
        <v>0</v>
      </c>
      <c r="AK230" s="25">
        <v>0</v>
      </c>
      <c r="AL230" s="25">
        <v>0</v>
      </c>
      <c r="AM230" s="25">
        <v>0.40500000000000003</v>
      </c>
      <c r="AN230" s="25">
        <v>5.4968100000000013E-2</v>
      </c>
      <c r="AO230" s="25">
        <v>0</v>
      </c>
      <c r="AP230" s="25">
        <v>0</v>
      </c>
      <c r="AQ230" s="25">
        <v>0</v>
      </c>
      <c r="AS230" s="25">
        <v>0</v>
      </c>
      <c r="AT230" s="25">
        <v>0</v>
      </c>
      <c r="AU230" s="25">
        <v>0.3775</v>
      </c>
      <c r="AV230" s="25">
        <v>0</v>
      </c>
      <c r="AW230" s="25">
        <v>0</v>
      </c>
      <c r="AY230" s="25">
        <v>0</v>
      </c>
      <c r="BA230" s="25">
        <v>0</v>
      </c>
      <c r="BB230" s="25">
        <v>0</v>
      </c>
      <c r="BD230" s="25">
        <v>1.9968100000000006E-2</v>
      </c>
      <c r="BE230" s="25">
        <v>0</v>
      </c>
      <c r="BF230" s="25">
        <v>-0.17</v>
      </c>
      <c r="BJ230" s="25">
        <v>0.28749999999999998</v>
      </c>
    </row>
    <row r="231" spans="1:62" x14ac:dyDescent="0.25">
      <c r="A231" s="26"/>
      <c r="B231" s="26">
        <v>4.28</v>
      </c>
      <c r="C231" s="145">
        <v>43617</v>
      </c>
      <c r="D231" s="26">
        <v>3.8860000000000001</v>
      </c>
      <c r="E231" s="26">
        <v>0.15</v>
      </c>
      <c r="F231" s="26">
        <v>7.0392756179321017E-2</v>
      </c>
      <c r="V231" s="25">
        <v>0</v>
      </c>
      <c r="W231" s="179">
        <v>0.1825</v>
      </c>
      <c r="X231" s="179">
        <v>0.20250000000000001</v>
      </c>
      <c r="Y231" s="179">
        <v>0</v>
      </c>
      <c r="Z231" s="179">
        <v>-1.0249999999999999E-2</v>
      </c>
      <c r="AA231" s="179">
        <v>1.7750000000000002E-2</v>
      </c>
      <c r="AB231" s="179">
        <v>2.7500000000000003E-3</v>
      </c>
      <c r="AC231" s="179">
        <v>0</v>
      </c>
      <c r="AD231" s="179">
        <v>0</v>
      </c>
      <c r="AE231" s="179">
        <v>0</v>
      </c>
      <c r="AF231" s="179">
        <v>0</v>
      </c>
      <c r="AG231" s="180">
        <v>0</v>
      </c>
      <c r="AH231" s="179">
        <v>0</v>
      </c>
      <c r="AI231" s="25">
        <v>0</v>
      </c>
      <c r="AK231" s="25">
        <v>0</v>
      </c>
      <c r="AL231" s="25">
        <v>0</v>
      </c>
      <c r="AM231" s="25">
        <v>0.39500000000000002</v>
      </c>
      <c r="AN231" s="25">
        <v>5.4968100000000013E-2</v>
      </c>
      <c r="AO231" s="25">
        <v>0</v>
      </c>
      <c r="AP231" s="25">
        <v>0</v>
      </c>
      <c r="AQ231" s="25">
        <v>0</v>
      </c>
      <c r="AS231" s="25">
        <v>0</v>
      </c>
      <c r="AT231" s="25">
        <v>0</v>
      </c>
      <c r="AU231" s="25">
        <v>0.3775</v>
      </c>
      <c r="AV231" s="25">
        <v>0</v>
      </c>
      <c r="AW231" s="25">
        <v>0</v>
      </c>
      <c r="AY231" s="25">
        <v>0</v>
      </c>
      <c r="BA231" s="25">
        <v>0</v>
      </c>
      <c r="BB231" s="25">
        <v>0</v>
      </c>
      <c r="BD231" s="25">
        <v>1.9968100000000006E-2</v>
      </c>
      <c r="BE231" s="25">
        <v>0</v>
      </c>
      <c r="BF231" s="25">
        <v>-0.17</v>
      </c>
      <c r="BJ231" s="25">
        <v>0.28749999999999998</v>
      </c>
    </row>
    <row r="232" spans="1:62" x14ac:dyDescent="0.25">
      <c r="A232" s="26"/>
      <c r="B232" s="26">
        <v>4.2679999999999998</v>
      </c>
      <c r="C232" s="145">
        <v>43647</v>
      </c>
      <c r="D232" s="26">
        <v>3.9080000000000004</v>
      </c>
      <c r="E232" s="26">
        <v>0.15</v>
      </c>
      <c r="F232" s="26">
        <v>7.0394850769732023E-2</v>
      </c>
      <c r="V232" s="25">
        <v>0</v>
      </c>
      <c r="W232" s="179">
        <v>0.1825</v>
      </c>
      <c r="X232" s="179">
        <v>0.215</v>
      </c>
      <c r="Y232" s="179">
        <v>0</v>
      </c>
      <c r="Z232" s="179">
        <v>-1.0249999999999999E-2</v>
      </c>
      <c r="AA232" s="179">
        <v>1.7750000000000002E-2</v>
      </c>
      <c r="AB232" s="179">
        <v>2.7500000000000003E-3</v>
      </c>
      <c r="AC232" s="179">
        <v>0</v>
      </c>
      <c r="AD232" s="179">
        <v>0</v>
      </c>
      <c r="AE232" s="179">
        <v>0</v>
      </c>
      <c r="AF232" s="179">
        <v>0</v>
      </c>
      <c r="AG232" s="180">
        <v>0</v>
      </c>
      <c r="AH232" s="179">
        <v>0</v>
      </c>
      <c r="AI232" s="25">
        <v>0</v>
      </c>
      <c r="AK232" s="25">
        <v>0</v>
      </c>
      <c r="AL232" s="25">
        <v>0</v>
      </c>
      <c r="AM232" s="25">
        <v>0.43</v>
      </c>
      <c r="AN232" s="25">
        <v>5.4968100000000013E-2</v>
      </c>
      <c r="AO232" s="25">
        <v>0</v>
      </c>
      <c r="AP232" s="25">
        <v>0</v>
      </c>
      <c r="AQ232" s="25">
        <v>0</v>
      </c>
      <c r="AS232" s="25">
        <v>0</v>
      </c>
      <c r="AT232" s="25">
        <v>0</v>
      </c>
      <c r="AU232" s="25">
        <v>0.3775</v>
      </c>
      <c r="AV232" s="25">
        <v>0</v>
      </c>
      <c r="AW232" s="25">
        <v>0</v>
      </c>
      <c r="AY232" s="25">
        <v>0</v>
      </c>
      <c r="BA232" s="25">
        <v>0</v>
      </c>
      <c r="BB232" s="25">
        <v>0</v>
      </c>
      <c r="BD232" s="25">
        <v>1.9968100000000006E-2</v>
      </c>
      <c r="BE232" s="25">
        <v>0</v>
      </c>
      <c r="BF232" s="25">
        <v>-0.17</v>
      </c>
      <c r="BJ232" s="25">
        <v>0.3</v>
      </c>
    </row>
    <row r="233" spans="1:62" x14ac:dyDescent="0.25">
      <c r="A233" s="26"/>
      <c r="B233" s="26">
        <v>4.2640000000000002</v>
      </c>
      <c r="C233" s="145">
        <v>43678</v>
      </c>
      <c r="D233" s="26">
        <v>3.9290000000000003</v>
      </c>
      <c r="E233" s="26">
        <v>0.15</v>
      </c>
      <c r="F233" s="26">
        <v>7.0397015179825009E-2</v>
      </c>
      <c r="V233" s="25">
        <v>0</v>
      </c>
      <c r="W233" s="179">
        <v>0.1825</v>
      </c>
      <c r="X233" s="179">
        <v>0.215</v>
      </c>
      <c r="Y233" s="179">
        <v>0</v>
      </c>
      <c r="Z233" s="179">
        <v>-1.0249999999999999E-2</v>
      </c>
      <c r="AA233" s="179">
        <v>1.7750000000000002E-2</v>
      </c>
      <c r="AB233" s="179">
        <v>2.7500000000000003E-3</v>
      </c>
      <c r="AC233" s="179">
        <v>0</v>
      </c>
      <c r="AD233" s="179">
        <v>0</v>
      </c>
      <c r="AE233" s="179">
        <v>0</v>
      </c>
      <c r="AF233" s="179">
        <v>0</v>
      </c>
      <c r="AG233" s="180">
        <v>0</v>
      </c>
      <c r="AH233" s="179">
        <v>0</v>
      </c>
      <c r="AI233" s="25">
        <v>0</v>
      </c>
      <c r="AK233" s="25">
        <v>0</v>
      </c>
      <c r="AL233" s="25">
        <v>0</v>
      </c>
      <c r="AM233" s="25">
        <v>0.495</v>
      </c>
      <c r="AN233" s="25">
        <v>5.4968100000000013E-2</v>
      </c>
      <c r="AO233" s="25">
        <v>0</v>
      </c>
      <c r="AP233" s="25">
        <v>0</v>
      </c>
      <c r="AQ233" s="25">
        <v>0</v>
      </c>
      <c r="AS233" s="25">
        <v>0</v>
      </c>
      <c r="AT233" s="25">
        <v>0</v>
      </c>
      <c r="AU233" s="25">
        <v>0.3775</v>
      </c>
      <c r="AV233" s="25">
        <v>0</v>
      </c>
      <c r="AW233" s="25">
        <v>0</v>
      </c>
      <c r="AY233" s="25">
        <v>0</v>
      </c>
      <c r="BA233" s="25">
        <v>0</v>
      </c>
      <c r="BB233" s="25">
        <v>0</v>
      </c>
      <c r="BD233" s="25">
        <v>1.9968100000000006E-2</v>
      </c>
      <c r="BE233" s="25">
        <v>0</v>
      </c>
      <c r="BF233" s="25">
        <v>-0.17</v>
      </c>
      <c r="BJ233" s="25">
        <v>0.3</v>
      </c>
    </row>
    <row r="234" spans="1:62" x14ac:dyDescent="0.25">
      <c r="A234" s="26"/>
      <c r="B234" s="26">
        <v>4.3290000000000006</v>
      </c>
      <c r="C234" s="145">
        <v>43709</v>
      </c>
      <c r="D234" s="26">
        <v>3.903</v>
      </c>
      <c r="E234" s="26">
        <v>0.15</v>
      </c>
      <c r="F234" s="26">
        <v>7.0399179589919023E-2</v>
      </c>
      <c r="V234" s="25">
        <v>0</v>
      </c>
      <c r="W234" s="179">
        <v>0.1825</v>
      </c>
      <c r="X234" s="179">
        <v>0.19500000000000001</v>
      </c>
      <c r="Y234" s="179">
        <v>0</v>
      </c>
      <c r="Z234" s="179">
        <v>-1.0249999999999999E-2</v>
      </c>
      <c r="AA234" s="179">
        <v>1.7750000000000002E-2</v>
      </c>
      <c r="AB234" s="179">
        <v>2.7500000000000003E-3</v>
      </c>
      <c r="AC234" s="179">
        <v>0</v>
      </c>
      <c r="AD234" s="179">
        <v>0</v>
      </c>
      <c r="AE234" s="179">
        <v>0</v>
      </c>
      <c r="AF234" s="179">
        <v>0</v>
      </c>
      <c r="AG234" s="180">
        <v>0</v>
      </c>
      <c r="AH234" s="179">
        <v>0</v>
      </c>
      <c r="AI234" s="25">
        <v>0</v>
      </c>
      <c r="AK234" s="25">
        <v>0</v>
      </c>
      <c r="AL234" s="25">
        <v>0</v>
      </c>
      <c r="AM234" s="25">
        <v>0.39500000000000002</v>
      </c>
      <c r="AN234" s="25">
        <v>5.4968100000000013E-2</v>
      </c>
      <c r="AO234" s="25">
        <v>0</v>
      </c>
      <c r="AP234" s="25">
        <v>0</v>
      </c>
      <c r="AQ234" s="25">
        <v>0</v>
      </c>
      <c r="AS234" s="25">
        <v>0</v>
      </c>
      <c r="AT234" s="25">
        <v>0</v>
      </c>
      <c r="AU234" s="25">
        <v>0.3775</v>
      </c>
      <c r="AV234" s="25">
        <v>0</v>
      </c>
      <c r="AW234" s="25">
        <v>0</v>
      </c>
      <c r="AY234" s="25">
        <v>0</v>
      </c>
      <c r="BA234" s="25">
        <v>0</v>
      </c>
      <c r="BB234" s="25">
        <v>0</v>
      </c>
      <c r="BD234" s="25">
        <v>1.9968100000000006E-2</v>
      </c>
      <c r="BE234" s="25">
        <v>0</v>
      </c>
      <c r="BF234" s="25">
        <v>-0.17</v>
      </c>
      <c r="BJ234" s="25">
        <v>0.28999999999999998</v>
      </c>
    </row>
    <row r="235" spans="1:62" x14ac:dyDescent="0.25">
      <c r="A235" s="26"/>
      <c r="B235" s="26">
        <v>4.3240000000000007</v>
      </c>
      <c r="C235" s="145">
        <v>43739</v>
      </c>
      <c r="D235" s="26">
        <v>3.8919999999999999</v>
      </c>
      <c r="E235" s="26">
        <v>0.15</v>
      </c>
      <c r="F235" s="26">
        <v>7.0401274180335011E-2</v>
      </c>
      <c r="V235" s="25">
        <v>0</v>
      </c>
      <c r="W235" s="179">
        <v>0.1875</v>
      </c>
      <c r="X235" s="179">
        <v>0.215</v>
      </c>
      <c r="Y235" s="179">
        <v>0</v>
      </c>
      <c r="Z235" s="179">
        <v>-1.0249999999999999E-2</v>
      </c>
      <c r="AA235" s="179">
        <v>4.9999999999999697E-4</v>
      </c>
      <c r="AB235" s="179">
        <v>-1.5500000000000002E-2</v>
      </c>
      <c r="AC235" s="179">
        <v>0</v>
      </c>
      <c r="AD235" s="179">
        <v>0</v>
      </c>
      <c r="AE235" s="179">
        <v>0</v>
      </c>
      <c r="AF235" s="179">
        <v>0</v>
      </c>
      <c r="AG235" s="180">
        <v>0</v>
      </c>
      <c r="AH235" s="179">
        <v>0</v>
      </c>
      <c r="AI235" s="25">
        <v>0</v>
      </c>
      <c r="AK235" s="25">
        <v>0</v>
      </c>
      <c r="AL235" s="25">
        <v>0</v>
      </c>
      <c r="AM235" s="25">
        <v>0.46100000000000002</v>
      </c>
      <c r="AN235" s="25">
        <v>5.4968100000000013E-2</v>
      </c>
      <c r="AO235" s="25">
        <v>0</v>
      </c>
      <c r="AP235" s="25">
        <v>0</v>
      </c>
      <c r="AQ235" s="25">
        <v>0</v>
      </c>
      <c r="AS235" s="25">
        <v>0</v>
      </c>
      <c r="AT235" s="25">
        <v>0</v>
      </c>
      <c r="AU235" s="25">
        <v>0.3775</v>
      </c>
      <c r="AV235" s="25">
        <v>0</v>
      </c>
      <c r="AW235" s="25">
        <v>0</v>
      </c>
      <c r="AY235" s="25">
        <v>0</v>
      </c>
      <c r="BA235" s="25">
        <v>0</v>
      </c>
      <c r="BB235" s="25">
        <v>0</v>
      </c>
      <c r="BD235" s="25">
        <v>1.9968100000000006E-2</v>
      </c>
      <c r="BE235" s="25">
        <v>0</v>
      </c>
      <c r="BF235" s="25">
        <v>-0.17</v>
      </c>
      <c r="BJ235" s="25">
        <v>0.36249999999999999</v>
      </c>
    </row>
    <row r="236" spans="1:62" x14ac:dyDescent="0.25">
      <c r="A236" s="26"/>
      <c r="B236" s="26">
        <v>4.298</v>
      </c>
      <c r="C236" s="145">
        <v>43770</v>
      </c>
      <c r="D236" s="26">
        <v>3.9040000000000004</v>
      </c>
      <c r="E236" s="26">
        <v>0.15</v>
      </c>
      <c r="F236" s="26">
        <v>7.0403438590432035E-2</v>
      </c>
      <c r="V236" s="25">
        <v>0</v>
      </c>
      <c r="W236" s="179">
        <v>0.27</v>
      </c>
      <c r="X236" s="179">
        <v>0.28749999999999998</v>
      </c>
      <c r="Y236" s="179">
        <v>0</v>
      </c>
      <c r="Z236" s="179">
        <v>-2.35E-2</v>
      </c>
      <c r="AA236" s="179">
        <v>5.0000000000000315E-4</v>
      </c>
      <c r="AB236" s="179">
        <v>-1.4499999999999999E-2</v>
      </c>
      <c r="AC236" s="179">
        <v>0</v>
      </c>
      <c r="AD236" s="179">
        <v>0</v>
      </c>
      <c r="AE236" s="179">
        <v>0</v>
      </c>
      <c r="AF236" s="179">
        <v>0</v>
      </c>
      <c r="AG236" s="180">
        <v>0</v>
      </c>
      <c r="AH236" s="179">
        <v>0</v>
      </c>
      <c r="AI236" s="25">
        <v>0</v>
      </c>
      <c r="AK236" s="25">
        <v>0</v>
      </c>
      <c r="AL236" s="25">
        <v>0</v>
      </c>
      <c r="AM236" s="25">
        <v>0.76749999999999996</v>
      </c>
      <c r="AN236" s="25">
        <v>-2.4988700000000003E-2</v>
      </c>
      <c r="AO236" s="25">
        <v>0</v>
      </c>
      <c r="AP236" s="25">
        <v>0</v>
      </c>
      <c r="AQ236" s="25">
        <v>0</v>
      </c>
      <c r="AS236" s="25">
        <v>0</v>
      </c>
      <c r="AT236" s="25">
        <v>0</v>
      </c>
      <c r="AU236" s="25">
        <v>0.31</v>
      </c>
      <c r="AV236" s="25">
        <v>0</v>
      </c>
      <c r="AW236" s="25">
        <v>0</v>
      </c>
      <c r="AY236" s="25">
        <v>0</v>
      </c>
      <c r="BA236" s="25">
        <v>0</v>
      </c>
      <c r="BB236" s="25">
        <v>0</v>
      </c>
      <c r="BD236" s="25">
        <v>-5.9988700000000013E-2</v>
      </c>
      <c r="BE236" s="25">
        <v>0</v>
      </c>
      <c r="BF236" s="25">
        <v>-0.17</v>
      </c>
      <c r="BJ236" s="25">
        <v>0.46500000000000002</v>
      </c>
    </row>
    <row r="237" spans="1:62" x14ac:dyDescent="0.25">
      <c r="A237" s="26"/>
      <c r="B237" s="26">
        <v>4.3</v>
      </c>
      <c r="C237" s="145">
        <v>43800</v>
      </c>
      <c r="D237" s="26">
        <v>3.9380000000000002</v>
      </c>
      <c r="E237" s="26">
        <v>0.15</v>
      </c>
      <c r="F237" s="26">
        <v>7.0405533180851021E-2</v>
      </c>
      <c r="V237" s="25">
        <v>0</v>
      </c>
      <c r="W237" s="179">
        <v>0.30499999999999999</v>
      </c>
      <c r="X237" s="179">
        <v>0.33750000000000002</v>
      </c>
      <c r="Y237" s="179">
        <v>0</v>
      </c>
      <c r="Z237" s="179">
        <v>-1.6E-2</v>
      </c>
      <c r="AA237" s="179">
        <v>5.0000000000000315E-4</v>
      </c>
      <c r="AB237" s="179">
        <v>-1.4499999999999999E-2</v>
      </c>
      <c r="AC237" s="179">
        <v>0</v>
      </c>
      <c r="AD237" s="179">
        <v>0</v>
      </c>
      <c r="AE237" s="179">
        <v>0</v>
      </c>
      <c r="AF237" s="179">
        <v>0</v>
      </c>
      <c r="AG237" s="180">
        <v>0</v>
      </c>
      <c r="AH237" s="179">
        <v>0</v>
      </c>
      <c r="AI237" s="25">
        <v>0</v>
      </c>
      <c r="AK237" s="25">
        <v>0</v>
      </c>
      <c r="AL237" s="25">
        <v>0</v>
      </c>
      <c r="AM237" s="25">
        <v>1.19</v>
      </c>
      <c r="AN237" s="25">
        <v>-3.9951899999999999E-2</v>
      </c>
      <c r="AO237" s="25">
        <v>0</v>
      </c>
      <c r="AP237" s="25">
        <v>0</v>
      </c>
      <c r="AQ237" s="25">
        <v>0</v>
      </c>
      <c r="AS237" s="25">
        <v>0</v>
      </c>
      <c r="AT237" s="25">
        <v>0</v>
      </c>
      <c r="AU237" s="25">
        <v>0.31</v>
      </c>
      <c r="AV237" s="25">
        <v>0</v>
      </c>
      <c r="AW237" s="25">
        <v>0</v>
      </c>
      <c r="AY237" s="25">
        <v>0</v>
      </c>
      <c r="BA237" s="25">
        <v>0</v>
      </c>
      <c r="BB237" s="25">
        <v>0</v>
      </c>
      <c r="BD237" s="25">
        <v>-7.4951900000000016E-2</v>
      </c>
      <c r="BE237" s="25">
        <v>0</v>
      </c>
      <c r="BF237" s="25">
        <v>-0.17</v>
      </c>
      <c r="BJ237" s="25">
        <v>0.8</v>
      </c>
    </row>
    <row r="238" spans="1:62" x14ac:dyDescent="0.25">
      <c r="A238" s="26"/>
      <c r="B238" s="26">
        <v>4.3319999999999999</v>
      </c>
      <c r="C238" s="145">
        <v>43831</v>
      </c>
      <c r="D238" s="26">
        <v>4.2709999999999999</v>
      </c>
      <c r="E238" s="26">
        <v>0.15</v>
      </c>
      <c r="F238" s="26">
        <v>7.0407697590952015E-2</v>
      </c>
      <c r="V238" s="25">
        <v>0</v>
      </c>
      <c r="W238" s="179">
        <v>0.30499999999999999</v>
      </c>
      <c r="X238" s="179">
        <v>0.4375</v>
      </c>
      <c r="Y238" s="179">
        <v>0</v>
      </c>
      <c r="Z238" s="179">
        <v>-1.6E-2</v>
      </c>
      <c r="AA238" s="179">
        <v>5.0000000000000315E-4</v>
      </c>
      <c r="AB238" s="179">
        <v>-1.4499999999999999E-2</v>
      </c>
      <c r="AC238" s="179">
        <v>0</v>
      </c>
      <c r="AD238" s="179">
        <v>0</v>
      </c>
      <c r="AE238" s="179">
        <v>0</v>
      </c>
      <c r="AF238" s="179">
        <v>0</v>
      </c>
      <c r="AG238" s="180">
        <v>0</v>
      </c>
      <c r="AH238" s="179">
        <v>0</v>
      </c>
      <c r="AI238" s="25">
        <v>0</v>
      </c>
      <c r="AK238" s="25">
        <v>0</v>
      </c>
      <c r="AL238" s="25">
        <v>0</v>
      </c>
      <c r="AM238" s="25">
        <v>1.5249999999999999</v>
      </c>
      <c r="AN238" s="25">
        <v>-3.4955100000000003E-2</v>
      </c>
      <c r="AO238" s="25">
        <v>0</v>
      </c>
      <c r="AP238" s="25">
        <v>0</v>
      </c>
      <c r="AQ238" s="25">
        <v>0</v>
      </c>
      <c r="AS238" s="25">
        <v>0</v>
      </c>
      <c r="AT238" s="25">
        <v>0</v>
      </c>
      <c r="AU238" s="25">
        <v>0.31</v>
      </c>
      <c r="AV238" s="25">
        <v>0</v>
      </c>
      <c r="AW238" s="25">
        <v>0</v>
      </c>
      <c r="AY238" s="25">
        <v>0</v>
      </c>
      <c r="BA238" s="25">
        <v>0</v>
      </c>
      <c r="BB238" s="25">
        <v>0</v>
      </c>
      <c r="BD238" s="25">
        <v>-6.9955100000000006E-2</v>
      </c>
      <c r="BE238" s="25">
        <v>0</v>
      </c>
      <c r="BF238" s="25">
        <v>-0.17</v>
      </c>
      <c r="BJ238" s="25">
        <v>0.97499999999999998</v>
      </c>
    </row>
    <row r="239" spans="1:62" x14ac:dyDescent="0.25">
      <c r="A239" s="26"/>
      <c r="B239" s="26">
        <v>4.3929999999999998</v>
      </c>
      <c r="C239" s="145">
        <v>43862</v>
      </c>
      <c r="D239" s="26">
        <v>4.1970000000000001</v>
      </c>
      <c r="E239" s="26">
        <v>0.15</v>
      </c>
      <c r="F239" s="26">
        <v>7.0409862001054008E-2</v>
      </c>
      <c r="V239" s="25">
        <v>0</v>
      </c>
      <c r="W239" s="179">
        <v>0.30499999999999999</v>
      </c>
      <c r="X239" s="179">
        <v>0.435</v>
      </c>
      <c r="Y239" s="179">
        <v>0</v>
      </c>
      <c r="Z239" s="179">
        <v>-1.6E-2</v>
      </c>
      <c r="AA239" s="179">
        <v>5.0000000000000315E-4</v>
      </c>
      <c r="AB239" s="179">
        <v>-1.4499999999999999E-2</v>
      </c>
      <c r="AC239" s="179">
        <v>0</v>
      </c>
      <c r="AD239" s="179">
        <v>0</v>
      </c>
      <c r="AE239" s="179">
        <v>0</v>
      </c>
      <c r="AF239" s="179">
        <v>0</v>
      </c>
      <c r="AG239" s="180">
        <v>0</v>
      </c>
      <c r="AH239" s="179">
        <v>0</v>
      </c>
      <c r="AI239" s="25">
        <v>0</v>
      </c>
      <c r="AK239" s="25">
        <v>0</v>
      </c>
      <c r="AL239" s="25">
        <v>0</v>
      </c>
      <c r="AM239" s="25">
        <v>1.4550000000000001</v>
      </c>
      <c r="AN239" s="25">
        <v>-9.9573999999999999E-3</v>
      </c>
      <c r="AO239" s="25">
        <v>0</v>
      </c>
      <c r="AP239" s="25">
        <v>0</v>
      </c>
      <c r="AQ239" s="25">
        <v>0</v>
      </c>
      <c r="AS239" s="25">
        <v>0</v>
      </c>
      <c r="AT239" s="25">
        <v>0</v>
      </c>
      <c r="AU239" s="25">
        <v>0.31</v>
      </c>
      <c r="AV239" s="25">
        <v>0</v>
      </c>
      <c r="AW239" s="25">
        <v>0</v>
      </c>
      <c r="AY239" s="25">
        <v>0</v>
      </c>
      <c r="BA239" s="25">
        <v>0</v>
      </c>
      <c r="BB239" s="25">
        <v>0</v>
      </c>
      <c r="BD239" s="25">
        <v>-4.4957400000000008E-2</v>
      </c>
      <c r="BE239" s="25">
        <v>0</v>
      </c>
      <c r="BF239" s="25">
        <v>-0.17</v>
      </c>
      <c r="BJ239" s="25">
        <v>0.97499999999999998</v>
      </c>
    </row>
    <row r="240" spans="1:62" x14ac:dyDescent="0.25">
      <c r="A240" s="26"/>
      <c r="B240" s="26">
        <v>4.657</v>
      </c>
      <c r="C240" s="145">
        <v>43891</v>
      </c>
      <c r="D240" s="26">
        <v>4.0780000000000003</v>
      </c>
      <c r="E240" s="26">
        <v>0.15</v>
      </c>
      <c r="F240" s="26">
        <v>7.0411886771796009E-2</v>
      </c>
      <c r="V240" s="25">
        <v>0</v>
      </c>
      <c r="W240" s="179">
        <v>0.26500000000000001</v>
      </c>
      <c r="X240" s="179">
        <v>0.30249999999999999</v>
      </c>
      <c r="Y240" s="179">
        <v>0</v>
      </c>
      <c r="Z240" s="179">
        <v>-1.6E-2</v>
      </c>
      <c r="AA240" s="179">
        <v>1.9000000000000003E-2</v>
      </c>
      <c r="AB240" s="179">
        <v>4.0000000000000001E-3</v>
      </c>
      <c r="AC240" s="179">
        <v>0</v>
      </c>
      <c r="AD240" s="179">
        <v>0</v>
      </c>
      <c r="AE240" s="179">
        <v>0</v>
      </c>
      <c r="AF240" s="179">
        <v>0</v>
      </c>
      <c r="AG240" s="180">
        <v>0</v>
      </c>
      <c r="AH240" s="179">
        <v>0</v>
      </c>
      <c r="AI240" s="25">
        <v>0</v>
      </c>
      <c r="AK240" s="25">
        <v>0</v>
      </c>
      <c r="AL240" s="25">
        <v>0</v>
      </c>
      <c r="AM240" s="25">
        <v>0.83499999999999996</v>
      </c>
      <c r="AN240" s="25">
        <v>4.2500000000000003E-5</v>
      </c>
      <c r="AO240" s="25">
        <v>0</v>
      </c>
      <c r="AP240" s="25">
        <v>0</v>
      </c>
      <c r="AQ240" s="25">
        <v>0</v>
      </c>
      <c r="AS240" s="25">
        <v>0</v>
      </c>
      <c r="AT240" s="25">
        <v>0</v>
      </c>
      <c r="AU240" s="25">
        <v>0.31</v>
      </c>
      <c r="AV240" s="25">
        <v>0</v>
      </c>
      <c r="AW240" s="25">
        <v>0</v>
      </c>
      <c r="AY240" s="25">
        <v>0</v>
      </c>
      <c r="BA240" s="25">
        <v>0</v>
      </c>
      <c r="BB240" s="25">
        <v>0</v>
      </c>
      <c r="BD240" s="25">
        <v>-3.49574E-2</v>
      </c>
      <c r="BE240" s="25">
        <v>0</v>
      </c>
      <c r="BF240" s="25">
        <v>-0.17</v>
      </c>
      <c r="BJ240" s="25">
        <v>0.60750000000000004</v>
      </c>
    </row>
    <row r="241" spans="1:62" x14ac:dyDescent="0.25">
      <c r="A241" s="26"/>
      <c r="B241" s="26">
        <v>4.5979999999999999</v>
      </c>
      <c r="C241" s="145">
        <v>43922</v>
      </c>
      <c r="D241" s="26">
        <v>3.9510000000000005</v>
      </c>
      <c r="E241" s="26">
        <v>0.15</v>
      </c>
      <c r="F241" s="26">
        <v>7.0414051181901013E-2</v>
      </c>
      <c r="V241" s="25">
        <v>0</v>
      </c>
      <c r="W241" s="179">
        <v>0.19500000000000001</v>
      </c>
      <c r="X241" s="179">
        <v>0.25</v>
      </c>
      <c r="Y241" s="179">
        <v>0</v>
      </c>
      <c r="Z241" s="179">
        <v>-8.5000000000000006E-3</v>
      </c>
      <c r="AA241" s="179">
        <v>1.9000000000000003E-2</v>
      </c>
      <c r="AB241" s="179">
        <v>4.0000000000000001E-3</v>
      </c>
      <c r="AC241" s="179">
        <v>0</v>
      </c>
      <c r="AD241" s="179">
        <v>0</v>
      </c>
      <c r="AE241" s="179">
        <v>0</v>
      </c>
      <c r="AF241" s="179">
        <v>0</v>
      </c>
      <c r="AG241" s="180">
        <v>0</v>
      </c>
      <c r="AH241" s="179">
        <v>0</v>
      </c>
      <c r="AI241" s="25">
        <v>0</v>
      </c>
      <c r="AK241" s="25">
        <v>0</v>
      </c>
      <c r="AL241" s="25">
        <v>0</v>
      </c>
      <c r="AM241" s="25">
        <v>0.45</v>
      </c>
      <c r="AN241" s="25">
        <v>5.9976599999999998E-2</v>
      </c>
      <c r="AO241" s="25">
        <v>0</v>
      </c>
      <c r="AP241" s="25">
        <v>0</v>
      </c>
      <c r="AQ241" s="25">
        <v>0</v>
      </c>
      <c r="AS241" s="25">
        <v>0</v>
      </c>
      <c r="AT241" s="25">
        <v>0</v>
      </c>
      <c r="AU241" s="25">
        <v>0.3775</v>
      </c>
      <c r="AV241" s="25">
        <v>0</v>
      </c>
      <c r="AW241" s="25">
        <v>0</v>
      </c>
      <c r="AY241" s="25">
        <v>0</v>
      </c>
      <c r="BA241" s="25">
        <v>0</v>
      </c>
      <c r="BB241" s="25">
        <v>0</v>
      </c>
      <c r="BD241" s="25">
        <v>2.4976600000000002E-2</v>
      </c>
      <c r="BE241" s="25">
        <v>0</v>
      </c>
      <c r="BF241" s="25">
        <v>-0.17</v>
      </c>
      <c r="BJ241" s="25">
        <v>0.35499999999999998</v>
      </c>
    </row>
    <row r="242" spans="1:62" x14ac:dyDescent="0.25">
      <c r="A242" s="26"/>
      <c r="B242" s="26">
        <v>4.4910000000000005</v>
      </c>
      <c r="C242" s="145">
        <v>43952</v>
      </c>
      <c r="D242" s="26">
        <v>3.9530000000000003</v>
      </c>
      <c r="E242" s="26">
        <v>0.15</v>
      </c>
      <c r="F242" s="26">
        <v>7.0416145772327007E-2</v>
      </c>
      <c r="V242" s="25">
        <v>0</v>
      </c>
      <c r="W242" s="179">
        <v>0.1825</v>
      </c>
      <c r="X242" s="179">
        <v>0.20250000000000001</v>
      </c>
      <c r="Y242" s="179">
        <v>0</v>
      </c>
      <c r="Z242" s="179">
        <v>-8.7500000000000008E-3</v>
      </c>
      <c r="AA242" s="179">
        <v>1.8749999999999999E-2</v>
      </c>
      <c r="AB242" s="179">
        <v>3.7499999999999999E-3</v>
      </c>
      <c r="AC242" s="179">
        <v>0</v>
      </c>
      <c r="AD242" s="179">
        <v>0</v>
      </c>
      <c r="AE242" s="179">
        <v>0</v>
      </c>
      <c r="AF242" s="179">
        <v>0</v>
      </c>
      <c r="AG242" s="180">
        <v>0</v>
      </c>
      <c r="AH242" s="179">
        <v>0</v>
      </c>
      <c r="AI242" s="25">
        <v>0</v>
      </c>
      <c r="AK242" s="25">
        <v>0</v>
      </c>
      <c r="AL242" s="25">
        <v>0</v>
      </c>
      <c r="AM242" s="25">
        <v>0.40500000000000003</v>
      </c>
      <c r="AN242" s="25">
        <v>5.996810000000001E-2</v>
      </c>
      <c r="AO242" s="25">
        <v>0</v>
      </c>
      <c r="AP242" s="25">
        <v>0</v>
      </c>
      <c r="AQ242" s="25">
        <v>0</v>
      </c>
      <c r="AS242" s="25">
        <v>0</v>
      </c>
      <c r="AT242" s="25">
        <v>0</v>
      </c>
      <c r="AU242" s="25">
        <v>0.3775</v>
      </c>
      <c r="AV242" s="25">
        <v>0</v>
      </c>
      <c r="AW242" s="25">
        <v>0</v>
      </c>
      <c r="AY242" s="25">
        <v>0</v>
      </c>
      <c r="BA242" s="25">
        <v>0</v>
      </c>
      <c r="BB242" s="25">
        <v>0</v>
      </c>
      <c r="BD242" s="25">
        <v>2.4968100000000003E-2</v>
      </c>
      <c r="BE242" s="25">
        <v>0</v>
      </c>
      <c r="BF242" s="25">
        <v>-0.17</v>
      </c>
      <c r="BJ242" s="25">
        <v>0.28749999999999998</v>
      </c>
    </row>
    <row r="243" spans="1:62" x14ac:dyDescent="0.25">
      <c r="A243" s="26"/>
      <c r="B243" s="26">
        <v>4.3869999999999996</v>
      </c>
      <c r="C243" s="145">
        <v>43983</v>
      </c>
      <c r="D243" s="26">
        <v>3.99</v>
      </c>
      <c r="E243" s="26">
        <v>0.15</v>
      </c>
      <c r="F243" s="26">
        <v>7.0418310182435009E-2</v>
      </c>
      <c r="V243" s="25">
        <v>0</v>
      </c>
      <c r="W243" s="179">
        <v>0.1825</v>
      </c>
      <c r="X243" s="179">
        <v>0.20250000000000001</v>
      </c>
      <c r="Y243" s="179">
        <v>0</v>
      </c>
      <c r="Z243" s="179">
        <v>-8.7500000000000008E-3</v>
      </c>
      <c r="AA243" s="179">
        <v>1.8749999999999999E-2</v>
      </c>
      <c r="AB243" s="179">
        <v>3.7499999999999999E-3</v>
      </c>
      <c r="AC243" s="179">
        <v>0</v>
      </c>
      <c r="AD243" s="179">
        <v>0</v>
      </c>
      <c r="AE243" s="179">
        <v>0</v>
      </c>
      <c r="AF243" s="179">
        <v>0</v>
      </c>
      <c r="AG243" s="180">
        <v>0</v>
      </c>
      <c r="AH243" s="179">
        <v>0</v>
      </c>
      <c r="AI243" s="25">
        <v>0</v>
      </c>
      <c r="AK243" s="25">
        <v>0</v>
      </c>
      <c r="AL243" s="25">
        <v>0</v>
      </c>
      <c r="AM243" s="25">
        <v>0.39500000000000002</v>
      </c>
      <c r="AN243" s="25">
        <v>5.996810000000001E-2</v>
      </c>
      <c r="AO243" s="25">
        <v>0</v>
      </c>
      <c r="AP243" s="25">
        <v>0</v>
      </c>
      <c r="AQ243" s="25">
        <v>0</v>
      </c>
      <c r="AS243" s="25">
        <v>0</v>
      </c>
      <c r="AT243" s="25">
        <v>0</v>
      </c>
      <c r="AU243" s="25">
        <v>0.3775</v>
      </c>
      <c r="AV243" s="25">
        <v>0</v>
      </c>
      <c r="AW243" s="25">
        <v>0</v>
      </c>
      <c r="AY243" s="25">
        <v>0</v>
      </c>
      <c r="BA243" s="25">
        <v>0</v>
      </c>
      <c r="BB243" s="25">
        <v>0</v>
      </c>
      <c r="BD243" s="25">
        <v>2.4968100000000003E-2</v>
      </c>
      <c r="BE243" s="25">
        <v>0</v>
      </c>
      <c r="BF243" s="25">
        <v>-0.17</v>
      </c>
      <c r="BJ243" s="25">
        <v>0.28749999999999998</v>
      </c>
    </row>
    <row r="244" spans="1:62" x14ac:dyDescent="0.25">
      <c r="A244" s="26"/>
      <c r="B244" s="26">
        <v>4.3760000000000003</v>
      </c>
      <c r="C244" s="145">
        <v>44013</v>
      </c>
      <c r="D244" s="26">
        <v>4.0119999999999996</v>
      </c>
      <c r="E244" s="26">
        <v>0.15</v>
      </c>
      <c r="F244" s="26">
        <v>7.0420404772865E-2</v>
      </c>
      <c r="V244" s="25">
        <v>0</v>
      </c>
      <c r="W244" s="179">
        <v>0.1825</v>
      </c>
      <c r="X244" s="179">
        <v>0.215</v>
      </c>
      <c r="Y244" s="179">
        <v>0</v>
      </c>
      <c r="Z244" s="179">
        <v>-8.7500000000000008E-3</v>
      </c>
      <c r="AA244" s="179">
        <v>1.8749999999999999E-2</v>
      </c>
      <c r="AB244" s="179">
        <v>3.7499999999999999E-3</v>
      </c>
      <c r="AC244" s="179">
        <v>0</v>
      </c>
      <c r="AD244" s="179">
        <v>0</v>
      </c>
      <c r="AE244" s="179">
        <v>0</v>
      </c>
      <c r="AF244" s="179">
        <v>0</v>
      </c>
      <c r="AG244" s="180">
        <v>0</v>
      </c>
      <c r="AH244" s="179">
        <v>0</v>
      </c>
      <c r="AI244" s="25">
        <v>0</v>
      </c>
      <c r="AK244" s="25">
        <v>0</v>
      </c>
      <c r="AL244" s="25">
        <v>0</v>
      </c>
      <c r="AM244" s="25">
        <v>0.43</v>
      </c>
      <c r="AN244" s="25">
        <v>5.996810000000001E-2</v>
      </c>
      <c r="AO244" s="25">
        <v>0</v>
      </c>
      <c r="AP244" s="25">
        <v>0</v>
      </c>
      <c r="AQ244" s="25">
        <v>0</v>
      </c>
      <c r="AS244" s="25">
        <v>0</v>
      </c>
      <c r="AT244" s="25">
        <v>0</v>
      </c>
      <c r="AU244" s="25">
        <v>0.3775</v>
      </c>
      <c r="AV244" s="25">
        <v>0</v>
      </c>
      <c r="AW244" s="25">
        <v>0</v>
      </c>
      <c r="AY244" s="25">
        <v>0</v>
      </c>
      <c r="BA244" s="25">
        <v>0</v>
      </c>
      <c r="BB244" s="25">
        <v>0</v>
      </c>
      <c r="BD244" s="25">
        <v>2.4968100000000003E-2</v>
      </c>
      <c r="BE244" s="25">
        <v>0</v>
      </c>
      <c r="BF244" s="25">
        <v>-0.17</v>
      </c>
      <c r="BJ244" s="25">
        <v>0.3</v>
      </c>
    </row>
    <row r="245" spans="1:62" x14ac:dyDescent="0.25">
      <c r="A245" s="26"/>
      <c r="B245" s="26">
        <v>4.3730000000000002</v>
      </c>
      <c r="C245" s="145">
        <v>44044</v>
      </c>
      <c r="D245" s="26">
        <v>4.0330000000000004</v>
      </c>
      <c r="E245" s="26">
        <v>0.15</v>
      </c>
      <c r="F245" s="26">
        <v>7.0422569182976028E-2</v>
      </c>
      <c r="V245" s="25">
        <v>0</v>
      </c>
      <c r="W245" s="179">
        <v>0.1825</v>
      </c>
      <c r="X245" s="179">
        <v>0.215</v>
      </c>
      <c r="Y245" s="179">
        <v>0</v>
      </c>
      <c r="Z245" s="179">
        <v>-8.7500000000000008E-3</v>
      </c>
      <c r="AA245" s="179">
        <v>1.8749999999999999E-2</v>
      </c>
      <c r="AB245" s="179">
        <v>3.7499999999999999E-3</v>
      </c>
      <c r="AC245" s="179">
        <v>0</v>
      </c>
      <c r="AD245" s="179">
        <v>0</v>
      </c>
      <c r="AE245" s="179">
        <v>0</v>
      </c>
      <c r="AF245" s="179">
        <v>0</v>
      </c>
      <c r="AG245" s="180">
        <v>0</v>
      </c>
      <c r="AH245" s="179">
        <v>0</v>
      </c>
      <c r="AI245" s="25">
        <v>0</v>
      </c>
      <c r="AK245" s="25">
        <v>0</v>
      </c>
      <c r="AL245" s="25">
        <v>0</v>
      </c>
      <c r="AM245" s="25">
        <v>0.495</v>
      </c>
      <c r="AN245" s="25">
        <v>5.996810000000001E-2</v>
      </c>
      <c r="AO245" s="25">
        <v>0</v>
      </c>
      <c r="AP245" s="25">
        <v>0</v>
      </c>
      <c r="AQ245" s="25">
        <v>0</v>
      </c>
      <c r="AS245" s="25">
        <v>0</v>
      </c>
      <c r="AT245" s="25">
        <v>0</v>
      </c>
      <c r="AU245" s="25">
        <v>0.3775</v>
      </c>
      <c r="AV245" s="25">
        <v>0</v>
      </c>
      <c r="AW245" s="25">
        <v>0</v>
      </c>
      <c r="AY245" s="25">
        <v>0</v>
      </c>
      <c r="BA245" s="25">
        <v>0</v>
      </c>
      <c r="BB245" s="25">
        <v>0</v>
      </c>
      <c r="BD245" s="25">
        <v>2.4968100000000003E-2</v>
      </c>
      <c r="BE245" s="25">
        <v>0</v>
      </c>
      <c r="BF245" s="25">
        <v>-0.17</v>
      </c>
      <c r="BJ245" s="25">
        <v>0.3</v>
      </c>
    </row>
    <row r="246" spans="1:62" x14ac:dyDescent="0.25">
      <c r="A246" s="26"/>
      <c r="B246" s="26">
        <v>4.4380000000000006</v>
      </c>
      <c r="C246" s="145">
        <v>44075</v>
      </c>
      <c r="D246" s="26">
        <v>4.0060000000000002</v>
      </c>
      <c r="E246" s="26">
        <v>0.15</v>
      </c>
      <c r="F246" s="26">
        <v>7.0424733593089012E-2</v>
      </c>
      <c r="V246" s="25">
        <v>0</v>
      </c>
      <c r="W246" s="179">
        <v>0.1825</v>
      </c>
      <c r="X246" s="179">
        <v>0.19500000000000001</v>
      </c>
      <c r="Y246" s="179">
        <v>0</v>
      </c>
      <c r="Z246" s="179">
        <v>-8.7500000000000008E-3</v>
      </c>
      <c r="AA246" s="179">
        <v>1.8749999999999999E-2</v>
      </c>
      <c r="AB246" s="179">
        <v>3.7499999999999999E-3</v>
      </c>
      <c r="AC246" s="179">
        <v>0</v>
      </c>
      <c r="AD246" s="179">
        <v>0</v>
      </c>
      <c r="AE246" s="179">
        <v>0</v>
      </c>
      <c r="AF246" s="179">
        <v>0</v>
      </c>
      <c r="AG246" s="180">
        <v>0</v>
      </c>
      <c r="AH246" s="179">
        <v>0</v>
      </c>
      <c r="AI246" s="25">
        <v>0</v>
      </c>
      <c r="AK246" s="25">
        <v>0</v>
      </c>
      <c r="AL246" s="25">
        <v>0</v>
      </c>
      <c r="AM246" s="25">
        <v>0.39500000000000002</v>
      </c>
      <c r="AN246" s="25">
        <v>5.996810000000001E-2</v>
      </c>
      <c r="AO246" s="25">
        <v>0</v>
      </c>
      <c r="AP246" s="25">
        <v>0</v>
      </c>
      <c r="AQ246" s="25">
        <v>0</v>
      </c>
      <c r="AS246" s="25">
        <v>0</v>
      </c>
      <c r="AT246" s="25">
        <v>0</v>
      </c>
      <c r="AU246" s="25">
        <v>0.3775</v>
      </c>
      <c r="AV246" s="25">
        <v>0</v>
      </c>
      <c r="AW246" s="25">
        <v>0</v>
      </c>
      <c r="AY246" s="25">
        <v>0</v>
      </c>
      <c r="BA246" s="25">
        <v>0</v>
      </c>
      <c r="BB246" s="25">
        <v>0</v>
      </c>
      <c r="BD246" s="25">
        <v>2.4968100000000003E-2</v>
      </c>
      <c r="BE246" s="25">
        <v>0</v>
      </c>
      <c r="BF246" s="25">
        <v>-0.17</v>
      </c>
      <c r="BJ246" s="25">
        <v>0.28999999999999998</v>
      </c>
    </row>
    <row r="247" spans="1:62" x14ac:dyDescent="0.25">
      <c r="A247" s="26"/>
      <c r="B247" s="26">
        <v>4.4329999999999998</v>
      </c>
      <c r="C247" s="145">
        <v>44105</v>
      </c>
      <c r="D247" s="26">
        <v>3.9940000000000002</v>
      </c>
      <c r="E247" s="26">
        <v>0.15</v>
      </c>
      <c r="F247" s="26">
        <v>7.0420604199615003E-2</v>
      </c>
      <c r="V247" s="25">
        <v>0</v>
      </c>
      <c r="W247" s="179">
        <v>0.1875</v>
      </c>
      <c r="X247" s="179">
        <v>0.215</v>
      </c>
      <c r="Y247" s="179">
        <v>0</v>
      </c>
      <c r="Z247" s="179">
        <v>-8.7500000000000008E-3</v>
      </c>
      <c r="AA247" s="179">
        <v>5.0000000000000315E-4</v>
      </c>
      <c r="AB247" s="179">
        <v>-1.4499999999999999E-2</v>
      </c>
      <c r="AC247" s="179">
        <v>0</v>
      </c>
      <c r="AD247" s="179">
        <v>0</v>
      </c>
      <c r="AE247" s="179">
        <v>0</v>
      </c>
      <c r="AF247" s="179">
        <v>0</v>
      </c>
      <c r="AG247" s="180">
        <v>0</v>
      </c>
      <c r="AH247" s="179">
        <v>0</v>
      </c>
      <c r="AI247" s="25">
        <v>0</v>
      </c>
      <c r="AK247" s="25">
        <v>0</v>
      </c>
      <c r="AL247" s="25">
        <v>0</v>
      </c>
      <c r="AM247" s="25">
        <v>0.46100000000000002</v>
      </c>
      <c r="AN247" s="25">
        <v>5.996810000000001E-2</v>
      </c>
      <c r="AO247" s="25">
        <v>0</v>
      </c>
      <c r="AP247" s="25">
        <v>0</v>
      </c>
      <c r="AQ247" s="25">
        <v>0</v>
      </c>
      <c r="AS247" s="25">
        <v>0</v>
      </c>
      <c r="AT247" s="25">
        <v>0</v>
      </c>
      <c r="AU247" s="25">
        <v>0.3775</v>
      </c>
      <c r="AV247" s="25">
        <v>0</v>
      </c>
      <c r="AW247" s="25">
        <v>0</v>
      </c>
      <c r="AY247" s="25">
        <v>0</v>
      </c>
      <c r="BA247" s="25">
        <v>0</v>
      </c>
      <c r="BB247" s="25">
        <v>0</v>
      </c>
      <c r="BD247" s="25">
        <v>2.4968100000000003E-2</v>
      </c>
      <c r="BE247" s="25">
        <v>0</v>
      </c>
      <c r="BF247" s="25">
        <v>-0.17</v>
      </c>
      <c r="BJ247" s="25">
        <v>0.36249999999999999</v>
      </c>
    </row>
    <row r="248" spans="1:62" x14ac:dyDescent="0.25">
      <c r="A248" s="26"/>
      <c r="B248" s="26">
        <v>4.4060000000000006</v>
      </c>
      <c r="C248" s="145">
        <v>44136</v>
      </c>
      <c r="D248" s="26">
        <v>4.0010000000000003</v>
      </c>
      <c r="E248" s="26">
        <v>0.15</v>
      </c>
      <c r="F248" s="26">
        <v>7.0414379761864002E-2</v>
      </c>
      <c r="V248" s="25">
        <v>0</v>
      </c>
      <c r="W248" s="179">
        <v>0.27</v>
      </c>
      <c r="X248" s="179">
        <v>0.28749999999999998</v>
      </c>
      <c r="Y248" s="179">
        <v>0</v>
      </c>
      <c r="Z248" s="179">
        <v>-2.2000000000000002E-2</v>
      </c>
      <c r="AA248" s="179">
        <v>1.5E-3</v>
      </c>
      <c r="AB248" s="179">
        <v>-1.3500000000000002E-2</v>
      </c>
      <c r="AC248" s="179">
        <v>0</v>
      </c>
      <c r="AD248" s="179">
        <v>0</v>
      </c>
      <c r="AE248" s="179">
        <v>0</v>
      </c>
      <c r="AF248" s="179">
        <v>0</v>
      </c>
      <c r="AG248" s="180">
        <v>0</v>
      </c>
      <c r="AH248" s="179">
        <v>0</v>
      </c>
      <c r="AI248" s="25">
        <v>0</v>
      </c>
      <c r="AK248" s="25">
        <v>0</v>
      </c>
      <c r="AL248" s="25">
        <v>0</v>
      </c>
      <c r="AM248" s="25">
        <v>0.76749999999999996</v>
      </c>
      <c r="AN248" s="25">
        <v>-1.9988700000000002E-2</v>
      </c>
      <c r="AO248" s="25">
        <v>0</v>
      </c>
      <c r="AP248" s="25">
        <v>0</v>
      </c>
      <c r="AQ248" s="25">
        <v>0</v>
      </c>
      <c r="AS248" s="25">
        <v>0</v>
      </c>
      <c r="AT248" s="25">
        <v>0</v>
      </c>
      <c r="AU248" s="25">
        <v>0.33</v>
      </c>
      <c r="AV248" s="25">
        <v>0</v>
      </c>
      <c r="AW248" s="25">
        <v>0</v>
      </c>
      <c r="AY248" s="25">
        <v>0</v>
      </c>
      <c r="BA248" s="25">
        <v>0</v>
      </c>
      <c r="BB248" s="25">
        <v>0</v>
      </c>
      <c r="BD248" s="25">
        <v>-5.4988700000000008E-2</v>
      </c>
      <c r="BE248" s="25">
        <v>0</v>
      </c>
      <c r="BF248" s="25">
        <v>-0.17</v>
      </c>
      <c r="BJ248" s="25">
        <v>0.46500000000000002</v>
      </c>
    </row>
    <row r="249" spans="1:62" x14ac:dyDescent="0.25">
      <c r="A249" s="26"/>
      <c r="B249" s="26">
        <v>4.407</v>
      </c>
      <c r="C249" s="145">
        <v>44166</v>
      </c>
      <c r="D249" s="26">
        <v>4.032</v>
      </c>
      <c r="E249" s="26">
        <v>0.15</v>
      </c>
      <c r="F249" s="26">
        <v>7.0408356112442005E-2</v>
      </c>
      <c r="V249" s="25">
        <v>0</v>
      </c>
      <c r="W249" s="179">
        <v>0.30499999999999999</v>
      </c>
      <c r="X249" s="179">
        <v>0.33750000000000002</v>
      </c>
      <c r="Y249" s="179">
        <v>0</v>
      </c>
      <c r="Z249" s="179">
        <v>-1.4499999999999999E-2</v>
      </c>
      <c r="AA249" s="179">
        <v>1.5E-3</v>
      </c>
      <c r="AB249" s="179">
        <v>-1.3500000000000002E-2</v>
      </c>
      <c r="AC249" s="179">
        <v>0</v>
      </c>
      <c r="AD249" s="179">
        <v>0</v>
      </c>
      <c r="AE249" s="179">
        <v>0</v>
      </c>
      <c r="AF249" s="179">
        <v>0</v>
      </c>
      <c r="AG249" s="180">
        <v>0</v>
      </c>
      <c r="AH249" s="179">
        <v>0</v>
      </c>
      <c r="AI249" s="25">
        <v>0</v>
      </c>
      <c r="AK249" s="25">
        <v>0</v>
      </c>
      <c r="AL249" s="25">
        <v>0</v>
      </c>
      <c r="AM249" s="25">
        <v>1.19</v>
      </c>
      <c r="AN249" s="25">
        <v>-3.4951900000000001E-2</v>
      </c>
      <c r="AO249" s="25">
        <v>0</v>
      </c>
      <c r="AP249" s="25">
        <v>0</v>
      </c>
      <c r="AQ249" s="25">
        <v>0</v>
      </c>
      <c r="AS249" s="25">
        <v>0</v>
      </c>
      <c r="AT249" s="25">
        <v>0</v>
      </c>
      <c r="AU249" s="25">
        <v>0.33</v>
      </c>
      <c r="AV249" s="25">
        <v>0</v>
      </c>
      <c r="AW249" s="25">
        <v>0</v>
      </c>
      <c r="AY249" s="25">
        <v>0</v>
      </c>
      <c r="BA249" s="25">
        <v>0</v>
      </c>
      <c r="BB249" s="25">
        <v>0</v>
      </c>
      <c r="BD249" s="25">
        <v>-6.9951900000000011E-2</v>
      </c>
      <c r="BE249" s="25">
        <v>0</v>
      </c>
      <c r="BF249" s="25">
        <v>-0.17</v>
      </c>
      <c r="BJ249" s="25">
        <v>0.8</v>
      </c>
    </row>
    <row r="250" spans="1:62" x14ac:dyDescent="0.25">
      <c r="A250" s="26"/>
      <c r="B250" s="26">
        <v>4.4340000000000002</v>
      </c>
      <c r="C250" s="145">
        <v>44197</v>
      </c>
      <c r="D250" s="26">
        <v>4.3654999999999999</v>
      </c>
      <c r="E250" s="26">
        <v>0.15</v>
      </c>
      <c r="F250" s="26">
        <v>7.0402131674717996E-2</v>
      </c>
      <c r="V250" s="25">
        <v>0</v>
      </c>
      <c r="W250" s="179">
        <v>0.30499999999999999</v>
      </c>
      <c r="X250" s="179">
        <v>0.4375</v>
      </c>
      <c r="Y250" s="179"/>
      <c r="Z250" s="179"/>
      <c r="AA250" s="179"/>
      <c r="AB250" s="179"/>
      <c r="AC250" s="179"/>
      <c r="AD250" s="179"/>
      <c r="AE250" s="179"/>
      <c r="AF250" s="179"/>
      <c r="AG250" s="180"/>
      <c r="AH250" s="179"/>
      <c r="AM250" s="25">
        <v>1.5249999999999999</v>
      </c>
      <c r="AN250" s="25">
        <v>-2.9955100000000005E-2</v>
      </c>
      <c r="AO250" s="25">
        <v>0</v>
      </c>
      <c r="AP250" s="25">
        <v>0</v>
      </c>
      <c r="AQ250" s="25">
        <v>0</v>
      </c>
      <c r="AS250" s="25">
        <v>0</v>
      </c>
      <c r="AT250" s="25">
        <v>0</v>
      </c>
      <c r="AU250" s="25">
        <v>0.33</v>
      </c>
      <c r="AV250" s="25">
        <v>0</v>
      </c>
      <c r="AW250" s="25">
        <v>0</v>
      </c>
      <c r="BD250" s="25">
        <v>-6.4955100000000002E-2</v>
      </c>
      <c r="BF250" s="25">
        <v>-0.17</v>
      </c>
      <c r="BJ250" s="25">
        <v>0.97499999999999998</v>
      </c>
    </row>
    <row r="251" spans="1:62" x14ac:dyDescent="0.25">
      <c r="A251" s="26"/>
      <c r="B251" s="26">
        <v>4.492</v>
      </c>
      <c r="C251" s="145">
        <v>44228</v>
      </c>
      <c r="D251" s="26">
        <v>4.2955000000000005</v>
      </c>
      <c r="E251" s="26">
        <v>0.15</v>
      </c>
      <c r="F251" s="26">
        <v>7.039590723700602E-2</v>
      </c>
      <c r="V251" s="25">
        <v>0</v>
      </c>
      <c r="W251" s="179">
        <v>0.30499999999999999</v>
      </c>
      <c r="X251" s="179">
        <v>0.435</v>
      </c>
      <c r="Y251" s="179"/>
      <c r="Z251" s="179"/>
      <c r="AA251" s="179"/>
      <c r="AB251" s="179"/>
      <c r="AC251" s="179"/>
      <c r="AD251" s="179"/>
      <c r="AE251" s="179"/>
      <c r="AF251" s="179"/>
      <c r="AG251" s="180"/>
      <c r="AH251" s="179"/>
      <c r="AM251" s="25">
        <v>1.4550000000000001</v>
      </c>
      <c r="AN251" s="25">
        <v>-4.9574000000000007E-3</v>
      </c>
      <c r="AO251" s="25">
        <v>0</v>
      </c>
      <c r="AP251" s="25">
        <v>0</v>
      </c>
      <c r="AQ251" s="25">
        <v>0</v>
      </c>
      <c r="AS251" s="25">
        <v>0</v>
      </c>
      <c r="AT251" s="25">
        <v>0</v>
      </c>
      <c r="AU251" s="25">
        <v>0.33</v>
      </c>
      <c r="AV251" s="25">
        <v>0</v>
      </c>
      <c r="AW251" s="25">
        <v>0</v>
      </c>
      <c r="BD251" s="25">
        <v>-3.9957400000000004E-2</v>
      </c>
      <c r="BF251" s="25">
        <v>-0.17</v>
      </c>
      <c r="BJ251" s="25">
        <v>0.97499999999999998</v>
      </c>
    </row>
    <row r="252" spans="1:62" x14ac:dyDescent="0.25">
      <c r="A252" s="26"/>
      <c r="B252" s="26">
        <v>4.7540000000000004</v>
      </c>
      <c r="C252" s="145">
        <v>44256</v>
      </c>
      <c r="D252" s="26">
        <v>4.1795</v>
      </c>
      <c r="E252" s="26">
        <v>0.15</v>
      </c>
      <c r="F252" s="26">
        <v>7.0390285164245003E-2</v>
      </c>
      <c r="V252" s="25">
        <v>0</v>
      </c>
      <c r="W252" s="179">
        <v>0.26500000000000001</v>
      </c>
      <c r="X252" s="179">
        <v>0.30249999999999999</v>
      </c>
      <c r="Y252" s="179"/>
      <c r="Z252" s="179"/>
      <c r="AA252" s="179"/>
      <c r="AB252" s="179"/>
      <c r="AC252" s="179"/>
      <c r="AD252" s="179"/>
      <c r="AE252" s="179"/>
      <c r="AF252" s="179"/>
      <c r="AG252" s="180"/>
      <c r="AH252" s="179"/>
      <c r="AM252" s="25">
        <v>0.83499999999999996</v>
      </c>
      <c r="AN252" s="25">
        <v>5.042500000000001E-3</v>
      </c>
      <c r="AO252" s="25">
        <v>0</v>
      </c>
      <c r="AP252" s="25">
        <v>0</v>
      </c>
      <c r="AQ252" s="25">
        <v>0</v>
      </c>
      <c r="AS252" s="25">
        <v>0</v>
      </c>
      <c r="AT252" s="25">
        <v>0</v>
      </c>
      <c r="AU252" s="25">
        <v>0.33</v>
      </c>
      <c r="AV252" s="25">
        <v>0</v>
      </c>
      <c r="AW252" s="25">
        <v>0</v>
      </c>
      <c r="BD252" s="25">
        <v>-2.9957400000000002E-2</v>
      </c>
      <c r="BF252" s="25">
        <v>-0.17</v>
      </c>
      <c r="BJ252" s="25">
        <v>0.60750000000000004</v>
      </c>
    </row>
    <row r="253" spans="1:62" x14ac:dyDescent="0.25">
      <c r="A253" s="26"/>
      <c r="B253" s="26">
        <v>4.6990000000000007</v>
      </c>
      <c r="C253" s="145">
        <v>44287</v>
      </c>
      <c r="D253" s="26">
        <v>4.0555000000000003</v>
      </c>
      <c r="E253" s="26">
        <v>0.15</v>
      </c>
      <c r="F253" s="26">
        <v>7.0384060726558006E-2</v>
      </c>
      <c r="V253" s="25">
        <v>0</v>
      </c>
      <c r="W253" s="179">
        <v>0.19500000000000001</v>
      </c>
      <c r="X253" s="179">
        <v>0.25</v>
      </c>
      <c r="Y253" s="179"/>
      <c r="Z253" s="179"/>
      <c r="AA253" s="179"/>
      <c r="AB253" s="179"/>
      <c r="AC253" s="179"/>
      <c r="AD253" s="179"/>
      <c r="AE253" s="179"/>
      <c r="AF253" s="179"/>
      <c r="AG253" s="180"/>
      <c r="AH253" s="179"/>
      <c r="AM253" s="25">
        <v>0.45</v>
      </c>
      <c r="AN253" s="25">
        <v>6.4976599999999995E-2</v>
      </c>
      <c r="AO253" s="25">
        <v>0</v>
      </c>
      <c r="AP253" s="25">
        <v>0</v>
      </c>
      <c r="AQ253" s="25">
        <v>0</v>
      </c>
      <c r="AS253" s="25">
        <v>0</v>
      </c>
      <c r="AT253" s="25">
        <v>0</v>
      </c>
      <c r="AU253" s="25">
        <v>0.33</v>
      </c>
      <c r="AV253" s="25">
        <v>0</v>
      </c>
      <c r="AW253" s="25">
        <v>0</v>
      </c>
      <c r="BD253" s="25">
        <v>2.9976600000000003E-2</v>
      </c>
      <c r="BF253" s="25">
        <v>-0.17</v>
      </c>
      <c r="BJ253" s="25">
        <v>0.35499999999999998</v>
      </c>
    </row>
    <row r="254" spans="1:62" x14ac:dyDescent="0.25">
      <c r="A254" s="26"/>
      <c r="B254" s="26">
        <v>4.5949999999999998</v>
      </c>
      <c r="C254" s="145">
        <v>44317</v>
      </c>
      <c r="D254" s="26">
        <v>4.0585000000000004</v>
      </c>
      <c r="E254" s="26">
        <v>0.15</v>
      </c>
      <c r="F254" s="26">
        <v>7.0378037077196018E-2</v>
      </c>
      <c r="V254" s="25">
        <v>0</v>
      </c>
      <c r="W254" s="179">
        <v>0.1825</v>
      </c>
      <c r="X254" s="179">
        <v>0.20250000000000001</v>
      </c>
      <c r="Y254" s="179"/>
      <c r="Z254" s="179"/>
      <c r="AA254" s="179"/>
      <c r="AB254" s="179"/>
      <c r="AC254" s="179"/>
      <c r="AD254" s="179"/>
      <c r="AE254" s="179"/>
      <c r="AF254" s="179"/>
      <c r="AG254" s="180"/>
      <c r="AH254" s="179"/>
      <c r="AM254" s="25">
        <v>0.40500000000000003</v>
      </c>
      <c r="AN254" s="25">
        <v>6.4968100000000015E-2</v>
      </c>
      <c r="AO254" s="25">
        <v>0</v>
      </c>
      <c r="AP254" s="25">
        <v>0</v>
      </c>
      <c r="AQ254" s="25">
        <v>0</v>
      </c>
      <c r="AS254" s="25">
        <v>0</v>
      </c>
      <c r="AT254" s="25">
        <v>0</v>
      </c>
      <c r="AU254" s="25">
        <v>0.33</v>
      </c>
      <c r="AV254" s="25">
        <v>0</v>
      </c>
      <c r="AW254" s="25">
        <v>0</v>
      </c>
      <c r="BD254" s="25">
        <v>2.9968100000000004E-2</v>
      </c>
      <c r="BF254" s="25">
        <v>-0.17</v>
      </c>
      <c r="BJ254" s="25">
        <v>0.28749999999999998</v>
      </c>
    </row>
    <row r="255" spans="1:62" x14ac:dyDescent="0.25">
      <c r="A255" s="26"/>
      <c r="B255" s="26">
        <v>4.4940000000000007</v>
      </c>
      <c r="C255" s="145">
        <v>44348</v>
      </c>
      <c r="D255" s="26">
        <v>4.0965000000000007</v>
      </c>
      <c r="E255" s="26">
        <v>0.15</v>
      </c>
      <c r="F255" s="26">
        <v>7.0371812639534015E-2</v>
      </c>
      <c r="V255" s="25">
        <v>0</v>
      </c>
      <c r="W255" s="179">
        <v>0.1825</v>
      </c>
      <c r="X255" s="179">
        <v>0.20250000000000001</v>
      </c>
      <c r="Y255" s="179"/>
      <c r="Z255" s="179"/>
      <c r="AA255" s="179"/>
      <c r="AB255" s="179"/>
      <c r="AC255" s="179"/>
      <c r="AD255" s="179"/>
      <c r="AE255" s="179"/>
      <c r="AF255" s="179"/>
      <c r="AG255" s="180"/>
      <c r="AH255" s="179"/>
      <c r="AM255" s="25">
        <v>0.39500000000000002</v>
      </c>
      <c r="AN255" s="25">
        <v>6.4968100000000015E-2</v>
      </c>
      <c r="AO255" s="25">
        <v>0</v>
      </c>
      <c r="AP255" s="25">
        <v>0</v>
      </c>
      <c r="AQ255" s="25">
        <v>0</v>
      </c>
      <c r="AS255" s="25">
        <v>0</v>
      </c>
      <c r="AT255" s="25">
        <v>0</v>
      </c>
      <c r="AU255" s="25">
        <v>0.33</v>
      </c>
      <c r="AV255" s="25">
        <v>0</v>
      </c>
      <c r="AW255" s="25">
        <v>0</v>
      </c>
      <c r="BD255" s="25">
        <v>2.9968100000000004E-2</v>
      </c>
      <c r="BF255" s="25">
        <v>-0.17</v>
      </c>
      <c r="BJ255" s="25">
        <v>0.28749999999999998</v>
      </c>
    </row>
    <row r="256" spans="1:62" x14ac:dyDescent="0.25">
      <c r="A256" s="26"/>
      <c r="B256" s="26">
        <v>4.4840000000000009</v>
      </c>
      <c r="C256" s="145">
        <v>44378</v>
      </c>
      <c r="D256" s="26">
        <v>4.1185</v>
      </c>
      <c r="E256" s="26">
        <v>0.15</v>
      </c>
      <c r="F256" s="26">
        <v>7.0365788990196021E-2</v>
      </c>
      <c r="V256" s="25">
        <v>0</v>
      </c>
      <c r="W256" s="179">
        <v>0.1825</v>
      </c>
      <c r="X256" s="179">
        <v>0.215</v>
      </c>
      <c r="Y256" s="179"/>
      <c r="Z256" s="179"/>
      <c r="AA256" s="179"/>
      <c r="AB256" s="179"/>
      <c r="AC256" s="179"/>
      <c r="AD256" s="179"/>
      <c r="AE256" s="179"/>
      <c r="AF256" s="179"/>
      <c r="AG256" s="180"/>
      <c r="AH256" s="179"/>
      <c r="AM256" s="25">
        <v>0.43</v>
      </c>
      <c r="AN256" s="25">
        <v>6.4968100000000015E-2</v>
      </c>
      <c r="AO256" s="25">
        <v>0</v>
      </c>
      <c r="AP256" s="25">
        <v>0</v>
      </c>
      <c r="AQ256" s="25">
        <v>0</v>
      </c>
      <c r="AS256" s="25">
        <v>0</v>
      </c>
      <c r="AT256" s="25">
        <v>0</v>
      </c>
      <c r="AU256" s="25">
        <v>0.33</v>
      </c>
      <c r="AV256" s="25">
        <v>0</v>
      </c>
      <c r="AW256" s="25">
        <v>0</v>
      </c>
      <c r="BD256" s="25">
        <v>2.9968100000000004E-2</v>
      </c>
      <c r="BF256" s="25">
        <v>-0.17</v>
      </c>
      <c r="BJ256" s="25">
        <v>0.3</v>
      </c>
    </row>
    <row r="257" spans="1:62" x14ac:dyDescent="0.25">
      <c r="A257" s="26"/>
      <c r="B257" s="26">
        <v>4.4820000000000002</v>
      </c>
      <c r="C257" s="145">
        <v>44409</v>
      </c>
      <c r="D257" s="26">
        <v>4.1395</v>
      </c>
      <c r="E257" s="26">
        <v>0.15</v>
      </c>
      <c r="F257" s="26">
        <v>7.0359564552558998E-2</v>
      </c>
      <c r="V257" s="25">
        <v>0</v>
      </c>
      <c r="W257" s="179">
        <v>0.1825</v>
      </c>
      <c r="X257" s="179">
        <v>0.215</v>
      </c>
      <c r="Y257" s="179"/>
      <c r="Z257" s="179"/>
      <c r="AA257" s="179"/>
      <c r="AB257" s="179"/>
      <c r="AC257" s="179"/>
      <c r="AD257" s="179"/>
      <c r="AE257" s="179"/>
      <c r="AF257" s="179"/>
      <c r="AG257" s="180"/>
      <c r="AH257" s="179"/>
      <c r="AM257" s="25">
        <v>0.495</v>
      </c>
      <c r="AN257" s="25">
        <v>6.4968100000000015E-2</v>
      </c>
      <c r="AO257" s="25">
        <v>0</v>
      </c>
      <c r="AP257" s="25">
        <v>0</v>
      </c>
      <c r="AQ257" s="25">
        <v>0</v>
      </c>
      <c r="AS257" s="25">
        <v>0</v>
      </c>
      <c r="AT257" s="25">
        <v>0</v>
      </c>
      <c r="AU257" s="25">
        <v>0.33</v>
      </c>
      <c r="AV257" s="25">
        <v>0</v>
      </c>
      <c r="AW257" s="25">
        <v>0</v>
      </c>
      <c r="BD257" s="25">
        <v>2.9968100000000004E-2</v>
      </c>
      <c r="BF257" s="25">
        <v>-0.17</v>
      </c>
      <c r="BJ257" s="25">
        <v>0.3</v>
      </c>
    </row>
    <row r="258" spans="1:62" x14ac:dyDescent="0.25">
      <c r="A258" s="26"/>
      <c r="B258" s="26">
        <v>4.5469999999999997</v>
      </c>
      <c r="C258" s="145">
        <v>44440</v>
      </c>
      <c r="D258" s="26">
        <v>4.1115000000000004</v>
      </c>
      <c r="E258" s="26">
        <v>0.15</v>
      </c>
      <c r="F258" s="26">
        <v>7.0353340114935006E-2</v>
      </c>
      <c r="V258" s="25">
        <v>0</v>
      </c>
      <c r="W258" s="179">
        <v>0.1825</v>
      </c>
      <c r="X258" s="179">
        <v>0.19500000000000001</v>
      </c>
      <c r="Y258" s="179"/>
      <c r="Z258" s="179"/>
      <c r="AA258" s="179"/>
      <c r="AB258" s="179"/>
      <c r="AC258" s="179"/>
      <c r="AD258" s="179"/>
      <c r="AE258" s="179"/>
      <c r="AF258" s="179"/>
      <c r="AG258" s="180"/>
      <c r="AH258" s="179"/>
      <c r="AM258" s="25">
        <v>0.39500000000000002</v>
      </c>
      <c r="AN258" s="25">
        <v>6.4968100000000015E-2</v>
      </c>
      <c r="AO258" s="25">
        <v>0</v>
      </c>
      <c r="AP258" s="25">
        <v>0</v>
      </c>
      <c r="AQ258" s="25">
        <v>0</v>
      </c>
      <c r="AS258" s="25">
        <v>0</v>
      </c>
      <c r="AT258" s="25">
        <v>0</v>
      </c>
      <c r="AU258" s="25">
        <v>0.33</v>
      </c>
      <c r="AV258" s="25">
        <v>0</v>
      </c>
      <c r="AW258" s="25">
        <v>0</v>
      </c>
      <c r="BD258" s="25">
        <v>2.9968100000000004E-2</v>
      </c>
      <c r="BF258" s="25">
        <v>-0.17</v>
      </c>
      <c r="BJ258" s="25">
        <v>0.28999999999999998</v>
      </c>
    </row>
    <row r="259" spans="1:62" x14ac:dyDescent="0.25">
      <c r="A259" s="26"/>
      <c r="B259" s="26">
        <v>4.5419999999999998</v>
      </c>
      <c r="C259" s="145">
        <v>44470</v>
      </c>
      <c r="D259" s="26">
        <v>4.0985000000000005</v>
      </c>
      <c r="E259" s="26">
        <v>0.15</v>
      </c>
      <c r="F259" s="26">
        <v>7.0347316465634024E-2</v>
      </c>
      <c r="V259" s="25">
        <v>0</v>
      </c>
      <c r="W259" s="179">
        <v>0.1875</v>
      </c>
      <c r="X259" s="179">
        <v>0.215</v>
      </c>
      <c r="Y259" s="179"/>
      <c r="Z259" s="179"/>
      <c r="AA259" s="179"/>
      <c r="AB259" s="179"/>
      <c r="AC259" s="179"/>
      <c r="AD259" s="179"/>
      <c r="AE259" s="179"/>
      <c r="AF259" s="179"/>
      <c r="AG259" s="180"/>
      <c r="AH259" s="179"/>
      <c r="AM259" s="25">
        <v>0.46100000000000002</v>
      </c>
      <c r="AN259" s="25">
        <v>6.4968100000000015E-2</v>
      </c>
      <c r="AO259" s="25">
        <v>0</v>
      </c>
      <c r="AP259" s="25">
        <v>0</v>
      </c>
      <c r="AQ259" s="25">
        <v>0</v>
      </c>
      <c r="AS259" s="25">
        <v>0</v>
      </c>
      <c r="AT259" s="25">
        <v>0</v>
      </c>
      <c r="AU259" s="25">
        <v>0.33</v>
      </c>
      <c r="AV259" s="25">
        <v>0</v>
      </c>
      <c r="AW259" s="25">
        <v>0</v>
      </c>
      <c r="BD259" s="25">
        <v>2.9968100000000004E-2</v>
      </c>
      <c r="BF259" s="25">
        <v>-0.17</v>
      </c>
      <c r="BJ259" s="25">
        <v>0.36249999999999999</v>
      </c>
    </row>
    <row r="260" spans="1:62" x14ac:dyDescent="0.25">
      <c r="A260" s="26"/>
      <c r="B260" s="26">
        <v>4.5140000000000002</v>
      </c>
      <c r="C260" s="145">
        <v>44501</v>
      </c>
      <c r="D260" s="26">
        <v>4.1005000000000003</v>
      </c>
      <c r="E260" s="26">
        <v>0.15</v>
      </c>
      <c r="F260" s="26">
        <v>7.0341092028035013E-2</v>
      </c>
      <c r="V260" s="25">
        <v>0</v>
      </c>
      <c r="W260" s="179">
        <v>0.27</v>
      </c>
      <c r="X260" s="179">
        <v>0.28749999999999998</v>
      </c>
      <c r="Y260" s="179"/>
      <c r="Z260" s="179"/>
      <c r="AA260" s="179"/>
      <c r="AB260" s="179"/>
      <c r="AC260" s="179"/>
      <c r="AD260" s="179"/>
      <c r="AE260" s="179"/>
      <c r="AF260" s="179"/>
      <c r="AG260" s="180"/>
      <c r="AH260" s="179"/>
      <c r="AM260" s="25">
        <v>0.76749999999999996</v>
      </c>
      <c r="AN260" s="25">
        <v>-1.4988700000000002E-2</v>
      </c>
      <c r="AO260" s="25">
        <v>0</v>
      </c>
      <c r="AP260" s="25">
        <v>0</v>
      </c>
      <c r="AQ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BD260" s="25">
        <v>-4.9988700000000011E-2</v>
      </c>
      <c r="BF260" s="25">
        <v>-0.17</v>
      </c>
      <c r="BJ260" s="25">
        <v>0.46500000000000002</v>
      </c>
    </row>
    <row r="261" spans="1:62" x14ac:dyDescent="0.25">
      <c r="A261" s="26"/>
      <c r="B261" s="26">
        <v>4.5140000000000002</v>
      </c>
      <c r="C261" s="145">
        <v>44531</v>
      </c>
      <c r="D261" s="26">
        <v>4.1285000000000007</v>
      </c>
      <c r="E261" s="26">
        <v>0.15</v>
      </c>
      <c r="F261" s="26">
        <v>7.0335068378758012E-2</v>
      </c>
      <c r="V261" s="25">
        <v>0</v>
      </c>
      <c r="W261" s="179">
        <v>0.30499999999999999</v>
      </c>
      <c r="X261" s="179">
        <v>0.33750000000000002</v>
      </c>
      <c r="Y261" s="179"/>
      <c r="Z261" s="179"/>
      <c r="AA261" s="179"/>
      <c r="AB261" s="179"/>
      <c r="AC261" s="179"/>
      <c r="AD261" s="179"/>
      <c r="AE261" s="179"/>
      <c r="AF261" s="179"/>
      <c r="AG261" s="180"/>
      <c r="AH261" s="179"/>
      <c r="AM261" s="25">
        <v>1.19</v>
      </c>
      <c r="AN261" s="25">
        <v>-2.99519E-2</v>
      </c>
      <c r="AO261" s="25">
        <v>0</v>
      </c>
      <c r="AP261" s="25">
        <v>0</v>
      </c>
      <c r="AQ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BD261" s="25">
        <v>-6.4951900000000007E-2</v>
      </c>
      <c r="BF261" s="25">
        <v>-0.17</v>
      </c>
      <c r="BJ261" s="25">
        <v>0.8</v>
      </c>
    </row>
    <row r="262" spans="1:62" x14ac:dyDescent="0.25">
      <c r="A262" s="26"/>
      <c r="B262" s="26">
        <v>4.5360000000000005</v>
      </c>
      <c r="C262" s="145">
        <v>44562</v>
      </c>
      <c r="D262" s="26">
        <v>4.4625000000000004</v>
      </c>
      <c r="E262" s="26">
        <v>0.15</v>
      </c>
      <c r="F262" s="26">
        <v>7.0328843941184008E-2</v>
      </c>
      <c r="V262" s="25">
        <v>0</v>
      </c>
      <c r="W262" s="179">
        <v>0.30499999999999999</v>
      </c>
      <c r="X262" s="179">
        <v>0.4375</v>
      </c>
      <c r="Y262" s="179"/>
      <c r="Z262" s="179"/>
      <c r="AA262" s="179"/>
      <c r="AB262" s="179"/>
      <c r="AC262" s="179"/>
      <c r="AD262" s="179"/>
      <c r="AE262" s="179"/>
      <c r="AF262" s="179"/>
      <c r="AG262" s="180"/>
      <c r="AH262" s="179"/>
      <c r="AM262" s="25">
        <v>1.5249999999999999</v>
      </c>
      <c r="AN262" s="25">
        <v>-2.4955100000000004E-2</v>
      </c>
      <c r="AO262" s="25">
        <v>0</v>
      </c>
      <c r="AP262" s="25">
        <v>0</v>
      </c>
      <c r="AQ262" s="25">
        <v>0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BD262" s="25">
        <v>-5.9955100000000004E-2</v>
      </c>
      <c r="BF262" s="25">
        <v>-0.17</v>
      </c>
      <c r="BJ262" s="25">
        <v>0.97499999999999998</v>
      </c>
    </row>
    <row r="263" spans="1:62" x14ac:dyDescent="0.25">
      <c r="A263" s="26"/>
      <c r="B263" s="26">
        <v>4.5910000000000002</v>
      </c>
      <c r="C263" s="145">
        <v>44593</v>
      </c>
      <c r="D263" s="26">
        <v>4.3965000000000005</v>
      </c>
      <c r="E263" s="26">
        <v>0.15</v>
      </c>
      <c r="F263" s="26">
        <v>7.0322619503622993E-2</v>
      </c>
      <c r="V263" s="25">
        <v>0</v>
      </c>
      <c r="W263" s="179">
        <v>0.30499999999999999</v>
      </c>
      <c r="X263" s="179">
        <v>0.435</v>
      </c>
      <c r="Y263" s="179"/>
      <c r="Z263" s="179"/>
      <c r="AA263" s="179"/>
      <c r="AB263" s="179"/>
      <c r="AC263" s="179"/>
      <c r="AD263" s="179"/>
      <c r="AE263" s="179"/>
      <c r="AF263" s="179"/>
      <c r="AG263" s="180"/>
      <c r="AH263" s="179"/>
      <c r="AM263" s="25">
        <v>1.4550000000000001</v>
      </c>
      <c r="AN263" s="25">
        <v>4.2500000000000003E-5</v>
      </c>
      <c r="AO263" s="25">
        <v>0</v>
      </c>
      <c r="AP263" s="25">
        <v>0</v>
      </c>
      <c r="AQ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BD263" s="25">
        <v>-3.49574E-2</v>
      </c>
      <c r="BF263" s="25">
        <v>-0.17</v>
      </c>
      <c r="BJ263" s="25">
        <v>0.97499999999999998</v>
      </c>
    </row>
    <row r="264" spans="1:62" x14ac:dyDescent="0.25">
      <c r="A264" s="26"/>
      <c r="B264" s="26">
        <v>4.851</v>
      </c>
      <c r="C264" s="145">
        <v>44621</v>
      </c>
      <c r="D264" s="26">
        <v>4.2835000000000001</v>
      </c>
      <c r="E264" s="26">
        <v>0.15</v>
      </c>
      <c r="F264" s="26">
        <v>7.031699743100002E-2</v>
      </c>
      <c r="V264" s="25">
        <v>0</v>
      </c>
      <c r="W264" s="179">
        <v>0.26500000000000001</v>
      </c>
      <c r="X264" s="179">
        <v>0.30249999999999999</v>
      </c>
      <c r="Y264" s="179"/>
      <c r="Z264" s="179"/>
      <c r="AA264" s="179"/>
      <c r="AB264" s="179"/>
      <c r="AC264" s="179"/>
      <c r="AD264" s="179"/>
      <c r="AE264" s="179"/>
      <c r="AF264" s="179"/>
      <c r="AG264" s="180"/>
      <c r="AH264" s="179"/>
      <c r="AM264" s="25">
        <v>0.83499999999999996</v>
      </c>
      <c r="AN264" s="25">
        <v>1.0042500000000001E-2</v>
      </c>
      <c r="AO264" s="25">
        <v>0</v>
      </c>
      <c r="AP264" s="25">
        <v>0</v>
      </c>
      <c r="AQ264" s="25">
        <v>0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BD264" s="25">
        <v>-2.4957400000000001E-2</v>
      </c>
      <c r="BF264" s="25">
        <v>-0.17</v>
      </c>
      <c r="BJ264" s="25">
        <v>0.60750000000000004</v>
      </c>
    </row>
    <row r="265" spans="1:62" x14ac:dyDescent="0.25">
      <c r="A265" s="26"/>
      <c r="B265" s="26">
        <v>4.8</v>
      </c>
      <c r="C265" s="145">
        <v>44652</v>
      </c>
      <c r="D265" s="26">
        <v>4.1624999999999996</v>
      </c>
      <c r="E265" s="26">
        <v>0.15</v>
      </c>
      <c r="F265" s="26">
        <v>7.0310772993463E-2</v>
      </c>
      <c r="V265" s="25">
        <v>0</v>
      </c>
      <c r="W265" s="179">
        <v>0.19500000000000001</v>
      </c>
      <c r="X265" s="179">
        <v>0.25</v>
      </c>
      <c r="Y265" s="179"/>
      <c r="Z265" s="179"/>
      <c r="AA265" s="179"/>
      <c r="AB265" s="179"/>
      <c r="AC265" s="179"/>
      <c r="AD265" s="179"/>
      <c r="AE265" s="179"/>
      <c r="AF265" s="179"/>
      <c r="AG265" s="180"/>
      <c r="AH265" s="179"/>
      <c r="AM265" s="25">
        <v>0.45</v>
      </c>
      <c r="AN265" s="25">
        <v>6.9976600000000014E-2</v>
      </c>
      <c r="AO265" s="25">
        <v>0</v>
      </c>
      <c r="AP265" s="25">
        <v>0</v>
      </c>
      <c r="AQ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BD265" s="25">
        <v>3.4976600000000004E-2</v>
      </c>
      <c r="BF265" s="25">
        <v>-0.17</v>
      </c>
      <c r="BJ265" s="25">
        <v>0.35499999999999998</v>
      </c>
    </row>
    <row r="266" spans="1:62" x14ac:dyDescent="0.25">
      <c r="A266" s="26"/>
      <c r="B266" s="26">
        <v>4.6990000000000007</v>
      </c>
      <c r="C266" s="145">
        <v>44682</v>
      </c>
      <c r="D266" s="26">
        <v>4.1665000000000001</v>
      </c>
      <c r="E266" s="26">
        <v>0.15</v>
      </c>
      <c r="F266" s="26">
        <v>7.030474934424602E-2</v>
      </c>
      <c r="V266" s="25">
        <v>0</v>
      </c>
      <c r="W266" s="179">
        <v>0.1825</v>
      </c>
      <c r="X266" s="179">
        <v>0.20250000000000001</v>
      </c>
      <c r="Y266" s="179"/>
      <c r="Z266" s="179"/>
      <c r="AA266" s="179"/>
      <c r="AB266" s="179"/>
      <c r="AC266" s="179"/>
      <c r="AD266" s="179"/>
      <c r="AE266" s="179"/>
      <c r="AF266" s="179"/>
      <c r="AG266" s="180"/>
      <c r="AH266" s="179"/>
      <c r="AM266" s="25">
        <v>0.40500000000000003</v>
      </c>
      <c r="AN266" s="25">
        <v>6.9968100000000005E-2</v>
      </c>
      <c r="AO266" s="25">
        <v>0</v>
      </c>
      <c r="AP266" s="25">
        <v>0</v>
      </c>
      <c r="AQ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BD266" s="25">
        <v>3.4968100000000002E-2</v>
      </c>
      <c r="BF266" s="25">
        <v>-0.17</v>
      </c>
      <c r="BJ266" s="25">
        <v>0.28749999999999998</v>
      </c>
    </row>
    <row r="267" spans="1:62" x14ac:dyDescent="0.25">
      <c r="A267" s="26"/>
      <c r="B267" s="26">
        <v>4.601</v>
      </c>
      <c r="C267" s="145">
        <v>44713</v>
      </c>
      <c r="D267" s="26">
        <v>4.2054999999999998</v>
      </c>
      <c r="E267" s="26">
        <v>0.15</v>
      </c>
      <c r="F267" s="26">
        <v>7.0298524906735008E-2</v>
      </c>
      <c r="V267" s="25">
        <v>0</v>
      </c>
      <c r="W267" s="179">
        <v>0.1825</v>
      </c>
      <c r="X267" s="179">
        <v>0.20250000000000001</v>
      </c>
      <c r="Y267" s="179"/>
      <c r="Z267" s="179"/>
      <c r="AA267" s="179"/>
      <c r="AB267" s="179"/>
      <c r="AC267" s="179"/>
      <c r="AD267" s="179"/>
      <c r="AE267" s="179"/>
      <c r="AF267" s="179"/>
      <c r="AG267" s="180"/>
      <c r="AH267" s="179"/>
      <c r="AM267" s="25">
        <v>0.39500000000000002</v>
      </c>
      <c r="AN267" s="25">
        <v>6.9968100000000005E-2</v>
      </c>
      <c r="AO267" s="25">
        <v>0</v>
      </c>
      <c r="AP267" s="25">
        <v>0</v>
      </c>
      <c r="AQ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BD267" s="25">
        <v>3.4968100000000002E-2</v>
      </c>
      <c r="BF267" s="25">
        <v>-0.17</v>
      </c>
      <c r="BJ267" s="25">
        <v>0.28749999999999998</v>
      </c>
    </row>
    <row r="268" spans="1:62" x14ac:dyDescent="0.25">
      <c r="A268" s="26"/>
      <c r="B268" s="26">
        <v>4.5919999999999996</v>
      </c>
      <c r="C268" s="145">
        <v>44743</v>
      </c>
      <c r="D268" s="26">
        <v>4.2275</v>
      </c>
      <c r="E268" s="26">
        <v>0.15</v>
      </c>
      <c r="F268" s="26">
        <v>7.0292501257543008E-2</v>
      </c>
      <c r="V268" s="25">
        <v>0</v>
      </c>
      <c r="W268" s="179">
        <v>0.1825</v>
      </c>
      <c r="X268" s="179">
        <v>0.215</v>
      </c>
      <c r="Y268" s="179"/>
      <c r="Z268" s="179"/>
      <c r="AA268" s="179"/>
      <c r="AB268" s="179"/>
      <c r="AC268" s="179"/>
      <c r="AD268" s="179"/>
      <c r="AE268" s="179"/>
      <c r="AF268" s="179"/>
      <c r="AG268" s="180"/>
      <c r="AH268" s="179"/>
      <c r="AM268" s="25">
        <v>0.43</v>
      </c>
      <c r="AN268" s="25">
        <v>6.9968100000000005E-2</v>
      </c>
      <c r="AO268" s="25">
        <v>0</v>
      </c>
      <c r="AP268" s="25">
        <v>0</v>
      </c>
      <c r="AQ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BD268" s="25">
        <v>3.4968100000000002E-2</v>
      </c>
      <c r="BF268" s="25">
        <v>-0.17</v>
      </c>
      <c r="BJ268" s="25">
        <v>0.3</v>
      </c>
    </row>
    <row r="269" spans="1:62" x14ac:dyDescent="0.25">
      <c r="A269" s="26"/>
      <c r="B269" s="26">
        <v>4.5910000000000002</v>
      </c>
      <c r="C269" s="145">
        <v>44774</v>
      </c>
      <c r="D269" s="26">
        <v>4.2484999999999999</v>
      </c>
      <c r="E269" s="26">
        <v>0.15</v>
      </c>
      <c r="F269" s="26">
        <v>7.0286276820057017E-2</v>
      </c>
      <c r="V269" s="25">
        <v>0</v>
      </c>
      <c r="W269" s="179">
        <v>0.1825</v>
      </c>
      <c r="X269" s="179">
        <v>0.215</v>
      </c>
      <c r="Y269" s="179"/>
      <c r="Z269" s="179"/>
      <c r="AA269" s="179"/>
      <c r="AB269" s="179"/>
      <c r="AC269" s="179"/>
      <c r="AD269" s="179"/>
      <c r="AE269" s="179"/>
      <c r="AF269" s="179"/>
      <c r="AG269" s="180"/>
      <c r="AH269" s="179"/>
      <c r="AM269" s="25">
        <v>0.495</v>
      </c>
      <c r="AN269" s="25">
        <v>6.9968100000000005E-2</v>
      </c>
      <c r="AO269" s="25">
        <v>0</v>
      </c>
      <c r="AP269" s="25">
        <v>0</v>
      </c>
      <c r="AQ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BD269" s="25">
        <v>3.4968100000000002E-2</v>
      </c>
      <c r="BF269" s="25">
        <v>-0.17</v>
      </c>
      <c r="BJ269" s="25">
        <v>0.3</v>
      </c>
    </row>
    <row r="270" spans="1:62" x14ac:dyDescent="0.25">
      <c r="A270" s="26"/>
      <c r="B270" s="26">
        <v>4.6560000000000006</v>
      </c>
      <c r="C270" s="145">
        <v>44805</v>
      </c>
      <c r="D270" s="26">
        <v>4.2195</v>
      </c>
      <c r="E270" s="26">
        <v>0.15</v>
      </c>
      <c r="F270" s="26">
        <v>7.0280052382583003E-2</v>
      </c>
      <c r="V270" s="25">
        <v>0</v>
      </c>
      <c r="W270" s="179">
        <v>0.1825</v>
      </c>
      <c r="X270" s="179">
        <v>0.19500000000000001</v>
      </c>
      <c r="Y270" s="179"/>
      <c r="Z270" s="179"/>
      <c r="AA270" s="179"/>
      <c r="AB270" s="179"/>
      <c r="AC270" s="179"/>
      <c r="AD270" s="179"/>
      <c r="AE270" s="179"/>
      <c r="AF270" s="179"/>
      <c r="AG270" s="180"/>
      <c r="AH270" s="179"/>
      <c r="AM270" s="25">
        <v>0.39500000000000002</v>
      </c>
      <c r="AN270" s="25">
        <v>6.9968100000000005E-2</v>
      </c>
      <c r="AO270" s="25">
        <v>0</v>
      </c>
      <c r="AP270" s="25">
        <v>0</v>
      </c>
      <c r="AQ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BD270" s="25">
        <v>3.4968100000000002E-2</v>
      </c>
      <c r="BF270" s="25">
        <v>-0.17</v>
      </c>
      <c r="BJ270" s="25">
        <v>0.28999999999999998</v>
      </c>
    </row>
    <row r="271" spans="1:62" x14ac:dyDescent="0.25">
      <c r="A271" s="26"/>
      <c r="B271" s="26">
        <v>4.6510000000000007</v>
      </c>
      <c r="C271" s="145">
        <v>44835</v>
      </c>
      <c r="D271" s="26">
        <v>4.2054999999999998</v>
      </c>
      <c r="E271" s="26">
        <v>0.15</v>
      </c>
      <c r="F271" s="26">
        <v>7.0274028733427987E-2</v>
      </c>
      <c r="V271" s="25">
        <v>0</v>
      </c>
      <c r="W271" s="179">
        <v>0.1875</v>
      </c>
      <c r="X271" s="179">
        <v>0.215</v>
      </c>
      <c r="Y271" s="179"/>
      <c r="Z271" s="179"/>
      <c r="AA271" s="179"/>
      <c r="AB271" s="179"/>
      <c r="AC271" s="179"/>
      <c r="AD271" s="179"/>
      <c r="AE271" s="179"/>
      <c r="AF271" s="179"/>
      <c r="AG271" s="180"/>
      <c r="AH271" s="179"/>
      <c r="AM271" s="25">
        <v>0.46100000000000002</v>
      </c>
      <c r="AN271" s="25">
        <v>6.9968100000000005E-2</v>
      </c>
      <c r="AO271" s="25">
        <v>0</v>
      </c>
      <c r="AP271" s="25">
        <v>0</v>
      </c>
      <c r="AQ271" s="25">
        <v>0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BD271" s="25">
        <v>3.4968100000000002E-2</v>
      </c>
      <c r="BF271" s="25">
        <v>-0.17</v>
      </c>
      <c r="BJ271" s="25">
        <v>0.36249999999999999</v>
      </c>
    </row>
    <row r="272" spans="1:62" x14ac:dyDescent="0.25">
      <c r="A272" s="26"/>
      <c r="B272" s="26">
        <v>4.6219999999999999</v>
      </c>
      <c r="C272" s="145">
        <v>44866</v>
      </c>
      <c r="D272" s="26">
        <v>4.2024999999999997</v>
      </c>
      <c r="E272" s="26">
        <v>0.15</v>
      </c>
      <c r="F272" s="26">
        <v>7.0267804295980008E-2</v>
      </c>
      <c r="V272" s="25">
        <v>0</v>
      </c>
      <c r="W272" s="179">
        <v>0.27</v>
      </c>
      <c r="X272" s="179">
        <v>0.28749999999999998</v>
      </c>
      <c r="Y272" s="179"/>
      <c r="Z272" s="179"/>
      <c r="AA272" s="179"/>
      <c r="AB272" s="179"/>
      <c r="AC272" s="179"/>
      <c r="AD272" s="179"/>
      <c r="AE272" s="179"/>
      <c r="AF272" s="179"/>
      <c r="AG272" s="180"/>
      <c r="AH272" s="179"/>
      <c r="AM272" s="25">
        <v>0.76749999999999996</v>
      </c>
      <c r="AN272" s="25">
        <v>-9.9887000000000014E-3</v>
      </c>
      <c r="AO272" s="25">
        <v>0</v>
      </c>
      <c r="AP272" s="25">
        <v>0</v>
      </c>
      <c r="AQ272" s="25">
        <v>0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BD272" s="25">
        <v>-4.4988700000000013E-2</v>
      </c>
      <c r="BF272" s="25">
        <v>-0.17</v>
      </c>
      <c r="BJ272" s="25">
        <v>0.46500000000000002</v>
      </c>
    </row>
    <row r="273" spans="1:62" x14ac:dyDescent="0.25">
      <c r="A273" s="26"/>
      <c r="B273" s="26">
        <v>4.6210000000000004</v>
      </c>
      <c r="C273" s="145">
        <v>44896</v>
      </c>
      <c r="D273" s="26">
        <v>4.2275</v>
      </c>
      <c r="E273" s="26">
        <v>0.15</v>
      </c>
      <c r="F273" s="26">
        <v>7.0261780646849001E-2</v>
      </c>
      <c r="V273" s="25">
        <v>0</v>
      </c>
      <c r="W273" s="179">
        <v>0.30499999999999999</v>
      </c>
      <c r="X273" s="179">
        <v>0.33750000000000002</v>
      </c>
      <c r="Y273" s="179"/>
      <c r="Z273" s="179"/>
      <c r="AA273" s="179"/>
      <c r="AB273" s="179"/>
      <c r="AC273" s="179"/>
      <c r="AD273" s="179"/>
      <c r="AE273" s="179"/>
      <c r="AF273" s="179"/>
      <c r="AG273" s="180"/>
      <c r="AH273" s="179"/>
      <c r="AM273" s="25">
        <v>1.19</v>
      </c>
      <c r="AN273" s="25">
        <v>-2.4951900000000006E-2</v>
      </c>
      <c r="AO273" s="25">
        <v>0</v>
      </c>
      <c r="AP273" s="25">
        <v>0</v>
      </c>
      <c r="AQ273" s="25">
        <v>0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BD273" s="25">
        <v>-5.9951900000000002E-2</v>
      </c>
      <c r="BF273" s="25">
        <v>-0.17</v>
      </c>
      <c r="BJ273" s="25">
        <v>0.8</v>
      </c>
    </row>
    <row r="274" spans="1:62" x14ac:dyDescent="0.25">
      <c r="A274" s="26"/>
      <c r="B274" s="26">
        <v>4.6379999999999999</v>
      </c>
      <c r="C274" s="145">
        <v>44927</v>
      </c>
      <c r="D274" s="26">
        <v>4.5620000000000003</v>
      </c>
      <c r="E274" s="26">
        <v>0.15</v>
      </c>
      <c r="F274" s="26">
        <v>7.0255556209426015E-2</v>
      </c>
      <c r="V274" s="25">
        <v>0</v>
      </c>
      <c r="W274" s="179">
        <v>0.30499999999999999</v>
      </c>
      <c r="X274" s="179">
        <v>0.4375</v>
      </c>
      <c r="Y274" s="179"/>
      <c r="Z274" s="179"/>
      <c r="AA274" s="179"/>
      <c r="AB274" s="179"/>
      <c r="AC274" s="179"/>
      <c r="AD274" s="179"/>
      <c r="AE274" s="179"/>
      <c r="AF274" s="179"/>
      <c r="AG274" s="180"/>
      <c r="AH274" s="179"/>
      <c r="AM274" s="25">
        <v>1.5249999999999999</v>
      </c>
      <c r="AN274" s="25">
        <v>-1.99551E-2</v>
      </c>
      <c r="AO274" s="25">
        <v>0</v>
      </c>
      <c r="AP274" s="25">
        <v>0</v>
      </c>
      <c r="AQ274" s="25">
        <v>0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BD274" s="25">
        <v>-5.4955100000000007E-2</v>
      </c>
      <c r="BF274" s="25">
        <v>-0.17</v>
      </c>
      <c r="BJ274" s="25">
        <v>0.97499999999999998</v>
      </c>
    </row>
    <row r="275" spans="1:62" x14ac:dyDescent="0.25">
      <c r="A275" s="26"/>
      <c r="B275" s="26">
        <v>4.6900000000000004</v>
      </c>
      <c r="C275" s="145">
        <v>44958</v>
      </c>
      <c r="D275" s="26">
        <v>4.5</v>
      </c>
      <c r="E275" s="26">
        <v>0.15</v>
      </c>
      <c r="F275" s="26">
        <v>7.0249331772017004E-2</v>
      </c>
      <c r="V275" s="25">
        <v>0</v>
      </c>
      <c r="W275" s="25">
        <v>0.30499999999999999</v>
      </c>
      <c r="X275" s="25">
        <v>0.435</v>
      </c>
      <c r="AG275" s="181"/>
      <c r="AM275" s="25">
        <v>1.4550000000000001</v>
      </c>
      <c r="AN275" s="25">
        <v>5.042500000000001E-3</v>
      </c>
      <c r="AO275" s="25">
        <v>0</v>
      </c>
      <c r="AP275" s="25">
        <v>0</v>
      </c>
      <c r="AQ275" s="25">
        <v>0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BD275" s="25">
        <v>-2.9957400000000002E-2</v>
      </c>
      <c r="BF275" s="25">
        <v>-0.17</v>
      </c>
      <c r="BJ275" s="25">
        <v>0.97499999999999998</v>
      </c>
    </row>
    <row r="276" spans="1:62" x14ac:dyDescent="0.25">
      <c r="A276" s="26"/>
      <c r="B276" s="26">
        <v>4.9480000000000004</v>
      </c>
      <c r="C276" s="145">
        <v>44986</v>
      </c>
      <c r="D276" s="26">
        <v>4.3899999999999997</v>
      </c>
      <c r="E276" s="26">
        <v>0.15</v>
      </c>
      <c r="F276" s="26">
        <v>7.0243709699528006E-2</v>
      </c>
      <c r="V276" s="25">
        <v>0</v>
      </c>
      <c r="W276" s="25">
        <v>0.26500000000000001</v>
      </c>
      <c r="X276" s="25">
        <v>0.30249999999999999</v>
      </c>
      <c r="AG276" s="181"/>
      <c r="AM276" s="25">
        <v>0.83499999999999996</v>
      </c>
      <c r="AN276" s="25">
        <v>1.5042500000000002E-2</v>
      </c>
      <c r="AO276" s="25">
        <v>0</v>
      </c>
      <c r="AP276" s="25">
        <v>0</v>
      </c>
      <c r="AQ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BD276" s="25">
        <v>-1.99574E-2</v>
      </c>
      <c r="BF276" s="25">
        <v>-0.17</v>
      </c>
      <c r="BJ276" s="25">
        <v>0.60750000000000004</v>
      </c>
    </row>
    <row r="277" spans="1:62" x14ac:dyDescent="0.25">
      <c r="A277" s="26"/>
      <c r="B277" s="26">
        <v>4.9010000000000007</v>
      </c>
      <c r="C277" s="145">
        <v>45017</v>
      </c>
      <c r="D277" s="26">
        <v>4.2720000000000002</v>
      </c>
      <c r="E277" s="26">
        <v>0.15</v>
      </c>
      <c r="F277" s="26">
        <v>7.0237485262143004E-2</v>
      </c>
      <c r="V277" s="25">
        <v>0</v>
      </c>
      <c r="W277" s="25">
        <v>0.19500000000000001</v>
      </c>
      <c r="X277" s="25">
        <v>0.25</v>
      </c>
      <c r="AG277" s="181"/>
      <c r="AM277" s="25">
        <v>0.45</v>
      </c>
      <c r="AN277" s="25">
        <v>7.4976600000000004E-2</v>
      </c>
      <c r="AO277" s="25">
        <v>0</v>
      </c>
      <c r="AP277" s="25">
        <v>0</v>
      </c>
      <c r="AQ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BD277" s="25">
        <v>3.9976600000000001E-2</v>
      </c>
      <c r="BF277" s="25">
        <v>-0.17</v>
      </c>
      <c r="BJ277" s="25">
        <v>0.35499999999999998</v>
      </c>
    </row>
    <row r="278" spans="1:62" x14ac:dyDescent="0.25">
      <c r="A278" s="26"/>
      <c r="B278" s="26">
        <v>4.8029999999999999</v>
      </c>
      <c r="C278" s="145">
        <v>45047</v>
      </c>
      <c r="D278" s="26">
        <v>4.2770000000000001</v>
      </c>
      <c r="E278" s="26">
        <v>0.15</v>
      </c>
      <c r="F278" s="26">
        <v>7.0231461613072019E-2</v>
      </c>
      <c r="V278" s="25">
        <v>0</v>
      </c>
      <c r="W278" s="25">
        <v>0.1825</v>
      </c>
      <c r="X278" s="25">
        <v>0.20250000000000001</v>
      </c>
      <c r="AG278" s="181"/>
      <c r="AM278" s="25">
        <v>0.40500000000000003</v>
      </c>
      <c r="AN278" s="25">
        <v>7.496810000000001E-2</v>
      </c>
      <c r="AO278" s="25">
        <v>0</v>
      </c>
      <c r="AP278" s="25">
        <v>0</v>
      </c>
      <c r="AQ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BD278" s="25">
        <v>3.9968099999999999E-2</v>
      </c>
      <c r="BF278" s="25">
        <v>-0.17</v>
      </c>
      <c r="BJ278" s="25">
        <v>0.28749999999999998</v>
      </c>
    </row>
    <row r="279" spans="1:62" x14ac:dyDescent="0.25">
      <c r="A279" s="26"/>
      <c r="B279" s="26">
        <v>4.7080000000000002</v>
      </c>
      <c r="C279" s="145">
        <v>45078</v>
      </c>
      <c r="D279" s="26">
        <v>4.3170000000000002</v>
      </c>
      <c r="E279" s="26">
        <v>0.15</v>
      </c>
      <c r="F279" s="26">
        <v>7.022523717571201E-2</v>
      </c>
      <c r="V279" s="25">
        <v>0</v>
      </c>
      <c r="W279" s="25">
        <v>0.1825</v>
      </c>
      <c r="X279" s="25">
        <v>0.20250000000000001</v>
      </c>
      <c r="AG279" s="181"/>
      <c r="AM279" s="25">
        <v>0.39500000000000002</v>
      </c>
      <c r="AN279" s="25">
        <v>7.496810000000001E-2</v>
      </c>
      <c r="AO279" s="25">
        <v>0</v>
      </c>
      <c r="AP279" s="25">
        <v>0</v>
      </c>
      <c r="AQ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BD279" s="25">
        <v>3.9968099999999999E-2</v>
      </c>
      <c r="BF279" s="25">
        <v>-0.17</v>
      </c>
      <c r="BJ279" s="25">
        <v>0.28749999999999998</v>
      </c>
    </row>
    <row r="280" spans="1:62" x14ac:dyDescent="0.25">
      <c r="A280" s="26"/>
      <c r="B280" s="26">
        <v>4.7</v>
      </c>
      <c r="C280" s="145">
        <v>45108</v>
      </c>
      <c r="D280" s="26">
        <v>4.3390000000000004</v>
      </c>
      <c r="E280" s="26">
        <v>0.15</v>
      </c>
      <c r="F280" s="26">
        <v>7.021921352666502E-2</v>
      </c>
      <c r="V280" s="25">
        <v>0</v>
      </c>
      <c r="W280" s="25">
        <v>0.1825</v>
      </c>
      <c r="X280" s="25">
        <v>0.215</v>
      </c>
      <c r="AM280" s="25">
        <v>0.43</v>
      </c>
      <c r="AN280" s="25">
        <v>7.496810000000001E-2</v>
      </c>
      <c r="AO280" s="25">
        <v>0</v>
      </c>
      <c r="AP280" s="25">
        <v>0</v>
      </c>
      <c r="AQ280" s="25">
        <v>0</v>
      </c>
      <c r="AS280" s="25">
        <v>0</v>
      </c>
      <c r="AT280" s="25">
        <v>0</v>
      </c>
      <c r="AU280" s="25">
        <v>0</v>
      </c>
      <c r="AV280" s="25">
        <v>0</v>
      </c>
      <c r="AW280" s="25">
        <v>0</v>
      </c>
      <c r="BD280" s="25">
        <v>3.9968099999999999E-2</v>
      </c>
      <c r="BF280" s="25">
        <v>-0.17</v>
      </c>
      <c r="BJ280" s="25">
        <v>0.3</v>
      </c>
    </row>
    <row r="281" spans="1:62" x14ac:dyDescent="0.25">
      <c r="A281" s="26"/>
      <c r="B281" s="26">
        <v>4.7</v>
      </c>
      <c r="C281" s="145">
        <v>45139</v>
      </c>
      <c r="D281" s="26">
        <v>4.3600000000000003</v>
      </c>
      <c r="E281" s="26">
        <v>0.15</v>
      </c>
      <c r="F281" s="26">
        <v>7.0212989089331018E-2</v>
      </c>
      <c r="V281" s="25">
        <v>0</v>
      </c>
      <c r="W281" s="25">
        <v>0.1825</v>
      </c>
      <c r="X281" s="25">
        <v>0.215</v>
      </c>
      <c r="AM281" s="25">
        <v>0.495</v>
      </c>
      <c r="AN281" s="25">
        <v>7.496810000000001E-2</v>
      </c>
      <c r="AO281" s="25">
        <v>0</v>
      </c>
      <c r="AP281" s="25">
        <v>0</v>
      </c>
      <c r="AQ281" s="25">
        <v>0</v>
      </c>
      <c r="AS281" s="25">
        <v>0</v>
      </c>
      <c r="AT281" s="25">
        <v>0</v>
      </c>
      <c r="AU281" s="25">
        <v>0</v>
      </c>
      <c r="AV281" s="25">
        <v>0</v>
      </c>
      <c r="AW281" s="25">
        <v>0</v>
      </c>
      <c r="BD281" s="25">
        <v>3.9968099999999999E-2</v>
      </c>
      <c r="BF281" s="25">
        <v>-0.17</v>
      </c>
      <c r="BJ281" s="25">
        <v>0.3</v>
      </c>
    </row>
    <row r="282" spans="1:62" x14ac:dyDescent="0.25">
      <c r="A282" s="26"/>
      <c r="B282" s="26">
        <v>4.7649999999999997</v>
      </c>
      <c r="C282" s="145">
        <v>45170</v>
      </c>
      <c r="D282" s="26">
        <v>4.33</v>
      </c>
      <c r="F282" s="26">
        <v>7.0206764652008008E-2</v>
      </c>
      <c r="V282" s="25">
        <v>0</v>
      </c>
      <c r="W282" s="25">
        <v>0.1825</v>
      </c>
      <c r="X282" s="25">
        <v>0.19500000000000001</v>
      </c>
      <c r="AM282" s="25">
        <v>0.39500000000000002</v>
      </c>
      <c r="AN282" s="25">
        <v>7.496810000000001E-2</v>
      </c>
      <c r="AO282" s="25">
        <v>0</v>
      </c>
      <c r="AP282" s="25">
        <v>0</v>
      </c>
      <c r="AQ282" s="25">
        <v>0</v>
      </c>
      <c r="AS282" s="25">
        <v>0</v>
      </c>
      <c r="AT282" s="25">
        <v>0</v>
      </c>
      <c r="AU282" s="25">
        <v>0</v>
      </c>
      <c r="AV282" s="25">
        <v>0</v>
      </c>
      <c r="AW282" s="25">
        <v>0</v>
      </c>
      <c r="BD282" s="25">
        <v>3.9968099999999999E-2</v>
      </c>
      <c r="BF282" s="25">
        <v>-0.17</v>
      </c>
      <c r="BJ282" s="25">
        <v>0.28999999999999998</v>
      </c>
    </row>
    <row r="283" spans="1:62" x14ac:dyDescent="0.25">
      <c r="A283" s="26"/>
      <c r="B283" s="26">
        <v>4.76</v>
      </c>
      <c r="C283" s="145">
        <v>45200</v>
      </c>
      <c r="D283" s="26">
        <v>4.3150000000000004</v>
      </c>
      <c r="F283" s="26">
        <v>7.0200741003E-2</v>
      </c>
      <c r="V283" s="25">
        <v>0</v>
      </c>
      <c r="W283" s="25">
        <v>0.1875</v>
      </c>
      <c r="X283" s="25">
        <v>0.215</v>
      </c>
      <c r="AM283" s="25">
        <v>0.46100000000000002</v>
      </c>
      <c r="AN283" s="25">
        <v>7.496810000000001E-2</v>
      </c>
      <c r="AO283" s="25">
        <v>0</v>
      </c>
      <c r="AP283" s="25">
        <v>0</v>
      </c>
      <c r="AQ283" s="25">
        <v>0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BD283" s="25">
        <v>3.9968099999999999E-2</v>
      </c>
      <c r="BF283" s="25">
        <v>-0.17</v>
      </c>
      <c r="BJ283" s="25">
        <v>0.36249999999999999</v>
      </c>
    </row>
    <row r="284" spans="1:62" x14ac:dyDescent="0.25">
      <c r="A284" s="26"/>
      <c r="B284" s="26">
        <v>4.7300000000000004</v>
      </c>
      <c r="C284" s="145">
        <v>45231</v>
      </c>
      <c r="D284" s="26">
        <v>4.3070000000000004</v>
      </c>
      <c r="F284" s="26">
        <v>7.0194516565701998E-2</v>
      </c>
      <c r="V284" s="25">
        <v>0</v>
      </c>
      <c r="W284" s="25">
        <v>0.27</v>
      </c>
      <c r="X284" s="25">
        <v>0.28749999999999998</v>
      </c>
      <c r="AM284" s="25">
        <v>0.76749999999999996</v>
      </c>
      <c r="AN284" s="25">
        <v>-4.9887000000000004E-3</v>
      </c>
      <c r="AO284" s="25">
        <v>0</v>
      </c>
      <c r="AP284" s="25">
        <v>0</v>
      </c>
      <c r="AQ284" s="25">
        <v>0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BD284" s="25">
        <v>-3.9988700000000009E-2</v>
      </c>
      <c r="BF284" s="25">
        <v>-0.2</v>
      </c>
      <c r="BJ284" s="25">
        <v>0.46500000000000002</v>
      </c>
    </row>
    <row r="285" spans="1:62" x14ac:dyDescent="0.25">
      <c r="A285" s="26"/>
      <c r="B285" s="26">
        <v>4.7280000000000006</v>
      </c>
      <c r="C285" s="145">
        <v>45261</v>
      </c>
      <c r="D285" s="26">
        <v>4.3290000000000006</v>
      </c>
      <c r="F285" s="26">
        <v>7.0188492916717027E-2</v>
      </c>
      <c r="V285" s="25">
        <v>0</v>
      </c>
      <c r="W285" s="25">
        <v>0.30499999999999999</v>
      </c>
      <c r="X285" s="25">
        <v>0.33750000000000002</v>
      </c>
      <c r="AM285" s="25">
        <v>1.19</v>
      </c>
      <c r="AN285" s="25">
        <v>-1.9951900000000002E-2</v>
      </c>
      <c r="AO285" s="25">
        <v>0</v>
      </c>
      <c r="AP285" s="25">
        <v>0</v>
      </c>
      <c r="AQ285" s="25">
        <v>0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BD285" s="25">
        <v>-5.4951899999999998E-2</v>
      </c>
      <c r="BF285" s="25">
        <v>-0.2</v>
      </c>
      <c r="BJ285" s="25">
        <v>0.8</v>
      </c>
    </row>
    <row r="286" spans="1:62" x14ac:dyDescent="0.25">
      <c r="A286" s="26"/>
      <c r="B286" s="26">
        <v>4.74</v>
      </c>
      <c r="C286" s="145">
        <v>45292</v>
      </c>
      <c r="F286" s="26">
        <v>7.018226847944399E-2</v>
      </c>
      <c r="V286" s="25">
        <v>0</v>
      </c>
      <c r="W286" s="25">
        <v>0.30499999999999999</v>
      </c>
      <c r="X286" s="25">
        <v>0.4375</v>
      </c>
      <c r="AM286" s="25">
        <v>1.5249999999999999</v>
      </c>
      <c r="AN286" s="25">
        <v>-1.4955100000000001E-2</v>
      </c>
      <c r="AO286" s="25">
        <v>0</v>
      </c>
      <c r="AP286" s="25">
        <v>0</v>
      </c>
      <c r="AQ286" s="25">
        <v>0</v>
      </c>
      <c r="AS286" s="25">
        <v>0</v>
      </c>
      <c r="AT286" s="25">
        <v>0</v>
      </c>
      <c r="AU286" s="25">
        <v>0</v>
      </c>
      <c r="AV286" s="25">
        <v>0</v>
      </c>
      <c r="AW286" s="25">
        <v>0</v>
      </c>
      <c r="BD286" s="25">
        <v>-4.9955100000000002E-2</v>
      </c>
      <c r="BF286" s="25">
        <v>-0.2</v>
      </c>
      <c r="BJ286" s="25">
        <v>0.97499999999999998</v>
      </c>
    </row>
    <row r="287" spans="1:62" x14ac:dyDescent="0.25">
      <c r="A287" s="26"/>
      <c r="B287" s="26">
        <v>4.7890000000000006</v>
      </c>
      <c r="C287" s="145">
        <v>45323</v>
      </c>
      <c r="F287" s="26">
        <v>7.0176044042184998E-2</v>
      </c>
      <c r="V287" s="25">
        <v>0</v>
      </c>
      <c r="W287" s="25">
        <v>0.30499999999999999</v>
      </c>
      <c r="X287" s="25">
        <v>0.435</v>
      </c>
      <c r="AM287" s="25">
        <v>1.4550000000000001</v>
      </c>
      <c r="AN287" s="25">
        <v>1.0042500000000001E-2</v>
      </c>
      <c r="AO287" s="25">
        <v>0</v>
      </c>
      <c r="AP287" s="25">
        <v>0</v>
      </c>
      <c r="AQ287" s="25">
        <v>0</v>
      </c>
      <c r="AS287" s="25">
        <v>0</v>
      </c>
      <c r="AT287" s="25">
        <v>0</v>
      </c>
      <c r="AU287" s="25">
        <v>0</v>
      </c>
      <c r="AV287" s="25">
        <v>0</v>
      </c>
      <c r="AW287" s="25">
        <v>0</v>
      </c>
      <c r="BD287" s="25">
        <v>-2.4957400000000001E-2</v>
      </c>
      <c r="BF287" s="25">
        <v>-0.2</v>
      </c>
      <c r="BJ287" s="25">
        <v>0.97499999999999998</v>
      </c>
    </row>
    <row r="288" spans="1:62" x14ac:dyDescent="0.25">
      <c r="A288" s="26"/>
      <c r="B288" s="26">
        <v>5.0449999999999999</v>
      </c>
      <c r="C288" s="145">
        <v>45352</v>
      </c>
      <c r="F288" s="26">
        <v>7.0170221181535E-2</v>
      </c>
      <c r="V288" s="25">
        <v>0</v>
      </c>
      <c r="W288" s="25">
        <v>0.26500000000000001</v>
      </c>
      <c r="X288" s="25">
        <v>0.30249999999999999</v>
      </c>
      <c r="AM288" s="25">
        <v>0.83499999999999996</v>
      </c>
      <c r="AN288" s="25">
        <v>2.0042500000000005E-2</v>
      </c>
      <c r="AO288" s="25">
        <v>0</v>
      </c>
      <c r="AP288" s="25">
        <v>0</v>
      </c>
      <c r="AQ288" s="25">
        <v>0</v>
      </c>
      <c r="AS288" s="25">
        <v>0</v>
      </c>
      <c r="AT288" s="25">
        <v>0</v>
      </c>
      <c r="AU288" s="25">
        <v>0</v>
      </c>
      <c r="AV288" s="25">
        <v>0</v>
      </c>
      <c r="AW288" s="25">
        <v>0</v>
      </c>
      <c r="BD288" s="25">
        <v>-1.4957400000000001E-2</v>
      </c>
      <c r="BF288" s="25">
        <v>-0.2</v>
      </c>
      <c r="BJ288" s="25">
        <v>0.60750000000000004</v>
      </c>
    </row>
    <row r="289" spans="1:62" x14ac:dyDescent="0.25">
      <c r="A289" s="26"/>
      <c r="B289" s="26">
        <v>5.0019999999999998</v>
      </c>
      <c r="C289" s="145">
        <v>45383</v>
      </c>
      <c r="F289" s="26">
        <v>7.0163996744301016E-2</v>
      </c>
      <c r="V289" s="25">
        <v>0</v>
      </c>
      <c r="W289" s="25">
        <v>0.19500000000000001</v>
      </c>
      <c r="X289" s="25">
        <v>0.25</v>
      </c>
      <c r="AM289" s="25">
        <v>0.45</v>
      </c>
      <c r="AN289" s="25">
        <v>7.9976600000000009E-2</v>
      </c>
      <c r="AO289" s="25">
        <v>0</v>
      </c>
      <c r="AP289" s="25">
        <v>0</v>
      </c>
      <c r="AQ289" s="25">
        <v>0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BD289" s="25">
        <v>4.4976600000000005E-2</v>
      </c>
      <c r="BF289" s="25">
        <v>-0.2</v>
      </c>
      <c r="BJ289" s="25">
        <v>0.35499999999999998</v>
      </c>
    </row>
    <row r="290" spans="1:62" x14ac:dyDescent="0.25">
      <c r="A290" s="26"/>
      <c r="B290" s="26">
        <v>4.907</v>
      </c>
      <c r="C290" s="145">
        <v>45413</v>
      </c>
      <c r="F290" s="26">
        <v>7.015797309537701E-2</v>
      </c>
      <c r="V290" s="25">
        <v>0</v>
      </c>
      <c r="W290" s="25">
        <v>0.1825</v>
      </c>
      <c r="X290" s="25">
        <v>0.20250000000000001</v>
      </c>
      <c r="AM290" s="25">
        <v>0.40500000000000003</v>
      </c>
      <c r="AN290" s="25">
        <v>7.9968100000000014E-2</v>
      </c>
      <c r="AO290" s="25">
        <v>0</v>
      </c>
      <c r="AP290" s="25">
        <v>0</v>
      </c>
      <c r="AQ290" s="25">
        <v>0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BD290" s="25">
        <v>4.4968100000000004E-2</v>
      </c>
      <c r="BF290" s="25">
        <v>-0.2</v>
      </c>
      <c r="BJ290" s="25">
        <v>0.28749999999999998</v>
      </c>
    </row>
    <row r="291" spans="1:62" x14ac:dyDescent="0.25">
      <c r="A291" s="26"/>
      <c r="B291" s="26">
        <v>4.8150000000000004</v>
      </c>
      <c r="C291" s="145">
        <v>45444</v>
      </c>
      <c r="F291" s="26">
        <v>7.015174865816802E-2</v>
      </c>
      <c r="V291" s="25">
        <v>0</v>
      </c>
      <c r="W291" s="25">
        <v>0.1825</v>
      </c>
      <c r="X291" s="25">
        <v>0.20250000000000001</v>
      </c>
      <c r="AM291" s="25">
        <v>0.39500000000000002</v>
      </c>
      <c r="AN291" s="25">
        <v>7.9968100000000014E-2</v>
      </c>
      <c r="AO291" s="25">
        <v>0</v>
      </c>
      <c r="AP291" s="25">
        <v>0</v>
      </c>
      <c r="AQ291" s="25">
        <v>0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BD291" s="25">
        <v>4.4968100000000004E-2</v>
      </c>
      <c r="BF291" s="25">
        <v>-0.2</v>
      </c>
      <c r="BJ291" s="25">
        <v>0.28749999999999998</v>
      </c>
    </row>
    <row r="292" spans="1:62" x14ac:dyDescent="0.25">
      <c r="A292" s="26"/>
      <c r="B292" s="26">
        <v>4.8079999999999998</v>
      </c>
      <c r="C292" s="145">
        <v>45474</v>
      </c>
      <c r="F292" s="26">
        <v>7.0145725009268023E-2</v>
      </c>
      <c r="V292" s="25">
        <v>0</v>
      </c>
      <c r="W292" s="25">
        <v>0.1825</v>
      </c>
      <c r="X292" s="25">
        <v>0.215</v>
      </c>
      <c r="AM292" s="25">
        <v>0.43</v>
      </c>
      <c r="AN292" s="25">
        <v>7.9968100000000014E-2</v>
      </c>
      <c r="AO292" s="25">
        <v>0</v>
      </c>
      <c r="AP292" s="25">
        <v>0</v>
      </c>
      <c r="AQ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BD292" s="25">
        <v>4.4968100000000004E-2</v>
      </c>
      <c r="BF292" s="25">
        <v>-0.2</v>
      </c>
      <c r="BJ292" s="25">
        <v>0.3</v>
      </c>
    </row>
    <row r="293" spans="1:62" x14ac:dyDescent="0.25">
      <c r="A293" s="26"/>
      <c r="B293" s="26"/>
      <c r="C293" s="145">
        <v>45505</v>
      </c>
      <c r="F293" s="26">
        <v>7.0139500572083999E-2</v>
      </c>
      <c r="V293" s="25">
        <v>0</v>
      </c>
      <c r="W293" s="25">
        <v>0.1825</v>
      </c>
      <c r="X293" s="25">
        <v>0.215</v>
      </c>
      <c r="AM293" s="25">
        <v>0.495</v>
      </c>
      <c r="AN293" s="25">
        <v>7.9968100000000014E-2</v>
      </c>
      <c r="AO293" s="25">
        <v>0</v>
      </c>
      <c r="AP293" s="25">
        <v>0</v>
      </c>
      <c r="AQ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BD293" s="25">
        <v>4.4968100000000004E-2</v>
      </c>
      <c r="BF293" s="25">
        <v>-0.2</v>
      </c>
      <c r="BJ293" s="25">
        <v>0.3</v>
      </c>
    </row>
    <row r="294" spans="1:62" x14ac:dyDescent="0.25">
      <c r="A294" s="26"/>
      <c r="B294" s="26"/>
      <c r="C294" s="145">
        <v>45536</v>
      </c>
      <c r="F294" s="26">
        <v>7.0133276134913006E-2</v>
      </c>
      <c r="V294" s="25">
        <v>0</v>
      </c>
      <c r="W294" s="25">
        <v>0.1825</v>
      </c>
      <c r="X294" s="25">
        <v>0.19500000000000001</v>
      </c>
      <c r="AM294" s="25">
        <v>0.39500000000000002</v>
      </c>
      <c r="AN294" s="25">
        <v>7.9968100000000014E-2</v>
      </c>
      <c r="AO294" s="25">
        <v>0</v>
      </c>
      <c r="AP294" s="25">
        <v>0</v>
      </c>
      <c r="AQ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BD294" s="25">
        <v>4.4968100000000004E-2</v>
      </c>
      <c r="BF294" s="25">
        <v>-0.2</v>
      </c>
      <c r="BJ294" s="25">
        <v>0.28999999999999998</v>
      </c>
    </row>
    <row r="295" spans="1:62" x14ac:dyDescent="0.25">
      <c r="A295" s="26"/>
      <c r="B295" s="26"/>
      <c r="C295" s="145">
        <v>45566</v>
      </c>
      <c r="F295" s="26">
        <v>7.0127252486050007E-2</v>
      </c>
      <c r="V295" s="25">
        <v>0</v>
      </c>
      <c r="W295" s="25">
        <v>0.1875</v>
      </c>
      <c r="X295" s="25">
        <v>0.215</v>
      </c>
      <c r="AM295" s="25">
        <v>0.46100000000000002</v>
      </c>
      <c r="AN295" s="25">
        <v>7.9968100000000014E-2</v>
      </c>
      <c r="AO295" s="25">
        <v>0</v>
      </c>
      <c r="AP295" s="25">
        <v>0</v>
      </c>
      <c r="AQ295" s="25">
        <v>0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BD295" s="25">
        <v>4.4968100000000004E-2</v>
      </c>
      <c r="BF295" s="25">
        <v>-0.2</v>
      </c>
      <c r="BJ295" s="25">
        <v>0.36249999999999999</v>
      </c>
    </row>
    <row r="296" spans="1:62" x14ac:dyDescent="0.25">
      <c r="A296" s="26"/>
      <c r="B296" s="26"/>
      <c r="C296" s="145">
        <v>45597</v>
      </c>
      <c r="F296" s="26">
        <v>7.0121028048902995E-2</v>
      </c>
      <c r="V296" s="25">
        <v>0</v>
      </c>
      <c r="W296" s="25">
        <v>0.27</v>
      </c>
      <c r="X296" s="25">
        <v>0.28749999999999998</v>
      </c>
      <c r="AM296" s="25">
        <v>0.76749999999999996</v>
      </c>
      <c r="AN296" s="25">
        <v>1.1200000000000001E-5</v>
      </c>
      <c r="AO296" s="25">
        <v>0</v>
      </c>
      <c r="AP296" s="25">
        <v>0</v>
      </c>
      <c r="AQ296" s="25">
        <v>0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BD296" s="25">
        <v>-3.4988700000000005E-2</v>
      </c>
      <c r="BF296" s="25">
        <v>-0.2</v>
      </c>
      <c r="BJ296" s="25">
        <v>0.46500000000000002</v>
      </c>
    </row>
    <row r="297" spans="1:62" x14ac:dyDescent="0.25">
      <c r="A297" s="26"/>
      <c r="B297" s="26"/>
      <c r="C297" s="145">
        <v>45627</v>
      </c>
      <c r="F297" s="26">
        <v>7.0115004400065017E-2</v>
      </c>
      <c r="V297" s="25">
        <v>0</v>
      </c>
      <c r="W297" s="25">
        <v>0.30499999999999999</v>
      </c>
      <c r="X297" s="25">
        <v>0.33750000000000002</v>
      </c>
      <c r="AM297" s="25">
        <v>1.19</v>
      </c>
      <c r="AN297" s="25">
        <v>-1.4951900000000001E-2</v>
      </c>
      <c r="AO297" s="25">
        <v>0</v>
      </c>
      <c r="AP297" s="25">
        <v>0</v>
      </c>
      <c r="AQ297" s="25">
        <v>0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BD297" s="25">
        <v>-4.99519E-2</v>
      </c>
      <c r="BF297" s="25">
        <v>-0.2</v>
      </c>
      <c r="BJ297" s="25">
        <v>0.8</v>
      </c>
    </row>
    <row r="298" spans="1:62" x14ac:dyDescent="0.25">
      <c r="A298" s="26"/>
      <c r="B298" s="26"/>
      <c r="C298" s="145">
        <v>45658</v>
      </c>
      <c r="F298" s="26">
        <v>7.0108779962945025E-2</v>
      </c>
      <c r="V298" s="25">
        <v>0</v>
      </c>
      <c r="W298" s="25">
        <v>0.30499999999999999</v>
      </c>
      <c r="X298" s="25">
        <v>0.4375</v>
      </c>
      <c r="AM298" s="25">
        <v>1.5249999999999999</v>
      </c>
      <c r="AN298" s="25">
        <v>-9.9550999999999997E-3</v>
      </c>
      <c r="AO298" s="25">
        <v>0</v>
      </c>
      <c r="AP298" s="25">
        <v>0</v>
      </c>
      <c r="AQ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BD298" s="25">
        <v>-4.4955100000000005E-2</v>
      </c>
      <c r="BF298" s="25">
        <v>-0.2</v>
      </c>
      <c r="BJ298" s="25">
        <v>0.97499999999999998</v>
      </c>
    </row>
    <row r="299" spans="1:62" x14ac:dyDescent="0.25">
      <c r="A299" s="26"/>
      <c r="B299" s="26"/>
      <c r="C299" s="145">
        <v>45689</v>
      </c>
      <c r="F299" s="26">
        <v>7.0102555525836011E-2</v>
      </c>
      <c r="V299" s="25">
        <v>0</v>
      </c>
      <c r="W299" s="25">
        <v>0.30499999999999999</v>
      </c>
      <c r="X299" s="25">
        <v>0.435</v>
      </c>
      <c r="AM299" s="25">
        <v>1.4550000000000001</v>
      </c>
      <c r="AN299" s="25">
        <v>1.5042500000000002E-2</v>
      </c>
      <c r="AO299" s="25">
        <v>0</v>
      </c>
      <c r="AP299" s="25">
        <v>0</v>
      </c>
      <c r="AQ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BD299" s="25">
        <v>-1.99574E-2</v>
      </c>
      <c r="BF299" s="25">
        <v>-0.2</v>
      </c>
      <c r="BJ299" s="25">
        <v>0.97499999999999998</v>
      </c>
    </row>
    <row r="300" spans="1:62" x14ac:dyDescent="0.25">
      <c r="A300" s="26"/>
      <c r="B300" s="26"/>
      <c r="C300" s="145">
        <v>45717</v>
      </c>
      <c r="F300" s="26">
        <v>7.0096933453621016E-2</v>
      </c>
      <c r="V300" s="25">
        <v>0</v>
      </c>
      <c r="W300" s="25">
        <v>0.26500000000000001</v>
      </c>
      <c r="X300" s="25">
        <v>0.30249999999999999</v>
      </c>
      <c r="AM300" s="25">
        <v>0.83499999999999996</v>
      </c>
      <c r="AN300" s="25">
        <v>2.5042500000000002E-2</v>
      </c>
      <c r="AO300" s="25">
        <v>0</v>
      </c>
      <c r="AP300" s="25">
        <v>0</v>
      </c>
      <c r="AQ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BD300" s="25">
        <v>-9.9573999999999999E-3</v>
      </c>
      <c r="BF300" s="25">
        <v>-0.2</v>
      </c>
      <c r="BJ300" s="25">
        <v>0.60750000000000004</v>
      </c>
    </row>
    <row r="301" spans="1:62" x14ac:dyDescent="0.25">
      <c r="A301" s="26"/>
      <c r="B301" s="26"/>
      <c r="C301" s="145">
        <v>45748</v>
      </c>
      <c r="F301" s="26">
        <v>7.0090709016538008E-2</v>
      </c>
      <c r="V301" s="25">
        <v>0</v>
      </c>
      <c r="W301" s="25">
        <v>0.19500000000000001</v>
      </c>
      <c r="X301" s="25">
        <v>0.25</v>
      </c>
      <c r="AM301" s="25">
        <v>0.45</v>
      </c>
      <c r="AN301" s="25">
        <v>8.4976600000000013E-2</v>
      </c>
      <c r="AO301" s="25">
        <v>0</v>
      </c>
      <c r="AP301" s="25">
        <v>0</v>
      </c>
      <c r="AQ301" s="25">
        <v>0</v>
      </c>
      <c r="AS301" s="25">
        <v>0</v>
      </c>
      <c r="AT301" s="25">
        <v>0</v>
      </c>
      <c r="AU301" s="25">
        <v>0</v>
      </c>
      <c r="AV301" s="25">
        <v>0</v>
      </c>
      <c r="AW301" s="25">
        <v>0</v>
      </c>
      <c r="BD301" s="25">
        <v>4.997660000000001E-2</v>
      </c>
      <c r="BF301" s="25">
        <v>-0.2</v>
      </c>
      <c r="BJ301" s="25">
        <v>0.35499999999999998</v>
      </c>
    </row>
    <row r="302" spans="1:62" x14ac:dyDescent="0.25">
      <c r="A302" s="26"/>
      <c r="B302" s="26"/>
      <c r="C302" s="145">
        <v>45778</v>
      </c>
      <c r="F302" s="26">
        <v>7.0084685367758998E-2</v>
      </c>
      <c r="V302" s="25">
        <v>0</v>
      </c>
      <c r="W302" s="25">
        <v>0.1825</v>
      </c>
      <c r="X302" s="25">
        <v>0.20250000000000001</v>
      </c>
      <c r="AM302" s="25">
        <v>0.40500000000000003</v>
      </c>
      <c r="AN302" s="25">
        <v>8.4968100000000005E-2</v>
      </c>
      <c r="AO302" s="25">
        <v>0</v>
      </c>
      <c r="AP302" s="25">
        <v>0</v>
      </c>
      <c r="AQ302" s="25">
        <v>0</v>
      </c>
      <c r="AS302" s="25">
        <v>0</v>
      </c>
      <c r="AT302" s="25">
        <v>0</v>
      </c>
      <c r="AU302" s="25">
        <v>0</v>
      </c>
      <c r="AV302" s="25">
        <v>0</v>
      </c>
      <c r="AW302" s="25">
        <v>0</v>
      </c>
      <c r="BD302" s="25">
        <v>4.9968100000000001E-2</v>
      </c>
      <c r="BF302" s="25">
        <v>-0.2</v>
      </c>
      <c r="BJ302" s="25">
        <v>0.28749999999999998</v>
      </c>
    </row>
    <row r="303" spans="1:62" x14ac:dyDescent="0.25">
      <c r="A303" s="26"/>
      <c r="B303" s="26"/>
      <c r="C303" s="145">
        <v>45809</v>
      </c>
      <c r="F303" s="26">
        <v>7.0078460930701011E-2</v>
      </c>
      <c r="V303" s="25">
        <v>0</v>
      </c>
      <c r="W303" s="25">
        <v>0.1825</v>
      </c>
      <c r="X303" s="25">
        <v>0.20250000000000001</v>
      </c>
      <c r="AM303" s="25">
        <v>0.39500000000000002</v>
      </c>
      <c r="AN303" s="25">
        <v>8.4968100000000005E-2</v>
      </c>
      <c r="AO303" s="25">
        <v>0</v>
      </c>
      <c r="AP303" s="25">
        <v>0</v>
      </c>
      <c r="AQ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BD303" s="25">
        <v>4.9968100000000001E-2</v>
      </c>
      <c r="BF303" s="25">
        <v>-0.2</v>
      </c>
      <c r="BJ303" s="25">
        <v>0.28749999999999998</v>
      </c>
    </row>
    <row r="304" spans="1:62" x14ac:dyDescent="0.25">
      <c r="A304" s="26"/>
      <c r="B304" s="26"/>
      <c r="C304" s="145">
        <v>45839</v>
      </c>
      <c r="F304" s="26">
        <v>7.0072437281946995E-2</v>
      </c>
      <c r="V304" s="25">
        <v>0</v>
      </c>
      <c r="W304" s="25">
        <v>0.1825</v>
      </c>
      <c r="X304" s="25">
        <v>0.215</v>
      </c>
      <c r="AM304" s="25">
        <v>0.43</v>
      </c>
      <c r="AN304" s="25">
        <v>8.4968100000000005E-2</v>
      </c>
      <c r="AO304" s="25">
        <v>0</v>
      </c>
      <c r="AP304" s="25">
        <v>0</v>
      </c>
      <c r="AQ304" s="25">
        <v>0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BD304" s="25">
        <v>4.9968100000000001E-2</v>
      </c>
      <c r="BF304" s="25">
        <v>-0.2</v>
      </c>
      <c r="BJ304" s="25">
        <v>0.3</v>
      </c>
    </row>
    <row r="305" spans="1:62" x14ac:dyDescent="0.25">
      <c r="A305" s="26"/>
      <c r="B305" s="26"/>
      <c r="C305" s="145">
        <v>45870</v>
      </c>
      <c r="F305" s="26">
        <v>7.0066212844914016E-2</v>
      </c>
      <c r="V305" s="25">
        <v>0</v>
      </c>
      <c r="W305" s="25">
        <v>0.1825</v>
      </c>
      <c r="X305" s="25">
        <v>0.215</v>
      </c>
      <c r="AM305" s="25">
        <v>0.495</v>
      </c>
      <c r="AN305" s="25">
        <v>8.4968100000000005E-2</v>
      </c>
      <c r="AO305" s="25">
        <v>0</v>
      </c>
      <c r="AP305" s="25">
        <v>0</v>
      </c>
      <c r="AQ305" s="25">
        <v>0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BD305" s="25">
        <v>4.9968100000000001E-2</v>
      </c>
      <c r="BF305" s="25">
        <v>-0.2</v>
      </c>
      <c r="BJ305" s="25">
        <v>0.3</v>
      </c>
    </row>
    <row r="306" spans="1:62" x14ac:dyDescent="0.25">
      <c r="A306" s="26"/>
      <c r="B306" s="26"/>
      <c r="C306" s="145">
        <v>45901</v>
      </c>
      <c r="F306" s="26">
        <v>7.0059988407894028E-2</v>
      </c>
      <c r="V306" s="25">
        <v>0</v>
      </c>
      <c r="W306" s="25">
        <v>0.1825</v>
      </c>
      <c r="X306" s="25">
        <v>0.19500000000000001</v>
      </c>
      <c r="AM306" s="25">
        <v>0.39500000000000002</v>
      </c>
      <c r="AN306" s="25">
        <v>8.4968100000000005E-2</v>
      </c>
      <c r="AO306" s="25">
        <v>0</v>
      </c>
      <c r="AP306" s="25">
        <v>0</v>
      </c>
      <c r="AQ306" s="25">
        <v>0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BD306" s="25">
        <v>4.9968100000000001E-2</v>
      </c>
      <c r="BF306" s="25">
        <v>-0.2</v>
      </c>
      <c r="BJ306" s="25">
        <v>0.28999999999999998</v>
      </c>
    </row>
    <row r="307" spans="1:62" x14ac:dyDescent="0.25">
      <c r="C307" s="145">
        <v>45931</v>
      </c>
      <c r="F307" s="26">
        <v>7.0053964759177009E-2</v>
      </c>
      <c r="V307" s="25">
        <v>0</v>
      </c>
      <c r="W307" s="25">
        <v>0.1875</v>
      </c>
      <c r="X307" s="25">
        <v>0.215</v>
      </c>
      <c r="AM307" s="25">
        <v>0.46100000000000002</v>
      </c>
      <c r="AN307" s="25">
        <v>8.4968100000000005E-2</v>
      </c>
      <c r="AO307" s="25">
        <v>0</v>
      </c>
      <c r="AP307" s="25">
        <v>0</v>
      </c>
      <c r="AQ307" s="25">
        <v>0</v>
      </c>
      <c r="AS307" s="25">
        <v>0</v>
      </c>
      <c r="AT307" s="25">
        <v>0</v>
      </c>
      <c r="AU307" s="25">
        <v>0</v>
      </c>
      <c r="AV307" s="25">
        <v>0</v>
      </c>
      <c r="AW307" s="25">
        <v>0</v>
      </c>
      <c r="BD307" s="25">
        <v>4.9968100000000001E-2</v>
      </c>
      <c r="BF307" s="25">
        <v>-0.2</v>
      </c>
      <c r="BJ307" s="25">
        <v>0.36249999999999999</v>
      </c>
    </row>
    <row r="308" spans="1:62" x14ac:dyDescent="0.25">
      <c r="C308" s="145">
        <v>45962</v>
      </c>
      <c r="F308" s="26">
        <v>7.0047740322181001E-2</v>
      </c>
      <c r="V308" s="25">
        <v>0</v>
      </c>
      <c r="W308" s="25">
        <v>0.27</v>
      </c>
      <c r="X308" s="25">
        <v>0.28749999999999998</v>
      </c>
      <c r="AM308" s="25">
        <v>0.76749999999999996</v>
      </c>
      <c r="AN308" s="25">
        <v>5.0112000000000004E-3</v>
      </c>
      <c r="AO308" s="25">
        <v>0</v>
      </c>
      <c r="AP308" s="25">
        <v>0</v>
      </c>
      <c r="AQ308" s="25">
        <v>0</v>
      </c>
      <c r="AS308" s="25">
        <v>0</v>
      </c>
      <c r="AT308" s="25">
        <v>0</v>
      </c>
      <c r="AU308" s="25">
        <v>0</v>
      </c>
      <c r="AV308" s="25">
        <v>0</v>
      </c>
      <c r="AW308" s="25">
        <v>0</v>
      </c>
      <c r="BD308" s="25">
        <v>-2.9988700000000004E-2</v>
      </c>
      <c r="BF308" s="25">
        <v>-0.2</v>
      </c>
      <c r="BJ308" s="25">
        <v>0.46500000000000002</v>
      </c>
    </row>
    <row r="309" spans="1:62" x14ac:dyDescent="0.25">
      <c r="C309" s="145">
        <v>45992</v>
      </c>
      <c r="F309" s="26">
        <v>7.0041716673489005E-2</v>
      </c>
      <c r="V309" s="25">
        <v>0</v>
      </c>
      <c r="W309" s="25">
        <v>0.30499999999999999</v>
      </c>
      <c r="X309" s="25">
        <v>0.33750000000000002</v>
      </c>
      <c r="AM309" s="25">
        <v>1.19</v>
      </c>
      <c r="AN309" s="25">
        <v>-9.9519000000000014E-3</v>
      </c>
      <c r="AO309" s="25">
        <v>0</v>
      </c>
      <c r="AP309" s="25">
        <v>0</v>
      </c>
      <c r="AQ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BD309" s="25">
        <v>-4.4951900000000003E-2</v>
      </c>
      <c r="BF309" s="25">
        <v>-0.2</v>
      </c>
      <c r="BJ309" s="25">
        <v>0.8</v>
      </c>
    </row>
    <row r="310" spans="1:62" x14ac:dyDescent="0.25">
      <c r="C310" s="145">
        <v>46023</v>
      </c>
      <c r="F310" s="26">
        <v>7.0035492236519017E-2</v>
      </c>
      <c r="V310" s="25">
        <v>0</v>
      </c>
      <c r="W310" s="25">
        <v>0.30499999999999999</v>
      </c>
      <c r="X310" s="25">
        <v>0.4375</v>
      </c>
      <c r="AM310" s="25">
        <v>1.5249999999999999</v>
      </c>
      <c r="AN310" s="25">
        <v>-4.9551000000000005E-3</v>
      </c>
      <c r="AO310" s="25">
        <v>0</v>
      </c>
      <c r="AP310" s="25">
        <v>0</v>
      </c>
      <c r="AQ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BD310" s="25">
        <v>-3.99551E-2</v>
      </c>
      <c r="BF310" s="25">
        <v>0</v>
      </c>
      <c r="BJ310" s="25">
        <v>0.97499999999999998</v>
      </c>
    </row>
    <row r="311" spans="1:62" x14ac:dyDescent="0.25">
      <c r="C311" s="145">
        <v>46054</v>
      </c>
      <c r="F311" s="26">
        <v>7.0029267799562006E-2</v>
      </c>
      <c r="V311" s="25">
        <v>0</v>
      </c>
      <c r="W311" s="25">
        <v>0.30499999999999999</v>
      </c>
      <c r="X311" s="25">
        <v>0.435</v>
      </c>
      <c r="AM311" s="25">
        <v>1.4550000000000001</v>
      </c>
      <c r="AN311" s="25">
        <v>2.0042500000000005E-2</v>
      </c>
      <c r="AO311" s="25">
        <v>0</v>
      </c>
      <c r="AP311" s="25">
        <v>0</v>
      </c>
      <c r="AQ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BD311" s="25">
        <v>-1.4957400000000001E-2</v>
      </c>
      <c r="BF311" s="25">
        <v>0</v>
      </c>
      <c r="BJ311" s="25">
        <v>0.97499999999999998</v>
      </c>
    </row>
    <row r="312" spans="1:62" x14ac:dyDescent="0.25">
      <c r="C312" s="145">
        <v>46082</v>
      </c>
      <c r="F312" s="26">
        <v>7.0023645727483E-2</v>
      </c>
      <c r="V312" s="25">
        <v>0</v>
      </c>
      <c r="W312" s="25">
        <v>0.26500000000000001</v>
      </c>
      <c r="X312" s="25">
        <v>0.30249999999999999</v>
      </c>
      <c r="AM312" s="25">
        <v>0.83499999999999996</v>
      </c>
      <c r="AN312" s="25">
        <v>3.0042500000000003E-2</v>
      </c>
      <c r="AO312" s="25">
        <v>0</v>
      </c>
      <c r="AP312" s="25">
        <v>0</v>
      </c>
      <c r="AQ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BD312" s="25">
        <v>-4.9574000000000007E-3</v>
      </c>
      <c r="BF312" s="25">
        <v>0</v>
      </c>
      <c r="BJ312" s="25">
        <v>0.60750000000000004</v>
      </c>
    </row>
    <row r="313" spans="1:62" x14ac:dyDescent="0.25">
      <c r="C313" s="145">
        <v>46113</v>
      </c>
      <c r="F313" s="26">
        <v>7.0017421290550025E-2</v>
      </c>
      <c r="V313" s="25">
        <v>0</v>
      </c>
      <c r="W313" s="25">
        <v>0.19500000000000001</v>
      </c>
      <c r="X313" s="25">
        <v>0.25</v>
      </c>
      <c r="AM313" s="25">
        <v>0.45</v>
      </c>
      <c r="AN313" s="25">
        <v>8.9976600000000018E-2</v>
      </c>
      <c r="AO313" s="25">
        <v>0</v>
      </c>
      <c r="AP313" s="25">
        <v>0</v>
      </c>
      <c r="AQ313" s="25">
        <v>0</v>
      </c>
      <c r="AS313" s="25">
        <v>0</v>
      </c>
      <c r="AT313" s="25">
        <v>0</v>
      </c>
      <c r="AU313" s="25">
        <v>0</v>
      </c>
      <c r="AV313" s="25">
        <v>0</v>
      </c>
      <c r="AW313" s="25">
        <v>0</v>
      </c>
      <c r="BD313" s="25">
        <v>5.49766E-2</v>
      </c>
      <c r="BF313" s="25">
        <v>0</v>
      </c>
      <c r="BJ313" s="25">
        <v>0.35499999999999998</v>
      </c>
    </row>
    <row r="314" spans="1:62" x14ac:dyDescent="0.25">
      <c r="C314" s="145">
        <v>46143</v>
      </c>
      <c r="F314" s="26">
        <v>7.0011397641918022E-2</v>
      </c>
      <c r="V314" s="25">
        <v>0</v>
      </c>
      <c r="W314" s="25">
        <v>0.1825</v>
      </c>
      <c r="X314" s="25">
        <v>0.20250000000000001</v>
      </c>
      <c r="AM314" s="25">
        <v>0.40500000000000003</v>
      </c>
      <c r="AN314" s="25">
        <v>8.9968099999999995E-2</v>
      </c>
      <c r="AO314" s="25">
        <v>0</v>
      </c>
      <c r="AP314" s="25">
        <v>0</v>
      </c>
      <c r="AQ314" s="25">
        <v>0</v>
      </c>
      <c r="AS314" s="25">
        <v>0</v>
      </c>
      <c r="AT314" s="25">
        <v>0</v>
      </c>
      <c r="AU314" s="25">
        <v>0</v>
      </c>
      <c r="AV314" s="25">
        <v>0</v>
      </c>
      <c r="AW314" s="25">
        <v>0</v>
      </c>
      <c r="BD314" s="25">
        <v>5.4968100000000013E-2</v>
      </c>
      <c r="BF314" s="25">
        <v>0</v>
      </c>
      <c r="BJ314" s="25">
        <v>0.28749999999999998</v>
      </c>
    </row>
    <row r="315" spans="1:62" x14ac:dyDescent="0.25">
      <c r="C315" s="145">
        <v>46174</v>
      </c>
      <c r="F315" s="26">
        <v>7.0005173205009999E-2</v>
      </c>
      <c r="V315" s="25">
        <v>0</v>
      </c>
      <c r="W315" s="25">
        <v>0.1825</v>
      </c>
      <c r="X315" s="25">
        <v>0.20250000000000001</v>
      </c>
      <c r="AM315" s="25">
        <v>0.39500000000000002</v>
      </c>
      <c r="AN315" s="25">
        <v>8.9968099999999995E-2</v>
      </c>
      <c r="AO315" s="25">
        <v>0</v>
      </c>
      <c r="AP315" s="25">
        <v>0</v>
      </c>
      <c r="AQ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BD315" s="25">
        <v>5.4968100000000013E-2</v>
      </c>
      <c r="BF315" s="25">
        <v>0</v>
      </c>
      <c r="BJ315" s="25">
        <v>0.28749999999999998</v>
      </c>
    </row>
    <row r="316" spans="1:62" x14ac:dyDescent="0.25">
      <c r="C316" s="145">
        <v>46204</v>
      </c>
      <c r="F316" s="26">
        <v>6.9999149556403018E-2</v>
      </c>
      <c r="V316" s="25">
        <v>0</v>
      </c>
      <c r="W316" s="25">
        <v>0.1825</v>
      </c>
      <c r="X316" s="25">
        <v>0.215</v>
      </c>
      <c r="AM316" s="25">
        <v>0.43</v>
      </c>
      <c r="AN316" s="25">
        <v>8.9968099999999995E-2</v>
      </c>
      <c r="AO316" s="25">
        <v>0</v>
      </c>
      <c r="AP316" s="25">
        <v>0</v>
      </c>
      <c r="AQ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0</v>
      </c>
      <c r="BD316" s="25">
        <v>5.4968100000000013E-2</v>
      </c>
      <c r="BF316" s="25">
        <v>0</v>
      </c>
      <c r="BJ316" s="25">
        <v>0.3</v>
      </c>
    </row>
    <row r="317" spans="1:62" x14ac:dyDescent="0.25">
      <c r="C317" s="145">
        <v>46235</v>
      </c>
      <c r="F317" s="26">
        <v>6.9992925119520016E-2</v>
      </c>
      <c r="V317" s="25">
        <v>0</v>
      </c>
      <c r="W317" s="25">
        <v>0.1825</v>
      </c>
      <c r="X317" s="25">
        <v>0.215</v>
      </c>
      <c r="AM317" s="25">
        <v>0.495</v>
      </c>
      <c r="AN317" s="25">
        <v>8.9968099999999995E-2</v>
      </c>
      <c r="AO317" s="25">
        <v>0</v>
      </c>
      <c r="AP317" s="25">
        <v>0</v>
      </c>
      <c r="AQ317" s="25">
        <v>0</v>
      </c>
      <c r="AS317" s="25">
        <v>0</v>
      </c>
      <c r="AT317" s="25">
        <v>0</v>
      </c>
      <c r="AU317" s="25">
        <v>0</v>
      </c>
      <c r="AV317" s="25">
        <v>0</v>
      </c>
      <c r="AW317" s="25">
        <v>0</v>
      </c>
      <c r="BD317" s="25">
        <v>5.4968100000000013E-2</v>
      </c>
      <c r="BF317" s="25">
        <v>0</v>
      </c>
      <c r="BJ317" s="25">
        <v>0.3</v>
      </c>
    </row>
    <row r="318" spans="1:62" x14ac:dyDescent="0.25">
      <c r="C318" s="145">
        <v>46266</v>
      </c>
      <c r="F318" s="26">
        <v>6.9986700682651004E-2</v>
      </c>
      <c r="V318" s="25">
        <v>0</v>
      </c>
      <c r="W318" s="25">
        <v>0.1825</v>
      </c>
      <c r="X318" s="25">
        <v>0.19500000000000001</v>
      </c>
      <c r="AM318" s="25">
        <v>0.39500000000000002</v>
      </c>
      <c r="AN318" s="25">
        <v>8.9968099999999995E-2</v>
      </c>
      <c r="AO318" s="25">
        <v>0</v>
      </c>
      <c r="AP318" s="25">
        <v>0</v>
      </c>
      <c r="AQ318" s="25">
        <v>0</v>
      </c>
      <c r="AS318" s="25">
        <v>0</v>
      </c>
      <c r="AT318" s="25">
        <v>0</v>
      </c>
      <c r="AU318" s="25">
        <v>0</v>
      </c>
      <c r="AV318" s="25">
        <v>0</v>
      </c>
      <c r="AW318" s="25">
        <v>0</v>
      </c>
      <c r="BD318" s="25">
        <v>5.4968100000000013E-2</v>
      </c>
      <c r="BF318" s="25">
        <v>0</v>
      </c>
      <c r="BJ318" s="25">
        <v>0.28999999999999998</v>
      </c>
    </row>
    <row r="319" spans="1:62" x14ac:dyDescent="0.25">
      <c r="C319" s="145">
        <v>46296</v>
      </c>
      <c r="F319" s="26">
        <v>6.9980677034080022E-2</v>
      </c>
      <c r="V319" s="25">
        <v>0</v>
      </c>
      <c r="W319" s="25">
        <v>0.1875</v>
      </c>
      <c r="X319" s="25">
        <v>0.215</v>
      </c>
      <c r="AM319" s="25">
        <v>0.46100000000000002</v>
      </c>
      <c r="AN319" s="25">
        <v>8.9968099999999995E-2</v>
      </c>
      <c r="AO319" s="25">
        <v>0</v>
      </c>
      <c r="AP319" s="25">
        <v>0</v>
      </c>
      <c r="AQ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BD319" s="25">
        <v>5.4968100000000013E-2</v>
      </c>
      <c r="BF319" s="25">
        <v>0</v>
      </c>
      <c r="BJ319" s="25">
        <v>0.36249999999999999</v>
      </c>
    </row>
    <row r="320" spans="1:62" x14ac:dyDescent="0.25">
      <c r="C320" s="145">
        <v>46327</v>
      </c>
      <c r="F320" s="26">
        <v>6.9974452597235004E-2</v>
      </c>
      <c r="V320" s="25">
        <v>0</v>
      </c>
      <c r="W320" s="25">
        <v>0.27</v>
      </c>
      <c r="X320" s="25">
        <v>0.28749999999999998</v>
      </c>
      <c r="AM320" s="25">
        <v>0.76749999999999996</v>
      </c>
      <c r="AN320" s="25">
        <v>1.00112E-2</v>
      </c>
      <c r="AO320" s="25">
        <v>0</v>
      </c>
      <c r="AP320" s="25">
        <v>0</v>
      </c>
      <c r="AQ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BD320" s="25">
        <v>-2.4988700000000003E-2</v>
      </c>
      <c r="BF320" s="25">
        <v>0</v>
      </c>
      <c r="BJ320" s="25">
        <v>0.46500000000000002</v>
      </c>
    </row>
    <row r="321" spans="3:62" x14ac:dyDescent="0.25">
      <c r="C321" s="145">
        <v>46357</v>
      </c>
      <c r="F321" s="26">
        <v>6.9968428948688002E-2</v>
      </c>
      <c r="V321" s="25">
        <v>0</v>
      </c>
      <c r="W321" s="25">
        <v>0.30499999999999999</v>
      </c>
      <c r="X321" s="25">
        <v>0.33750000000000002</v>
      </c>
      <c r="AM321" s="25">
        <v>1.19</v>
      </c>
      <c r="AN321" s="25">
        <v>-4.9519000000000013E-3</v>
      </c>
      <c r="AO321" s="25">
        <v>0</v>
      </c>
      <c r="AP321" s="25">
        <v>0</v>
      </c>
      <c r="AQ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BD321" s="25">
        <v>-3.9951899999999999E-2</v>
      </c>
      <c r="BF321" s="25">
        <v>0</v>
      </c>
      <c r="BJ321" s="25">
        <v>0.8</v>
      </c>
    </row>
    <row r="322" spans="3:62" x14ac:dyDescent="0.25">
      <c r="C322" s="145">
        <v>46388</v>
      </c>
      <c r="F322" s="26">
        <v>6.9962204511870005E-2</v>
      </c>
      <c r="V322" s="25">
        <v>0</v>
      </c>
      <c r="W322" s="25">
        <v>0.30499999999999999</v>
      </c>
      <c r="X322" s="25">
        <v>0.4375</v>
      </c>
      <c r="AM322" s="25">
        <v>1.5249999999999999</v>
      </c>
      <c r="AN322" s="25">
        <v>4.4800000000000005E-5</v>
      </c>
      <c r="AO322" s="25">
        <v>0</v>
      </c>
      <c r="AP322" s="25">
        <v>0</v>
      </c>
      <c r="AQ322" s="25">
        <v>0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BD322" s="25">
        <v>-3.4955100000000003E-2</v>
      </c>
      <c r="BF322" s="25">
        <v>0</v>
      </c>
      <c r="BJ322" s="25">
        <v>0.97499999999999998</v>
      </c>
    </row>
    <row r="323" spans="3:62" x14ac:dyDescent="0.25">
      <c r="C323" s="145">
        <v>46419</v>
      </c>
      <c r="F323" s="26">
        <v>6.9955980075064025E-2</v>
      </c>
      <c r="V323" s="25">
        <v>0</v>
      </c>
      <c r="W323" s="25">
        <v>0.30499999999999999</v>
      </c>
      <c r="X323" s="25">
        <v>0.435</v>
      </c>
      <c r="AM323" s="25">
        <v>1.4550000000000001</v>
      </c>
      <c r="AN323" s="25">
        <v>2.5042500000000002E-2</v>
      </c>
      <c r="AO323" s="25">
        <v>0</v>
      </c>
      <c r="AP323" s="25">
        <v>0</v>
      </c>
      <c r="AQ323" s="25">
        <v>0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BD323" s="25">
        <v>-9.9573999999999999E-3</v>
      </c>
      <c r="BF323" s="25">
        <v>0</v>
      </c>
      <c r="BJ323" s="25">
        <v>0.97499999999999998</v>
      </c>
    </row>
    <row r="324" spans="3:62" x14ac:dyDescent="0.25">
      <c r="C324" s="145">
        <v>46447</v>
      </c>
      <c r="F324" s="26">
        <v>6.9950358003119995E-2</v>
      </c>
      <c r="V324" s="25">
        <v>0</v>
      </c>
      <c r="W324" s="25">
        <v>0.26500000000000001</v>
      </c>
      <c r="X324" s="25">
        <v>0.30249999999999999</v>
      </c>
      <c r="AM324" s="25">
        <v>0.83499999999999996</v>
      </c>
      <c r="AN324" s="25">
        <v>3.5042500000000004E-2</v>
      </c>
      <c r="AO324" s="25">
        <v>0</v>
      </c>
      <c r="AP324" s="25">
        <v>0</v>
      </c>
      <c r="AQ324" s="25">
        <v>0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BD324" s="25">
        <v>4.2577000000002001E-5</v>
      </c>
      <c r="BF324" s="25">
        <v>0</v>
      </c>
      <c r="BJ324" s="25">
        <v>0.60750000000000004</v>
      </c>
    </row>
    <row r="325" spans="3:62" x14ac:dyDescent="0.25">
      <c r="C325" s="145">
        <v>46478</v>
      </c>
      <c r="F325" s="26">
        <v>6.9944133566339009E-2</v>
      </c>
      <c r="V325" s="25">
        <v>0</v>
      </c>
      <c r="W325" s="25">
        <v>0.19500000000000001</v>
      </c>
      <c r="X325" s="25">
        <v>0.25</v>
      </c>
      <c r="AM325" s="25">
        <v>0.45</v>
      </c>
      <c r="AN325" s="25">
        <v>9.4976600000000022E-2</v>
      </c>
      <c r="AO325" s="25">
        <v>0</v>
      </c>
      <c r="AP325" s="25">
        <v>0</v>
      </c>
      <c r="AQ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BD325" s="25">
        <v>5.9976599999999998E-2</v>
      </c>
      <c r="BF325" s="25">
        <v>0</v>
      </c>
      <c r="BJ325" s="25">
        <v>0.35499999999999998</v>
      </c>
    </row>
    <row r="326" spans="3:62" x14ac:dyDescent="0.25">
      <c r="C326" s="145">
        <v>46508</v>
      </c>
      <c r="F326" s="26">
        <v>6.9938109917853E-2</v>
      </c>
      <c r="V326" s="25">
        <v>0</v>
      </c>
      <c r="W326" s="25">
        <v>0.1825</v>
      </c>
      <c r="X326" s="25">
        <v>0.20250000000000001</v>
      </c>
      <c r="AM326" s="25">
        <v>0.40500000000000003</v>
      </c>
      <c r="AN326" s="25">
        <v>9.49681E-2</v>
      </c>
      <c r="AO326" s="25">
        <v>0</v>
      </c>
      <c r="AP326" s="25">
        <v>0</v>
      </c>
      <c r="AQ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0</v>
      </c>
      <c r="BD326" s="25">
        <v>5.996810000000001E-2</v>
      </c>
      <c r="BF326" s="25">
        <v>0</v>
      </c>
      <c r="BJ326" s="25">
        <v>0.28749999999999998</v>
      </c>
    </row>
    <row r="327" spans="3:62" x14ac:dyDescent="0.25">
      <c r="C327" s="145">
        <v>46539</v>
      </c>
      <c r="F327" s="26">
        <v>6.9931885481095024E-2</v>
      </c>
      <c r="V327" s="25">
        <v>0</v>
      </c>
      <c r="W327" s="25">
        <v>0.1825</v>
      </c>
      <c r="X327" s="25">
        <v>0.20250000000000001</v>
      </c>
      <c r="AM327" s="25">
        <v>0.39500000000000002</v>
      </c>
      <c r="AN327" s="25">
        <v>9.49681E-2</v>
      </c>
      <c r="AO327" s="25">
        <v>0</v>
      </c>
      <c r="AP327" s="25">
        <v>0</v>
      </c>
      <c r="AQ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0</v>
      </c>
      <c r="BD327" s="25">
        <v>5.996810000000001E-2</v>
      </c>
      <c r="BF327" s="25">
        <v>0</v>
      </c>
      <c r="BJ327" s="25">
        <v>0.28749999999999998</v>
      </c>
    </row>
    <row r="328" spans="3:62" x14ac:dyDescent="0.25">
      <c r="C328" s="145">
        <v>46569</v>
      </c>
      <c r="F328" s="26">
        <v>6.9925861832634009E-2</v>
      </c>
      <c r="V328" s="25">
        <v>0</v>
      </c>
      <c r="W328" s="25">
        <v>0.1825</v>
      </c>
      <c r="X328" s="25">
        <v>0.215</v>
      </c>
      <c r="AM328" s="25">
        <v>0.43</v>
      </c>
      <c r="AN328" s="25">
        <v>9.49681E-2</v>
      </c>
      <c r="AO328" s="25">
        <v>0</v>
      </c>
      <c r="AP328" s="25">
        <v>0</v>
      </c>
      <c r="AQ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BD328" s="25">
        <v>5.996810000000001E-2</v>
      </c>
      <c r="BF328" s="25">
        <v>0</v>
      </c>
      <c r="BJ328" s="25">
        <v>0.3</v>
      </c>
    </row>
    <row r="329" spans="3:62" x14ac:dyDescent="0.25">
      <c r="C329" s="145">
        <v>46600</v>
      </c>
      <c r="F329" s="26">
        <v>6.9919637395902998E-2</v>
      </c>
      <c r="V329" s="25">
        <v>0</v>
      </c>
      <c r="W329" s="25">
        <v>0.1825</v>
      </c>
      <c r="X329" s="25">
        <v>0.215</v>
      </c>
      <c r="AM329" s="25">
        <v>0.495</v>
      </c>
      <c r="AN329" s="25">
        <v>9.49681E-2</v>
      </c>
      <c r="AO329" s="25">
        <v>0</v>
      </c>
      <c r="AP329" s="25">
        <v>0</v>
      </c>
      <c r="AQ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BD329" s="25">
        <v>5.996810000000001E-2</v>
      </c>
      <c r="BF329" s="25">
        <v>0</v>
      </c>
      <c r="BJ329" s="25">
        <v>0.3</v>
      </c>
    </row>
    <row r="330" spans="3:62" x14ac:dyDescent="0.25">
      <c r="C330" s="145">
        <v>46631</v>
      </c>
      <c r="F330" s="26">
        <v>6.9913412959184018E-2</v>
      </c>
      <c r="V330" s="25">
        <v>0</v>
      </c>
      <c r="W330" s="25">
        <v>0.1825</v>
      </c>
      <c r="X330" s="25">
        <v>0.19500000000000001</v>
      </c>
      <c r="AM330" s="25">
        <v>0.39500000000000002</v>
      </c>
      <c r="AN330" s="25">
        <v>9.49681E-2</v>
      </c>
      <c r="AO330" s="25">
        <v>0</v>
      </c>
      <c r="AP330" s="25">
        <v>0</v>
      </c>
      <c r="AQ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BD330" s="25">
        <v>5.996810000000001E-2</v>
      </c>
      <c r="BF330" s="25">
        <v>0</v>
      </c>
      <c r="BJ330" s="25">
        <v>0.28999999999999998</v>
      </c>
    </row>
    <row r="331" spans="3:62" x14ac:dyDescent="0.25">
      <c r="C331" s="145">
        <v>46661</v>
      </c>
      <c r="F331" s="26">
        <v>6.9907389310757989E-2</v>
      </c>
      <c r="V331" s="25">
        <v>0</v>
      </c>
      <c r="W331" s="25">
        <v>0.1875</v>
      </c>
      <c r="X331" s="25">
        <v>0.215</v>
      </c>
      <c r="AM331" s="25">
        <v>0.46100000000000002</v>
      </c>
      <c r="AN331" s="25">
        <v>9.49681E-2</v>
      </c>
      <c r="AO331" s="25">
        <v>0</v>
      </c>
      <c r="AP331" s="25">
        <v>0</v>
      </c>
      <c r="AQ331" s="25">
        <v>0</v>
      </c>
      <c r="AS331" s="25">
        <v>0</v>
      </c>
      <c r="AT331" s="25">
        <v>0</v>
      </c>
      <c r="AU331" s="25">
        <v>0</v>
      </c>
      <c r="AV331" s="25">
        <v>0</v>
      </c>
      <c r="AW331" s="25">
        <v>0</v>
      </c>
      <c r="BD331" s="25">
        <v>5.996810000000001E-2</v>
      </c>
      <c r="BF331" s="25">
        <v>0</v>
      </c>
      <c r="BJ331" s="25">
        <v>0.36249999999999999</v>
      </c>
    </row>
    <row r="332" spans="3:62" x14ac:dyDescent="0.25">
      <c r="C332" s="145">
        <v>46692</v>
      </c>
      <c r="F332" s="26">
        <v>6.9901164874065017E-2</v>
      </c>
      <c r="V332" s="25">
        <v>0</v>
      </c>
      <c r="W332" s="25">
        <v>0.27</v>
      </c>
      <c r="X332" s="25">
        <v>0.28749999999999998</v>
      </c>
      <c r="AM332" s="25">
        <v>0.76749999999999996</v>
      </c>
      <c r="AN332" s="25">
        <v>1.5011200000000002E-2</v>
      </c>
      <c r="AO332" s="25">
        <v>0</v>
      </c>
      <c r="AP332" s="25">
        <v>0</v>
      </c>
      <c r="AQ332" s="25">
        <v>0</v>
      </c>
      <c r="AS332" s="25">
        <v>0</v>
      </c>
      <c r="AT332" s="25">
        <v>0</v>
      </c>
      <c r="AU332" s="25">
        <v>0</v>
      </c>
      <c r="AV332" s="25">
        <v>0</v>
      </c>
      <c r="AW332" s="25">
        <v>0</v>
      </c>
      <c r="BD332" s="25">
        <v>-1.9988700000000002E-2</v>
      </c>
      <c r="BF332" s="25">
        <v>0</v>
      </c>
      <c r="BJ332" s="25">
        <v>0.46500000000000002</v>
      </c>
    </row>
    <row r="333" spans="3:62" x14ac:dyDescent="0.25">
      <c r="C333" s="145">
        <v>46722</v>
      </c>
      <c r="F333" s="26">
        <v>6.9895141225664023E-2</v>
      </c>
      <c r="V333" s="25">
        <v>0</v>
      </c>
      <c r="W333" s="25">
        <v>0.30499999999999999</v>
      </c>
      <c r="X333" s="25">
        <v>0.33750000000000002</v>
      </c>
      <c r="AM333" s="25">
        <v>1.19</v>
      </c>
      <c r="AN333" s="25">
        <v>4.7999999999999994E-5</v>
      </c>
      <c r="AO333" s="25">
        <v>0</v>
      </c>
      <c r="AP333" s="25">
        <v>0</v>
      </c>
      <c r="AQ333" s="25">
        <v>0</v>
      </c>
      <c r="AS333" s="25">
        <v>0</v>
      </c>
      <c r="AT333" s="25">
        <v>0</v>
      </c>
      <c r="AU333" s="25">
        <v>0</v>
      </c>
      <c r="AV333" s="25">
        <v>0</v>
      </c>
      <c r="AW333" s="25">
        <v>0</v>
      </c>
      <c r="BD333" s="25">
        <v>-3.4951900000000001E-2</v>
      </c>
      <c r="BF333" s="25">
        <v>0</v>
      </c>
      <c r="BJ333" s="25">
        <v>0.8</v>
      </c>
    </row>
    <row r="334" spans="3:62" x14ac:dyDescent="0.25">
      <c r="C334" s="145">
        <v>46753</v>
      </c>
      <c r="F334" s="26">
        <v>6.9888916789E-2</v>
      </c>
      <c r="V334" s="25">
        <v>0</v>
      </c>
      <c r="W334" s="25">
        <v>0.30499999999999999</v>
      </c>
      <c r="X334" s="25">
        <v>0.4375</v>
      </c>
      <c r="AM334" s="25">
        <v>1.5249999999999999</v>
      </c>
      <c r="AN334" s="25">
        <v>5.0448000000000003E-3</v>
      </c>
      <c r="AO334" s="25">
        <v>0</v>
      </c>
      <c r="AP334" s="25">
        <v>0</v>
      </c>
      <c r="AQ334" s="25">
        <v>0</v>
      </c>
      <c r="AS334" s="25">
        <v>0</v>
      </c>
      <c r="AT334" s="25">
        <v>0</v>
      </c>
      <c r="AU334" s="25">
        <v>0</v>
      </c>
      <c r="AV334" s="25">
        <v>0</v>
      </c>
      <c r="AW334" s="25">
        <v>0</v>
      </c>
      <c r="BD334" s="25">
        <v>-2.9955100000000005E-2</v>
      </c>
      <c r="BF334" s="25">
        <v>0</v>
      </c>
      <c r="BJ334" s="25">
        <v>0.97499999999999998</v>
      </c>
    </row>
    <row r="335" spans="3:62" x14ac:dyDescent="0.25">
      <c r="C335" s="145">
        <v>46784</v>
      </c>
      <c r="F335" s="26">
        <v>6.9882692352340015E-2</v>
      </c>
      <c r="V335" s="25">
        <v>0</v>
      </c>
      <c r="W335" s="25">
        <v>0.30499999999999999</v>
      </c>
      <c r="X335" s="25">
        <v>0.435</v>
      </c>
      <c r="AM335" s="25">
        <v>1.4550000000000001</v>
      </c>
      <c r="AN335" s="25">
        <v>3.0042500000000003E-2</v>
      </c>
      <c r="AO335" s="25">
        <v>0</v>
      </c>
      <c r="AP335" s="25">
        <v>0</v>
      </c>
      <c r="AQ335" s="25">
        <v>0</v>
      </c>
      <c r="AS335" s="25">
        <v>0</v>
      </c>
      <c r="AT335" s="25">
        <v>0</v>
      </c>
      <c r="AU335" s="25">
        <v>0</v>
      </c>
      <c r="AV335" s="25">
        <v>0</v>
      </c>
      <c r="AW335" s="25">
        <v>0</v>
      </c>
      <c r="BD335" s="25">
        <v>-4.9574000000000007E-3</v>
      </c>
      <c r="BF335" s="25">
        <v>0</v>
      </c>
      <c r="BJ335" s="25">
        <v>0.97499999999999998</v>
      </c>
    </row>
    <row r="336" spans="3:62" x14ac:dyDescent="0.25">
      <c r="C336" s="145">
        <v>46813</v>
      </c>
      <c r="F336" s="26">
        <v>6.9876869492256008E-2</v>
      </c>
      <c r="V336" s="25">
        <v>0</v>
      </c>
      <c r="W336" s="25">
        <v>0.26500000000000001</v>
      </c>
      <c r="X336" s="25">
        <v>0.30249999999999999</v>
      </c>
      <c r="AM336" s="25">
        <v>0.83499999999999996</v>
      </c>
      <c r="AN336" s="25">
        <v>4.0042500000000002E-2</v>
      </c>
      <c r="AO336" s="25">
        <v>0</v>
      </c>
      <c r="AP336" s="25">
        <v>0</v>
      </c>
      <c r="AQ336" s="25">
        <v>0</v>
      </c>
      <c r="AS336" s="25">
        <v>0</v>
      </c>
      <c r="AT336" s="25">
        <v>0</v>
      </c>
      <c r="AU336" s="25">
        <v>0</v>
      </c>
      <c r="AV336" s="25">
        <v>0</v>
      </c>
      <c r="AW336" s="25">
        <v>0</v>
      </c>
      <c r="BD336" s="25">
        <v>5.0425770000000003E-3</v>
      </c>
      <c r="BF336" s="25">
        <v>0</v>
      </c>
      <c r="BJ336" s="25">
        <v>0.60750000000000004</v>
      </c>
    </row>
    <row r="337" spans="3:62" x14ac:dyDescent="0.25">
      <c r="C337" s="145">
        <v>46844</v>
      </c>
      <c r="F337" s="26">
        <v>6.9870645055625E-2</v>
      </c>
      <c r="V337" s="25">
        <v>0</v>
      </c>
      <c r="W337" s="25">
        <v>0.19500000000000001</v>
      </c>
      <c r="X337" s="25">
        <v>0.25</v>
      </c>
      <c r="AM337" s="25">
        <v>0.45</v>
      </c>
      <c r="AN337" s="25">
        <v>9.9976600000000013E-2</v>
      </c>
      <c r="AO337" s="25">
        <v>0</v>
      </c>
      <c r="AP337" s="25">
        <v>0</v>
      </c>
      <c r="AQ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BD337" s="25">
        <v>6.4976599999999995E-2</v>
      </c>
      <c r="BF337" s="25">
        <v>0</v>
      </c>
      <c r="BJ337" s="25">
        <v>0.35499999999999998</v>
      </c>
    </row>
    <row r="338" spans="3:62" x14ac:dyDescent="0.25">
      <c r="C338" s="145">
        <v>46874</v>
      </c>
      <c r="F338" s="26">
        <v>6.9864621407285027E-2</v>
      </c>
      <c r="V338" s="25">
        <v>0</v>
      </c>
      <c r="W338" s="25">
        <v>0.1825</v>
      </c>
      <c r="X338" s="25">
        <v>0.20250000000000001</v>
      </c>
      <c r="AM338" s="25">
        <v>0.40500000000000003</v>
      </c>
      <c r="AN338" s="25">
        <v>9.9968100000000004E-2</v>
      </c>
      <c r="AO338" s="25">
        <v>0</v>
      </c>
      <c r="AP338" s="25">
        <v>0</v>
      </c>
      <c r="AQ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BD338" s="25">
        <v>6.4968100000000015E-2</v>
      </c>
      <c r="BF338" s="25">
        <v>0</v>
      </c>
      <c r="BJ338" s="25">
        <v>0.28749999999999998</v>
      </c>
    </row>
    <row r="339" spans="3:62" x14ac:dyDescent="0.25">
      <c r="C339" s="145">
        <v>46905</v>
      </c>
      <c r="F339" s="26">
        <v>6.9858396970680026E-2</v>
      </c>
      <c r="V339" s="25">
        <v>0</v>
      </c>
      <c r="W339" s="25">
        <v>0.1825</v>
      </c>
      <c r="X339" s="25">
        <v>0.20250000000000001</v>
      </c>
      <c r="AM339" s="25">
        <v>0.39500000000000002</v>
      </c>
      <c r="AN339" s="25">
        <v>9.9968100000000004E-2</v>
      </c>
      <c r="AO339" s="25">
        <v>0</v>
      </c>
      <c r="AP339" s="25">
        <v>0</v>
      </c>
      <c r="AQ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BD339" s="25">
        <v>6.4968100000000015E-2</v>
      </c>
      <c r="BF339" s="25">
        <v>0</v>
      </c>
      <c r="BJ339" s="25">
        <v>0.28749999999999998</v>
      </c>
    </row>
    <row r="340" spans="3:62" x14ac:dyDescent="0.25">
      <c r="C340" s="145">
        <v>46935</v>
      </c>
      <c r="F340" s="26">
        <v>6.9852373322364006E-2</v>
      </c>
      <c r="V340" s="25">
        <v>0</v>
      </c>
      <c r="W340" s="25">
        <v>0.1825</v>
      </c>
      <c r="X340" s="25">
        <v>0.215</v>
      </c>
      <c r="AM340" s="25">
        <v>0.43</v>
      </c>
      <c r="AN340" s="25">
        <v>9.9968100000000004E-2</v>
      </c>
      <c r="AO340" s="25">
        <v>0</v>
      </c>
      <c r="AP340" s="25">
        <v>0</v>
      </c>
      <c r="AQ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BD340" s="25">
        <v>6.4968100000000015E-2</v>
      </c>
      <c r="BF340" s="25">
        <v>0</v>
      </c>
      <c r="BJ340" s="25">
        <v>0.3</v>
      </c>
    </row>
    <row r="341" spans="3:62" x14ac:dyDescent="0.25">
      <c r="C341" s="145">
        <v>46966</v>
      </c>
      <c r="F341" s="26">
        <v>6.9846148885784026E-2</v>
      </c>
      <c r="V341" s="25">
        <v>0</v>
      </c>
      <c r="W341" s="25">
        <v>0.1825</v>
      </c>
      <c r="X341" s="25">
        <v>0.215</v>
      </c>
      <c r="AM341" s="25">
        <v>0.495</v>
      </c>
      <c r="AN341" s="25">
        <v>9.9968100000000004E-2</v>
      </c>
      <c r="AO341" s="25">
        <v>0</v>
      </c>
      <c r="AP341" s="25">
        <v>0</v>
      </c>
      <c r="AQ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BD341" s="25">
        <v>6.4968100000000015E-2</v>
      </c>
      <c r="BF341" s="25">
        <v>0</v>
      </c>
      <c r="BJ341" s="25">
        <v>0.3</v>
      </c>
    </row>
    <row r="342" spans="3:62" x14ac:dyDescent="0.25">
      <c r="C342" s="145">
        <v>46997</v>
      </c>
      <c r="F342" s="26">
        <v>6.9839924449217022E-2</v>
      </c>
      <c r="V342" s="25">
        <v>0</v>
      </c>
      <c r="W342" s="25">
        <v>0.1825</v>
      </c>
      <c r="X342" s="25">
        <v>0.19500000000000001</v>
      </c>
      <c r="AM342" s="25">
        <v>0.39500000000000002</v>
      </c>
      <c r="AN342" s="25">
        <v>9.9968100000000004E-2</v>
      </c>
      <c r="AO342" s="25">
        <v>0</v>
      </c>
      <c r="AP342" s="25">
        <v>0</v>
      </c>
      <c r="AQ342" s="25">
        <v>0</v>
      </c>
      <c r="AS342" s="25">
        <v>0</v>
      </c>
      <c r="AT342" s="25">
        <v>0</v>
      </c>
      <c r="AU342" s="25">
        <v>0</v>
      </c>
      <c r="AV342" s="25">
        <v>0</v>
      </c>
      <c r="AW342" s="25">
        <v>0</v>
      </c>
      <c r="BD342" s="25">
        <v>6.4968100000000015E-2</v>
      </c>
      <c r="BF342" s="25">
        <v>0</v>
      </c>
      <c r="BJ342" s="25">
        <v>0.28999999999999998</v>
      </c>
    </row>
    <row r="343" spans="3:62" x14ac:dyDescent="0.25">
      <c r="C343" s="145">
        <v>47027</v>
      </c>
      <c r="F343" s="26">
        <v>6.9833900800938015E-2</v>
      </c>
      <c r="V343" s="25">
        <v>0</v>
      </c>
      <c r="W343" s="25">
        <v>0.1875</v>
      </c>
      <c r="X343" s="25">
        <v>0.215</v>
      </c>
      <c r="AM343" s="25">
        <v>0.46100000000000002</v>
      </c>
      <c r="AN343" s="25">
        <v>9.9968100000000004E-2</v>
      </c>
      <c r="AO343" s="25">
        <v>0</v>
      </c>
      <c r="AP343" s="25">
        <v>0</v>
      </c>
      <c r="AQ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BD343" s="25">
        <v>6.4968100000000015E-2</v>
      </c>
      <c r="BF343" s="25">
        <v>0</v>
      </c>
      <c r="BJ343" s="25">
        <v>0.36249999999999999</v>
      </c>
    </row>
    <row r="344" spans="3:62" x14ac:dyDescent="0.25">
      <c r="C344" s="145">
        <v>47058</v>
      </c>
      <c r="F344" s="26">
        <v>6.9827676364396019E-2</v>
      </c>
      <c r="V344" s="25">
        <v>0</v>
      </c>
      <c r="W344" s="25">
        <v>0.27</v>
      </c>
      <c r="X344" s="25">
        <v>0.28749999999999998</v>
      </c>
      <c r="AM344" s="25">
        <v>0.76749999999999996</v>
      </c>
      <c r="AN344" s="25">
        <v>2.0011200000000003E-2</v>
      </c>
      <c r="AO344" s="25">
        <v>0</v>
      </c>
      <c r="AP344" s="25">
        <v>0</v>
      </c>
      <c r="AQ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BD344" s="25">
        <v>-1.4988700000000002E-2</v>
      </c>
      <c r="BF344" s="25">
        <v>0</v>
      </c>
      <c r="BJ344" s="25">
        <v>0.46500000000000002</v>
      </c>
    </row>
    <row r="345" spans="3:62" x14ac:dyDescent="0.25">
      <c r="C345" s="145">
        <v>47088</v>
      </c>
      <c r="F345" s="26">
        <v>6.9821652716141019E-2</v>
      </c>
      <c r="V345" s="25">
        <v>0</v>
      </c>
      <c r="W345" s="25">
        <v>0.30499999999999999</v>
      </c>
      <c r="X345" s="25">
        <v>0.33750000000000002</v>
      </c>
      <c r="AM345" s="25">
        <v>1.19</v>
      </c>
      <c r="AN345" s="25">
        <v>5.0480000000000004E-3</v>
      </c>
      <c r="AO345" s="25">
        <v>0</v>
      </c>
      <c r="AP345" s="25">
        <v>0</v>
      </c>
      <c r="AQ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BD345" s="25">
        <v>-2.99519E-2</v>
      </c>
      <c r="BF345" s="25">
        <v>0</v>
      </c>
      <c r="BJ345" s="25">
        <v>0.8</v>
      </c>
    </row>
    <row r="346" spans="3:62" x14ac:dyDescent="0.25">
      <c r="C346" s="145">
        <v>47119</v>
      </c>
      <c r="F346" s="26">
        <v>6.9815428279625003E-2</v>
      </c>
      <c r="V346" s="25">
        <v>0</v>
      </c>
      <c r="W346" s="25">
        <v>0.30499999999999999</v>
      </c>
      <c r="X346" s="25">
        <v>0.4375</v>
      </c>
      <c r="AM346" s="25">
        <v>1.5249999999999999</v>
      </c>
      <c r="AN346" s="25">
        <v>1.0044800000000001E-2</v>
      </c>
      <c r="AO346" s="25">
        <v>0</v>
      </c>
      <c r="AP346" s="25">
        <v>0</v>
      </c>
      <c r="AQ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BD346" s="25">
        <v>-2.4955100000000004E-2</v>
      </c>
      <c r="BF346" s="25">
        <v>0</v>
      </c>
      <c r="BJ346" s="25">
        <v>0.97499999999999998</v>
      </c>
    </row>
    <row r="347" spans="3:62" x14ac:dyDescent="0.25">
      <c r="C347" s="145">
        <v>47150</v>
      </c>
      <c r="F347" s="26">
        <v>6.9809203843120005E-2</v>
      </c>
      <c r="V347" s="25">
        <v>0</v>
      </c>
      <c r="W347" s="25">
        <v>0.30499999999999999</v>
      </c>
      <c r="X347" s="25">
        <v>0.435</v>
      </c>
      <c r="AM347" s="25">
        <v>1.4550000000000001</v>
      </c>
      <c r="AN347" s="25">
        <v>3.5042500000000004E-2</v>
      </c>
      <c r="AO347" s="25">
        <v>0</v>
      </c>
      <c r="AP347" s="25">
        <v>0</v>
      </c>
      <c r="AQ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BD347" s="25">
        <v>4.2577000000002001E-5</v>
      </c>
      <c r="BF347" s="25">
        <v>0</v>
      </c>
      <c r="BJ347" s="25">
        <v>0.97499999999999998</v>
      </c>
    </row>
    <row r="348" spans="3:62" x14ac:dyDescent="0.25">
      <c r="C348" s="145">
        <v>47178</v>
      </c>
      <c r="F348" s="26">
        <v>6.9803581771450005E-2</v>
      </c>
      <c r="V348" s="25">
        <v>0</v>
      </c>
      <c r="W348" s="25">
        <v>0.26500000000000001</v>
      </c>
      <c r="X348" s="25">
        <v>0.30249999999999999</v>
      </c>
      <c r="AM348" s="25">
        <v>0.83499999999999996</v>
      </c>
      <c r="AN348" s="25">
        <v>4.5042499999999999E-2</v>
      </c>
      <c r="AO348" s="25">
        <v>0</v>
      </c>
      <c r="AP348" s="25">
        <v>0</v>
      </c>
      <c r="AQ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BD348" s="25">
        <v>1.0042500000000001E-2</v>
      </c>
      <c r="BF348" s="25">
        <v>0</v>
      </c>
      <c r="BJ348" s="25">
        <v>0.60750000000000004</v>
      </c>
    </row>
    <row r="349" spans="3:62" x14ac:dyDescent="0.25">
      <c r="C349" s="145">
        <v>47209</v>
      </c>
      <c r="F349" s="26">
        <v>6.9797357334970014E-2</v>
      </c>
      <c r="V349" s="25">
        <v>0</v>
      </c>
      <c r="W349" s="25">
        <v>0.19500000000000001</v>
      </c>
      <c r="X349" s="25">
        <v>0.25</v>
      </c>
      <c r="AM349" s="25">
        <v>0.45</v>
      </c>
      <c r="AN349" s="25">
        <v>0.10497660000000002</v>
      </c>
      <c r="AO349" s="25">
        <v>0</v>
      </c>
      <c r="AP349" s="25">
        <v>0</v>
      </c>
      <c r="AQ349" s="25">
        <v>0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BD349" s="25">
        <v>6.9976600000000014E-2</v>
      </c>
      <c r="BF349" s="25">
        <v>0</v>
      </c>
      <c r="BJ349" s="25">
        <v>0.35499999999999998</v>
      </c>
    </row>
    <row r="350" spans="3:62" x14ac:dyDescent="0.25">
      <c r="C350" s="145">
        <v>47239</v>
      </c>
      <c r="F350" s="26">
        <v>6.9791333686776022E-2</v>
      </c>
      <c r="V350" s="25">
        <v>0</v>
      </c>
      <c r="W350" s="25">
        <v>0.1825</v>
      </c>
      <c r="X350" s="25">
        <v>0.20250000000000001</v>
      </c>
      <c r="AM350" s="25">
        <v>0.40500000000000003</v>
      </c>
      <c r="AN350" s="25">
        <v>0.10496810000000001</v>
      </c>
      <c r="AO350" s="25">
        <v>0</v>
      </c>
      <c r="AP350" s="25">
        <v>0</v>
      </c>
      <c r="AQ350" s="25">
        <v>0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BD350" s="25">
        <v>6.9968100000000005E-2</v>
      </c>
      <c r="BF350" s="25">
        <v>0</v>
      </c>
      <c r="BJ350" s="25">
        <v>0.28749999999999998</v>
      </c>
    </row>
    <row r="351" spans="3:62" x14ac:dyDescent="0.25">
      <c r="C351" s="145">
        <v>47270</v>
      </c>
      <c r="F351" s="26">
        <v>6.9785109250322011E-2</v>
      </c>
      <c r="V351" s="25">
        <v>0</v>
      </c>
      <c r="W351" s="25">
        <v>0.1825</v>
      </c>
      <c r="X351" s="25">
        <v>0.20250000000000001</v>
      </c>
      <c r="AM351" s="25">
        <v>0.39500000000000002</v>
      </c>
      <c r="AN351" s="25">
        <v>0.10496810000000001</v>
      </c>
      <c r="AO351" s="25">
        <v>0</v>
      </c>
      <c r="AP351" s="25">
        <v>0</v>
      </c>
      <c r="AQ351" s="25">
        <v>0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BD351" s="25">
        <v>6.9968100000000005E-2</v>
      </c>
      <c r="BF351" s="25">
        <v>0</v>
      </c>
      <c r="BJ351" s="25">
        <v>0.28749999999999998</v>
      </c>
    </row>
    <row r="352" spans="3:62" x14ac:dyDescent="0.25">
      <c r="C352" s="145">
        <v>47300</v>
      </c>
      <c r="F352" s="26">
        <v>6.9779085602153013E-2</v>
      </c>
      <c r="V352" s="25">
        <v>0</v>
      </c>
      <c r="W352" s="25">
        <v>0.1825</v>
      </c>
      <c r="X352" s="25">
        <v>0.215</v>
      </c>
      <c r="AM352" s="25">
        <v>0.43</v>
      </c>
      <c r="AN352" s="25">
        <v>0.10496810000000001</v>
      </c>
      <c r="AO352" s="25">
        <v>0</v>
      </c>
      <c r="AP352" s="25">
        <v>0</v>
      </c>
      <c r="AQ352" s="25">
        <v>0</v>
      </c>
      <c r="AS352" s="25">
        <v>0</v>
      </c>
      <c r="AT352" s="25">
        <v>0</v>
      </c>
      <c r="AU352" s="25">
        <v>0</v>
      </c>
      <c r="AV352" s="25">
        <v>0</v>
      </c>
      <c r="AW352" s="25">
        <v>0</v>
      </c>
      <c r="BD352" s="25">
        <v>6.9968100000000005E-2</v>
      </c>
      <c r="BF352" s="25">
        <v>0</v>
      </c>
      <c r="BJ352" s="25">
        <v>0.3</v>
      </c>
    </row>
    <row r="353" spans="3:62" x14ac:dyDescent="0.25">
      <c r="C353" s="145">
        <v>47331</v>
      </c>
      <c r="F353" s="26">
        <v>6.9772861165722996E-2</v>
      </c>
      <c r="V353" s="25">
        <v>0</v>
      </c>
      <c r="W353" s="25">
        <v>0.1825</v>
      </c>
      <c r="X353" s="25">
        <v>0.215</v>
      </c>
      <c r="AM353" s="25">
        <v>0.495</v>
      </c>
      <c r="AN353" s="25">
        <v>0.10496810000000001</v>
      </c>
      <c r="AO353" s="25">
        <v>0</v>
      </c>
      <c r="AP353" s="25">
        <v>0</v>
      </c>
      <c r="AQ353" s="25">
        <v>0</v>
      </c>
      <c r="AS353" s="25">
        <v>0</v>
      </c>
      <c r="AT353" s="25">
        <v>0</v>
      </c>
      <c r="AU353" s="25">
        <v>0</v>
      </c>
      <c r="AV353" s="25">
        <v>0</v>
      </c>
      <c r="AW353" s="25">
        <v>0</v>
      </c>
      <c r="BD353" s="25">
        <v>6.9968100000000005E-2</v>
      </c>
      <c r="BF353" s="25">
        <v>0</v>
      </c>
      <c r="BJ353" s="25">
        <v>0.3</v>
      </c>
    </row>
    <row r="354" spans="3:62" x14ac:dyDescent="0.25">
      <c r="C354" s="145">
        <v>47362</v>
      </c>
      <c r="F354" s="26">
        <v>6.9766636729307011E-2</v>
      </c>
      <c r="V354" s="25">
        <v>0</v>
      </c>
      <c r="W354" s="25">
        <v>0.1825</v>
      </c>
      <c r="X354" s="25">
        <v>0.19500000000000001</v>
      </c>
      <c r="AM354" s="25">
        <v>0.39500000000000002</v>
      </c>
      <c r="AN354" s="25">
        <v>0.10496810000000001</v>
      </c>
      <c r="AO354" s="25">
        <v>0</v>
      </c>
      <c r="AP354" s="25">
        <v>0</v>
      </c>
      <c r="AQ354" s="25">
        <v>0</v>
      </c>
      <c r="AS354" s="25">
        <v>0</v>
      </c>
      <c r="AT354" s="25">
        <v>0</v>
      </c>
      <c r="AU354" s="25">
        <v>0</v>
      </c>
      <c r="AV354" s="25">
        <v>0</v>
      </c>
      <c r="AW354" s="25">
        <v>0</v>
      </c>
      <c r="BD354" s="25">
        <v>6.9968100000000005E-2</v>
      </c>
      <c r="BF354" s="25">
        <v>0</v>
      </c>
      <c r="BJ354" s="25">
        <v>0.28999999999999998</v>
      </c>
    </row>
    <row r="355" spans="3:62" x14ac:dyDescent="0.25">
      <c r="C355" s="145">
        <v>47392</v>
      </c>
      <c r="F355" s="26">
        <v>6.9760613081174011E-2</v>
      </c>
      <c r="V355" s="25">
        <v>0</v>
      </c>
      <c r="W355" s="25">
        <v>0.1875</v>
      </c>
      <c r="X355" s="25">
        <v>0.215</v>
      </c>
      <c r="AM355" s="25">
        <v>0.46100000000000002</v>
      </c>
      <c r="AN355" s="25">
        <v>0.10496810000000001</v>
      </c>
      <c r="AO355" s="25">
        <v>0</v>
      </c>
      <c r="AP355" s="25">
        <v>0</v>
      </c>
      <c r="AQ355" s="25">
        <v>0</v>
      </c>
      <c r="AS355" s="25">
        <v>0</v>
      </c>
      <c r="AT355" s="25">
        <v>0</v>
      </c>
      <c r="AU355" s="25">
        <v>0</v>
      </c>
      <c r="AV355" s="25">
        <v>0</v>
      </c>
      <c r="AW355" s="25">
        <v>0</v>
      </c>
      <c r="BD355" s="25">
        <v>6.9968100000000005E-2</v>
      </c>
      <c r="BF355" s="25">
        <v>0</v>
      </c>
      <c r="BJ355" s="25">
        <v>0.36249999999999999</v>
      </c>
    </row>
    <row r="356" spans="3:62" x14ac:dyDescent="0.25">
      <c r="C356" s="145">
        <v>47423</v>
      </c>
      <c r="F356" s="26">
        <v>6.9754388644783005E-2</v>
      </c>
      <c r="V356" s="25">
        <v>0</v>
      </c>
      <c r="W356" s="25">
        <v>0.27</v>
      </c>
      <c r="X356" s="25">
        <v>0.28749999999999998</v>
      </c>
      <c r="AM356" s="25">
        <v>0.76749999999999996</v>
      </c>
      <c r="AN356" s="25">
        <v>2.5011200000000004E-2</v>
      </c>
      <c r="AO356" s="25">
        <v>0</v>
      </c>
      <c r="AP356" s="25">
        <v>0</v>
      </c>
      <c r="AQ356" s="25">
        <v>0</v>
      </c>
      <c r="AS356" s="25">
        <v>0</v>
      </c>
      <c r="AT356" s="25">
        <v>0</v>
      </c>
      <c r="AU356" s="25">
        <v>0</v>
      </c>
      <c r="AV356" s="25">
        <v>0</v>
      </c>
      <c r="AW356" s="25">
        <v>0</v>
      </c>
      <c r="BD356" s="25">
        <v>-9.9887000000000014E-3</v>
      </c>
      <c r="BF356" s="25">
        <v>0</v>
      </c>
      <c r="BJ356" s="25">
        <v>0.46500000000000002</v>
      </c>
    </row>
    <row r="357" spans="3:62" x14ac:dyDescent="0.25">
      <c r="C357" s="145">
        <v>47453</v>
      </c>
      <c r="F357" s="26">
        <v>6.9748364996674028E-2</v>
      </c>
      <c r="V357" s="25">
        <v>0</v>
      </c>
      <c r="W357" s="25">
        <v>0.30499999999999999</v>
      </c>
      <c r="X357" s="25">
        <v>0.33750000000000002</v>
      </c>
      <c r="AM357" s="25">
        <v>1.19</v>
      </c>
      <c r="AN357" s="25">
        <v>1.0048000000000001E-2</v>
      </c>
      <c r="AO357" s="25">
        <v>0</v>
      </c>
      <c r="AP357" s="25">
        <v>0</v>
      </c>
      <c r="AQ357" s="25">
        <v>0</v>
      </c>
      <c r="AS357" s="25">
        <v>0</v>
      </c>
      <c r="AT357" s="25">
        <v>0</v>
      </c>
      <c r="AU357" s="25">
        <v>0</v>
      </c>
      <c r="AV357" s="25">
        <v>0</v>
      </c>
      <c r="AW357" s="25">
        <v>0</v>
      </c>
      <c r="BD357" s="25">
        <v>-2.4951900000000006E-2</v>
      </c>
      <c r="BF357" s="25">
        <v>0</v>
      </c>
      <c r="BJ357" s="25">
        <v>0.8</v>
      </c>
    </row>
    <row r="358" spans="3:62" x14ac:dyDescent="0.25">
      <c r="C358" s="145">
        <v>47484</v>
      </c>
      <c r="F358" s="26">
        <v>6.9742140560308016E-2</v>
      </c>
    </row>
    <row r="359" spans="3:62" x14ac:dyDescent="0.25">
      <c r="C359" s="145">
        <v>47515</v>
      </c>
      <c r="F359" s="26">
        <v>6.9735916123955008E-2</v>
      </c>
    </row>
    <row r="360" spans="3:62" x14ac:dyDescent="0.25">
      <c r="C360" s="145">
        <v>47543</v>
      </c>
      <c r="F360" s="26">
        <v>6.9730294052421024E-2</v>
      </c>
    </row>
    <row r="361" spans="3:62" x14ac:dyDescent="0.25">
      <c r="C361" s="145">
        <v>47574</v>
      </c>
      <c r="F361" s="26">
        <v>6.9724069616092024E-2</v>
      </c>
    </row>
    <row r="362" spans="3:62" x14ac:dyDescent="0.25">
      <c r="C362" s="145">
        <v>47604</v>
      </c>
      <c r="F362" s="26">
        <v>6.9718045968044012E-2</v>
      </c>
    </row>
    <row r="363" spans="3:62" x14ac:dyDescent="0.25">
      <c r="C363" s="145">
        <v>47635</v>
      </c>
      <c r="F363" s="26">
        <v>6.9711821531741033E-2</v>
      </c>
    </row>
    <row r="364" spans="3:62" x14ac:dyDescent="0.25">
      <c r="C364" s="145">
        <v>47665</v>
      </c>
      <c r="F364" s="26">
        <v>6.970579788371703E-2</v>
      </c>
    </row>
    <row r="365" spans="3:62" x14ac:dyDescent="0.25">
      <c r="F365" s="26">
        <v>6.9699573447438004E-2</v>
      </c>
    </row>
    <row r="368" spans="3:62" x14ac:dyDescent="0.25">
      <c r="F368" s="26">
        <v>6.9699573447438004E-2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O279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F18" sqref="AF18:AF22"/>
    </sheetView>
  </sheetViews>
  <sheetFormatPr defaultRowHeight="13.2" x14ac:dyDescent="0.25"/>
  <cols>
    <col min="2" max="36" width="12.6640625" customWidth="1"/>
  </cols>
  <sheetData>
    <row r="1" spans="1:41" x14ac:dyDescent="0.25">
      <c r="A1" s="171" t="s">
        <v>152</v>
      </c>
      <c r="B1" s="183" t="str">
        <f>B3</f>
        <v>IF-ANR/OK</v>
      </c>
      <c r="C1" s="183" t="str">
        <f t="shared" ref="C1:AO1" si="0">C3</f>
        <v>IF-NGPL/LA</v>
      </c>
      <c r="D1" s="183" t="str">
        <f t="shared" si="0"/>
        <v>IF-NGPL/MIDCON</v>
      </c>
      <c r="E1" s="183" t="str">
        <f t="shared" si="0"/>
        <v>IF-NNG/DEMARCAT</v>
      </c>
      <c r="F1" s="183" t="str">
        <f t="shared" si="0"/>
        <v>IF-NNG/TOK</v>
      </c>
      <c r="G1" s="183" t="str">
        <f t="shared" si="0"/>
        <v>IF-NNG/VENT</v>
      </c>
      <c r="H1" s="183" t="str">
        <f t="shared" si="0"/>
        <v>IF-NORAM/EAST</v>
      </c>
      <c r="I1" s="183" t="str">
        <f t="shared" si="0"/>
        <v>IF-ONG/OKLAHOMA</v>
      </c>
      <c r="J1" s="183" t="str">
        <f t="shared" si="0"/>
        <v>IF-PAN/TX/OK</v>
      </c>
      <c r="K1" s="183" t="str">
        <f t="shared" si="0"/>
        <v>IF-TRUNKL/FLDZN</v>
      </c>
      <c r="L1" s="183" t="str">
        <f t="shared" si="0"/>
        <v>IF-TRUNKL/LA</v>
      </c>
      <c r="M1" s="183" t="str">
        <f t="shared" si="0"/>
        <v>IF-WNG/TOK</v>
      </c>
      <c r="N1" s="183" t="str">
        <f t="shared" si="0"/>
        <v>NGI/CHI.GATE</v>
      </c>
      <c r="O1" s="183" t="str">
        <f t="shared" si="0"/>
        <v>CGPR-DAWN</v>
      </c>
      <c r="P1" s="183" t="str">
        <f t="shared" si="0"/>
        <v>MICH_CG-GD</v>
      </c>
      <c r="Q1" s="183" t="str">
        <f t="shared" si="0"/>
        <v>MRT-GDM</v>
      </c>
      <c r="R1" s="183" t="str">
        <f t="shared" si="0"/>
        <v>IF-COLGULF/LA</v>
      </c>
      <c r="S1" s="183" t="str">
        <f t="shared" si="0"/>
        <v>IF-FGT/Z1</v>
      </c>
      <c r="T1" s="183" t="str">
        <f t="shared" si="0"/>
        <v>IF-FGT/Z2</v>
      </c>
      <c r="U1" s="183" t="str">
        <f t="shared" si="0"/>
        <v>IF-FGT/Z3</v>
      </c>
      <c r="V1" s="183" t="str">
        <f t="shared" si="0"/>
        <v>IF-HEHUB</v>
      </c>
      <c r="W1" s="183" t="str">
        <f t="shared" si="0"/>
        <v>IF-TENN/LA</v>
      </c>
      <c r="X1" s="183" t="str">
        <f t="shared" si="0"/>
        <v>IF-TETCO/ELA</v>
      </c>
      <c r="Y1" s="183" t="str">
        <f t="shared" si="0"/>
        <v>IF-TETCO/WLA</v>
      </c>
      <c r="Z1" s="183" t="str">
        <f t="shared" si="0"/>
        <v>IF-TRANSCO/Z3</v>
      </c>
      <c r="AA1" s="183" t="str">
        <f t="shared" si="0"/>
        <v>IF-SONAT/LA</v>
      </c>
      <c r="AB1" s="183" t="str">
        <f t="shared" si="0"/>
        <v>IF-TETCO/ETX</v>
      </c>
      <c r="AC1" s="183" t="str">
        <f t="shared" si="0"/>
        <v>IF-HPL/HSC</v>
      </c>
      <c r="AD1" s="183" t="str">
        <f t="shared" si="0"/>
        <v>IF-CGT/APPALAC</v>
      </c>
      <c r="AE1" s="183" t="str">
        <f t="shared" si="0"/>
        <v>IF-CNG/APPALACH</v>
      </c>
      <c r="AF1" s="183" t="str">
        <f t="shared" si="0"/>
        <v>IF-TETCO/M3</v>
      </c>
      <c r="AG1" s="183" t="str">
        <f t="shared" si="0"/>
        <v>IF-TRANSCO/Z6</v>
      </c>
      <c r="AH1" s="183" t="str">
        <f t="shared" si="0"/>
        <v>DJ/BASIN/WEST</v>
      </c>
      <c r="AI1" s="183" t="str">
        <f t="shared" si="0"/>
        <v>IF-CIG/RKYMTN</v>
      </c>
      <c r="AJ1" s="183" t="str">
        <f t="shared" si="0"/>
        <v>IF-NWPL_ROCKY_M</v>
      </c>
      <c r="AK1" s="183" t="str">
        <f t="shared" si="0"/>
        <v>IF-NTHWST/CANBR</v>
      </c>
      <c r="AL1" s="183" t="str">
        <f t="shared" si="0"/>
        <v>IF-ELPO/PERMIAN</v>
      </c>
      <c r="AM1" s="183" t="str">
        <f t="shared" si="0"/>
        <v>IF-ELPO/SJ</v>
      </c>
      <c r="AN1" s="183" t="str">
        <f t="shared" si="0"/>
        <v>NGI-SOCAL</v>
      </c>
      <c r="AO1" s="183" t="str">
        <f t="shared" si="0"/>
        <v>KNX1</v>
      </c>
    </row>
    <row r="2" spans="1:41" x14ac:dyDescent="0.25">
      <c r="A2" s="174"/>
      <c r="B2" s="175">
        <v>2</v>
      </c>
      <c r="C2" s="175">
        <f>B2+1</f>
        <v>3</v>
      </c>
      <c r="D2" s="175">
        <f t="shared" ref="D2:AO2" si="1">C2+1</f>
        <v>4</v>
      </c>
      <c r="E2" s="175">
        <f t="shared" si="1"/>
        <v>5</v>
      </c>
      <c r="F2" s="175">
        <f t="shared" si="1"/>
        <v>6</v>
      </c>
      <c r="G2" s="175">
        <f t="shared" si="1"/>
        <v>7</v>
      </c>
      <c r="H2" s="175">
        <f t="shared" si="1"/>
        <v>8</v>
      </c>
      <c r="I2" s="175">
        <f t="shared" si="1"/>
        <v>9</v>
      </c>
      <c r="J2" s="175">
        <f t="shared" si="1"/>
        <v>10</v>
      </c>
      <c r="K2" s="175">
        <f t="shared" si="1"/>
        <v>11</v>
      </c>
      <c r="L2" s="175">
        <f t="shared" si="1"/>
        <v>12</v>
      </c>
      <c r="M2" s="175">
        <f t="shared" si="1"/>
        <v>13</v>
      </c>
      <c r="N2" s="175">
        <f t="shared" si="1"/>
        <v>14</v>
      </c>
      <c r="O2" s="175">
        <f t="shared" si="1"/>
        <v>15</v>
      </c>
      <c r="P2" s="175">
        <f t="shared" si="1"/>
        <v>16</v>
      </c>
      <c r="Q2" s="175">
        <f t="shared" si="1"/>
        <v>17</v>
      </c>
      <c r="R2" s="175">
        <f t="shared" si="1"/>
        <v>18</v>
      </c>
      <c r="S2" s="175">
        <f t="shared" si="1"/>
        <v>19</v>
      </c>
      <c r="T2" s="175">
        <f t="shared" si="1"/>
        <v>20</v>
      </c>
      <c r="U2" s="175">
        <f t="shared" si="1"/>
        <v>21</v>
      </c>
      <c r="V2" s="175">
        <f t="shared" si="1"/>
        <v>22</v>
      </c>
      <c r="W2" s="175">
        <f t="shared" si="1"/>
        <v>23</v>
      </c>
      <c r="X2" s="175">
        <f t="shared" si="1"/>
        <v>24</v>
      </c>
      <c r="Y2" s="175">
        <f t="shared" si="1"/>
        <v>25</v>
      </c>
      <c r="Z2" s="175">
        <f t="shared" si="1"/>
        <v>26</v>
      </c>
      <c r="AA2" s="175">
        <f t="shared" si="1"/>
        <v>27</v>
      </c>
      <c r="AB2" s="175">
        <f t="shared" si="1"/>
        <v>28</v>
      </c>
      <c r="AC2" s="175">
        <f t="shared" si="1"/>
        <v>29</v>
      </c>
      <c r="AD2" s="175">
        <f t="shared" si="1"/>
        <v>30</v>
      </c>
      <c r="AE2" s="175">
        <f t="shared" si="1"/>
        <v>31</v>
      </c>
      <c r="AF2" s="175">
        <f t="shared" si="1"/>
        <v>32</v>
      </c>
      <c r="AG2" s="175">
        <f t="shared" si="1"/>
        <v>33</v>
      </c>
      <c r="AH2" s="175">
        <f t="shared" si="1"/>
        <v>34</v>
      </c>
      <c r="AI2" s="175">
        <f t="shared" si="1"/>
        <v>35</v>
      </c>
      <c r="AJ2" s="175">
        <f t="shared" si="1"/>
        <v>36</v>
      </c>
      <c r="AK2" s="175">
        <f t="shared" si="1"/>
        <v>37</v>
      </c>
      <c r="AL2" s="175">
        <f t="shared" si="1"/>
        <v>38</v>
      </c>
      <c r="AM2" s="175">
        <f t="shared" si="1"/>
        <v>39</v>
      </c>
      <c r="AN2" s="175">
        <f t="shared" si="1"/>
        <v>40</v>
      </c>
      <c r="AO2" s="175">
        <f t="shared" si="1"/>
        <v>41</v>
      </c>
    </row>
    <row r="3" spans="1:41" x14ac:dyDescent="0.25">
      <c r="A3" s="172"/>
      <c r="B3" s="173" t="s">
        <v>62</v>
      </c>
      <c r="C3" s="173" t="s">
        <v>67</v>
      </c>
      <c r="D3" s="173" t="s">
        <v>63</v>
      </c>
      <c r="E3" s="173" t="s">
        <v>64</v>
      </c>
      <c r="F3" s="173" t="s">
        <v>65</v>
      </c>
      <c r="G3" s="173" t="s">
        <v>66</v>
      </c>
      <c r="H3" s="173" t="s">
        <v>68</v>
      </c>
      <c r="I3" s="173" t="s">
        <v>69</v>
      </c>
      <c r="J3" s="173" t="s">
        <v>70</v>
      </c>
      <c r="K3" s="173" t="s">
        <v>72</v>
      </c>
      <c r="L3" s="173" t="s">
        <v>73</v>
      </c>
      <c r="M3" s="173" t="s">
        <v>71</v>
      </c>
      <c r="N3" s="173" t="s">
        <v>153</v>
      </c>
      <c r="O3" s="173" t="s">
        <v>171</v>
      </c>
      <c r="P3" s="173" t="s">
        <v>74</v>
      </c>
      <c r="Q3" s="173" t="s">
        <v>195</v>
      </c>
      <c r="R3" s="173" t="s">
        <v>80</v>
      </c>
      <c r="S3" s="173" t="s">
        <v>81</v>
      </c>
      <c r="T3" s="173" t="s">
        <v>82</v>
      </c>
      <c r="U3" s="173" t="s">
        <v>83</v>
      </c>
      <c r="V3" s="173" t="s">
        <v>84</v>
      </c>
      <c r="W3" s="173" t="s">
        <v>86</v>
      </c>
      <c r="X3" s="173" t="s">
        <v>87</v>
      </c>
      <c r="Y3" s="173" t="s">
        <v>88</v>
      </c>
      <c r="Z3" s="173" t="s">
        <v>93</v>
      </c>
      <c r="AA3" s="173" t="s">
        <v>85</v>
      </c>
      <c r="AB3" s="173" t="s">
        <v>196</v>
      </c>
      <c r="AC3" s="173" t="s">
        <v>154</v>
      </c>
      <c r="AD3" s="173" t="s">
        <v>78</v>
      </c>
      <c r="AE3" s="173" t="s">
        <v>79</v>
      </c>
      <c r="AF3" s="173" t="s">
        <v>183</v>
      </c>
      <c r="AG3" s="173" t="s">
        <v>94</v>
      </c>
      <c r="AH3" s="173" t="s">
        <v>155</v>
      </c>
      <c r="AI3" s="173" t="s">
        <v>96</v>
      </c>
      <c r="AJ3" s="173" t="s">
        <v>100</v>
      </c>
      <c r="AK3" t="s">
        <v>99</v>
      </c>
      <c r="AL3" t="s">
        <v>97</v>
      </c>
      <c r="AM3" t="s">
        <v>98</v>
      </c>
      <c r="AN3" t="s">
        <v>102</v>
      </c>
      <c r="AO3" t="s">
        <v>156</v>
      </c>
    </row>
    <row r="4" spans="1:41" x14ac:dyDescent="0.25">
      <c r="A4" s="172">
        <v>36770</v>
      </c>
      <c r="B4" s="173">
        <v>1</v>
      </c>
      <c r="C4" s="173">
        <v>1</v>
      </c>
      <c r="D4" s="173">
        <v>1</v>
      </c>
      <c r="E4" s="173">
        <v>1</v>
      </c>
      <c r="F4" s="173">
        <v>1</v>
      </c>
      <c r="G4" s="173">
        <v>1</v>
      </c>
      <c r="H4" s="173">
        <v>1</v>
      </c>
      <c r="I4" s="173">
        <v>1</v>
      </c>
      <c r="J4" s="173">
        <v>1</v>
      </c>
      <c r="K4" s="173">
        <v>1</v>
      </c>
      <c r="L4" s="173">
        <v>1</v>
      </c>
      <c r="M4" s="173">
        <v>1</v>
      </c>
      <c r="N4" s="173">
        <v>1</v>
      </c>
      <c r="O4" s="173">
        <v>1</v>
      </c>
      <c r="P4" s="173">
        <v>1</v>
      </c>
      <c r="Q4" s="173">
        <v>1</v>
      </c>
      <c r="R4" s="173">
        <v>1</v>
      </c>
      <c r="S4" s="173">
        <v>1.02</v>
      </c>
      <c r="T4" s="173">
        <v>1</v>
      </c>
      <c r="U4" s="173">
        <v>1</v>
      </c>
      <c r="V4" s="173">
        <v>1</v>
      </c>
      <c r="W4" s="173">
        <v>1</v>
      </c>
      <c r="X4" s="173">
        <v>1</v>
      </c>
      <c r="Y4" s="173">
        <v>1.02</v>
      </c>
      <c r="Z4" s="173">
        <v>1</v>
      </c>
      <c r="AA4" s="173">
        <v>1</v>
      </c>
      <c r="AB4" s="173">
        <v>1</v>
      </c>
      <c r="AC4" s="173">
        <v>1</v>
      </c>
      <c r="AD4" s="173">
        <v>0.98</v>
      </c>
      <c r="AE4" s="173">
        <v>0.98</v>
      </c>
      <c r="AF4" s="173">
        <v>0.98</v>
      </c>
      <c r="AG4" s="173">
        <v>0.98</v>
      </c>
      <c r="AH4" s="173">
        <v>1.05</v>
      </c>
      <c r="AI4" s="173">
        <v>0.94</v>
      </c>
      <c r="AJ4" s="173">
        <v>0.96</v>
      </c>
      <c r="AK4" s="173">
        <v>1.02</v>
      </c>
      <c r="AL4">
        <v>1</v>
      </c>
      <c r="AM4">
        <v>0.96</v>
      </c>
      <c r="AN4">
        <v>0.94</v>
      </c>
      <c r="AO4">
        <v>1</v>
      </c>
    </row>
    <row r="5" spans="1:41" x14ac:dyDescent="0.25">
      <c r="A5" s="172">
        <v>36800</v>
      </c>
      <c r="B5" s="173">
        <v>1</v>
      </c>
      <c r="C5" s="173">
        <v>1</v>
      </c>
      <c r="D5" s="173">
        <v>1</v>
      </c>
      <c r="E5" s="173">
        <v>1</v>
      </c>
      <c r="F5" s="173">
        <v>1</v>
      </c>
      <c r="G5" s="173">
        <v>1</v>
      </c>
      <c r="H5" s="173">
        <v>1</v>
      </c>
      <c r="I5" s="173">
        <v>1</v>
      </c>
      <c r="J5" s="173">
        <v>1</v>
      </c>
      <c r="K5" s="173">
        <v>1</v>
      </c>
      <c r="L5" s="173">
        <v>1</v>
      </c>
      <c r="M5" s="173">
        <v>1</v>
      </c>
      <c r="N5" s="173">
        <v>1</v>
      </c>
      <c r="O5" s="173">
        <v>1</v>
      </c>
      <c r="P5" s="173">
        <v>1</v>
      </c>
      <c r="Q5" s="173">
        <v>1</v>
      </c>
      <c r="R5" s="173">
        <v>1</v>
      </c>
      <c r="S5" s="173">
        <v>1.02</v>
      </c>
      <c r="T5" s="173">
        <v>1</v>
      </c>
      <c r="U5" s="173">
        <v>1</v>
      </c>
      <c r="V5" s="173">
        <v>1</v>
      </c>
      <c r="W5" s="173">
        <v>1</v>
      </c>
      <c r="X5" s="173">
        <v>1</v>
      </c>
      <c r="Y5" s="173">
        <v>1.02</v>
      </c>
      <c r="Z5" s="173">
        <v>1</v>
      </c>
      <c r="AA5" s="173">
        <v>1</v>
      </c>
      <c r="AB5" s="173">
        <v>1</v>
      </c>
      <c r="AC5" s="173">
        <v>1</v>
      </c>
      <c r="AD5" s="173">
        <v>0.98</v>
      </c>
      <c r="AE5" s="173">
        <v>0.98</v>
      </c>
      <c r="AF5" s="173">
        <v>0.98</v>
      </c>
      <c r="AG5" s="173">
        <v>0.98</v>
      </c>
      <c r="AH5" s="173">
        <v>1.05</v>
      </c>
      <c r="AI5" s="173">
        <v>0.94</v>
      </c>
      <c r="AJ5" s="173">
        <v>0.96</v>
      </c>
      <c r="AK5" s="173">
        <v>1.02</v>
      </c>
      <c r="AL5">
        <v>1</v>
      </c>
      <c r="AM5">
        <v>0.96</v>
      </c>
      <c r="AN5">
        <v>0.94</v>
      </c>
      <c r="AO5">
        <v>1</v>
      </c>
    </row>
    <row r="6" spans="1:41" x14ac:dyDescent="0.25">
      <c r="A6" s="172">
        <v>36831</v>
      </c>
      <c r="B6" s="173">
        <v>1</v>
      </c>
      <c r="C6" s="173">
        <v>1</v>
      </c>
      <c r="D6" s="173">
        <v>1</v>
      </c>
      <c r="E6" s="173">
        <v>1</v>
      </c>
      <c r="F6" s="173">
        <v>1</v>
      </c>
      <c r="G6" s="173">
        <v>1.05</v>
      </c>
      <c r="H6" s="173">
        <v>1</v>
      </c>
      <c r="I6" s="173">
        <v>1</v>
      </c>
      <c r="J6" s="173">
        <v>1</v>
      </c>
      <c r="K6" s="173">
        <v>1</v>
      </c>
      <c r="L6" s="173">
        <v>1</v>
      </c>
      <c r="M6" s="173">
        <v>1</v>
      </c>
      <c r="N6" s="173">
        <v>1</v>
      </c>
      <c r="O6" s="173">
        <v>1</v>
      </c>
      <c r="P6" s="173">
        <v>1</v>
      </c>
      <c r="Q6" s="173">
        <v>1</v>
      </c>
      <c r="R6" s="173">
        <v>1</v>
      </c>
      <c r="S6" s="173">
        <v>1.02</v>
      </c>
      <c r="T6" s="173">
        <v>1</v>
      </c>
      <c r="U6" s="173">
        <v>1</v>
      </c>
      <c r="V6" s="173">
        <v>1</v>
      </c>
      <c r="W6" s="173">
        <v>1</v>
      </c>
      <c r="X6" s="173">
        <v>1</v>
      </c>
      <c r="Y6" s="173">
        <v>1</v>
      </c>
      <c r="Z6" s="173">
        <v>1</v>
      </c>
      <c r="AA6" s="173">
        <v>1</v>
      </c>
      <c r="AB6" s="173">
        <v>1</v>
      </c>
      <c r="AC6" s="173">
        <v>1</v>
      </c>
      <c r="AD6" s="173">
        <v>1</v>
      </c>
      <c r="AE6" s="173">
        <v>1</v>
      </c>
      <c r="AF6" s="173">
        <v>1</v>
      </c>
      <c r="AG6" s="173">
        <v>1.05</v>
      </c>
      <c r="AH6" s="173">
        <v>1.05</v>
      </c>
      <c r="AI6" s="173">
        <v>0.97</v>
      </c>
      <c r="AJ6" s="173">
        <v>0.96</v>
      </c>
      <c r="AK6" s="173">
        <v>1.02</v>
      </c>
      <c r="AL6">
        <v>1</v>
      </c>
      <c r="AM6">
        <v>0.96</v>
      </c>
      <c r="AN6">
        <v>0.97</v>
      </c>
      <c r="AO6">
        <v>1</v>
      </c>
    </row>
    <row r="7" spans="1:41" x14ac:dyDescent="0.25">
      <c r="A7" s="172">
        <v>36861</v>
      </c>
      <c r="B7" s="173">
        <v>1</v>
      </c>
      <c r="C7" s="173">
        <v>1</v>
      </c>
      <c r="D7" s="173">
        <v>1</v>
      </c>
      <c r="E7" s="173">
        <v>1</v>
      </c>
      <c r="F7" s="173">
        <v>1</v>
      </c>
      <c r="G7" s="173">
        <v>1.05</v>
      </c>
      <c r="H7" s="173">
        <v>1</v>
      </c>
      <c r="I7" s="173">
        <v>1</v>
      </c>
      <c r="J7" s="173">
        <v>1</v>
      </c>
      <c r="K7" s="173">
        <v>1</v>
      </c>
      <c r="L7" s="173">
        <v>1</v>
      </c>
      <c r="M7" s="173">
        <v>1</v>
      </c>
      <c r="N7" s="173">
        <v>1</v>
      </c>
      <c r="O7" s="173">
        <v>1</v>
      </c>
      <c r="P7" s="173">
        <v>1</v>
      </c>
      <c r="Q7" s="173">
        <v>1</v>
      </c>
      <c r="R7" s="173">
        <v>1</v>
      </c>
      <c r="S7" s="173">
        <v>1.02</v>
      </c>
      <c r="T7" s="173">
        <v>1</v>
      </c>
      <c r="U7" s="173">
        <v>1</v>
      </c>
      <c r="V7" s="173">
        <v>1</v>
      </c>
      <c r="W7" s="173">
        <v>1</v>
      </c>
      <c r="X7" s="173">
        <v>1</v>
      </c>
      <c r="Y7" s="173">
        <v>1</v>
      </c>
      <c r="Z7" s="173">
        <v>1</v>
      </c>
      <c r="AA7" s="173">
        <v>1</v>
      </c>
      <c r="AB7" s="173">
        <v>1</v>
      </c>
      <c r="AC7" s="173">
        <v>1</v>
      </c>
      <c r="AD7" s="173">
        <v>1</v>
      </c>
      <c r="AE7" s="173">
        <v>1</v>
      </c>
      <c r="AF7" s="173">
        <v>1</v>
      </c>
      <c r="AG7" s="173">
        <v>1.1499999999999999</v>
      </c>
      <c r="AH7" s="173">
        <v>1.05</v>
      </c>
      <c r="AI7" s="173">
        <v>0.97</v>
      </c>
      <c r="AJ7" s="173">
        <v>0.96</v>
      </c>
      <c r="AK7" s="173">
        <v>1.02</v>
      </c>
      <c r="AL7">
        <v>1</v>
      </c>
      <c r="AM7">
        <v>0.96</v>
      </c>
      <c r="AN7">
        <v>0.97</v>
      </c>
      <c r="AO7">
        <v>1</v>
      </c>
    </row>
    <row r="8" spans="1:41" x14ac:dyDescent="0.25">
      <c r="A8" s="172">
        <v>36892</v>
      </c>
      <c r="B8" s="173">
        <v>1</v>
      </c>
      <c r="C8" s="173">
        <v>1</v>
      </c>
      <c r="D8" s="173">
        <v>1</v>
      </c>
      <c r="E8" s="173">
        <v>1</v>
      </c>
      <c r="F8" s="173">
        <v>1</v>
      </c>
      <c r="G8" s="173">
        <v>1.05</v>
      </c>
      <c r="H8" s="173">
        <v>1</v>
      </c>
      <c r="I8" s="173">
        <v>1</v>
      </c>
      <c r="J8" s="173">
        <v>1</v>
      </c>
      <c r="K8" s="173">
        <v>1</v>
      </c>
      <c r="L8" s="173">
        <v>1</v>
      </c>
      <c r="M8" s="173">
        <v>1</v>
      </c>
      <c r="N8" s="173">
        <v>1</v>
      </c>
      <c r="O8" s="173">
        <v>1</v>
      </c>
      <c r="P8" s="173">
        <v>1</v>
      </c>
      <c r="Q8" s="173">
        <v>1</v>
      </c>
      <c r="R8" s="173">
        <v>1</v>
      </c>
      <c r="S8" s="173">
        <v>1.02</v>
      </c>
      <c r="T8" s="173">
        <v>1</v>
      </c>
      <c r="U8" s="173">
        <v>1</v>
      </c>
      <c r="V8" s="173">
        <v>1</v>
      </c>
      <c r="W8" s="173">
        <v>1</v>
      </c>
      <c r="X8" s="173">
        <v>1</v>
      </c>
      <c r="Y8" s="173">
        <v>1</v>
      </c>
      <c r="Z8" s="173">
        <v>1</v>
      </c>
      <c r="AA8" s="173">
        <v>1</v>
      </c>
      <c r="AB8" s="173">
        <v>1</v>
      </c>
      <c r="AC8" s="173">
        <v>1</v>
      </c>
      <c r="AD8" s="173">
        <v>1</v>
      </c>
      <c r="AE8" s="173">
        <v>1</v>
      </c>
      <c r="AF8" s="173">
        <v>1</v>
      </c>
      <c r="AG8" s="173">
        <v>1.1499999999999999</v>
      </c>
      <c r="AH8" s="173">
        <v>1.05</v>
      </c>
      <c r="AI8" s="173">
        <v>0.97</v>
      </c>
      <c r="AJ8" s="173">
        <v>0.96</v>
      </c>
      <c r="AK8" s="173">
        <v>1.02</v>
      </c>
      <c r="AL8">
        <v>1</v>
      </c>
      <c r="AM8">
        <v>0.96</v>
      </c>
      <c r="AN8">
        <v>0.97</v>
      </c>
      <c r="AO8">
        <v>1</v>
      </c>
    </row>
    <row r="9" spans="1:41" x14ac:dyDescent="0.25">
      <c r="A9" s="172">
        <v>36923</v>
      </c>
      <c r="B9" s="173">
        <v>1</v>
      </c>
      <c r="C9" s="173">
        <v>1</v>
      </c>
      <c r="D9" s="173">
        <v>1</v>
      </c>
      <c r="E9" s="173">
        <v>1</v>
      </c>
      <c r="F9" s="173">
        <v>1</v>
      </c>
      <c r="G9" s="173">
        <v>1.05</v>
      </c>
      <c r="H9" s="173">
        <v>1</v>
      </c>
      <c r="I9" s="173">
        <v>1</v>
      </c>
      <c r="J9" s="173">
        <v>1</v>
      </c>
      <c r="K9" s="173">
        <v>1</v>
      </c>
      <c r="L9" s="173">
        <v>1</v>
      </c>
      <c r="M9" s="173">
        <v>1</v>
      </c>
      <c r="N9" s="173">
        <v>1</v>
      </c>
      <c r="O9" s="173">
        <v>1</v>
      </c>
      <c r="P9" s="173">
        <v>1</v>
      </c>
      <c r="Q9" s="173">
        <v>1</v>
      </c>
      <c r="R9" s="173">
        <v>1</v>
      </c>
      <c r="S9" s="173">
        <v>1.02</v>
      </c>
      <c r="T9" s="173">
        <v>1</v>
      </c>
      <c r="U9" s="173">
        <v>1</v>
      </c>
      <c r="V9" s="173">
        <v>1</v>
      </c>
      <c r="W9" s="173">
        <v>1</v>
      </c>
      <c r="X9" s="173">
        <v>1</v>
      </c>
      <c r="Y9" s="173">
        <v>1</v>
      </c>
      <c r="Z9" s="173">
        <v>1</v>
      </c>
      <c r="AA9" s="173">
        <v>1</v>
      </c>
      <c r="AB9" s="173">
        <v>1</v>
      </c>
      <c r="AC9" s="173">
        <v>1</v>
      </c>
      <c r="AD9" s="173">
        <v>1</v>
      </c>
      <c r="AE9" s="173">
        <v>1</v>
      </c>
      <c r="AF9" s="173">
        <v>1</v>
      </c>
      <c r="AG9" s="173">
        <v>1.1499999999999999</v>
      </c>
      <c r="AH9" s="173">
        <v>1.05</v>
      </c>
      <c r="AI9" s="173">
        <v>0.97</v>
      </c>
      <c r="AJ9" s="173">
        <v>0.96</v>
      </c>
      <c r="AK9" s="173">
        <v>1.02</v>
      </c>
      <c r="AL9">
        <v>1</v>
      </c>
      <c r="AM9">
        <v>0.96</v>
      </c>
      <c r="AN9">
        <v>0.97</v>
      </c>
      <c r="AO9">
        <v>1</v>
      </c>
    </row>
    <row r="10" spans="1:41" x14ac:dyDescent="0.25">
      <c r="A10" s="172">
        <v>36951</v>
      </c>
      <c r="B10" s="173">
        <v>1</v>
      </c>
      <c r="C10" s="173">
        <v>1</v>
      </c>
      <c r="D10" s="173">
        <v>1</v>
      </c>
      <c r="E10" s="173">
        <v>1</v>
      </c>
      <c r="F10" s="173">
        <v>1</v>
      </c>
      <c r="G10" s="173">
        <v>1.05</v>
      </c>
      <c r="H10" s="173">
        <v>1</v>
      </c>
      <c r="I10" s="173">
        <v>1</v>
      </c>
      <c r="J10" s="173">
        <v>1</v>
      </c>
      <c r="K10" s="173">
        <v>1</v>
      </c>
      <c r="L10" s="173">
        <v>1</v>
      </c>
      <c r="M10" s="173">
        <v>1</v>
      </c>
      <c r="N10" s="173">
        <v>1</v>
      </c>
      <c r="O10" s="173">
        <v>1</v>
      </c>
      <c r="P10" s="173">
        <v>1</v>
      </c>
      <c r="Q10" s="173">
        <v>1</v>
      </c>
      <c r="R10" s="173">
        <v>1</v>
      </c>
      <c r="S10" s="173">
        <v>1.02</v>
      </c>
      <c r="T10" s="173">
        <v>1</v>
      </c>
      <c r="U10" s="173">
        <v>1</v>
      </c>
      <c r="V10" s="173">
        <v>1</v>
      </c>
      <c r="W10" s="173">
        <v>1</v>
      </c>
      <c r="X10" s="173">
        <v>1</v>
      </c>
      <c r="Y10" s="173">
        <v>1</v>
      </c>
      <c r="Z10" s="173">
        <v>1</v>
      </c>
      <c r="AA10" s="173">
        <v>1</v>
      </c>
      <c r="AB10" s="173">
        <v>1</v>
      </c>
      <c r="AC10" s="173">
        <v>1</v>
      </c>
      <c r="AD10" s="173">
        <v>1</v>
      </c>
      <c r="AE10" s="173">
        <v>1</v>
      </c>
      <c r="AF10" s="173">
        <v>1</v>
      </c>
      <c r="AG10" s="173">
        <v>1.1499999999999999</v>
      </c>
      <c r="AH10" s="173">
        <v>1.05</v>
      </c>
      <c r="AI10" s="173">
        <v>0.97</v>
      </c>
      <c r="AJ10" s="173">
        <v>0.96</v>
      </c>
      <c r="AK10" s="173">
        <v>1.02</v>
      </c>
      <c r="AL10">
        <v>1</v>
      </c>
      <c r="AM10">
        <v>0.96</v>
      </c>
      <c r="AN10">
        <v>0.97</v>
      </c>
      <c r="AO10">
        <v>1</v>
      </c>
    </row>
    <row r="11" spans="1:41" x14ac:dyDescent="0.25">
      <c r="A11" s="172">
        <v>36982</v>
      </c>
      <c r="B11" s="173">
        <v>1</v>
      </c>
      <c r="C11" s="173">
        <v>1</v>
      </c>
      <c r="D11" s="173">
        <v>1</v>
      </c>
      <c r="E11" s="173">
        <v>1</v>
      </c>
      <c r="F11" s="173">
        <v>1</v>
      </c>
      <c r="G11" s="173">
        <v>1</v>
      </c>
      <c r="H11" s="173">
        <v>1</v>
      </c>
      <c r="I11" s="173">
        <v>1</v>
      </c>
      <c r="J11" s="173">
        <v>1</v>
      </c>
      <c r="K11" s="173">
        <v>1</v>
      </c>
      <c r="L11" s="173">
        <v>1</v>
      </c>
      <c r="M11" s="173">
        <v>1</v>
      </c>
      <c r="N11" s="173">
        <v>1</v>
      </c>
      <c r="O11" s="173">
        <v>1</v>
      </c>
      <c r="P11" s="173">
        <v>1</v>
      </c>
      <c r="Q11" s="173">
        <v>1</v>
      </c>
      <c r="R11" s="173">
        <v>1</v>
      </c>
      <c r="S11" s="173">
        <v>1.02</v>
      </c>
      <c r="T11" s="173">
        <v>1</v>
      </c>
      <c r="U11" s="173">
        <v>1</v>
      </c>
      <c r="V11" s="173">
        <v>1</v>
      </c>
      <c r="W11" s="173">
        <v>1</v>
      </c>
      <c r="X11" s="173">
        <v>1</v>
      </c>
      <c r="Y11" s="173">
        <v>1.02</v>
      </c>
      <c r="Z11" s="173">
        <v>1</v>
      </c>
      <c r="AA11" s="173">
        <v>1</v>
      </c>
      <c r="AB11" s="173">
        <v>1</v>
      </c>
      <c r="AC11" s="173">
        <v>1</v>
      </c>
      <c r="AD11" s="173">
        <v>0.98</v>
      </c>
      <c r="AE11" s="173">
        <v>0.98</v>
      </c>
      <c r="AF11" s="173">
        <v>0.98</v>
      </c>
      <c r="AG11" s="173">
        <v>0.98</v>
      </c>
      <c r="AH11" s="173">
        <v>1.05</v>
      </c>
      <c r="AI11" s="173">
        <v>1</v>
      </c>
      <c r="AJ11" s="173">
        <v>0.97</v>
      </c>
      <c r="AK11" s="173">
        <v>1.02</v>
      </c>
      <c r="AL11">
        <v>1</v>
      </c>
      <c r="AM11">
        <v>0.97</v>
      </c>
      <c r="AN11">
        <v>1</v>
      </c>
      <c r="AO11">
        <v>1</v>
      </c>
    </row>
    <row r="12" spans="1:41" x14ac:dyDescent="0.25">
      <c r="A12" s="172">
        <v>37012</v>
      </c>
      <c r="B12" s="173">
        <v>1</v>
      </c>
      <c r="C12" s="173">
        <v>1</v>
      </c>
      <c r="D12" s="173">
        <v>1</v>
      </c>
      <c r="E12" s="173">
        <v>1</v>
      </c>
      <c r="F12" s="173">
        <v>1</v>
      </c>
      <c r="G12" s="173">
        <v>1</v>
      </c>
      <c r="H12" s="173">
        <v>1</v>
      </c>
      <c r="I12" s="173">
        <v>1</v>
      </c>
      <c r="J12" s="173">
        <v>1</v>
      </c>
      <c r="K12" s="173">
        <v>1</v>
      </c>
      <c r="L12" s="173">
        <v>1</v>
      </c>
      <c r="M12" s="173">
        <v>1</v>
      </c>
      <c r="N12" s="173">
        <v>1</v>
      </c>
      <c r="O12" s="173">
        <v>1</v>
      </c>
      <c r="P12" s="173">
        <v>1</v>
      </c>
      <c r="Q12" s="173">
        <v>1</v>
      </c>
      <c r="R12" s="173">
        <v>1</v>
      </c>
      <c r="S12" s="173">
        <v>1.02</v>
      </c>
      <c r="T12" s="173">
        <v>1</v>
      </c>
      <c r="U12" s="173">
        <v>1</v>
      </c>
      <c r="V12" s="173">
        <v>1</v>
      </c>
      <c r="W12" s="173">
        <v>1</v>
      </c>
      <c r="X12" s="173">
        <v>1</v>
      </c>
      <c r="Y12" s="173">
        <v>1.02</v>
      </c>
      <c r="Z12" s="173">
        <v>1</v>
      </c>
      <c r="AA12" s="173">
        <v>1</v>
      </c>
      <c r="AB12" s="173">
        <v>1</v>
      </c>
      <c r="AC12" s="173">
        <v>1</v>
      </c>
      <c r="AD12" s="173">
        <v>0.98</v>
      </c>
      <c r="AE12" s="173">
        <v>0.98</v>
      </c>
      <c r="AF12" s="173">
        <v>0.98</v>
      </c>
      <c r="AG12" s="173">
        <v>0.98</v>
      </c>
      <c r="AH12" s="173">
        <v>1.05</v>
      </c>
      <c r="AI12" s="173">
        <v>1</v>
      </c>
      <c r="AJ12" s="173">
        <v>0.97</v>
      </c>
      <c r="AK12" s="173">
        <v>1.02</v>
      </c>
      <c r="AL12">
        <v>1</v>
      </c>
      <c r="AM12">
        <v>0.97</v>
      </c>
      <c r="AN12">
        <v>1</v>
      </c>
      <c r="AO12">
        <v>1</v>
      </c>
    </row>
    <row r="13" spans="1:41" x14ac:dyDescent="0.25">
      <c r="A13" s="172">
        <v>37043</v>
      </c>
      <c r="B13" s="173">
        <v>1</v>
      </c>
      <c r="C13" s="173">
        <v>1</v>
      </c>
      <c r="D13" s="173">
        <v>1</v>
      </c>
      <c r="E13" s="173">
        <v>1</v>
      </c>
      <c r="F13" s="173">
        <v>1</v>
      </c>
      <c r="G13" s="173">
        <v>1</v>
      </c>
      <c r="H13" s="173">
        <v>1</v>
      </c>
      <c r="I13" s="173">
        <v>1</v>
      </c>
      <c r="J13" s="173">
        <v>1</v>
      </c>
      <c r="K13" s="173">
        <v>1</v>
      </c>
      <c r="L13" s="173">
        <v>1</v>
      </c>
      <c r="M13" s="173">
        <v>1</v>
      </c>
      <c r="N13" s="173">
        <v>1</v>
      </c>
      <c r="O13" s="173">
        <v>1</v>
      </c>
      <c r="P13" s="173">
        <v>1</v>
      </c>
      <c r="Q13" s="173">
        <v>1</v>
      </c>
      <c r="R13" s="173">
        <v>1</v>
      </c>
      <c r="S13" s="173">
        <v>1.02</v>
      </c>
      <c r="T13" s="173">
        <v>1</v>
      </c>
      <c r="U13" s="173">
        <v>1</v>
      </c>
      <c r="V13" s="173">
        <v>1</v>
      </c>
      <c r="W13" s="173">
        <v>1</v>
      </c>
      <c r="X13" s="173">
        <v>1</v>
      </c>
      <c r="Y13" s="173">
        <v>1.02</v>
      </c>
      <c r="Z13" s="173">
        <v>1</v>
      </c>
      <c r="AA13" s="173">
        <v>1</v>
      </c>
      <c r="AB13" s="173">
        <v>1</v>
      </c>
      <c r="AC13" s="173">
        <v>1</v>
      </c>
      <c r="AD13" s="173">
        <v>0.98</v>
      </c>
      <c r="AE13" s="173">
        <v>0.98</v>
      </c>
      <c r="AF13" s="173">
        <v>0.98</v>
      </c>
      <c r="AG13" s="173">
        <v>0.98</v>
      </c>
      <c r="AH13" s="173">
        <v>1.05</v>
      </c>
      <c r="AI13" s="173">
        <v>1</v>
      </c>
      <c r="AJ13" s="173">
        <v>0.97</v>
      </c>
      <c r="AK13" s="173">
        <v>1.02</v>
      </c>
      <c r="AL13">
        <v>1</v>
      </c>
      <c r="AM13">
        <v>0.97</v>
      </c>
      <c r="AN13">
        <v>1</v>
      </c>
      <c r="AO13">
        <v>1</v>
      </c>
    </row>
    <row r="14" spans="1:41" x14ac:dyDescent="0.25">
      <c r="A14" s="172">
        <v>37073</v>
      </c>
      <c r="B14" s="173">
        <v>1</v>
      </c>
      <c r="C14" s="173">
        <v>1</v>
      </c>
      <c r="D14" s="173">
        <v>1</v>
      </c>
      <c r="E14" s="173">
        <v>1</v>
      </c>
      <c r="F14" s="173">
        <v>1</v>
      </c>
      <c r="G14" s="173">
        <v>1</v>
      </c>
      <c r="H14" s="173">
        <v>1</v>
      </c>
      <c r="I14" s="173">
        <v>1</v>
      </c>
      <c r="J14" s="173">
        <v>1</v>
      </c>
      <c r="K14" s="173">
        <v>1</v>
      </c>
      <c r="L14" s="173">
        <v>1</v>
      </c>
      <c r="M14" s="173">
        <v>1</v>
      </c>
      <c r="N14" s="173">
        <v>1</v>
      </c>
      <c r="O14" s="173">
        <v>1</v>
      </c>
      <c r="P14" s="173">
        <v>1</v>
      </c>
      <c r="Q14" s="173">
        <v>1</v>
      </c>
      <c r="R14" s="173">
        <v>1</v>
      </c>
      <c r="S14" s="173">
        <v>1.02</v>
      </c>
      <c r="T14" s="173">
        <v>1</v>
      </c>
      <c r="U14" s="173">
        <v>1</v>
      </c>
      <c r="V14" s="173">
        <v>1</v>
      </c>
      <c r="W14" s="173">
        <v>1</v>
      </c>
      <c r="X14" s="173">
        <v>1</v>
      </c>
      <c r="Y14" s="173">
        <v>1.02</v>
      </c>
      <c r="Z14" s="173">
        <v>1</v>
      </c>
      <c r="AA14" s="173">
        <v>1</v>
      </c>
      <c r="AB14" s="173">
        <v>1</v>
      </c>
      <c r="AC14" s="173">
        <v>1</v>
      </c>
      <c r="AD14" s="173">
        <v>0.98</v>
      </c>
      <c r="AE14" s="173">
        <v>0.98</v>
      </c>
      <c r="AF14" s="173">
        <v>0.98</v>
      </c>
      <c r="AG14" s="173">
        <v>0.98</v>
      </c>
      <c r="AH14" s="173">
        <v>1.05</v>
      </c>
      <c r="AI14" s="173">
        <v>1</v>
      </c>
      <c r="AJ14" s="173">
        <v>0.97</v>
      </c>
      <c r="AK14" s="173">
        <v>1.02</v>
      </c>
      <c r="AL14">
        <v>1</v>
      </c>
      <c r="AM14">
        <v>0.97</v>
      </c>
      <c r="AN14">
        <v>1</v>
      </c>
      <c r="AO14">
        <v>1</v>
      </c>
    </row>
    <row r="15" spans="1:41" x14ac:dyDescent="0.25">
      <c r="A15" s="172">
        <v>37104</v>
      </c>
      <c r="B15" s="173">
        <v>1</v>
      </c>
      <c r="C15" s="173">
        <v>1</v>
      </c>
      <c r="D15" s="173">
        <v>1</v>
      </c>
      <c r="E15" s="173">
        <v>1</v>
      </c>
      <c r="F15" s="173">
        <v>1</v>
      </c>
      <c r="G15" s="173">
        <v>1</v>
      </c>
      <c r="H15" s="173">
        <v>1</v>
      </c>
      <c r="I15" s="173">
        <v>1</v>
      </c>
      <c r="J15" s="173">
        <v>1</v>
      </c>
      <c r="K15" s="173">
        <v>1</v>
      </c>
      <c r="L15" s="173">
        <v>1</v>
      </c>
      <c r="M15" s="173">
        <v>1</v>
      </c>
      <c r="N15" s="173">
        <v>1</v>
      </c>
      <c r="O15" s="173">
        <v>1</v>
      </c>
      <c r="P15" s="173">
        <v>1</v>
      </c>
      <c r="Q15" s="173">
        <v>1</v>
      </c>
      <c r="R15" s="173">
        <v>1</v>
      </c>
      <c r="S15" s="173">
        <v>1.02</v>
      </c>
      <c r="T15" s="173">
        <v>1</v>
      </c>
      <c r="U15" s="173">
        <v>1</v>
      </c>
      <c r="V15" s="173">
        <v>1</v>
      </c>
      <c r="W15" s="173">
        <v>1</v>
      </c>
      <c r="X15" s="173">
        <v>1</v>
      </c>
      <c r="Y15" s="173">
        <v>1.02</v>
      </c>
      <c r="Z15" s="173">
        <v>1</v>
      </c>
      <c r="AA15" s="173">
        <v>1</v>
      </c>
      <c r="AB15" s="173">
        <v>1</v>
      </c>
      <c r="AC15" s="173">
        <v>1</v>
      </c>
      <c r="AD15" s="173">
        <v>0.98</v>
      </c>
      <c r="AE15" s="173">
        <v>0.98</v>
      </c>
      <c r="AF15" s="173">
        <v>0.98</v>
      </c>
      <c r="AG15" s="173">
        <v>0.98</v>
      </c>
      <c r="AH15" s="173">
        <v>1.05</v>
      </c>
      <c r="AI15" s="173">
        <v>1</v>
      </c>
      <c r="AJ15" s="173">
        <v>0.97</v>
      </c>
      <c r="AK15" s="173">
        <v>1.02</v>
      </c>
      <c r="AL15">
        <v>1</v>
      </c>
      <c r="AM15">
        <v>0.97</v>
      </c>
      <c r="AN15">
        <v>1</v>
      </c>
      <c r="AO15">
        <v>1</v>
      </c>
    </row>
    <row r="16" spans="1:41" x14ac:dyDescent="0.25">
      <c r="A16" s="172">
        <v>37135</v>
      </c>
      <c r="B16" s="173">
        <v>1</v>
      </c>
      <c r="C16" s="173">
        <v>1</v>
      </c>
      <c r="D16" s="173">
        <v>1</v>
      </c>
      <c r="E16" s="173">
        <v>1</v>
      </c>
      <c r="F16" s="173">
        <v>1</v>
      </c>
      <c r="G16" s="173">
        <v>1</v>
      </c>
      <c r="H16" s="173">
        <v>1</v>
      </c>
      <c r="I16" s="173">
        <v>1</v>
      </c>
      <c r="J16" s="173">
        <v>1</v>
      </c>
      <c r="K16" s="173">
        <v>1</v>
      </c>
      <c r="L16" s="173">
        <v>1</v>
      </c>
      <c r="M16" s="173">
        <v>1</v>
      </c>
      <c r="N16" s="173">
        <v>1</v>
      </c>
      <c r="O16" s="173">
        <v>1</v>
      </c>
      <c r="P16" s="173">
        <v>1</v>
      </c>
      <c r="Q16" s="173">
        <v>1</v>
      </c>
      <c r="R16" s="173">
        <v>1</v>
      </c>
      <c r="S16" s="173">
        <v>1.02</v>
      </c>
      <c r="T16" s="173">
        <v>1</v>
      </c>
      <c r="U16" s="173">
        <v>1</v>
      </c>
      <c r="V16" s="173">
        <v>1</v>
      </c>
      <c r="W16" s="173">
        <v>1</v>
      </c>
      <c r="X16" s="173">
        <v>1</v>
      </c>
      <c r="Y16" s="173">
        <v>1.02</v>
      </c>
      <c r="Z16" s="173">
        <v>1</v>
      </c>
      <c r="AA16" s="173">
        <v>1</v>
      </c>
      <c r="AB16" s="173">
        <v>1</v>
      </c>
      <c r="AC16" s="173">
        <v>1</v>
      </c>
      <c r="AD16" s="173">
        <v>0.98</v>
      </c>
      <c r="AE16" s="173">
        <v>0.98</v>
      </c>
      <c r="AF16" s="173">
        <v>0.98</v>
      </c>
      <c r="AG16" s="173">
        <v>0.98</v>
      </c>
      <c r="AH16" s="173">
        <v>1.05</v>
      </c>
      <c r="AI16" s="173">
        <v>1</v>
      </c>
      <c r="AJ16" s="173">
        <v>0.97</v>
      </c>
      <c r="AK16" s="173">
        <v>1.02</v>
      </c>
      <c r="AL16">
        <v>1</v>
      </c>
      <c r="AM16">
        <v>0.97</v>
      </c>
      <c r="AN16">
        <v>1</v>
      </c>
      <c r="AO16">
        <v>1</v>
      </c>
    </row>
    <row r="17" spans="1:41" x14ac:dyDescent="0.25">
      <c r="A17" s="172">
        <v>37165</v>
      </c>
      <c r="B17" s="173">
        <v>1</v>
      </c>
      <c r="C17" s="173">
        <v>1</v>
      </c>
      <c r="D17" s="173">
        <v>1</v>
      </c>
      <c r="E17" s="173">
        <v>1</v>
      </c>
      <c r="F17" s="173">
        <v>1</v>
      </c>
      <c r="G17" s="173">
        <v>1</v>
      </c>
      <c r="H17" s="173">
        <v>1</v>
      </c>
      <c r="I17" s="173">
        <v>1</v>
      </c>
      <c r="J17" s="173">
        <v>1</v>
      </c>
      <c r="K17" s="173">
        <v>1</v>
      </c>
      <c r="L17" s="173">
        <v>1</v>
      </c>
      <c r="M17" s="173">
        <v>1</v>
      </c>
      <c r="N17" s="173">
        <v>1</v>
      </c>
      <c r="O17" s="173">
        <v>1</v>
      </c>
      <c r="P17" s="173">
        <v>1</v>
      </c>
      <c r="Q17" s="173">
        <v>1</v>
      </c>
      <c r="R17" s="173">
        <v>1</v>
      </c>
      <c r="S17" s="173">
        <v>1.02</v>
      </c>
      <c r="T17" s="173">
        <v>1</v>
      </c>
      <c r="U17" s="173">
        <v>1</v>
      </c>
      <c r="V17" s="173">
        <v>1</v>
      </c>
      <c r="W17" s="173">
        <v>1</v>
      </c>
      <c r="X17" s="173">
        <v>1</v>
      </c>
      <c r="Y17" s="173">
        <v>1.02</v>
      </c>
      <c r="Z17" s="173">
        <v>1</v>
      </c>
      <c r="AA17" s="173">
        <v>1</v>
      </c>
      <c r="AB17" s="173">
        <v>1</v>
      </c>
      <c r="AC17" s="173">
        <v>1</v>
      </c>
      <c r="AD17" s="173">
        <v>0.98</v>
      </c>
      <c r="AE17" s="173">
        <v>0.98</v>
      </c>
      <c r="AF17" s="173">
        <v>0.98</v>
      </c>
      <c r="AG17" s="173">
        <v>0.98</v>
      </c>
      <c r="AH17" s="173">
        <v>1.05</v>
      </c>
      <c r="AI17" s="173">
        <v>1</v>
      </c>
      <c r="AJ17" s="173">
        <v>0.97</v>
      </c>
      <c r="AK17" s="173">
        <v>1.02</v>
      </c>
      <c r="AL17">
        <v>1</v>
      </c>
      <c r="AM17">
        <v>0.97</v>
      </c>
      <c r="AN17">
        <v>1</v>
      </c>
      <c r="AO17">
        <v>1</v>
      </c>
    </row>
    <row r="18" spans="1:41" x14ac:dyDescent="0.25">
      <c r="A18" s="172">
        <v>37196</v>
      </c>
      <c r="B18" s="173">
        <v>1</v>
      </c>
      <c r="C18" s="173">
        <v>1</v>
      </c>
      <c r="D18" s="173">
        <v>1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1.02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73">
        <v>1</v>
      </c>
      <c r="AD18" s="173">
        <v>1</v>
      </c>
      <c r="AE18" s="173">
        <v>1</v>
      </c>
      <c r="AF18" s="173">
        <v>1</v>
      </c>
      <c r="AG18" s="173">
        <v>1.1000000000000001</v>
      </c>
      <c r="AH18" s="173">
        <v>1.05</v>
      </c>
      <c r="AI18" s="173">
        <v>1</v>
      </c>
      <c r="AJ18" s="173">
        <v>0.97</v>
      </c>
      <c r="AK18" s="173">
        <v>1.02</v>
      </c>
      <c r="AL18">
        <v>1</v>
      </c>
      <c r="AM18">
        <v>0.97</v>
      </c>
      <c r="AN18">
        <v>1</v>
      </c>
      <c r="AO18">
        <v>1</v>
      </c>
    </row>
    <row r="19" spans="1:41" x14ac:dyDescent="0.25">
      <c r="A19" s="172">
        <v>37226</v>
      </c>
      <c r="B19" s="173">
        <v>1</v>
      </c>
      <c r="C19" s="173">
        <v>1</v>
      </c>
      <c r="D19" s="173">
        <v>1</v>
      </c>
      <c r="E19" s="173">
        <v>1</v>
      </c>
      <c r="F19" s="173">
        <v>1</v>
      </c>
      <c r="G19" s="173">
        <v>1</v>
      </c>
      <c r="H19" s="173">
        <v>1</v>
      </c>
      <c r="I19" s="173">
        <v>1</v>
      </c>
      <c r="J19" s="173">
        <v>1</v>
      </c>
      <c r="K19" s="173">
        <v>1</v>
      </c>
      <c r="L19" s="173">
        <v>1</v>
      </c>
      <c r="M19" s="173">
        <v>1</v>
      </c>
      <c r="N19" s="173">
        <v>1</v>
      </c>
      <c r="O19" s="173">
        <v>1</v>
      </c>
      <c r="P19" s="173">
        <v>1</v>
      </c>
      <c r="Q19" s="173">
        <v>1</v>
      </c>
      <c r="R19" s="173">
        <v>1</v>
      </c>
      <c r="S19" s="173">
        <v>1.02</v>
      </c>
      <c r="T19" s="173">
        <v>1</v>
      </c>
      <c r="U19" s="173">
        <v>1</v>
      </c>
      <c r="V19" s="173">
        <v>1</v>
      </c>
      <c r="W19" s="173">
        <v>1</v>
      </c>
      <c r="X19" s="173">
        <v>1</v>
      </c>
      <c r="Y19" s="173">
        <v>1</v>
      </c>
      <c r="Z19" s="173">
        <v>1</v>
      </c>
      <c r="AA19" s="173">
        <v>1</v>
      </c>
      <c r="AB19" s="173">
        <v>1</v>
      </c>
      <c r="AC19" s="173">
        <v>1</v>
      </c>
      <c r="AD19" s="173">
        <v>1</v>
      </c>
      <c r="AE19" s="173">
        <v>1</v>
      </c>
      <c r="AF19" s="173">
        <v>1</v>
      </c>
      <c r="AG19" s="173">
        <v>1.1000000000000001</v>
      </c>
      <c r="AH19" s="173">
        <v>1.05</v>
      </c>
      <c r="AI19" s="173">
        <v>1</v>
      </c>
      <c r="AJ19" s="173">
        <v>0.97</v>
      </c>
      <c r="AK19" s="173">
        <v>1.02</v>
      </c>
      <c r="AL19">
        <v>1</v>
      </c>
      <c r="AM19">
        <v>0.97</v>
      </c>
      <c r="AN19">
        <v>1</v>
      </c>
      <c r="AO19">
        <v>1</v>
      </c>
    </row>
    <row r="20" spans="1:41" x14ac:dyDescent="0.25">
      <c r="A20" s="172">
        <v>37257</v>
      </c>
      <c r="B20" s="173">
        <v>1</v>
      </c>
      <c r="C20" s="173">
        <v>1</v>
      </c>
      <c r="D20" s="173">
        <v>1</v>
      </c>
      <c r="E20" s="173">
        <v>1</v>
      </c>
      <c r="F20" s="173">
        <v>1</v>
      </c>
      <c r="G20" s="173">
        <v>1</v>
      </c>
      <c r="H20" s="173">
        <v>1</v>
      </c>
      <c r="I20" s="173">
        <v>1</v>
      </c>
      <c r="J20" s="173">
        <v>1</v>
      </c>
      <c r="K20" s="173">
        <v>1</v>
      </c>
      <c r="L20" s="173">
        <v>1</v>
      </c>
      <c r="M20" s="173">
        <v>1</v>
      </c>
      <c r="N20" s="173">
        <v>1</v>
      </c>
      <c r="O20" s="173">
        <v>1</v>
      </c>
      <c r="P20" s="173">
        <v>1</v>
      </c>
      <c r="Q20" s="173">
        <v>1</v>
      </c>
      <c r="R20" s="173">
        <v>1</v>
      </c>
      <c r="S20" s="173">
        <v>1.02</v>
      </c>
      <c r="T20" s="173">
        <v>1</v>
      </c>
      <c r="U20" s="173">
        <v>1</v>
      </c>
      <c r="V20" s="173">
        <v>1</v>
      </c>
      <c r="W20" s="173">
        <v>1</v>
      </c>
      <c r="X20" s="173">
        <v>1</v>
      </c>
      <c r="Y20" s="173">
        <v>1</v>
      </c>
      <c r="Z20" s="173">
        <v>1</v>
      </c>
      <c r="AA20" s="173">
        <v>1</v>
      </c>
      <c r="AB20" s="173">
        <v>1</v>
      </c>
      <c r="AC20" s="173">
        <v>1</v>
      </c>
      <c r="AD20" s="173">
        <v>1</v>
      </c>
      <c r="AE20" s="173">
        <v>1</v>
      </c>
      <c r="AF20" s="173">
        <v>1</v>
      </c>
      <c r="AG20" s="173">
        <v>1.1000000000000001</v>
      </c>
      <c r="AH20" s="173">
        <v>1.05</v>
      </c>
      <c r="AI20" s="173">
        <v>1</v>
      </c>
      <c r="AJ20" s="173">
        <v>0.97</v>
      </c>
      <c r="AK20" s="173">
        <v>1.02</v>
      </c>
      <c r="AL20">
        <v>1</v>
      </c>
      <c r="AM20">
        <v>0.97</v>
      </c>
      <c r="AN20">
        <v>1</v>
      </c>
      <c r="AO20">
        <v>1</v>
      </c>
    </row>
    <row r="21" spans="1:41" x14ac:dyDescent="0.25">
      <c r="A21" s="172">
        <v>37288</v>
      </c>
      <c r="B21" s="173">
        <v>1</v>
      </c>
      <c r="C21" s="173">
        <v>1</v>
      </c>
      <c r="D21" s="173">
        <v>1</v>
      </c>
      <c r="E21" s="173">
        <v>1</v>
      </c>
      <c r="F21" s="173">
        <v>1</v>
      </c>
      <c r="G21" s="173">
        <v>1</v>
      </c>
      <c r="H21" s="173">
        <v>1</v>
      </c>
      <c r="I21" s="173">
        <v>1</v>
      </c>
      <c r="J21" s="173">
        <v>1</v>
      </c>
      <c r="K21" s="173">
        <v>1</v>
      </c>
      <c r="L21" s="173">
        <v>1</v>
      </c>
      <c r="M21" s="173">
        <v>1</v>
      </c>
      <c r="N21" s="173">
        <v>1</v>
      </c>
      <c r="O21" s="173">
        <v>1</v>
      </c>
      <c r="P21" s="173">
        <v>1</v>
      </c>
      <c r="Q21" s="173">
        <v>1</v>
      </c>
      <c r="R21" s="173">
        <v>1</v>
      </c>
      <c r="S21" s="173">
        <v>1.02</v>
      </c>
      <c r="T21" s="173">
        <v>1</v>
      </c>
      <c r="U21" s="173">
        <v>1</v>
      </c>
      <c r="V21" s="173">
        <v>1</v>
      </c>
      <c r="W21" s="173">
        <v>1</v>
      </c>
      <c r="X21" s="173">
        <v>1</v>
      </c>
      <c r="Y21" s="173">
        <v>1</v>
      </c>
      <c r="Z21" s="173">
        <v>1</v>
      </c>
      <c r="AA21" s="173">
        <v>1</v>
      </c>
      <c r="AB21" s="173">
        <v>1</v>
      </c>
      <c r="AC21" s="173">
        <v>1</v>
      </c>
      <c r="AD21" s="173">
        <v>1</v>
      </c>
      <c r="AE21" s="173">
        <v>1</v>
      </c>
      <c r="AF21" s="173">
        <v>1</v>
      </c>
      <c r="AG21" s="173">
        <v>1.1000000000000001</v>
      </c>
      <c r="AH21" s="173">
        <v>1.05</v>
      </c>
      <c r="AI21" s="173">
        <v>1</v>
      </c>
      <c r="AJ21" s="173">
        <v>0.97</v>
      </c>
      <c r="AK21" s="173">
        <v>1.02</v>
      </c>
      <c r="AL21">
        <v>1</v>
      </c>
      <c r="AM21">
        <v>0.97</v>
      </c>
      <c r="AN21">
        <v>1</v>
      </c>
      <c r="AO21">
        <v>1</v>
      </c>
    </row>
    <row r="22" spans="1:41" x14ac:dyDescent="0.25">
      <c r="A22" s="172">
        <v>37316</v>
      </c>
      <c r="B22" s="173">
        <v>1</v>
      </c>
      <c r="C22" s="173">
        <v>1</v>
      </c>
      <c r="D22" s="173">
        <v>1</v>
      </c>
      <c r="E22" s="173">
        <v>1</v>
      </c>
      <c r="F22" s="173">
        <v>1</v>
      </c>
      <c r="G22" s="173">
        <v>1</v>
      </c>
      <c r="H22" s="173">
        <v>1</v>
      </c>
      <c r="I22" s="173">
        <v>1</v>
      </c>
      <c r="J22" s="173">
        <v>1</v>
      </c>
      <c r="K22" s="173">
        <v>1</v>
      </c>
      <c r="L22" s="173">
        <v>1</v>
      </c>
      <c r="M22" s="173">
        <v>1</v>
      </c>
      <c r="N22" s="173">
        <v>1</v>
      </c>
      <c r="O22" s="173">
        <v>1</v>
      </c>
      <c r="P22" s="173">
        <v>1</v>
      </c>
      <c r="Q22" s="173">
        <v>1</v>
      </c>
      <c r="R22" s="173">
        <v>1</v>
      </c>
      <c r="S22" s="173">
        <v>1.02</v>
      </c>
      <c r="T22" s="173">
        <v>1</v>
      </c>
      <c r="U22" s="173">
        <v>1</v>
      </c>
      <c r="V22" s="173">
        <v>1</v>
      </c>
      <c r="W22" s="173">
        <v>1</v>
      </c>
      <c r="X22" s="173">
        <v>1</v>
      </c>
      <c r="Y22" s="173">
        <v>1</v>
      </c>
      <c r="Z22" s="173">
        <v>1</v>
      </c>
      <c r="AA22" s="173">
        <v>1</v>
      </c>
      <c r="AB22" s="173">
        <v>1</v>
      </c>
      <c r="AC22" s="173">
        <v>1</v>
      </c>
      <c r="AD22" s="173">
        <v>1</v>
      </c>
      <c r="AE22" s="173">
        <v>1</v>
      </c>
      <c r="AF22" s="173">
        <v>1</v>
      </c>
      <c r="AG22" s="173">
        <v>1.1000000000000001</v>
      </c>
      <c r="AH22" s="173">
        <v>1.05</v>
      </c>
      <c r="AI22" s="173">
        <v>1</v>
      </c>
      <c r="AJ22" s="173">
        <v>0.97</v>
      </c>
      <c r="AK22" s="173">
        <v>1.02</v>
      </c>
      <c r="AL22">
        <v>1</v>
      </c>
      <c r="AM22">
        <v>0.97</v>
      </c>
      <c r="AN22">
        <v>1</v>
      </c>
      <c r="AO22">
        <v>1</v>
      </c>
    </row>
    <row r="23" spans="1:41" x14ac:dyDescent="0.25">
      <c r="A23" s="172">
        <v>37347</v>
      </c>
      <c r="B23" s="173">
        <v>1</v>
      </c>
      <c r="C23" s="173">
        <v>1</v>
      </c>
      <c r="D23" s="173">
        <v>1</v>
      </c>
      <c r="E23" s="173">
        <v>1</v>
      </c>
      <c r="F23" s="173">
        <v>1</v>
      </c>
      <c r="G23" s="173">
        <v>1</v>
      </c>
      <c r="H23" s="173">
        <v>1</v>
      </c>
      <c r="I23" s="173">
        <v>1</v>
      </c>
      <c r="J23" s="173">
        <v>1</v>
      </c>
      <c r="K23" s="173">
        <v>1</v>
      </c>
      <c r="L23" s="173">
        <v>1</v>
      </c>
      <c r="M23" s="173">
        <v>1</v>
      </c>
      <c r="N23" s="173">
        <v>1</v>
      </c>
      <c r="O23" s="173">
        <v>1</v>
      </c>
      <c r="P23" s="173">
        <v>1</v>
      </c>
      <c r="Q23" s="173">
        <v>1</v>
      </c>
      <c r="R23" s="173">
        <v>1</v>
      </c>
      <c r="S23" s="173">
        <v>1.02</v>
      </c>
      <c r="T23" s="173">
        <v>1</v>
      </c>
      <c r="U23" s="173">
        <v>1</v>
      </c>
      <c r="V23" s="173">
        <v>1</v>
      </c>
      <c r="W23" s="173">
        <v>1</v>
      </c>
      <c r="X23" s="173">
        <v>1</v>
      </c>
      <c r="Y23" s="173">
        <v>1.02</v>
      </c>
      <c r="Z23" s="173">
        <v>1</v>
      </c>
      <c r="AA23" s="173">
        <v>1</v>
      </c>
      <c r="AB23" s="173">
        <v>1</v>
      </c>
      <c r="AC23" s="173">
        <v>1</v>
      </c>
      <c r="AD23" s="173">
        <v>0.98</v>
      </c>
      <c r="AE23" s="173">
        <v>0.98</v>
      </c>
      <c r="AF23" s="173">
        <v>0.98</v>
      </c>
      <c r="AG23" s="173">
        <v>0.98</v>
      </c>
      <c r="AH23" s="173">
        <v>1.05</v>
      </c>
      <c r="AI23" s="173">
        <v>1</v>
      </c>
      <c r="AJ23" s="173">
        <v>1</v>
      </c>
      <c r="AK23" s="173">
        <v>1.02</v>
      </c>
      <c r="AL23">
        <v>1</v>
      </c>
      <c r="AM23">
        <v>1</v>
      </c>
      <c r="AN23">
        <v>1</v>
      </c>
      <c r="AO23">
        <v>1</v>
      </c>
    </row>
    <row r="24" spans="1:41" x14ac:dyDescent="0.25">
      <c r="A24" s="172">
        <v>37377</v>
      </c>
      <c r="B24" s="173">
        <v>1</v>
      </c>
      <c r="C24" s="173">
        <v>1</v>
      </c>
      <c r="D24" s="173">
        <v>1</v>
      </c>
      <c r="E24" s="173">
        <v>1</v>
      </c>
      <c r="F24" s="173">
        <v>1</v>
      </c>
      <c r="G24" s="173">
        <v>1</v>
      </c>
      <c r="H24" s="173">
        <v>1</v>
      </c>
      <c r="I24" s="173">
        <v>1</v>
      </c>
      <c r="J24" s="173">
        <v>1</v>
      </c>
      <c r="K24" s="173">
        <v>1</v>
      </c>
      <c r="L24" s="173">
        <v>1</v>
      </c>
      <c r="M24" s="173">
        <v>1</v>
      </c>
      <c r="N24" s="173">
        <v>1</v>
      </c>
      <c r="O24" s="173">
        <v>1</v>
      </c>
      <c r="P24" s="173">
        <v>1</v>
      </c>
      <c r="Q24" s="173">
        <v>1</v>
      </c>
      <c r="R24" s="173">
        <v>1</v>
      </c>
      <c r="S24" s="173">
        <v>1.02</v>
      </c>
      <c r="T24" s="173">
        <v>1</v>
      </c>
      <c r="U24" s="173">
        <v>1</v>
      </c>
      <c r="V24" s="173">
        <v>1</v>
      </c>
      <c r="W24" s="173">
        <v>1</v>
      </c>
      <c r="X24" s="173">
        <v>1</v>
      </c>
      <c r="Y24" s="173">
        <v>1.02</v>
      </c>
      <c r="Z24" s="173">
        <v>1</v>
      </c>
      <c r="AA24" s="173">
        <v>1</v>
      </c>
      <c r="AB24" s="173">
        <v>1</v>
      </c>
      <c r="AC24" s="173">
        <v>1</v>
      </c>
      <c r="AD24" s="173">
        <v>0.98</v>
      </c>
      <c r="AE24" s="173">
        <v>0.98</v>
      </c>
      <c r="AF24" s="173">
        <v>0.98</v>
      </c>
      <c r="AG24" s="173">
        <v>0.98</v>
      </c>
      <c r="AH24" s="173">
        <v>1.05</v>
      </c>
      <c r="AI24" s="173">
        <v>1</v>
      </c>
      <c r="AJ24" s="173">
        <v>1</v>
      </c>
      <c r="AK24" s="173">
        <v>1.02</v>
      </c>
      <c r="AL24">
        <v>1</v>
      </c>
      <c r="AM24">
        <v>1</v>
      </c>
      <c r="AN24">
        <v>1</v>
      </c>
      <c r="AO24">
        <v>1</v>
      </c>
    </row>
    <row r="25" spans="1:41" x14ac:dyDescent="0.25">
      <c r="A25" s="172">
        <v>37408</v>
      </c>
      <c r="B25" s="173">
        <v>1</v>
      </c>
      <c r="C25" s="173">
        <v>1</v>
      </c>
      <c r="D25" s="173">
        <v>1</v>
      </c>
      <c r="E25" s="173">
        <v>1</v>
      </c>
      <c r="F25" s="173">
        <v>1</v>
      </c>
      <c r="G25" s="173">
        <v>1</v>
      </c>
      <c r="H25" s="173">
        <v>1</v>
      </c>
      <c r="I25" s="173">
        <v>1</v>
      </c>
      <c r="J25" s="173">
        <v>1</v>
      </c>
      <c r="K25" s="173">
        <v>1</v>
      </c>
      <c r="L25" s="173">
        <v>1</v>
      </c>
      <c r="M25" s="173">
        <v>1</v>
      </c>
      <c r="N25" s="173">
        <v>1</v>
      </c>
      <c r="O25" s="173">
        <v>1</v>
      </c>
      <c r="P25" s="173">
        <v>1</v>
      </c>
      <c r="Q25" s="173">
        <v>1</v>
      </c>
      <c r="R25" s="173">
        <v>1</v>
      </c>
      <c r="S25" s="173">
        <v>1.02</v>
      </c>
      <c r="T25" s="173">
        <v>1</v>
      </c>
      <c r="U25" s="173">
        <v>1</v>
      </c>
      <c r="V25" s="173">
        <v>1</v>
      </c>
      <c r="W25" s="173">
        <v>1</v>
      </c>
      <c r="X25" s="173">
        <v>1</v>
      </c>
      <c r="Y25" s="173">
        <v>1.02</v>
      </c>
      <c r="Z25" s="173">
        <v>1</v>
      </c>
      <c r="AA25" s="173">
        <v>1</v>
      </c>
      <c r="AB25" s="173">
        <v>1</v>
      </c>
      <c r="AC25" s="173">
        <v>1</v>
      </c>
      <c r="AD25" s="173">
        <v>0.98</v>
      </c>
      <c r="AE25" s="173">
        <v>0.98</v>
      </c>
      <c r="AF25" s="173">
        <v>0.98</v>
      </c>
      <c r="AG25" s="173">
        <v>0.98</v>
      </c>
      <c r="AH25" s="173">
        <v>1.05</v>
      </c>
      <c r="AI25" s="173">
        <v>1</v>
      </c>
      <c r="AJ25" s="173">
        <v>1</v>
      </c>
      <c r="AK25" s="173">
        <v>1.02</v>
      </c>
      <c r="AL25">
        <v>1</v>
      </c>
      <c r="AM25">
        <v>1</v>
      </c>
      <c r="AN25">
        <v>1</v>
      </c>
      <c r="AO25">
        <v>1</v>
      </c>
    </row>
    <row r="26" spans="1:41" x14ac:dyDescent="0.25">
      <c r="A26" s="172">
        <v>37438</v>
      </c>
      <c r="B26" s="173">
        <v>1</v>
      </c>
      <c r="C26" s="173">
        <v>1</v>
      </c>
      <c r="D26" s="173">
        <v>1</v>
      </c>
      <c r="E26" s="173">
        <v>1</v>
      </c>
      <c r="F26" s="173">
        <v>1</v>
      </c>
      <c r="G26" s="173">
        <v>1</v>
      </c>
      <c r="H26" s="173">
        <v>1</v>
      </c>
      <c r="I26" s="173">
        <v>1</v>
      </c>
      <c r="J26" s="173">
        <v>1</v>
      </c>
      <c r="K26" s="173">
        <v>1</v>
      </c>
      <c r="L26" s="173">
        <v>1</v>
      </c>
      <c r="M26" s="173">
        <v>1</v>
      </c>
      <c r="N26" s="173">
        <v>1</v>
      </c>
      <c r="O26" s="173">
        <v>1</v>
      </c>
      <c r="P26" s="173">
        <v>1</v>
      </c>
      <c r="Q26" s="173">
        <v>1</v>
      </c>
      <c r="R26" s="173">
        <v>1</v>
      </c>
      <c r="S26" s="173">
        <v>1.02</v>
      </c>
      <c r="T26" s="173">
        <v>1</v>
      </c>
      <c r="U26" s="173">
        <v>1</v>
      </c>
      <c r="V26" s="173">
        <v>1</v>
      </c>
      <c r="W26" s="173">
        <v>1</v>
      </c>
      <c r="X26" s="173">
        <v>1</v>
      </c>
      <c r="Y26" s="173">
        <v>1.02</v>
      </c>
      <c r="Z26" s="173">
        <v>1</v>
      </c>
      <c r="AA26" s="173">
        <v>1</v>
      </c>
      <c r="AB26" s="173">
        <v>1</v>
      </c>
      <c r="AC26" s="173">
        <v>1</v>
      </c>
      <c r="AD26" s="173">
        <v>0.98</v>
      </c>
      <c r="AE26" s="173">
        <v>0.98</v>
      </c>
      <c r="AF26" s="173">
        <v>0.98</v>
      </c>
      <c r="AG26" s="173">
        <v>0.98</v>
      </c>
      <c r="AH26" s="173">
        <v>1.05</v>
      </c>
      <c r="AI26" s="173">
        <v>1</v>
      </c>
      <c r="AJ26" s="173">
        <v>1</v>
      </c>
      <c r="AK26" s="173">
        <v>1.02</v>
      </c>
      <c r="AL26">
        <v>1</v>
      </c>
      <c r="AM26">
        <v>1</v>
      </c>
      <c r="AN26">
        <v>1</v>
      </c>
      <c r="AO26">
        <v>1</v>
      </c>
    </row>
    <row r="27" spans="1:41" x14ac:dyDescent="0.25">
      <c r="A27" s="172">
        <v>37469</v>
      </c>
      <c r="B27" s="173">
        <v>1</v>
      </c>
      <c r="C27" s="173">
        <v>1</v>
      </c>
      <c r="D27" s="173">
        <v>1</v>
      </c>
      <c r="E27" s="173">
        <v>1</v>
      </c>
      <c r="F27" s="173">
        <v>1</v>
      </c>
      <c r="G27" s="173">
        <v>1</v>
      </c>
      <c r="H27" s="173">
        <v>1</v>
      </c>
      <c r="I27" s="173">
        <v>1</v>
      </c>
      <c r="J27" s="173">
        <v>1</v>
      </c>
      <c r="K27" s="173">
        <v>1</v>
      </c>
      <c r="L27" s="173">
        <v>1</v>
      </c>
      <c r="M27" s="173">
        <v>1</v>
      </c>
      <c r="N27" s="173">
        <v>1</v>
      </c>
      <c r="O27" s="173">
        <v>1</v>
      </c>
      <c r="P27" s="173">
        <v>1</v>
      </c>
      <c r="Q27" s="173">
        <v>1</v>
      </c>
      <c r="R27" s="173">
        <v>1</v>
      </c>
      <c r="S27" s="173">
        <v>1.02</v>
      </c>
      <c r="T27" s="173">
        <v>1</v>
      </c>
      <c r="U27" s="173">
        <v>1</v>
      </c>
      <c r="V27" s="173">
        <v>1</v>
      </c>
      <c r="W27" s="173">
        <v>1</v>
      </c>
      <c r="X27" s="173">
        <v>1</v>
      </c>
      <c r="Y27" s="173">
        <v>1.02</v>
      </c>
      <c r="Z27" s="173">
        <v>1</v>
      </c>
      <c r="AA27" s="173">
        <v>1</v>
      </c>
      <c r="AB27" s="173">
        <v>1</v>
      </c>
      <c r="AC27" s="173">
        <v>1</v>
      </c>
      <c r="AD27" s="173">
        <v>0.98</v>
      </c>
      <c r="AE27" s="173">
        <v>0.98</v>
      </c>
      <c r="AF27" s="173">
        <v>0.98</v>
      </c>
      <c r="AG27" s="173">
        <v>0.98</v>
      </c>
      <c r="AH27" s="173">
        <v>1.05</v>
      </c>
      <c r="AI27" s="173">
        <v>1</v>
      </c>
      <c r="AJ27" s="173">
        <v>1</v>
      </c>
      <c r="AK27" s="173">
        <v>1.02</v>
      </c>
      <c r="AL27">
        <v>1</v>
      </c>
      <c r="AM27">
        <v>1</v>
      </c>
      <c r="AN27">
        <v>1</v>
      </c>
      <c r="AO27">
        <v>1</v>
      </c>
    </row>
    <row r="28" spans="1:41" x14ac:dyDescent="0.25">
      <c r="A28" s="172">
        <v>37500</v>
      </c>
      <c r="B28" s="173">
        <v>1</v>
      </c>
      <c r="C28" s="173">
        <v>1</v>
      </c>
      <c r="D28" s="173">
        <v>1</v>
      </c>
      <c r="E28" s="173">
        <v>1</v>
      </c>
      <c r="F28" s="173">
        <v>1</v>
      </c>
      <c r="G28" s="173">
        <v>1</v>
      </c>
      <c r="H28" s="173">
        <v>1</v>
      </c>
      <c r="I28" s="173">
        <v>1</v>
      </c>
      <c r="J28" s="173">
        <v>1</v>
      </c>
      <c r="K28" s="173">
        <v>1</v>
      </c>
      <c r="L28" s="173">
        <v>1</v>
      </c>
      <c r="M28" s="173">
        <v>1</v>
      </c>
      <c r="N28" s="173">
        <v>1</v>
      </c>
      <c r="O28" s="173">
        <v>1</v>
      </c>
      <c r="P28" s="173">
        <v>1</v>
      </c>
      <c r="Q28" s="173">
        <v>1</v>
      </c>
      <c r="R28" s="173">
        <v>1</v>
      </c>
      <c r="S28" s="173">
        <v>1.02</v>
      </c>
      <c r="T28" s="173">
        <v>1</v>
      </c>
      <c r="U28" s="173">
        <v>1</v>
      </c>
      <c r="V28" s="173">
        <v>1</v>
      </c>
      <c r="W28" s="173">
        <v>1</v>
      </c>
      <c r="X28" s="173">
        <v>1</v>
      </c>
      <c r="Y28" s="173">
        <v>1.02</v>
      </c>
      <c r="Z28" s="173">
        <v>1</v>
      </c>
      <c r="AA28" s="173">
        <v>1</v>
      </c>
      <c r="AB28" s="173">
        <v>1</v>
      </c>
      <c r="AC28" s="173">
        <v>1</v>
      </c>
      <c r="AD28" s="173">
        <v>0.98</v>
      </c>
      <c r="AE28" s="173">
        <v>0.98</v>
      </c>
      <c r="AF28" s="173">
        <v>0.98</v>
      </c>
      <c r="AG28" s="173">
        <v>0.98</v>
      </c>
      <c r="AH28" s="173">
        <v>1.05</v>
      </c>
      <c r="AI28" s="173">
        <v>1</v>
      </c>
      <c r="AJ28" s="173">
        <v>1</v>
      </c>
      <c r="AK28" s="173">
        <v>1.02</v>
      </c>
      <c r="AL28">
        <v>1</v>
      </c>
      <c r="AM28">
        <v>1</v>
      </c>
      <c r="AN28">
        <v>1</v>
      </c>
      <c r="AO28">
        <v>1</v>
      </c>
    </row>
    <row r="29" spans="1:41" x14ac:dyDescent="0.25">
      <c r="A29" s="172">
        <v>37530</v>
      </c>
      <c r="B29" s="173">
        <v>1</v>
      </c>
      <c r="C29" s="173">
        <v>1</v>
      </c>
      <c r="D29" s="173">
        <v>1</v>
      </c>
      <c r="E29" s="173">
        <v>1</v>
      </c>
      <c r="F29" s="173">
        <v>1</v>
      </c>
      <c r="G29" s="173">
        <v>1</v>
      </c>
      <c r="H29" s="173">
        <v>1</v>
      </c>
      <c r="I29" s="173">
        <v>1</v>
      </c>
      <c r="J29" s="173">
        <v>1</v>
      </c>
      <c r="K29" s="173">
        <v>1</v>
      </c>
      <c r="L29" s="173">
        <v>1</v>
      </c>
      <c r="M29" s="173">
        <v>1</v>
      </c>
      <c r="N29" s="173">
        <v>1</v>
      </c>
      <c r="O29" s="173">
        <v>1</v>
      </c>
      <c r="P29" s="173">
        <v>1</v>
      </c>
      <c r="Q29" s="173">
        <v>1</v>
      </c>
      <c r="R29" s="173">
        <v>1</v>
      </c>
      <c r="S29" s="173">
        <v>1.02</v>
      </c>
      <c r="T29" s="173">
        <v>1</v>
      </c>
      <c r="U29" s="173">
        <v>1</v>
      </c>
      <c r="V29" s="173">
        <v>1</v>
      </c>
      <c r="W29" s="173">
        <v>1</v>
      </c>
      <c r="X29" s="173">
        <v>1</v>
      </c>
      <c r="Y29" s="173">
        <v>1.02</v>
      </c>
      <c r="Z29" s="173">
        <v>1</v>
      </c>
      <c r="AA29" s="173">
        <v>1</v>
      </c>
      <c r="AB29" s="173">
        <v>1</v>
      </c>
      <c r="AC29" s="173">
        <v>1</v>
      </c>
      <c r="AD29" s="173">
        <v>0.98</v>
      </c>
      <c r="AE29" s="173">
        <v>0.98</v>
      </c>
      <c r="AF29" s="173">
        <v>0.98</v>
      </c>
      <c r="AG29" s="173">
        <v>0.98</v>
      </c>
      <c r="AH29" s="173">
        <v>1.05</v>
      </c>
      <c r="AI29" s="173">
        <v>1</v>
      </c>
      <c r="AJ29" s="173">
        <v>1</v>
      </c>
      <c r="AK29" s="173">
        <v>1.02</v>
      </c>
      <c r="AL29">
        <v>1</v>
      </c>
      <c r="AM29">
        <v>1</v>
      </c>
      <c r="AN29">
        <v>1</v>
      </c>
      <c r="AO29">
        <v>1</v>
      </c>
    </row>
    <row r="30" spans="1:41" x14ac:dyDescent="0.25">
      <c r="A30" s="172">
        <v>37561</v>
      </c>
      <c r="B30" s="173">
        <v>1</v>
      </c>
      <c r="C30" s="173">
        <v>1</v>
      </c>
      <c r="D30" s="173">
        <v>1</v>
      </c>
      <c r="E30" s="173">
        <v>1</v>
      </c>
      <c r="F30" s="173">
        <v>1</v>
      </c>
      <c r="G30" s="173">
        <v>1</v>
      </c>
      <c r="H30" s="173">
        <v>1</v>
      </c>
      <c r="I30" s="173">
        <v>1</v>
      </c>
      <c r="J30" s="173">
        <v>1</v>
      </c>
      <c r="K30" s="173">
        <v>1</v>
      </c>
      <c r="L30" s="173">
        <v>1</v>
      </c>
      <c r="M30" s="173">
        <v>1</v>
      </c>
      <c r="N30" s="173">
        <v>1</v>
      </c>
      <c r="O30" s="173">
        <v>1</v>
      </c>
      <c r="P30" s="173">
        <v>1</v>
      </c>
      <c r="Q30" s="173">
        <v>1</v>
      </c>
      <c r="R30" s="173">
        <v>1</v>
      </c>
      <c r="S30" s="173">
        <v>1.02</v>
      </c>
      <c r="T30" s="173">
        <v>1</v>
      </c>
      <c r="U30" s="173">
        <v>1</v>
      </c>
      <c r="V30" s="173">
        <v>1</v>
      </c>
      <c r="W30" s="173">
        <v>1</v>
      </c>
      <c r="X30" s="173">
        <v>1</v>
      </c>
      <c r="Y30" s="173">
        <v>1</v>
      </c>
      <c r="Z30" s="173">
        <v>1</v>
      </c>
      <c r="AA30" s="173">
        <v>1</v>
      </c>
      <c r="AB30" s="173">
        <v>1</v>
      </c>
      <c r="AC30" s="173">
        <v>1</v>
      </c>
      <c r="AD30" s="173">
        <v>1</v>
      </c>
      <c r="AE30" s="173">
        <v>1</v>
      </c>
      <c r="AF30" s="173">
        <v>1.1000000000000001</v>
      </c>
      <c r="AG30" s="173">
        <v>1.1000000000000001</v>
      </c>
      <c r="AH30" s="173">
        <v>1.05</v>
      </c>
      <c r="AI30" s="173">
        <v>1</v>
      </c>
      <c r="AJ30" s="173">
        <v>1</v>
      </c>
      <c r="AK30" s="173">
        <v>1.02</v>
      </c>
      <c r="AL30">
        <v>1</v>
      </c>
      <c r="AM30">
        <v>1</v>
      </c>
      <c r="AN30">
        <v>1</v>
      </c>
      <c r="AO30">
        <v>1</v>
      </c>
    </row>
    <row r="31" spans="1:41" x14ac:dyDescent="0.25">
      <c r="A31" s="172">
        <v>37591</v>
      </c>
      <c r="B31" s="173">
        <v>1</v>
      </c>
      <c r="C31" s="173">
        <v>1</v>
      </c>
      <c r="D31" s="173">
        <v>1</v>
      </c>
      <c r="E31" s="173">
        <v>1</v>
      </c>
      <c r="F31" s="173">
        <v>1</v>
      </c>
      <c r="G31" s="173">
        <v>1</v>
      </c>
      <c r="H31" s="173">
        <v>1</v>
      </c>
      <c r="I31" s="173">
        <v>1</v>
      </c>
      <c r="J31" s="173">
        <v>1</v>
      </c>
      <c r="K31" s="173">
        <v>1</v>
      </c>
      <c r="L31" s="173">
        <v>1</v>
      </c>
      <c r="M31" s="173">
        <v>1</v>
      </c>
      <c r="N31" s="173">
        <v>1</v>
      </c>
      <c r="O31" s="173">
        <v>1</v>
      </c>
      <c r="P31" s="173">
        <v>1</v>
      </c>
      <c r="Q31" s="173">
        <v>1</v>
      </c>
      <c r="R31" s="173">
        <v>1</v>
      </c>
      <c r="S31" s="173">
        <v>1.02</v>
      </c>
      <c r="T31" s="173">
        <v>1</v>
      </c>
      <c r="U31" s="173">
        <v>1</v>
      </c>
      <c r="V31" s="173">
        <v>1</v>
      </c>
      <c r="W31" s="173">
        <v>1</v>
      </c>
      <c r="X31" s="173">
        <v>1</v>
      </c>
      <c r="Y31" s="173">
        <v>1</v>
      </c>
      <c r="Z31" s="173">
        <v>1</v>
      </c>
      <c r="AA31" s="173">
        <v>1</v>
      </c>
      <c r="AB31" s="173">
        <v>1</v>
      </c>
      <c r="AC31" s="173">
        <v>1</v>
      </c>
      <c r="AD31" s="173">
        <v>1</v>
      </c>
      <c r="AE31" s="173">
        <v>1</v>
      </c>
      <c r="AF31" s="173">
        <v>1.1000000000000001</v>
      </c>
      <c r="AG31" s="173">
        <v>1.1000000000000001</v>
      </c>
      <c r="AH31" s="173">
        <v>1.05</v>
      </c>
      <c r="AI31" s="173">
        <v>1</v>
      </c>
      <c r="AJ31" s="173">
        <v>1</v>
      </c>
      <c r="AK31" s="173">
        <v>1.02</v>
      </c>
      <c r="AL31">
        <v>1</v>
      </c>
      <c r="AM31">
        <v>1</v>
      </c>
      <c r="AN31">
        <v>1</v>
      </c>
      <c r="AO31">
        <v>1</v>
      </c>
    </row>
    <row r="32" spans="1:41" x14ac:dyDescent="0.25">
      <c r="A32" s="172">
        <v>37622</v>
      </c>
      <c r="B32" s="173">
        <v>1</v>
      </c>
      <c r="C32" s="173">
        <v>1</v>
      </c>
      <c r="D32" s="173">
        <v>1</v>
      </c>
      <c r="E32" s="173">
        <v>1</v>
      </c>
      <c r="F32" s="173">
        <v>1</v>
      </c>
      <c r="G32" s="173">
        <v>1</v>
      </c>
      <c r="H32" s="173">
        <v>1</v>
      </c>
      <c r="I32" s="173">
        <v>1</v>
      </c>
      <c r="J32" s="173">
        <v>1</v>
      </c>
      <c r="K32" s="173">
        <v>1</v>
      </c>
      <c r="L32" s="173">
        <v>1</v>
      </c>
      <c r="M32" s="173">
        <v>1</v>
      </c>
      <c r="N32" s="173">
        <v>1</v>
      </c>
      <c r="O32" s="173">
        <v>1</v>
      </c>
      <c r="P32" s="173">
        <v>1</v>
      </c>
      <c r="Q32" s="173">
        <v>1</v>
      </c>
      <c r="R32" s="173">
        <v>1</v>
      </c>
      <c r="S32" s="173">
        <v>1.02</v>
      </c>
      <c r="T32" s="173">
        <v>1</v>
      </c>
      <c r="U32" s="173">
        <v>1</v>
      </c>
      <c r="V32" s="173">
        <v>1</v>
      </c>
      <c r="W32" s="173">
        <v>1</v>
      </c>
      <c r="X32" s="173">
        <v>1</v>
      </c>
      <c r="Y32" s="173">
        <v>1</v>
      </c>
      <c r="Z32" s="173">
        <v>1</v>
      </c>
      <c r="AA32" s="173">
        <v>1</v>
      </c>
      <c r="AB32" s="173">
        <v>1</v>
      </c>
      <c r="AC32" s="173">
        <v>1</v>
      </c>
      <c r="AD32" s="173">
        <v>1</v>
      </c>
      <c r="AE32" s="173">
        <v>1</v>
      </c>
      <c r="AF32" s="173">
        <v>1.1000000000000001</v>
      </c>
      <c r="AG32" s="173">
        <v>1.1000000000000001</v>
      </c>
      <c r="AH32" s="173">
        <v>1.05</v>
      </c>
      <c r="AI32" s="173">
        <v>1</v>
      </c>
      <c r="AJ32" s="173">
        <v>1</v>
      </c>
      <c r="AK32" s="173">
        <v>1.02</v>
      </c>
      <c r="AL32">
        <v>1</v>
      </c>
      <c r="AM32">
        <v>1</v>
      </c>
      <c r="AN32">
        <v>1</v>
      </c>
      <c r="AO32">
        <v>1</v>
      </c>
    </row>
    <row r="33" spans="1:41" x14ac:dyDescent="0.25">
      <c r="A33" s="172">
        <v>37653</v>
      </c>
      <c r="B33" s="173">
        <v>1</v>
      </c>
      <c r="C33" s="173">
        <v>1</v>
      </c>
      <c r="D33" s="173">
        <v>1</v>
      </c>
      <c r="E33" s="173">
        <v>1</v>
      </c>
      <c r="F33" s="173">
        <v>1</v>
      </c>
      <c r="G33" s="173">
        <v>1</v>
      </c>
      <c r="H33" s="173">
        <v>1</v>
      </c>
      <c r="I33" s="173">
        <v>1</v>
      </c>
      <c r="J33" s="173">
        <v>1</v>
      </c>
      <c r="K33" s="173">
        <v>1</v>
      </c>
      <c r="L33" s="173">
        <v>1</v>
      </c>
      <c r="M33" s="173">
        <v>1</v>
      </c>
      <c r="N33" s="173">
        <v>1</v>
      </c>
      <c r="O33" s="173">
        <v>1</v>
      </c>
      <c r="P33" s="173">
        <v>1</v>
      </c>
      <c r="Q33" s="173">
        <v>1</v>
      </c>
      <c r="R33" s="173">
        <v>1</v>
      </c>
      <c r="S33" s="173">
        <v>1.02</v>
      </c>
      <c r="T33" s="173">
        <v>1</v>
      </c>
      <c r="U33" s="173">
        <v>1</v>
      </c>
      <c r="V33" s="173">
        <v>1</v>
      </c>
      <c r="W33" s="173">
        <v>1</v>
      </c>
      <c r="X33" s="173">
        <v>1</v>
      </c>
      <c r="Y33" s="173">
        <v>1</v>
      </c>
      <c r="Z33" s="173">
        <v>1</v>
      </c>
      <c r="AA33" s="173">
        <v>1</v>
      </c>
      <c r="AB33" s="173">
        <v>1</v>
      </c>
      <c r="AC33" s="173">
        <v>1</v>
      </c>
      <c r="AD33" s="173">
        <v>1</v>
      </c>
      <c r="AE33" s="173">
        <v>1</v>
      </c>
      <c r="AF33" s="173">
        <v>1.1000000000000001</v>
      </c>
      <c r="AG33" s="173">
        <v>1.1000000000000001</v>
      </c>
      <c r="AH33" s="173">
        <v>1.05</v>
      </c>
      <c r="AI33" s="173">
        <v>1</v>
      </c>
      <c r="AJ33" s="173">
        <v>1</v>
      </c>
      <c r="AK33" s="173">
        <v>1.02</v>
      </c>
      <c r="AL33">
        <v>1</v>
      </c>
      <c r="AM33">
        <v>1</v>
      </c>
      <c r="AN33">
        <v>1</v>
      </c>
      <c r="AO33">
        <v>1</v>
      </c>
    </row>
    <row r="34" spans="1:41" x14ac:dyDescent="0.25">
      <c r="A34" s="172">
        <v>37681</v>
      </c>
      <c r="B34" s="173">
        <v>1</v>
      </c>
      <c r="C34" s="173">
        <v>1</v>
      </c>
      <c r="D34" s="173">
        <v>1</v>
      </c>
      <c r="E34" s="173">
        <v>1</v>
      </c>
      <c r="F34" s="173">
        <v>1</v>
      </c>
      <c r="G34" s="173">
        <v>1</v>
      </c>
      <c r="H34" s="173">
        <v>1</v>
      </c>
      <c r="I34" s="173">
        <v>1</v>
      </c>
      <c r="J34" s="173">
        <v>1</v>
      </c>
      <c r="K34" s="173">
        <v>1</v>
      </c>
      <c r="L34" s="173">
        <v>1</v>
      </c>
      <c r="M34" s="173">
        <v>1</v>
      </c>
      <c r="N34" s="173">
        <v>1</v>
      </c>
      <c r="O34" s="173">
        <v>1</v>
      </c>
      <c r="P34" s="173">
        <v>1</v>
      </c>
      <c r="Q34" s="173">
        <v>1</v>
      </c>
      <c r="R34" s="173">
        <v>1</v>
      </c>
      <c r="S34" s="173">
        <v>1.02</v>
      </c>
      <c r="T34" s="173">
        <v>1</v>
      </c>
      <c r="U34" s="173">
        <v>1</v>
      </c>
      <c r="V34" s="173">
        <v>1</v>
      </c>
      <c r="W34" s="173">
        <v>1</v>
      </c>
      <c r="X34" s="173">
        <v>1</v>
      </c>
      <c r="Y34" s="173">
        <v>1</v>
      </c>
      <c r="Z34" s="173">
        <v>1</v>
      </c>
      <c r="AA34" s="173">
        <v>1</v>
      </c>
      <c r="AB34" s="173">
        <v>1</v>
      </c>
      <c r="AC34" s="173">
        <v>1</v>
      </c>
      <c r="AD34" s="173">
        <v>1</v>
      </c>
      <c r="AE34" s="173">
        <v>1</v>
      </c>
      <c r="AF34" s="173">
        <v>1.1000000000000001</v>
      </c>
      <c r="AG34" s="173">
        <v>1.1000000000000001</v>
      </c>
      <c r="AH34" s="173">
        <v>1.05</v>
      </c>
      <c r="AI34" s="173">
        <v>1</v>
      </c>
      <c r="AJ34" s="173">
        <v>1</v>
      </c>
      <c r="AK34" s="173">
        <v>1.02</v>
      </c>
      <c r="AL34">
        <v>1</v>
      </c>
      <c r="AM34">
        <v>1</v>
      </c>
      <c r="AN34">
        <v>1</v>
      </c>
      <c r="AO34">
        <v>1</v>
      </c>
    </row>
    <row r="35" spans="1:41" x14ac:dyDescent="0.25">
      <c r="A35" s="172">
        <v>37712</v>
      </c>
      <c r="B35" s="173">
        <v>1</v>
      </c>
      <c r="C35" s="173">
        <v>1</v>
      </c>
      <c r="D35" s="173">
        <v>1</v>
      </c>
      <c r="E35" s="173">
        <v>1</v>
      </c>
      <c r="F35" s="173">
        <v>1</v>
      </c>
      <c r="G35" s="173">
        <v>1</v>
      </c>
      <c r="H35" s="173">
        <v>1</v>
      </c>
      <c r="I35" s="173">
        <v>1</v>
      </c>
      <c r="J35" s="173">
        <v>1</v>
      </c>
      <c r="K35" s="173">
        <v>1</v>
      </c>
      <c r="L35" s="173">
        <v>1</v>
      </c>
      <c r="M35" s="173">
        <v>1</v>
      </c>
      <c r="N35" s="173">
        <v>1</v>
      </c>
      <c r="O35" s="173">
        <v>1</v>
      </c>
      <c r="P35" s="173">
        <v>1</v>
      </c>
      <c r="Q35" s="173">
        <v>1</v>
      </c>
      <c r="R35" s="173">
        <v>1</v>
      </c>
      <c r="S35" s="173">
        <v>1.02</v>
      </c>
      <c r="T35" s="173">
        <v>1</v>
      </c>
      <c r="U35" s="173">
        <v>1</v>
      </c>
      <c r="V35" s="173">
        <v>1</v>
      </c>
      <c r="W35" s="173">
        <v>1</v>
      </c>
      <c r="X35" s="173">
        <v>1</v>
      </c>
      <c r="Y35" s="173">
        <v>1.02</v>
      </c>
      <c r="Z35" s="173">
        <v>1</v>
      </c>
      <c r="AA35" s="173">
        <v>1</v>
      </c>
      <c r="AB35" s="173">
        <v>1</v>
      </c>
      <c r="AC35" s="173">
        <v>1</v>
      </c>
      <c r="AD35" s="173">
        <v>0.98</v>
      </c>
      <c r="AE35" s="173">
        <v>0.98</v>
      </c>
      <c r="AF35" s="173">
        <v>0.98</v>
      </c>
      <c r="AG35" s="173">
        <v>0.98</v>
      </c>
      <c r="AH35" s="173">
        <v>1.05</v>
      </c>
      <c r="AI35" s="173">
        <v>1</v>
      </c>
      <c r="AJ35" s="173">
        <v>1</v>
      </c>
      <c r="AK35" s="173">
        <v>1.02</v>
      </c>
      <c r="AL35">
        <v>1</v>
      </c>
      <c r="AM35">
        <v>1</v>
      </c>
      <c r="AN35">
        <v>1</v>
      </c>
      <c r="AO35">
        <v>1</v>
      </c>
    </row>
    <row r="36" spans="1:41" x14ac:dyDescent="0.25">
      <c r="A36" s="172">
        <v>37742</v>
      </c>
      <c r="B36" s="173">
        <v>1</v>
      </c>
      <c r="C36" s="173">
        <v>1</v>
      </c>
      <c r="D36" s="173">
        <v>1</v>
      </c>
      <c r="E36" s="173">
        <v>1</v>
      </c>
      <c r="F36" s="173">
        <v>1</v>
      </c>
      <c r="G36" s="173">
        <v>1</v>
      </c>
      <c r="H36" s="173">
        <v>1</v>
      </c>
      <c r="I36" s="173">
        <v>1</v>
      </c>
      <c r="J36" s="173">
        <v>1</v>
      </c>
      <c r="K36" s="173">
        <v>1</v>
      </c>
      <c r="L36" s="173">
        <v>1</v>
      </c>
      <c r="M36" s="173">
        <v>1</v>
      </c>
      <c r="N36" s="173">
        <v>1</v>
      </c>
      <c r="O36" s="173">
        <v>1</v>
      </c>
      <c r="P36" s="173">
        <v>1</v>
      </c>
      <c r="Q36" s="173">
        <v>1</v>
      </c>
      <c r="R36" s="173">
        <v>1</v>
      </c>
      <c r="S36" s="173">
        <v>1.02</v>
      </c>
      <c r="T36" s="173">
        <v>1</v>
      </c>
      <c r="U36" s="173">
        <v>1</v>
      </c>
      <c r="V36" s="173">
        <v>1</v>
      </c>
      <c r="W36" s="173">
        <v>1</v>
      </c>
      <c r="X36" s="173">
        <v>1</v>
      </c>
      <c r="Y36" s="173">
        <v>1.02</v>
      </c>
      <c r="Z36" s="173">
        <v>1</v>
      </c>
      <c r="AA36" s="173">
        <v>1</v>
      </c>
      <c r="AB36" s="173">
        <v>1</v>
      </c>
      <c r="AC36" s="173">
        <v>1</v>
      </c>
      <c r="AD36" s="173">
        <v>0.98</v>
      </c>
      <c r="AE36" s="173">
        <v>0.98</v>
      </c>
      <c r="AF36" s="173">
        <v>0.98</v>
      </c>
      <c r="AG36" s="173">
        <v>0.98</v>
      </c>
      <c r="AH36" s="173">
        <v>1.05</v>
      </c>
      <c r="AI36" s="173">
        <v>1</v>
      </c>
      <c r="AJ36" s="173">
        <v>1</v>
      </c>
      <c r="AK36" s="173">
        <v>1.02</v>
      </c>
      <c r="AL36">
        <v>1</v>
      </c>
      <c r="AM36">
        <v>1</v>
      </c>
      <c r="AN36">
        <v>1</v>
      </c>
      <c r="AO36">
        <v>1</v>
      </c>
    </row>
    <row r="37" spans="1:41" x14ac:dyDescent="0.25">
      <c r="A37" s="172">
        <v>37773</v>
      </c>
      <c r="B37" s="173">
        <v>1</v>
      </c>
      <c r="C37" s="173">
        <v>1</v>
      </c>
      <c r="D37" s="173">
        <v>1</v>
      </c>
      <c r="E37" s="173">
        <v>1</v>
      </c>
      <c r="F37" s="173">
        <v>1</v>
      </c>
      <c r="G37" s="173">
        <v>1</v>
      </c>
      <c r="H37" s="173">
        <v>1</v>
      </c>
      <c r="I37" s="173">
        <v>1</v>
      </c>
      <c r="J37" s="173">
        <v>1</v>
      </c>
      <c r="K37" s="173">
        <v>1</v>
      </c>
      <c r="L37" s="173">
        <v>1</v>
      </c>
      <c r="M37" s="173">
        <v>1</v>
      </c>
      <c r="N37" s="173">
        <v>1</v>
      </c>
      <c r="O37" s="173">
        <v>1</v>
      </c>
      <c r="P37" s="173">
        <v>1</v>
      </c>
      <c r="Q37" s="173">
        <v>1</v>
      </c>
      <c r="R37" s="173">
        <v>1</v>
      </c>
      <c r="S37" s="173">
        <v>1.02</v>
      </c>
      <c r="T37" s="173">
        <v>1</v>
      </c>
      <c r="U37" s="173">
        <v>1</v>
      </c>
      <c r="V37" s="173">
        <v>1</v>
      </c>
      <c r="W37" s="173">
        <v>1</v>
      </c>
      <c r="X37" s="173">
        <v>1</v>
      </c>
      <c r="Y37" s="173">
        <v>1.02</v>
      </c>
      <c r="Z37" s="173">
        <v>1</v>
      </c>
      <c r="AA37" s="173">
        <v>1</v>
      </c>
      <c r="AB37" s="173">
        <v>1</v>
      </c>
      <c r="AC37" s="173">
        <v>1</v>
      </c>
      <c r="AD37" s="173">
        <v>0.98</v>
      </c>
      <c r="AE37" s="173">
        <v>0.98</v>
      </c>
      <c r="AF37" s="173">
        <v>0.98</v>
      </c>
      <c r="AG37" s="173">
        <v>0.98</v>
      </c>
      <c r="AH37" s="173">
        <v>1.05</v>
      </c>
      <c r="AI37" s="173">
        <v>1</v>
      </c>
      <c r="AJ37" s="173">
        <v>1</v>
      </c>
      <c r="AK37" s="173">
        <v>1.02</v>
      </c>
      <c r="AL37">
        <v>1</v>
      </c>
      <c r="AM37">
        <v>1</v>
      </c>
      <c r="AN37">
        <v>1</v>
      </c>
      <c r="AO37">
        <v>1</v>
      </c>
    </row>
    <row r="38" spans="1:41" x14ac:dyDescent="0.25">
      <c r="A38" s="172">
        <v>37803</v>
      </c>
      <c r="B38" s="173">
        <v>1</v>
      </c>
      <c r="C38" s="173">
        <v>1</v>
      </c>
      <c r="D38" s="173">
        <v>1</v>
      </c>
      <c r="E38" s="173">
        <v>1</v>
      </c>
      <c r="F38" s="173">
        <v>1</v>
      </c>
      <c r="G38" s="173">
        <v>1</v>
      </c>
      <c r="H38" s="173">
        <v>1</v>
      </c>
      <c r="I38" s="173">
        <v>1</v>
      </c>
      <c r="J38" s="173">
        <v>1</v>
      </c>
      <c r="K38" s="173">
        <v>1</v>
      </c>
      <c r="L38" s="173">
        <v>1</v>
      </c>
      <c r="M38" s="173">
        <v>1</v>
      </c>
      <c r="N38" s="173">
        <v>1</v>
      </c>
      <c r="O38" s="173">
        <v>1</v>
      </c>
      <c r="P38" s="173">
        <v>1</v>
      </c>
      <c r="Q38" s="173">
        <v>1</v>
      </c>
      <c r="R38" s="173">
        <v>1</v>
      </c>
      <c r="S38" s="173">
        <v>1.02</v>
      </c>
      <c r="T38" s="173">
        <v>1</v>
      </c>
      <c r="U38" s="173">
        <v>1</v>
      </c>
      <c r="V38" s="173">
        <v>1</v>
      </c>
      <c r="W38" s="173">
        <v>1</v>
      </c>
      <c r="X38" s="173">
        <v>1</v>
      </c>
      <c r="Y38" s="173">
        <v>1.02</v>
      </c>
      <c r="Z38" s="173">
        <v>1</v>
      </c>
      <c r="AA38" s="173">
        <v>1</v>
      </c>
      <c r="AB38" s="173">
        <v>1</v>
      </c>
      <c r="AC38" s="173">
        <v>1</v>
      </c>
      <c r="AD38" s="173">
        <v>0.98</v>
      </c>
      <c r="AE38" s="173">
        <v>0.98</v>
      </c>
      <c r="AF38" s="173">
        <v>0.98</v>
      </c>
      <c r="AG38" s="173">
        <v>0.98</v>
      </c>
      <c r="AH38" s="173">
        <v>1.05</v>
      </c>
      <c r="AI38" s="173">
        <v>1</v>
      </c>
      <c r="AJ38" s="173">
        <v>1</v>
      </c>
      <c r="AK38" s="173">
        <v>1.02</v>
      </c>
      <c r="AL38">
        <v>1</v>
      </c>
      <c r="AM38">
        <v>1</v>
      </c>
      <c r="AN38">
        <v>1</v>
      </c>
      <c r="AO38">
        <v>1</v>
      </c>
    </row>
    <row r="39" spans="1:41" x14ac:dyDescent="0.25">
      <c r="A39" s="172">
        <v>37834</v>
      </c>
      <c r="B39" s="173">
        <v>1</v>
      </c>
      <c r="C39" s="173">
        <v>1</v>
      </c>
      <c r="D39" s="173">
        <v>1</v>
      </c>
      <c r="E39" s="173">
        <v>1</v>
      </c>
      <c r="F39" s="173">
        <v>1</v>
      </c>
      <c r="G39" s="173">
        <v>1</v>
      </c>
      <c r="H39" s="173">
        <v>1</v>
      </c>
      <c r="I39" s="173">
        <v>1</v>
      </c>
      <c r="J39" s="173">
        <v>1</v>
      </c>
      <c r="K39" s="173">
        <v>1</v>
      </c>
      <c r="L39" s="173">
        <v>1</v>
      </c>
      <c r="M39" s="173">
        <v>1</v>
      </c>
      <c r="N39" s="173">
        <v>1</v>
      </c>
      <c r="O39" s="173">
        <v>1</v>
      </c>
      <c r="P39" s="173">
        <v>1</v>
      </c>
      <c r="Q39" s="173">
        <v>1</v>
      </c>
      <c r="R39" s="173">
        <v>1</v>
      </c>
      <c r="S39" s="173">
        <v>1.02</v>
      </c>
      <c r="T39" s="173">
        <v>1</v>
      </c>
      <c r="U39" s="173">
        <v>1</v>
      </c>
      <c r="V39" s="173">
        <v>1</v>
      </c>
      <c r="W39" s="173">
        <v>1</v>
      </c>
      <c r="X39" s="173">
        <v>1</v>
      </c>
      <c r="Y39" s="173">
        <v>1.02</v>
      </c>
      <c r="Z39" s="173">
        <v>1</v>
      </c>
      <c r="AA39" s="173">
        <v>1</v>
      </c>
      <c r="AB39" s="173">
        <v>1</v>
      </c>
      <c r="AC39" s="173">
        <v>1</v>
      </c>
      <c r="AD39" s="173">
        <v>0.98</v>
      </c>
      <c r="AE39" s="173">
        <v>0.98</v>
      </c>
      <c r="AF39" s="173">
        <v>0.98</v>
      </c>
      <c r="AG39" s="173">
        <v>0.98</v>
      </c>
      <c r="AH39" s="173">
        <v>1.05</v>
      </c>
      <c r="AI39" s="173">
        <v>1</v>
      </c>
      <c r="AJ39" s="173">
        <v>1</v>
      </c>
      <c r="AK39" s="173">
        <v>1.02</v>
      </c>
      <c r="AL39">
        <v>1</v>
      </c>
      <c r="AM39">
        <v>1</v>
      </c>
      <c r="AN39">
        <v>1</v>
      </c>
      <c r="AO39">
        <v>1</v>
      </c>
    </row>
    <row r="40" spans="1:41" x14ac:dyDescent="0.25">
      <c r="A40" s="172">
        <v>37865</v>
      </c>
      <c r="B40" s="173">
        <v>1</v>
      </c>
      <c r="C40" s="173">
        <v>1</v>
      </c>
      <c r="D40" s="173">
        <v>1</v>
      </c>
      <c r="E40" s="173">
        <v>1</v>
      </c>
      <c r="F40" s="173">
        <v>1</v>
      </c>
      <c r="G40" s="173">
        <v>1</v>
      </c>
      <c r="H40" s="173">
        <v>1</v>
      </c>
      <c r="I40" s="173">
        <v>1</v>
      </c>
      <c r="J40" s="173">
        <v>1</v>
      </c>
      <c r="K40" s="173">
        <v>1</v>
      </c>
      <c r="L40" s="173">
        <v>1</v>
      </c>
      <c r="M40" s="173">
        <v>1</v>
      </c>
      <c r="N40" s="173">
        <v>1</v>
      </c>
      <c r="O40" s="173">
        <v>1</v>
      </c>
      <c r="P40" s="173">
        <v>1</v>
      </c>
      <c r="Q40" s="173">
        <v>1</v>
      </c>
      <c r="R40" s="173">
        <v>1</v>
      </c>
      <c r="S40" s="173">
        <v>1.02</v>
      </c>
      <c r="T40" s="173">
        <v>1</v>
      </c>
      <c r="U40" s="173">
        <v>1</v>
      </c>
      <c r="V40" s="173">
        <v>1</v>
      </c>
      <c r="W40" s="173">
        <v>1</v>
      </c>
      <c r="X40" s="173">
        <v>1</v>
      </c>
      <c r="Y40" s="173">
        <v>1.02</v>
      </c>
      <c r="Z40" s="173">
        <v>1</v>
      </c>
      <c r="AA40" s="173">
        <v>1</v>
      </c>
      <c r="AB40" s="173">
        <v>1</v>
      </c>
      <c r="AC40" s="173">
        <v>1</v>
      </c>
      <c r="AD40" s="173">
        <v>0.98</v>
      </c>
      <c r="AE40" s="173">
        <v>0.98</v>
      </c>
      <c r="AF40" s="173">
        <v>0.98</v>
      </c>
      <c r="AG40" s="173">
        <v>0.98</v>
      </c>
      <c r="AH40" s="173">
        <v>1.05</v>
      </c>
      <c r="AI40" s="173">
        <v>1</v>
      </c>
      <c r="AJ40" s="173">
        <v>1</v>
      </c>
      <c r="AK40" s="173">
        <v>1.02</v>
      </c>
      <c r="AL40">
        <v>1</v>
      </c>
      <c r="AM40">
        <v>1</v>
      </c>
      <c r="AN40">
        <v>1</v>
      </c>
      <c r="AO40">
        <v>1</v>
      </c>
    </row>
    <row r="41" spans="1:41" x14ac:dyDescent="0.25">
      <c r="A41" s="172">
        <v>37895</v>
      </c>
      <c r="B41" s="173">
        <v>1</v>
      </c>
      <c r="C41" s="173">
        <v>1</v>
      </c>
      <c r="D41" s="173">
        <v>1</v>
      </c>
      <c r="E41" s="173">
        <v>1</v>
      </c>
      <c r="F41" s="173">
        <v>1</v>
      </c>
      <c r="G41" s="173">
        <v>1</v>
      </c>
      <c r="H41" s="173">
        <v>1</v>
      </c>
      <c r="I41" s="173">
        <v>1</v>
      </c>
      <c r="J41" s="173">
        <v>1</v>
      </c>
      <c r="K41" s="173">
        <v>1</v>
      </c>
      <c r="L41" s="173">
        <v>1</v>
      </c>
      <c r="M41" s="173">
        <v>1</v>
      </c>
      <c r="N41" s="173">
        <v>1</v>
      </c>
      <c r="O41" s="173">
        <v>1</v>
      </c>
      <c r="P41" s="173">
        <v>1</v>
      </c>
      <c r="Q41" s="173">
        <v>1</v>
      </c>
      <c r="R41" s="173">
        <v>1</v>
      </c>
      <c r="S41" s="173">
        <v>1.02</v>
      </c>
      <c r="T41" s="173">
        <v>1</v>
      </c>
      <c r="U41" s="173">
        <v>1</v>
      </c>
      <c r="V41" s="173">
        <v>1</v>
      </c>
      <c r="W41" s="173">
        <v>1</v>
      </c>
      <c r="X41" s="173">
        <v>1</v>
      </c>
      <c r="Y41" s="173">
        <v>1.02</v>
      </c>
      <c r="Z41" s="173">
        <v>1</v>
      </c>
      <c r="AA41" s="173">
        <v>1</v>
      </c>
      <c r="AB41" s="173">
        <v>1</v>
      </c>
      <c r="AC41" s="173">
        <v>1</v>
      </c>
      <c r="AD41" s="173">
        <v>0.98</v>
      </c>
      <c r="AE41" s="173">
        <v>0.98</v>
      </c>
      <c r="AF41" s="173">
        <v>0.98</v>
      </c>
      <c r="AG41" s="173">
        <v>0.98</v>
      </c>
      <c r="AH41" s="173">
        <v>1.05</v>
      </c>
      <c r="AI41" s="173">
        <v>1</v>
      </c>
      <c r="AJ41" s="173">
        <v>1</v>
      </c>
      <c r="AK41" s="173">
        <v>1.02</v>
      </c>
      <c r="AL41">
        <v>1</v>
      </c>
      <c r="AM41">
        <v>1</v>
      </c>
      <c r="AN41">
        <v>1</v>
      </c>
      <c r="AO41">
        <v>1</v>
      </c>
    </row>
    <row r="42" spans="1:41" x14ac:dyDescent="0.25">
      <c r="A42" s="172">
        <v>37926</v>
      </c>
      <c r="B42" s="173">
        <v>1</v>
      </c>
      <c r="C42" s="173">
        <v>1</v>
      </c>
      <c r="D42" s="173">
        <v>1</v>
      </c>
      <c r="E42" s="173">
        <v>1</v>
      </c>
      <c r="F42" s="173">
        <v>1</v>
      </c>
      <c r="G42" s="173">
        <v>1</v>
      </c>
      <c r="H42" s="173">
        <v>1</v>
      </c>
      <c r="I42" s="173">
        <v>1</v>
      </c>
      <c r="J42" s="173">
        <v>1</v>
      </c>
      <c r="K42" s="173">
        <v>1</v>
      </c>
      <c r="L42" s="173">
        <v>1</v>
      </c>
      <c r="M42" s="173">
        <v>1</v>
      </c>
      <c r="N42" s="173">
        <v>1</v>
      </c>
      <c r="O42" s="173">
        <v>1</v>
      </c>
      <c r="P42" s="173">
        <v>1</v>
      </c>
      <c r="Q42" s="173">
        <v>1</v>
      </c>
      <c r="R42" s="173">
        <v>1</v>
      </c>
      <c r="S42" s="173">
        <v>1.02</v>
      </c>
      <c r="T42" s="173">
        <v>1</v>
      </c>
      <c r="U42" s="173">
        <v>1</v>
      </c>
      <c r="V42" s="173">
        <v>1</v>
      </c>
      <c r="W42" s="173">
        <v>1</v>
      </c>
      <c r="X42" s="173">
        <v>1</v>
      </c>
      <c r="Y42" s="173">
        <v>1</v>
      </c>
      <c r="Z42" s="173">
        <v>1</v>
      </c>
      <c r="AA42" s="173">
        <v>1</v>
      </c>
      <c r="AB42" s="173">
        <v>1</v>
      </c>
      <c r="AC42" s="173">
        <v>1</v>
      </c>
      <c r="AD42" s="173">
        <v>1</v>
      </c>
      <c r="AE42" s="173">
        <v>1</v>
      </c>
      <c r="AF42" s="173">
        <v>1.1000000000000001</v>
      </c>
      <c r="AG42" s="173">
        <v>1.1000000000000001</v>
      </c>
      <c r="AH42" s="173">
        <v>1.05</v>
      </c>
      <c r="AI42" s="173">
        <v>1</v>
      </c>
      <c r="AJ42" s="173">
        <v>1</v>
      </c>
      <c r="AK42" s="173">
        <v>1.02</v>
      </c>
      <c r="AL42">
        <v>1</v>
      </c>
      <c r="AM42">
        <v>1</v>
      </c>
      <c r="AN42">
        <v>1</v>
      </c>
      <c r="AO42">
        <v>1</v>
      </c>
    </row>
    <row r="43" spans="1:41" x14ac:dyDescent="0.25">
      <c r="A43" s="172">
        <v>37956</v>
      </c>
      <c r="B43" s="173">
        <v>1</v>
      </c>
      <c r="C43" s="173">
        <v>1</v>
      </c>
      <c r="D43" s="173">
        <v>1</v>
      </c>
      <c r="E43" s="173">
        <v>1</v>
      </c>
      <c r="F43" s="173">
        <v>1</v>
      </c>
      <c r="G43" s="173">
        <v>1</v>
      </c>
      <c r="H43" s="173">
        <v>1</v>
      </c>
      <c r="I43" s="173">
        <v>1</v>
      </c>
      <c r="J43" s="173">
        <v>1</v>
      </c>
      <c r="K43" s="173">
        <v>1</v>
      </c>
      <c r="L43" s="173">
        <v>1</v>
      </c>
      <c r="M43" s="173">
        <v>1</v>
      </c>
      <c r="N43" s="173">
        <v>1</v>
      </c>
      <c r="O43" s="173">
        <v>1</v>
      </c>
      <c r="P43" s="173">
        <v>1</v>
      </c>
      <c r="Q43" s="173">
        <v>1</v>
      </c>
      <c r="R43" s="173">
        <v>1</v>
      </c>
      <c r="S43" s="173">
        <v>1.02</v>
      </c>
      <c r="T43" s="173">
        <v>1</v>
      </c>
      <c r="U43" s="173">
        <v>1</v>
      </c>
      <c r="V43" s="173">
        <v>1</v>
      </c>
      <c r="W43" s="173">
        <v>1</v>
      </c>
      <c r="X43" s="173">
        <v>1</v>
      </c>
      <c r="Y43" s="173">
        <v>1</v>
      </c>
      <c r="Z43" s="173">
        <v>1</v>
      </c>
      <c r="AA43" s="173">
        <v>1</v>
      </c>
      <c r="AB43" s="173">
        <v>1</v>
      </c>
      <c r="AC43" s="173">
        <v>1</v>
      </c>
      <c r="AD43" s="173">
        <v>1</v>
      </c>
      <c r="AE43" s="173">
        <v>1</v>
      </c>
      <c r="AF43" s="173">
        <v>1.1000000000000001</v>
      </c>
      <c r="AG43" s="173">
        <v>1.1000000000000001</v>
      </c>
      <c r="AH43" s="173">
        <v>1.05</v>
      </c>
      <c r="AI43" s="173">
        <v>1</v>
      </c>
      <c r="AJ43" s="173">
        <v>1</v>
      </c>
      <c r="AK43" s="173">
        <v>1.02</v>
      </c>
      <c r="AL43">
        <v>1</v>
      </c>
      <c r="AM43">
        <v>1</v>
      </c>
      <c r="AN43">
        <v>1</v>
      </c>
      <c r="AO43">
        <v>1</v>
      </c>
    </row>
    <row r="44" spans="1:41" x14ac:dyDescent="0.25">
      <c r="A44" s="172">
        <v>37987</v>
      </c>
      <c r="B44" s="173">
        <v>1</v>
      </c>
      <c r="C44" s="173">
        <v>1</v>
      </c>
      <c r="D44" s="173">
        <v>1</v>
      </c>
      <c r="E44" s="173">
        <v>1</v>
      </c>
      <c r="F44" s="173">
        <v>1</v>
      </c>
      <c r="G44" s="173">
        <v>1</v>
      </c>
      <c r="H44" s="173">
        <v>1</v>
      </c>
      <c r="I44" s="173">
        <v>1</v>
      </c>
      <c r="J44" s="173">
        <v>1</v>
      </c>
      <c r="K44" s="173">
        <v>1</v>
      </c>
      <c r="L44" s="173">
        <v>1</v>
      </c>
      <c r="M44" s="173">
        <v>1</v>
      </c>
      <c r="N44" s="173">
        <v>1</v>
      </c>
      <c r="O44" s="173">
        <v>1</v>
      </c>
      <c r="P44" s="173">
        <v>1</v>
      </c>
      <c r="Q44" s="173">
        <v>1</v>
      </c>
      <c r="R44" s="173">
        <v>1</v>
      </c>
      <c r="S44" s="173">
        <v>1.02</v>
      </c>
      <c r="T44" s="173">
        <v>1</v>
      </c>
      <c r="U44" s="173">
        <v>1</v>
      </c>
      <c r="V44" s="173">
        <v>1</v>
      </c>
      <c r="W44" s="173">
        <v>1</v>
      </c>
      <c r="X44" s="173">
        <v>1</v>
      </c>
      <c r="Y44" s="173">
        <v>1</v>
      </c>
      <c r="Z44" s="173">
        <v>1</v>
      </c>
      <c r="AA44" s="173">
        <v>1</v>
      </c>
      <c r="AB44" s="173">
        <v>1</v>
      </c>
      <c r="AC44" s="173">
        <v>1</v>
      </c>
      <c r="AD44" s="173">
        <v>1</v>
      </c>
      <c r="AE44" s="173">
        <v>1</v>
      </c>
      <c r="AF44" s="173">
        <v>1.1000000000000001</v>
      </c>
      <c r="AG44" s="173">
        <v>1.1000000000000001</v>
      </c>
      <c r="AH44" s="173">
        <v>1.05</v>
      </c>
      <c r="AI44" s="173">
        <v>1</v>
      </c>
      <c r="AJ44" s="173">
        <v>1</v>
      </c>
      <c r="AK44" s="173">
        <v>1.02</v>
      </c>
      <c r="AL44">
        <v>1</v>
      </c>
      <c r="AM44">
        <v>1</v>
      </c>
      <c r="AN44">
        <v>1</v>
      </c>
      <c r="AO44">
        <v>1</v>
      </c>
    </row>
    <row r="45" spans="1:41" x14ac:dyDescent="0.25">
      <c r="A45" s="172">
        <v>38018</v>
      </c>
      <c r="B45" s="173">
        <v>1</v>
      </c>
      <c r="C45" s="173">
        <v>1</v>
      </c>
      <c r="D45" s="173">
        <v>1</v>
      </c>
      <c r="E45" s="173">
        <v>1</v>
      </c>
      <c r="F45" s="173">
        <v>1</v>
      </c>
      <c r="G45" s="173">
        <v>1</v>
      </c>
      <c r="H45" s="173">
        <v>1</v>
      </c>
      <c r="I45" s="173">
        <v>1</v>
      </c>
      <c r="J45" s="173">
        <v>1</v>
      </c>
      <c r="K45" s="173">
        <v>1</v>
      </c>
      <c r="L45" s="173">
        <v>1</v>
      </c>
      <c r="M45" s="173">
        <v>1</v>
      </c>
      <c r="N45" s="173">
        <v>1</v>
      </c>
      <c r="O45" s="173">
        <v>1</v>
      </c>
      <c r="P45" s="173">
        <v>1</v>
      </c>
      <c r="Q45" s="173">
        <v>1</v>
      </c>
      <c r="R45" s="173">
        <v>1</v>
      </c>
      <c r="S45" s="173">
        <v>1.02</v>
      </c>
      <c r="T45" s="173">
        <v>1</v>
      </c>
      <c r="U45" s="173">
        <v>1</v>
      </c>
      <c r="V45" s="173">
        <v>1</v>
      </c>
      <c r="W45" s="173">
        <v>1</v>
      </c>
      <c r="X45" s="173">
        <v>1</v>
      </c>
      <c r="Y45" s="173">
        <v>1</v>
      </c>
      <c r="Z45" s="173">
        <v>1</v>
      </c>
      <c r="AA45" s="173">
        <v>1</v>
      </c>
      <c r="AB45" s="173">
        <v>1</v>
      </c>
      <c r="AC45" s="173">
        <v>1</v>
      </c>
      <c r="AD45" s="173">
        <v>1</v>
      </c>
      <c r="AE45" s="173">
        <v>1</v>
      </c>
      <c r="AF45" s="173">
        <v>1.1000000000000001</v>
      </c>
      <c r="AG45" s="173">
        <v>1.1000000000000001</v>
      </c>
      <c r="AH45" s="173">
        <v>1.05</v>
      </c>
      <c r="AI45" s="173">
        <v>1</v>
      </c>
      <c r="AJ45" s="173">
        <v>1</v>
      </c>
      <c r="AK45" s="173">
        <v>1.02</v>
      </c>
      <c r="AL45">
        <v>1</v>
      </c>
      <c r="AM45">
        <v>1</v>
      </c>
      <c r="AN45">
        <v>1</v>
      </c>
      <c r="AO45">
        <v>1</v>
      </c>
    </row>
    <row r="46" spans="1:41" x14ac:dyDescent="0.25">
      <c r="A46" s="172">
        <v>38047</v>
      </c>
      <c r="B46" s="173">
        <v>1</v>
      </c>
      <c r="C46" s="173">
        <v>1</v>
      </c>
      <c r="D46" s="173">
        <v>1</v>
      </c>
      <c r="E46" s="173">
        <v>1</v>
      </c>
      <c r="F46" s="173">
        <v>1</v>
      </c>
      <c r="G46" s="173">
        <v>1</v>
      </c>
      <c r="H46" s="173">
        <v>1</v>
      </c>
      <c r="I46" s="173">
        <v>1</v>
      </c>
      <c r="J46" s="173">
        <v>1</v>
      </c>
      <c r="K46" s="173">
        <v>1</v>
      </c>
      <c r="L46" s="173">
        <v>1</v>
      </c>
      <c r="M46" s="173">
        <v>1</v>
      </c>
      <c r="N46" s="173">
        <v>1</v>
      </c>
      <c r="O46" s="173">
        <v>1</v>
      </c>
      <c r="P46" s="173">
        <v>1</v>
      </c>
      <c r="Q46" s="173">
        <v>1</v>
      </c>
      <c r="R46" s="173">
        <v>1</v>
      </c>
      <c r="S46" s="173">
        <v>1.02</v>
      </c>
      <c r="T46" s="173">
        <v>1</v>
      </c>
      <c r="U46" s="173">
        <v>1</v>
      </c>
      <c r="V46" s="173">
        <v>1</v>
      </c>
      <c r="W46" s="173">
        <v>1</v>
      </c>
      <c r="X46" s="173">
        <v>1</v>
      </c>
      <c r="Y46" s="173">
        <v>1</v>
      </c>
      <c r="Z46" s="173">
        <v>1</v>
      </c>
      <c r="AA46" s="173">
        <v>1</v>
      </c>
      <c r="AB46" s="173">
        <v>1</v>
      </c>
      <c r="AC46" s="173">
        <v>1</v>
      </c>
      <c r="AD46" s="173">
        <v>1</v>
      </c>
      <c r="AE46" s="173">
        <v>1</v>
      </c>
      <c r="AF46" s="173">
        <v>1.1000000000000001</v>
      </c>
      <c r="AG46" s="173">
        <v>1.1000000000000001</v>
      </c>
      <c r="AH46" s="173">
        <v>1.05</v>
      </c>
      <c r="AI46" s="173">
        <v>1</v>
      </c>
      <c r="AJ46" s="173">
        <v>1</v>
      </c>
      <c r="AK46" s="173">
        <v>1.02</v>
      </c>
      <c r="AL46">
        <v>1</v>
      </c>
      <c r="AM46">
        <v>1</v>
      </c>
      <c r="AN46">
        <v>1</v>
      </c>
      <c r="AO46">
        <v>1</v>
      </c>
    </row>
    <row r="47" spans="1:41" x14ac:dyDescent="0.25">
      <c r="A47" s="172">
        <v>38078</v>
      </c>
      <c r="B47" s="173">
        <v>1</v>
      </c>
      <c r="C47" s="173">
        <v>1</v>
      </c>
      <c r="D47" s="173">
        <v>1</v>
      </c>
      <c r="E47" s="173">
        <v>1</v>
      </c>
      <c r="F47" s="173">
        <v>1</v>
      </c>
      <c r="G47" s="173">
        <v>1</v>
      </c>
      <c r="H47" s="173">
        <v>1</v>
      </c>
      <c r="I47" s="173">
        <v>1</v>
      </c>
      <c r="J47" s="173">
        <v>1</v>
      </c>
      <c r="K47" s="173">
        <v>1</v>
      </c>
      <c r="L47" s="173">
        <v>1</v>
      </c>
      <c r="M47" s="173">
        <v>1</v>
      </c>
      <c r="N47" s="173">
        <v>1</v>
      </c>
      <c r="O47" s="173">
        <v>1</v>
      </c>
      <c r="P47" s="173">
        <v>1</v>
      </c>
      <c r="Q47" s="173">
        <v>1</v>
      </c>
      <c r="R47" s="173">
        <v>1</v>
      </c>
      <c r="S47" s="173">
        <v>1.02</v>
      </c>
      <c r="T47" s="173">
        <v>1</v>
      </c>
      <c r="U47" s="173">
        <v>1</v>
      </c>
      <c r="V47" s="173">
        <v>1</v>
      </c>
      <c r="W47" s="173">
        <v>1</v>
      </c>
      <c r="X47" s="173">
        <v>1</v>
      </c>
      <c r="Y47" s="173">
        <v>1.02</v>
      </c>
      <c r="Z47" s="173">
        <v>1</v>
      </c>
      <c r="AA47" s="173">
        <v>1</v>
      </c>
      <c r="AB47" s="173">
        <v>1</v>
      </c>
      <c r="AC47" s="173">
        <v>1</v>
      </c>
      <c r="AD47" s="173">
        <v>0.98</v>
      </c>
      <c r="AE47" s="173">
        <v>0.98</v>
      </c>
      <c r="AF47" s="173">
        <v>0.98</v>
      </c>
      <c r="AG47" s="173">
        <v>0.98</v>
      </c>
      <c r="AH47" s="173">
        <v>1.05</v>
      </c>
      <c r="AI47" s="173">
        <v>1</v>
      </c>
      <c r="AJ47" s="173">
        <v>1</v>
      </c>
      <c r="AK47" s="173">
        <v>1.02</v>
      </c>
      <c r="AL47">
        <v>1</v>
      </c>
      <c r="AM47">
        <v>1</v>
      </c>
      <c r="AN47">
        <v>1</v>
      </c>
      <c r="AO47">
        <v>1</v>
      </c>
    </row>
    <row r="48" spans="1:41" x14ac:dyDescent="0.25">
      <c r="A48" s="172">
        <v>38108</v>
      </c>
      <c r="B48" s="173">
        <v>1</v>
      </c>
      <c r="C48" s="173">
        <v>1</v>
      </c>
      <c r="D48" s="173">
        <v>1</v>
      </c>
      <c r="E48" s="173">
        <v>1</v>
      </c>
      <c r="F48" s="173">
        <v>1</v>
      </c>
      <c r="G48" s="173">
        <v>1</v>
      </c>
      <c r="H48" s="173">
        <v>1</v>
      </c>
      <c r="I48" s="173">
        <v>1</v>
      </c>
      <c r="J48" s="173">
        <v>1</v>
      </c>
      <c r="K48" s="173">
        <v>1</v>
      </c>
      <c r="L48" s="173">
        <v>1</v>
      </c>
      <c r="M48" s="173">
        <v>1</v>
      </c>
      <c r="N48" s="173">
        <v>1</v>
      </c>
      <c r="O48" s="173">
        <v>1</v>
      </c>
      <c r="P48" s="173">
        <v>1</v>
      </c>
      <c r="Q48" s="173">
        <v>1</v>
      </c>
      <c r="R48" s="173">
        <v>1</v>
      </c>
      <c r="S48" s="173">
        <v>1.02</v>
      </c>
      <c r="T48" s="173">
        <v>1</v>
      </c>
      <c r="U48" s="173">
        <v>1</v>
      </c>
      <c r="V48" s="173">
        <v>1</v>
      </c>
      <c r="W48" s="173">
        <v>1</v>
      </c>
      <c r="X48" s="173">
        <v>1</v>
      </c>
      <c r="Y48" s="173">
        <v>1.02</v>
      </c>
      <c r="Z48" s="173">
        <v>1</v>
      </c>
      <c r="AA48" s="173">
        <v>1</v>
      </c>
      <c r="AB48" s="173">
        <v>1</v>
      </c>
      <c r="AC48" s="173">
        <v>1</v>
      </c>
      <c r="AD48" s="173">
        <v>0.98</v>
      </c>
      <c r="AE48" s="173">
        <v>0.98</v>
      </c>
      <c r="AF48" s="173">
        <v>0.98</v>
      </c>
      <c r="AG48" s="173">
        <v>0.98</v>
      </c>
      <c r="AH48" s="173">
        <v>1.05</v>
      </c>
      <c r="AI48" s="173">
        <v>1</v>
      </c>
      <c r="AJ48" s="173">
        <v>1</v>
      </c>
      <c r="AK48" s="173">
        <v>1.02</v>
      </c>
      <c r="AL48">
        <v>1</v>
      </c>
      <c r="AM48">
        <v>1</v>
      </c>
      <c r="AN48">
        <v>1</v>
      </c>
      <c r="AO48">
        <v>1</v>
      </c>
    </row>
    <row r="49" spans="1:41" x14ac:dyDescent="0.25">
      <c r="A49" s="172">
        <v>38139</v>
      </c>
      <c r="B49" s="173">
        <v>1</v>
      </c>
      <c r="C49" s="173">
        <v>1</v>
      </c>
      <c r="D49" s="173">
        <v>1</v>
      </c>
      <c r="E49" s="173">
        <v>1</v>
      </c>
      <c r="F49" s="173">
        <v>1</v>
      </c>
      <c r="G49" s="173">
        <v>1</v>
      </c>
      <c r="H49" s="173">
        <v>1</v>
      </c>
      <c r="I49" s="173">
        <v>1</v>
      </c>
      <c r="J49" s="173">
        <v>1</v>
      </c>
      <c r="K49" s="173">
        <v>1</v>
      </c>
      <c r="L49" s="173">
        <v>1</v>
      </c>
      <c r="M49" s="173">
        <v>1</v>
      </c>
      <c r="N49" s="173">
        <v>1</v>
      </c>
      <c r="O49" s="173">
        <v>1</v>
      </c>
      <c r="P49" s="173">
        <v>1</v>
      </c>
      <c r="Q49" s="173">
        <v>1</v>
      </c>
      <c r="R49" s="173">
        <v>1</v>
      </c>
      <c r="S49" s="173">
        <v>1.02</v>
      </c>
      <c r="T49" s="173">
        <v>1</v>
      </c>
      <c r="U49" s="173">
        <v>1</v>
      </c>
      <c r="V49" s="173">
        <v>1</v>
      </c>
      <c r="W49" s="173">
        <v>1</v>
      </c>
      <c r="X49" s="173">
        <v>1</v>
      </c>
      <c r="Y49" s="173">
        <v>1.02</v>
      </c>
      <c r="Z49" s="173">
        <v>1</v>
      </c>
      <c r="AA49" s="173">
        <v>1</v>
      </c>
      <c r="AB49" s="173">
        <v>1</v>
      </c>
      <c r="AC49" s="173">
        <v>1</v>
      </c>
      <c r="AD49" s="173">
        <v>0.98</v>
      </c>
      <c r="AE49" s="173">
        <v>0.98</v>
      </c>
      <c r="AF49" s="173">
        <v>0.98</v>
      </c>
      <c r="AG49" s="173">
        <v>0.98</v>
      </c>
      <c r="AH49" s="173">
        <v>1.05</v>
      </c>
      <c r="AI49" s="173">
        <v>1</v>
      </c>
      <c r="AJ49" s="173">
        <v>1</v>
      </c>
      <c r="AK49" s="173">
        <v>1.02</v>
      </c>
      <c r="AL49">
        <v>1</v>
      </c>
      <c r="AM49">
        <v>1</v>
      </c>
      <c r="AN49">
        <v>1</v>
      </c>
      <c r="AO49">
        <v>1</v>
      </c>
    </row>
    <row r="50" spans="1:41" x14ac:dyDescent="0.25">
      <c r="A50" s="172">
        <v>38169</v>
      </c>
      <c r="B50" s="173">
        <v>1</v>
      </c>
      <c r="C50" s="173">
        <v>1</v>
      </c>
      <c r="D50" s="173">
        <v>1</v>
      </c>
      <c r="E50" s="173">
        <v>1</v>
      </c>
      <c r="F50" s="173">
        <v>1</v>
      </c>
      <c r="G50" s="173">
        <v>1</v>
      </c>
      <c r="H50" s="173">
        <v>1</v>
      </c>
      <c r="I50" s="173">
        <v>1</v>
      </c>
      <c r="J50" s="173">
        <v>1</v>
      </c>
      <c r="K50" s="173">
        <v>1</v>
      </c>
      <c r="L50" s="173">
        <v>1</v>
      </c>
      <c r="M50" s="173">
        <v>1</v>
      </c>
      <c r="N50" s="173">
        <v>1</v>
      </c>
      <c r="O50" s="173">
        <v>1</v>
      </c>
      <c r="P50" s="173">
        <v>1</v>
      </c>
      <c r="Q50" s="173">
        <v>1</v>
      </c>
      <c r="R50" s="173">
        <v>1</v>
      </c>
      <c r="S50" s="173">
        <v>1.02</v>
      </c>
      <c r="T50" s="173">
        <v>1</v>
      </c>
      <c r="U50" s="173">
        <v>1</v>
      </c>
      <c r="V50" s="173">
        <v>1</v>
      </c>
      <c r="W50" s="173">
        <v>1</v>
      </c>
      <c r="X50" s="173">
        <v>1</v>
      </c>
      <c r="Y50" s="173">
        <v>1.02</v>
      </c>
      <c r="Z50" s="173">
        <v>1</v>
      </c>
      <c r="AA50" s="173">
        <v>1</v>
      </c>
      <c r="AB50" s="173">
        <v>1</v>
      </c>
      <c r="AC50" s="173">
        <v>1</v>
      </c>
      <c r="AD50" s="173">
        <v>0.98</v>
      </c>
      <c r="AE50" s="173">
        <v>0.98</v>
      </c>
      <c r="AF50" s="173">
        <v>0.98</v>
      </c>
      <c r="AG50" s="173">
        <v>0.98</v>
      </c>
      <c r="AH50" s="173">
        <v>1.05</v>
      </c>
      <c r="AI50" s="173">
        <v>1</v>
      </c>
      <c r="AJ50" s="173">
        <v>1</v>
      </c>
      <c r="AK50" s="173">
        <v>1.02</v>
      </c>
      <c r="AL50">
        <v>1</v>
      </c>
      <c r="AM50">
        <v>1</v>
      </c>
      <c r="AN50">
        <v>1</v>
      </c>
      <c r="AO50">
        <v>1</v>
      </c>
    </row>
    <row r="51" spans="1:41" x14ac:dyDescent="0.25">
      <c r="A51" s="172">
        <v>38200</v>
      </c>
      <c r="B51" s="173">
        <v>1</v>
      </c>
      <c r="C51" s="173">
        <v>1</v>
      </c>
      <c r="D51" s="173">
        <v>1</v>
      </c>
      <c r="E51" s="173">
        <v>1</v>
      </c>
      <c r="F51" s="173">
        <v>1</v>
      </c>
      <c r="G51" s="173">
        <v>1</v>
      </c>
      <c r="H51" s="173">
        <v>1</v>
      </c>
      <c r="I51" s="173">
        <v>1</v>
      </c>
      <c r="J51" s="173">
        <v>1</v>
      </c>
      <c r="K51" s="173">
        <v>1</v>
      </c>
      <c r="L51" s="173">
        <v>1</v>
      </c>
      <c r="M51" s="173">
        <v>1</v>
      </c>
      <c r="N51" s="173">
        <v>1</v>
      </c>
      <c r="O51" s="173">
        <v>1</v>
      </c>
      <c r="P51" s="173">
        <v>1</v>
      </c>
      <c r="Q51" s="173">
        <v>1</v>
      </c>
      <c r="R51" s="173">
        <v>1</v>
      </c>
      <c r="S51" s="173">
        <v>1.02</v>
      </c>
      <c r="T51" s="173">
        <v>1</v>
      </c>
      <c r="U51" s="173">
        <v>1</v>
      </c>
      <c r="V51" s="173">
        <v>1</v>
      </c>
      <c r="W51" s="173">
        <v>1</v>
      </c>
      <c r="X51" s="173">
        <v>1</v>
      </c>
      <c r="Y51" s="173">
        <v>1.02</v>
      </c>
      <c r="Z51" s="173">
        <v>1</v>
      </c>
      <c r="AA51" s="173">
        <v>1</v>
      </c>
      <c r="AB51" s="173">
        <v>1</v>
      </c>
      <c r="AC51" s="173">
        <v>1</v>
      </c>
      <c r="AD51" s="173">
        <v>0.98</v>
      </c>
      <c r="AE51" s="173">
        <v>0.98</v>
      </c>
      <c r="AF51" s="173">
        <v>0.98</v>
      </c>
      <c r="AG51" s="173">
        <v>0.98</v>
      </c>
      <c r="AH51" s="173">
        <v>1.05</v>
      </c>
      <c r="AI51" s="173">
        <v>1</v>
      </c>
      <c r="AJ51" s="173">
        <v>1</v>
      </c>
      <c r="AK51" s="173">
        <v>1.02</v>
      </c>
      <c r="AL51">
        <v>1</v>
      </c>
      <c r="AM51">
        <v>1</v>
      </c>
      <c r="AN51">
        <v>1</v>
      </c>
      <c r="AO51">
        <v>1</v>
      </c>
    </row>
    <row r="52" spans="1:41" x14ac:dyDescent="0.25">
      <c r="A52" s="172">
        <v>38231</v>
      </c>
      <c r="B52" s="173">
        <v>1</v>
      </c>
      <c r="C52" s="173">
        <v>1</v>
      </c>
      <c r="D52" s="173">
        <v>1</v>
      </c>
      <c r="E52" s="173">
        <v>1</v>
      </c>
      <c r="F52" s="173">
        <v>1</v>
      </c>
      <c r="G52" s="173">
        <v>1</v>
      </c>
      <c r="H52" s="173">
        <v>1</v>
      </c>
      <c r="I52" s="173">
        <v>1</v>
      </c>
      <c r="J52" s="173">
        <v>1</v>
      </c>
      <c r="K52" s="173">
        <v>1</v>
      </c>
      <c r="L52" s="173">
        <v>1</v>
      </c>
      <c r="M52" s="173">
        <v>1</v>
      </c>
      <c r="N52" s="173">
        <v>1</v>
      </c>
      <c r="O52" s="173">
        <v>1</v>
      </c>
      <c r="P52" s="173">
        <v>1</v>
      </c>
      <c r="Q52" s="173">
        <v>1</v>
      </c>
      <c r="R52" s="173">
        <v>1</v>
      </c>
      <c r="S52" s="173">
        <v>1.02</v>
      </c>
      <c r="T52" s="173">
        <v>1</v>
      </c>
      <c r="U52" s="173">
        <v>1</v>
      </c>
      <c r="V52" s="173">
        <v>1</v>
      </c>
      <c r="W52" s="173">
        <v>1</v>
      </c>
      <c r="X52" s="173">
        <v>1</v>
      </c>
      <c r="Y52" s="173">
        <v>1.02</v>
      </c>
      <c r="Z52" s="173">
        <v>1</v>
      </c>
      <c r="AA52" s="173">
        <v>1</v>
      </c>
      <c r="AB52" s="173">
        <v>1</v>
      </c>
      <c r="AC52" s="173">
        <v>1</v>
      </c>
      <c r="AD52" s="173">
        <v>0.98</v>
      </c>
      <c r="AE52" s="173">
        <v>0.98</v>
      </c>
      <c r="AF52" s="173">
        <v>0.98</v>
      </c>
      <c r="AG52" s="173">
        <v>0.98</v>
      </c>
      <c r="AH52" s="173">
        <v>1.05</v>
      </c>
      <c r="AI52" s="173">
        <v>1</v>
      </c>
      <c r="AJ52" s="173">
        <v>1</v>
      </c>
      <c r="AK52" s="173">
        <v>1.02</v>
      </c>
      <c r="AL52">
        <v>1</v>
      </c>
      <c r="AM52">
        <v>1</v>
      </c>
      <c r="AN52">
        <v>1</v>
      </c>
      <c r="AO52">
        <v>1</v>
      </c>
    </row>
    <row r="53" spans="1:41" x14ac:dyDescent="0.25">
      <c r="A53" s="172">
        <v>38261</v>
      </c>
      <c r="B53" s="173">
        <v>1</v>
      </c>
      <c r="C53" s="173">
        <v>1</v>
      </c>
      <c r="D53" s="173">
        <v>1</v>
      </c>
      <c r="E53" s="173">
        <v>1</v>
      </c>
      <c r="F53" s="173">
        <v>1</v>
      </c>
      <c r="G53" s="173">
        <v>1</v>
      </c>
      <c r="H53" s="173">
        <v>1</v>
      </c>
      <c r="I53" s="173">
        <v>1</v>
      </c>
      <c r="J53" s="173">
        <v>1</v>
      </c>
      <c r="K53" s="173">
        <v>1</v>
      </c>
      <c r="L53" s="173">
        <v>1</v>
      </c>
      <c r="M53" s="173">
        <v>1</v>
      </c>
      <c r="N53" s="173">
        <v>1</v>
      </c>
      <c r="O53" s="173">
        <v>1</v>
      </c>
      <c r="P53" s="173">
        <v>1</v>
      </c>
      <c r="Q53" s="173">
        <v>1</v>
      </c>
      <c r="R53" s="173">
        <v>1</v>
      </c>
      <c r="S53" s="173">
        <v>1.02</v>
      </c>
      <c r="T53" s="173">
        <v>1</v>
      </c>
      <c r="U53" s="173">
        <v>1</v>
      </c>
      <c r="V53" s="173">
        <v>1</v>
      </c>
      <c r="W53" s="173">
        <v>1</v>
      </c>
      <c r="X53" s="173">
        <v>1</v>
      </c>
      <c r="Y53" s="173">
        <v>1.02</v>
      </c>
      <c r="Z53" s="173">
        <v>1</v>
      </c>
      <c r="AA53" s="173">
        <v>1</v>
      </c>
      <c r="AB53" s="173">
        <v>1</v>
      </c>
      <c r="AC53" s="173">
        <v>1</v>
      </c>
      <c r="AD53" s="173">
        <v>0.98</v>
      </c>
      <c r="AE53" s="173">
        <v>0.98</v>
      </c>
      <c r="AF53" s="173">
        <v>0.98</v>
      </c>
      <c r="AG53" s="173">
        <v>0.98</v>
      </c>
      <c r="AH53" s="173">
        <v>1.05</v>
      </c>
      <c r="AI53" s="173">
        <v>1</v>
      </c>
      <c r="AJ53" s="173">
        <v>1</v>
      </c>
      <c r="AK53" s="173">
        <v>1.02</v>
      </c>
      <c r="AL53">
        <v>1</v>
      </c>
      <c r="AM53">
        <v>1</v>
      </c>
      <c r="AN53">
        <v>1</v>
      </c>
      <c r="AO53">
        <v>1</v>
      </c>
    </row>
    <row r="54" spans="1:41" x14ac:dyDescent="0.25">
      <c r="A54" s="172">
        <v>38292</v>
      </c>
      <c r="B54" s="173">
        <v>1</v>
      </c>
      <c r="C54" s="173">
        <v>1</v>
      </c>
      <c r="D54" s="173">
        <v>1</v>
      </c>
      <c r="E54" s="173">
        <v>1</v>
      </c>
      <c r="F54" s="173">
        <v>1</v>
      </c>
      <c r="G54" s="173">
        <v>1</v>
      </c>
      <c r="H54" s="173">
        <v>1</v>
      </c>
      <c r="I54" s="173">
        <v>1</v>
      </c>
      <c r="J54" s="173">
        <v>1</v>
      </c>
      <c r="K54" s="173">
        <v>1</v>
      </c>
      <c r="L54" s="173">
        <v>1</v>
      </c>
      <c r="M54" s="173">
        <v>1</v>
      </c>
      <c r="N54" s="173">
        <v>1</v>
      </c>
      <c r="O54" s="173">
        <v>1</v>
      </c>
      <c r="P54" s="173">
        <v>1</v>
      </c>
      <c r="Q54" s="173">
        <v>1</v>
      </c>
      <c r="R54" s="173">
        <v>1</v>
      </c>
      <c r="S54" s="173">
        <v>1.02</v>
      </c>
      <c r="T54" s="173">
        <v>1</v>
      </c>
      <c r="U54" s="173">
        <v>1</v>
      </c>
      <c r="V54" s="173">
        <v>1</v>
      </c>
      <c r="W54" s="173">
        <v>1</v>
      </c>
      <c r="X54" s="173">
        <v>1</v>
      </c>
      <c r="Y54" s="173">
        <v>1</v>
      </c>
      <c r="Z54" s="173">
        <v>1</v>
      </c>
      <c r="AA54" s="173">
        <v>1</v>
      </c>
      <c r="AB54" s="173">
        <v>1</v>
      </c>
      <c r="AC54" s="173">
        <v>1</v>
      </c>
      <c r="AD54" s="173">
        <v>1</v>
      </c>
      <c r="AE54" s="173">
        <v>1</v>
      </c>
      <c r="AF54" s="173">
        <v>1.1000000000000001</v>
      </c>
      <c r="AG54" s="173">
        <v>1.1000000000000001</v>
      </c>
      <c r="AH54" s="173">
        <v>1.05</v>
      </c>
      <c r="AI54" s="173">
        <v>1</v>
      </c>
      <c r="AJ54" s="173">
        <v>1</v>
      </c>
      <c r="AK54" s="173">
        <v>1.02</v>
      </c>
      <c r="AL54">
        <v>1</v>
      </c>
      <c r="AM54">
        <v>1</v>
      </c>
      <c r="AN54">
        <v>1</v>
      </c>
      <c r="AO54">
        <v>1</v>
      </c>
    </row>
    <row r="55" spans="1:41" x14ac:dyDescent="0.25">
      <c r="A55" s="172">
        <v>38322</v>
      </c>
      <c r="B55" s="173">
        <v>1</v>
      </c>
      <c r="C55" s="173">
        <v>1</v>
      </c>
      <c r="D55" s="173">
        <v>1</v>
      </c>
      <c r="E55" s="173">
        <v>1</v>
      </c>
      <c r="F55" s="173">
        <v>1</v>
      </c>
      <c r="G55" s="173">
        <v>1</v>
      </c>
      <c r="H55" s="173">
        <v>1</v>
      </c>
      <c r="I55" s="173">
        <v>1</v>
      </c>
      <c r="J55" s="173">
        <v>1</v>
      </c>
      <c r="K55" s="173">
        <v>1</v>
      </c>
      <c r="L55" s="173">
        <v>1</v>
      </c>
      <c r="M55" s="173">
        <v>1</v>
      </c>
      <c r="N55" s="173">
        <v>1</v>
      </c>
      <c r="O55" s="173">
        <v>1</v>
      </c>
      <c r="P55" s="173">
        <v>1</v>
      </c>
      <c r="Q55" s="173">
        <v>1</v>
      </c>
      <c r="R55" s="173">
        <v>1</v>
      </c>
      <c r="S55" s="173">
        <v>1.02</v>
      </c>
      <c r="T55" s="173">
        <v>1</v>
      </c>
      <c r="U55" s="173">
        <v>1</v>
      </c>
      <c r="V55" s="173">
        <v>1</v>
      </c>
      <c r="W55" s="173">
        <v>1</v>
      </c>
      <c r="X55" s="173">
        <v>1</v>
      </c>
      <c r="Y55" s="173">
        <v>1</v>
      </c>
      <c r="Z55" s="173">
        <v>1</v>
      </c>
      <c r="AA55" s="173">
        <v>1</v>
      </c>
      <c r="AB55" s="173">
        <v>1</v>
      </c>
      <c r="AC55" s="173">
        <v>1</v>
      </c>
      <c r="AD55" s="173">
        <v>1</v>
      </c>
      <c r="AE55" s="173">
        <v>1</v>
      </c>
      <c r="AF55" s="173">
        <v>1.1000000000000001</v>
      </c>
      <c r="AG55" s="173">
        <v>1.1000000000000001</v>
      </c>
      <c r="AH55" s="173">
        <v>1.05</v>
      </c>
      <c r="AI55" s="173">
        <v>1</v>
      </c>
      <c r="AJ55" s="173">
        <v>1</v>
      </c>
      <c r="AK55" s="173">
        <v>1.02</v>
      </c>
      <c r="AL55">
        <v>1</v>
      </c>
      <c r="AM55">
        <v>1</v>
      </c>
      <c r="AN55">
        <v>1</v>
      </c>
      <c r="AO55">
        <v>1</v>
      </c>
    </row>
    <row r="56" spans="1:41" x14ac:dyDescent="0.25">
      <c r="A56" s="172">
        <v>38353</v>
      </c>
      <c r="B56" s="173">
        <v>1</v>
      </c>
      <c r="C56" s="173">
        <v>1</v>
      </c>
      <c r="D56" s="173">
        <v>1</v>
      </c>
      <c r="E56" s="173">
        <v>1</v>
      </c>
      <c r="F56" s="173">
        <v>1</v>
      </c>
      <c r="G56" s="173">
        <v>1</v>
      </c>
      <c r="H56" s="173">
        <v>1</v>
      </c>
      <c r="I56" s="173">
        <v>1</v>
      </c>
      <c r="J56" s="173">
        <v>1</v>
      </c>
      <c r="K56" s="173">
        <v>1</v>
      </c>
      <c r="L56" s="173">
        <v>1</v>
      </c>
      <c r="M56" s="173">
        <v>1</v>
      </c>
      <c r="N56" s="173">
        <v>1</v>
      </c>
      <c r="O56" s="173">
        <v>1</v>
      </c>
      <c r="P56" s="173">
        <v>1</v>
      </c>
      <c r="Q56" s="173">
        <v>1</v>
      </c>
      <c r="R56" s="173">
        <v>1</v>
      </c>
      <c r="S56" s="173">
        <v>1.02</v>
      </c>
      <c r="T56" s="173">
        <v>1</v>
      </c>
      <c r="U56" s="173">
        <v>1</v>
      </c>
      <c r="V56" s="173">
        <v>1</v>
      </c>
      <c r="W56" s="173">
        <v>1</v>
      </c>
      <c r="X56" s="173">
        <v>1</v>
      </c>
      <c r="Y56" s="173">
        <v>1</v>
      </c>
      <c r="Z56" s="173">
        <v>1</v>
      </c>
      <c r="AA56" s="173">
        <v>1</v>
      </c>
      <c r="AB56" s="173">
        <v>1</v>
      </c>
      <c r="AC56" s="173">
        <v>1</v>
      </c>
      <c r="AD56" s="173">
        <v>1</v>
      </c>
      <c r="AE56" s="173">
        <v>1</v>
      </c>
      <c r="AF56" s="173">
        <v>1.1000000000000001</v>
      </c>
      <c r="AG56" s="173">
        <v>1.1000000000000001</v>
      </c>
      <c r="AH56" s="173">
        <v>1.05</v>
      </c>
      <c r="AI56" s="173">
        <v>1</v>
      </c>
      <c r="AJ56" s="173">
        <v>1</v>
      </c>
      <c r="AK56" s="173">
        <v>1.02</v>
      </c>
      <c r="AL56">
        <v>1</v>
      </c>
      <c r="AM56">
        <v>1</v>
      </c>
      <c r="AN56">
        <v>1</v>
      </c>
      <c r="AO56">
        <v>1</v>
      </c>
    </row>
    <row r="57" spans="1:41" x14ac:dyDescent="0.25">
      <c r="A57" s="172">
        <v>38384</v>
      </c>
      <c r="B57" s="173">
        <v>1</v>
      </c>
      <c r="C57" s="173">
        <v>1</v>
      </c>
      <c r="D57" s="173">
        <v>1</v>
      </c>
      <c r="E57" s="173">
        <v>1</v>
      </c>
      <c r="F57" s="173">
        <v>1</v>
      </c>
      <c r="G57" s="173">
        <v>1</v>
      </c>
      <c r="H57" s="173">
        <v>1</v>
      </c>
      <c r="I57" s="173">
        <v>1</v>
      </c>
      <c r="J57" s="173">
        <v>1</v>
      </c>
      <c r="K57" s="173">
        <v>1</v>
      </c>
      <c r="L57" s="173">
        <v>1</v>
      </c>
      <c r="M57" s="173">
        <v>1</v>
      </c>
      <c r="N57" s="173">
        <v>1</v>
      </c>
      <c r="O57" s="173">
        <v>1</v>
      </c>
      <c r="P57" s="173">
        <v>1</v>
      </c>
      <c r="Q57" s="173">
        <v>1</v>
      </c>
      <c r="R57" s="173">
        <v>1</v>
      </c>
      <c r="S57" s="173">
        <v>1.02</v>
      </c>
      <c r="T57" s="173">
        <v>1</v>
      </c>
      <c r="U57" s="173">
        <v>1</v>
      </c>
      <c r="V57" s="173">
        <v>1</v>
      </c>
      <c r="W57" s="173">
        <v>1</v>
      </c>
      <c r="X57" s="173">
        <v>1</v>
      </c>
      <c r="Y57" s="173">
        <v>1</v>
      </c>
      <c r="Z57" s="173">
        <v>1</v>
      </c>
      <c r="AA57" s="173">
        <v>1</v>
      </c>
      <c r="AB57" s="173">
        <v>1</v>
      </c>
      <c r="AC57" s="173">
        <v>1</v>
      </c>
      <c r="AD57" s="173">
        <v>1</v>
      </c>
      <c r="AE57" s="173">
        <v>1</v>
      </c>
      <c r="AF57" s="173">
        <v>1.1000000000000001</v>
      </c>
      <c r="AG57" s="173">
        <v>1.1000000000000001</v>
      </c>
      <c r="AH57" s="173">
        <v>1.05</v>
      </c>
      <c r="AI57" s="173">
        <v>1</v>
      </c>
      <c r="AJ57" s="173">
        <v>1</v>
      </c>
      <c r="AK57" s="173">
        <v>1.02</v>
      </c>
      <c r="AL57">
        <v>1</v>
      </c>
      <c r="AM57">
        <v>1</v>
      </c>
      <c r="AN57">
        <v>1</v>
      </c>
      <c r="AO57">
        <v>1</v>
      </c>
    </row>
    <row r="58" spans="1:41" x14ac:dyDescent="0.25">
      <c r="A58" s="172">
        <v>38412</v>
      </c>
      <c r="B58" s="173">
        <v>1</v>
      </c>
      <c r="C58" s="173">
        <v>1</v>
      </c>
      <c r="D58" s="173">
        <v>1</v>
      </c>
      <c r="E58" s="173">
        <v>1</v>
      </c>
      <c r="F58" s="173">
        <v>1</v>
      </c>
      <c r="G58" s="173">
        <v>1</v>
      </c>
      <c r="H58" s="173">
        <v>1</v>
      </c>
      <c r="I58" s="173">
        <v>1</v>
      </c>
      <c r="J58" s="173">
        <v>1</v>
      </c>
      <c r="K58" s="173">
        <v>1</v>
      </c>
      <c r="L58" s="173">
        <v>1</v>
      </c>
      <c r="M58" s="173">
        <v>1</v>
      </c>
      <c r="N58" s="173">
        <v>1</v>
      </c>
      <c r="O58" s="173">
        <v>1</v>
      </c>
      <c r="P58" s="173">
        <v>1</v>
      </c>
      <c r="Q58" s="173">
        <v>1</v>
      </c>
      <c r="R58" s="173">
        <v>1</v>
      </c>
      <c r="S58" s="173">
        <v>1.02</v>
      </c>
      <c r="T58" s="173">
        <v>1</v>
      </c>
      <c r="U58" s="173">
        <v>1</v>
      </c>
      <c r="V58" s="173">
        <v>1</v>
      </c>
      <c r="W58" s="173">
        <v>1</v>
      </c>
      <c r="X58" s="173">
        <v>1</v>
      </c>
      <c r="Y58" s="173">
        <v>1</v>
      </c>
      <c r="Z58" s="173">
        <v>1</v>
      </c>
      <c r="AA58" s="173">
        <v>1</v>
      </c>
      <c r="AB58" s="173">
        <v>1</v>
      </c>
      <c r="AC58" s="173">
        <v>1</v>
      </c>
      <c r="AD58" s="173">
        <v>1</v>
      </c>
      <c r="AE58" s="173">
        <v>1</v>
      </c>
      <c r="AF58" s="173">
        <v>1.1000000000000001</v>
      </c>
      <c r="AG58" s="173">
        <v>1.1000000000000001</v>
      </c>
      <c r="AH58" s="173">
        <v>1.05</v>
      </c>
      <c r="AI58" s="173">
        <v>1</v>
      </c>
      <c r="AJ58" s="173">
        <v>1</v>
      </c>
      <c r="AK58" s="173">
        <v>1.02</v>
      </c>
      <c r="AL58">
        <v>1</v>
      </c>
      <c r="AM58">
        <v>1</v>
      </c>
      <c r="AN58">
        <v>1</v>
      </c>
      <c r="AO58">
        <v>1</v>
      </c>
    </row>
    <row r="59" spans="1:41" x14ac:dyDescent="0.25">
      <c r="A59" s="172">
        <v>38443</v>
      </c>
      <c r="B59" s="173">
        <v>1</v>
      </c>
      <c r="C59" s="173">
        <v>1</v>
      </c>
      <c r="D59" s="173">
        <v>1</v>
      </c>
      <c r="E59" s="173">
        <v>1</v>
      </c>
      <c r="F59" s="173">
        <v>1</v>
      </c>
      <c r="G59" s="173">
        <v>1</v>
      </c>
      <c r="H59" s="173">
        <v>1</v>
      </c>
      <c r="I59" s="173">
        <v>1</v>
      </c>
      <c r="J59" s="173">
        <v>1</v>
      </c>
      <c r="K59" s="173">
        <v>1</v>
      </c>
      <c r="L59" s="173">
        <v>1</v>
      </c>
      <c r="M59" s="173">
        <v>1</v>
      </c>
      <c r="N59" s="173">
        <v>1</v>
      </c>
      <c r="O59" s="173">
        <v>1</v>
      </c>
      <c r="P59" s="173">
        <v>1</v>
      </c>
      <c r="Q59" s="173">
        <v>1</v>
      </c>
      <c r="R59" s="173">
        <v>1</v>
      </c>
      <c r="S59" s="173">
        <v>1.02</v>
      </c>
      <c r="T59" s="173">
        <v>1</v>
      </c>
      <c r="U59" s="173">
        <v>1</v>
      </c>
      <c r="V59" s="173">
        <v>1</v>
      </c>
      <c r="W59" s="173">
        <v>1</v>
      </c>
      <c r="X59" s="173">
        <v>1</v>
      </c>
      <c r="Y59" s="173">
        <v>1.02</v>
      </c>
      <c r="Z59" s="173">
        <v>1</v>
      </c>
      <c r="AA59" s="173">
        <v>1</v>
      </c>
      <c r="AB59" s="173">
        <v>1</v>
      </c>
      <c r="AC59" s="173">
        <v>1</v>
      </c>
      <c r="AD59" s="173">
        <v>0.98</v>
      </c>
      <c r="AE59" s="173">
        <v>0.98</v>
      </c>
      <c r="AF59" s="173">
        <v>0.98</v>
      </c>
      <c r="AG59" s="173">
        <v>0.98</v>
      </c>
      <c r="AH59" s="173">
        <v>1.05</v>
      </c>
      <c r="AI59" s="173">
        <v>1</v>
      </c>
      <c r="AJ59" s="173">
        <v>1</v>
      </c>
      <c r="AK59" s="173">
        <v>1.02</v>
      </c>
      <c r="AL59">
        <v>1</v>
      </c>
      <c r="AM59">
        <v>1</v>
      </c>
      <c r="AN59">
        <v>1</v>
      </c>
      <c r="AO59">
        <v>1</v>
      </c>
    </row>
    <row r="60" spans="1:41" x14ac:dyDescent="0.25">
      <c r="A60" s="172">
        <v>38473</v>
      </c>
      <c r="B60" s="173">
        <v>1</v>
      </c>
      <c r="C60" s="173">
        <v>1</v>
      </c>
      <c r="D60" s="173">
        <v>1</v>
      </c>
      <c r="E60" s="173">
        <v>1</v>
      </c>
      <c r="F60" s="173">
        <v>1</v>
      </c>
      <c r="G60" s="173">
        <v>1</v>
      </c>
      <c r="H60" s="173">
        <v>1</v>
      </c>
      <c r="I60" s="173">
        <v>1</v>
      </c>
      <c r="J60" s="173">
        <v>1</v>
      </c>
      <c r="K60" s="173">
        <v>1</v>
      </c>
      <c r="L60" s="173">
        <v>1</v>
      </c>
      <c r="M60" s="173">
        <v>1</v>
      </c>
      <c r="N60" s="173">
        <v>1</v>
      </c>
      <c r="O60" s="173">
        <v>1</v>
      </c>
      <c r="P60" s="173">
        <v>1</v>
      </c>
      <c r="Q60" s="173">
        <v>1</v>
      </c>
      <c r="R60" s="173">
        <v>1</v>
      </c>
      <c r="S60" s="173">
        <v>1.02</v>
      </c>
      <c r="T60" s="173">
        <v>1</v>
      </c>
      <c r="U60" s="173">
        <v>1</v>
      </c>
      <c r="V60" s="173">
        <v>1</v>
      </c>
      <c r="W60" s="173">
        <v>1</v>
      </c>
      <c r="X60" s="173">
        <v>1</v>
      </c>
      <c r="Y60" s="173">
        <v>1.02</v>
      </c>
      <c r="Z60" s="173">
        <v>1</v>
      </c>
      <c r="AA60" s="173">
        <v>1</v>
      </c>
      <c r="AB60" s="173">
        <v>1</v>
      </c>
      <c r="AC60" s="173">
        <v>1</v>
      </c>
      <c r="AD60" s="173">
        <v>0.98</v>
      </c>
      <c r="AE60" s="173">
        <v>0.98</v>
      </c>
      <c r="AF60" s="173">
        <v>0.98</v>
      </c>
      <c r="AG60" s="173">
        <v>0.98</v>
      </c>
      <c r="AH60" s="173">
        <v>1.05</v>
      </c>
      <c r="AI60" s="173">
        <v>1</v>
      </c>
      <c r="AJ60" s="173">
        <v>1</v>
      </c>
      <c r="AK60" s="173">
        <v>1.02</v>
      </c>
      <c r="AL60">
        <v>1</v>
      </c>
      <c r="AM60">
        <v>1</v>
      </c>
      <c r="AN60">
        <v>1</v>
      </c>
      <c r="AO60">
        <v>1</v>
      </c>
    </row>
    <row r="61" spans="1:41" x14ac:dyDescent="0.25">
      <c r="A61" s="172">
        <v>38504</v>
      </c>
      <c r="B61" s="173">
        <v>1</v>
      </c>
      <c r="C61" s="173">
        <v>1</v>
      </c>
      <c r="D61" s="173">
        <v>1</v>
      </c>
      <c r="E61" s="173">
        <v>1</v>
      </c>
      <c r="F61" s="173">
        <v>1</v>
      </c>
      <c r="G61" s="173">
        <v>1</v>
      </c>
      <c r="H61" s="173">
        <v>1</v>
      </c>
      <c r="I61" s="173">
        <v>1</v>
      </c>
      <c r="J61" s="173">
        <v>1</v>
      </c>
      <c r="K61" s="173">
        <v>1</v>
      </c>
      <c r="L61" s="173">
        <v>1</v>
      </c>
      <c r="M61" s="173">
        <v>1</v>
      </c>
      <c r="N61" s="173">
        <v>1</v>
      </c>
      <c r="O61" s="173">
        <v>1</v>
      </c>
      <c r="P61" s="173">
        <v>1</v>
      </c>
      <c r="Q61" s="173">
        <v>1</v>
      </c>
      <c r="R61" s="173">
        <v>1</v>
      </c>
      <c r="S61" s="173">
        <v>1.02</v>
      </c>
      <c r="T61" s="173">
        <v>1</v>
      </c>
      <c r="U61" s="173">
        <v>1</v>
      </c>
      <c r="V61" s="173">
        <v>1</v>
      </c>
      <c r="W61" s="173">
        <v>1</v>
      </c>
      <c r="X61" s="173">
        <v>1</v>
      </c>
      <c r="Y61" s="173">
        <v>1.02</v>
      </c>
      <c r="Z61" s="173">
        <v>1</v>
      </c>
      <c r="AA61" s="173">
        <v>1</v>
      </c>
      <c r="AB61" s="173">
        <v>1</v>
      </c>
      <c r="AC61" s="173">
        <v>1</v>
      </c>
      <c r="AD61" s="173">
        <v>0.98</v>
      </c>
      <c r="AE61" s="173">
        <v>0.98</v>
      </c>
      <c r="AF61" s="173">
        <v>0.98</v>
      </c>
      <c r="AG61" s="173">
        <v>0.98</v>
      </c>
      <c r="AH61" s="173">
        <v>1.05</v>
      </c>
      <c r="AI61" s="173">
        <v>1</v>
      </c>
      <c r="AJ61" s="173">
        <v>1</v>
      </c>
      <c r="AK61" s="173">
        <v>1.02</v>
      </c>
      <c r="AL61">
        <v>1</v>
      </c>
      <c r="AM61">
        <v>1</v>
      </c>
      <c r="AN61">
        <v>1</v>
      </c>
      <c r="AO61">
        <v>1</v>
      </c>
    </row>
    <row r="62" spans="1:41" x14ac:dyDescent="0.25">
      <c r="A62" s="172">
        <v>38534</v>
      </c>
      <c r="B62" s="173">
        <v>1</v>
      </c>
      <c r="C62" s="173">
        <v>1</v>
      </c>
      <c r="D62" s="173">
        <v>1</v>
      </c>
      <c r="E62" s="173">
        <v>1</v>
      </c>
      <c r="F62" s="173">
        <v>1</v>
      </c>
      <c r="G62" s="173">
        <v>1</v>
      </c>
      <c r="H62" s="173">
        <v>1</v>
      </c>
      <c r="I62" s="173">
        <v>1</v>
      </c>
      <c r="J62" s="173">
        <v>1</v>
      </c>
      <c r="K62" s="173">
        <v>1</v>
      </c>
      <c r="L62" s="173">
        <v>1</v>
      </c>
      <c r="M62" s="173">
        <v>1</v>
      </c>
      <c r="N62" s="173">
        <v>1</v>
      </c>
      <c r="O62" s="173">
        <v>1</v>
      </c>
      <c r="P62" s="173">
        <v>1</v>
      </c>
      <c r="Q62" s="173">
        <v>1</v>
      </c>
      <c r="R62" s="173">
        <v>1</v>
      </c>
      <c r="S62" s="173">
        <v>1.02</v>
      </c>
      <c r="T62" s="173">
        <v>1</v>
      </c>
      <c r="U62" s="173">
        <v>1</v>
      </c>
      <c r="V62" s="173">
        <v>1</v>
      </c>
      <c r="W62" s="173">
        <v>1</v>
      </c>
      <c r="X62" s="173">
        <v>1</v>
      </c>
      <c r="Y62" s="173">
        <v>1.02</v>
      </c>
      <c r="Z62" s="173">
        <v>1</v>
      </c>
      <c r="AA62" s="173">
        <v>1</v>
      </c>
      <c r="AB62" s="173">
        <v>1</v>
      </c>
      <c r="AC62" s="173">
        <v>1</v>
      </c>
      <c r="AD62" s="173">
        <v>0.98</v>
      </c>
      <c r="AE62" s="173">
        <v>0.98</v>
      </c>
      <c r="AF62" s="173">
        <v>0.98</v>
      </c>
      <c r="AG62" s="173">
        <v>0.98</v>
      </c>
      <c r="AH62" s="173">
        <v>1.05</v>
      </c>
      <c r="AI62" s="173">
        <v>1</v>
      </c>
      <c r="AJ62" s="173">
        <v>1</v>
      </c>
      <c r="AK62" s="173">
        <v>1.02</v>
      </c>
      <c r="AL62">
        <v>1</v>
      </c>
      <c r="AM62">
        <v>1</v>
      </c>
      <c r="AN62">
        <v>1</v>
      </c>
      <c r="AO62">
        <v>1</v>
      </c>
    </row>
    <row r="63" spans="1:41" x14ac:dyDescent="0.25">
      <c r="A63" s="172">
        <v>38565</v>
      </c>
      <c r="B63" s="173">
        <v>1</v>
      </c>
      <c r="C63" s="173">
        <v>1</v>
      </c>
      <c r="D63" s="173">
        <v>1</v>
      </c>
      <c r="E63" s="173">
        <v>1</v>
      </c>
      <c r="F63" s="173">
        <v>1</v>
      </c>
      <c r="G63" s="173">
        <v>1</v>
      </c>
      <c r="H63" s="173">
        <v>1</v>
      </c>
      <c r="I63" s="173">
        <v>1</v>
      </c>
      <c r="J63" s="173">
        <v>1</v>
      </c>
      <c r="K63" s="173">
        <v>1</v>
      </c>
      <c r="L63" s="173">
        <v>1</v>
      </c>
      <c r="M63" s="173">
        <v>1</v>
      </c>
      <c r="N63" s="173">
        <v>1</v>
      </c>
      <c r="O63" s="173">
        <v>1</v>
      </c>
      <c r="P63" s="173">
        <v>1</v>
      </c>
      <c r="Q63" s="173">
        <v>1</v>
      </c>
      <c r="R63" s="173">
        <v>1</v>
      </c>
      <c r="S63" s="173">
        <v>1.02</v>
      </c>
      <c r="T63" s="173">
        <v>1</v>
      </c>
      <c r="U63" s="173">
        <v>1</v>
      </c>
      <c r="V63" s="173">
        <v>1</v>
      </c>
      <c r="W63" s="173">
        <v>1</v>
      </c>
      <c r="X63" s="173">
        <v>1</v>
      </c>
      <c r="Y63" s="173">
        <v>1.02</v>
      </c>
      <c r="Z63" s="173">
        <v>1</v>
      </c>
      <c r="AA63" s="173">
        <v>1</v>
      </c>
      <c r="AB63" s="173">
        <v>1</v>
      </c>
      <c r="AC63" s="173">
        <v>1</v>
      </c>
      <c r="AD63" s="173">
        <v>0.98</v>
      </c>
      <c r="AE63" s="173">
        <v>0.98</v>
      </c>
      <c r="AF63" s="173">
        <v>0.98</v>
      </c>
      <c r="AG63" s="173">
        <v>0.98</v>
      </c>
      <c r="AH63" s="173">
        <v>1.05</v>
      </c>
      <c r="AI63" s="173">
        <v>1</v>
      </c>
      <c r="AJ63" s="173">
        <v>1</v>
      </c>
      <c r="AK63" s="173">
        <v>1.02</v>
      </c>
      <c r="AL63">
        <v>1</v>
      </c>
      <c r="AM63">
        <v>1</v>
      </c>
      <c r="AN63">
        <v>1</v>
      </c>
      <c r="AO63">
        <v>1</v>
      </c>
    </row>
    <row r="64" spans="1:41" x14ac:dyDescent="0.25">
      <c r="A64" s="172">
        <v>38596</v>
      </c>
      <c r="B64" s="173">
        <v>1</v>
      </c>
      <c r="C64" s="173">
        <v>1</v>
      </c>
      <c r="D64" s="173">
        <v>1</v>
      </c>
      <c r="E64" s="173">
        <v>1</v>
      </c>
      <c r="F64" s="173">
        <v>1</v>
      </c>
      <c r="G64" s="173">
        <v>1</v>
      </c>
      <c r="H64" s="173">
        <v>1</v>
      </c>
      <c r="I64" s="173">
        <v>1</v>
      </c>
      <c r="J64" s="173">
        <v>1</v>
      </c>
      <c r="K64" s="173">
        <v>1</v>
      </c>
      <c r="L64" s="173">
        <v>1</v>
      </c>
      <c r="M64" s="173">
        <v>1</v>
      </c>
      <c r="N64" s="173">
        <v>1</v>
      </c>
      <c r="O64" s="173">
        <v>1</v>
      </c>
      <c r="P64" s="173">
        <v>1</v>
      </c>
      <c r="Q64" s="173">
        <v>1</v>
      </c>
      <c r="R64" s="173">
        <v>1</v>
      </c>
      <c r="S64" s="173">
        <v>1.02</v>
      </c>
      <c r="T64" s="173">
        <v>1</v>
      </c>
      <c r="U64" s="173">
        <v>1</v>
      </c>
      <c r="V64" s="173">
        <v>1</v>
      </c>
      <c r="W64" s="173">
        <v>1</v>
      </c>
      <c r="X64" s="173">
        <v>1</v>
      </c>
      <c r="Y64" s="173">
        <v>1.02</v>
      </c>
      <c r="Z64" s="173">
        <v>1</v>
      </c>
      <c r="AA64" s="173">
        <v>1</v>
      </c>
      <c r="AB64" s="173">
        <v>1</v>
      </c>
      <c r="AC64" s="173">
        <v>1</v>
      </c>
      <c r="AD64" s="173">
        <v>0.98</v>
      </c>
      <c r="AE64" s="173">
        <v>0.98</v>
      </c>
      <c r="AF64" s="173">
        <v>0.98</v>
      </c>
      <c r="AG64" s="173">
        <v>0.98</v>
      </c>
      <c r="AH64" s="173">
        <v>1.05</v>
      </c>
      <c r="AI64" s="173">
        <v>1</v>
      </c>
      <c r="AJ64" s="173">
        <v>1</v>
      </c>
      <c r="AK64" s="173">
        <v>1.02</v>
      </c>
      <c r="AL64">
        <v>1</v>
      </c>
      <c r="AM64">
        <v>1</v>
      </c>
      <c r="AN64">
        <v>1</v>
      </c>
      <c r="AO64">
        <v>1</v>
      </c>
    </row>
    <row r="65" spans="1:41" x14ac:dyDescent="0.25">
      <c r="A65" s="172">
        <v>38626</v>
      </c>
      <c r="B65" s="173">
        <v>1</v>
      </c>
      <c r="C65" s="173">
        <v>1</v>
      </c>
      <c r="D65" s="173">
        <v>1</v>
      </c>
      <c r="E65" s="173">
        <v>1</v>
      </c>
      <c r="F65" s="173">
        <v>1</v>
      </c>
      <c r="G65" s="173">
        <v>1</v>
      </c>
      <c r="H65" s="173">
        <v>1</v>
      </c>
      <c r="I65" s="173">
        <v>1</v>
      </c>
      <c r="J65" s="173">
        <v>1</v>
      </c>
      <c r="K65" s="173">
        <v>1</v>
      </c>
      <c r="L65" s="173">
        <v>1</v>
      </c>
      <c r="M65" s="173">
        <v>1</v>
      </c>
      <c r="N65" s="173">
        <v>1</v>
      </c>
      <c r="O65" s="173">
        <v>1</v>
      </c>
      <c r="P65" s="173">
        <v>1</v>
      </c>
      <c r="Q65" s="173">
        <v>1</v>
      </c>
      <c r="R65" s="173">
        <v>1</v>
      </c>
      <c r="S65" s="173">
        <v>1.02</v>
      </c>
      <c r="T65" s="173">
        <v>1</v>
      </c>
      <c r="U65" s="173">
        <v>1</v>
      </c>
      <c r="V65" s="173">
        <v>1</v>
      </c>
      <c r="W65" s="173">
        <v>1</v>
      </c>
      <c r="X65" s="173">
        <v>1</v>
      </c>
      <c r="Y65" s="173">
        <v>1.02</v>
      </c>
      <c r="Z65" s="173">
        <v>1</v>
      </c>
      <c r="AA65" s="173">
        <v>1</v>
      </c>
      <c r="AB65" s="173">
        <v>1</v>
      </c>
      <c r="AC65" s="173">
        <v>1</v>
      </c>
      <c r="AD65" s="173">
        <v>0.98</v>
      </c>
      <c r="AE65" s="173">
        <v>0.98</v>
      </c>
      <c r="AF65" s="173">
        <v>0.98</v>
      </c>
      <c r="AG65" s="173">
        <v>0.98</v>
      </c>
      <c r="AH65" s="173">
        <v>1.05</v>
      </c>
      <c r="AI65" s="173">
        <v>1</v>
      </c>
      <c r="AJ65" s="173">
        <v>1</v>
      </c>
      <c r="AK65" s="173">
        <v>1.02</v>
      </c>
      <c r="AL65">
        <v>1</v>
      </c>
      <c r="AM65">
        <v>1</v>
      </c>
      <c r="AN65">
        <v>1</v>
      </c>
      <c r="AO65">
        <v>1</v>
      </c>
    </row>
    <row r="66" spans="1:41" x14ac:dyDescent="0.25">
      <c r="A66" s="172">
        <v>38657</v>
      </c>
      <c r="B66" s="173">
        <v>1</v>
      </c>
      <c r="C66" s="173">
        <v>1</v>
      </c>
      <c r="D66" s="173">
        <v>1</v>
      </c>
      <c r="E66" s="173">
        <v>1</v>
      </c>
      <c r="F66" s="173">
        <v>1</v>
      </c>
      <c r="G66" s="173">
        <v>1</v>
      </c>
      <c r="H66" s="173">
        <v>1</v>
      </c>
      <c r="I66" s="173">
        <v>1</v>
      </c>
      <c r="J66" s="173">
        <v>1</v>
      </c>
      <c r="K66" s="173">
        <v>1</v>
      </c>
      <c r="L66" s="173">
        <v>1</v>
      </c>
      <c r="M66" s="173">
        <v>1</v>
      </c>
      <c r="N66" s="173">
        <v>1</v>
      </c>
      <c r="O66" s="173">
        <v>1</v>
      </c>
      <c r="P66" s="173">
        <v>1</v>
      </c>
      <c r="Q66" s="173">
        <v>1</v>
      </c>
      <c r="R66" s="173">
        <v>1</v>
      </c>
      <c r="S66" s="173">
        <v>1.02</v>
      </c>
      <c r="T66" s="173">
        <v>1</v>
      </c>
      <c r="U66" s="173">
        <v>1</v>
      </c>
      <c r="V66" s="173">
        <v>1</v>
      </c>
      <c r="W66" s="173">
        <v>1</v>
      </c>
      <c r="X66" s="173">
        <v>1</v>
      </c>
      <c r="Y66" s="173">
        <v>1</v>
      </c>
      <c r="Z66" s="173">
        <v>1</v>
      </c>
      <c r="AA66" s="173">
        <v>1</v>
      </c>
      <c r="AB66" s="173">
        <v>1</v>
      </c>
      <c r="AC66" s="173">
        <v>1</v>
      </c>
      <c r="AD66" s="173">
        <v>1</v>
      </c>
      <c r="AE66" s="173">
        <v>1</v>
      </c>
      <c r="AF66" s="173">
        <v>1.1000000000000001</v>
      </c>
      <c r="AG66" s="173">
        <v>1.1000000000000001</v>
      </c>
      <c r="AH66" s="173">
        <v>1.05</v>
      </c>
      <c r="AI66" s="173">
        <v>1</v>
      </c>
      <c r="AJ66" s="173">
        <v>1</v>
      </c>
      <c r="AK66" s="173">
        <v>1.02</v>
      </c>
      <c r="AL66">
        <v>1</v>
      </c>
      <c r="AM66">
        <v>1</v>
      </c>
      <c r="AN66">
        <v>1</v>
      </c>
      <c r="AO66">
        <v>1</v>
      </c>
    </row>
    <row r="67" spans="1:41" x14ac:dyDescent="0.25">
      <c r="A67" s="172">
        <v>38687</v>
      </c>
      <c r="B67" s="173">
        <v>1</v>
      </c>
      <c r="C67" s="173">
        <v>1</v>
      </c>
      <c r="D67" s="173">
        <v>1</v>
      </c>
      <c r="E67" s="173">
        <v>1</v>
      </c>
      <c r="F67" s="173">
        <v>1</v>
      </c>
      <c r="G67" s="173">
        <v>1</v>
      </c>
      <c r="H67" s="173">
        <v>1</v>
      </c>
      <c r="I67" s="173">
        <v>1</v>
      </c>
      <c r="J67" s="173">
        <v>1</v>
      </c>
      <c r="K67" s="173">
        <v>1</v>
      </c>
      <c r="L67" s="173">
        <v>1</v>
      </c>
      <c r="M67" s="173">
        <v>1</v>
      </c>
      <c r="N67" s="173">
        <v>1</v>
      </c>
      <c r="O67" s="173">
        <v>1</v>
      </c>
      <c r="P67" s="173">
        <v>1</v>
      </c>
      <c r="Q67" s="173">
        <v>1</v>
      </c>
      <c r="R67" s="173">
        <v>1</v>
      </c>
      <c r="S67" s="173">
        <v>1.02</v>
      </c>
      <c r="T67" s="173">
        <v>1</v>
      </c>
      <c r="U67" s="173">
        <v>1</v>
      </c>
      <c r="V67" s="173">
        <v>1</v>
      </c>
      <c r="W67" s="173">
        <v>1</v>
      </c>
      <c r="X67" s="173">
        <v>1</v>
      </c>
      <c r="Y67" s="173">
        <v>1</v>
      </c>
      <c r="Z67" s="173">
        <v>1</v>
      </c>
      <c r="AA67" s="173">
        <v>1</v>
      </c>
      <c r="AB67" s="173">
        <v>1</v>
      </c>
      <c r="AC67" s="173">
        <v>1</v>
      </c>
      <c r="AD67" s="173">
        <v>1</v>
      </c>
      <c r="AE67" s="173">
        <v>1</v>
      </c>
      <c r="AF67" s="173">
        <v>1.1000000000000001</v>
      </c>
      <c r="AG67" s="173">
        <v>1.1000000000000001</v>
      </c>
      <c r="AH67" s="173">
        <v>1.05</v>
      </c>
      <c r="AI67" s="173">
        <v>1</v>
      </c>
      <c r="AJ67" s="173">
        <v>1</v>
      </c>
      <c r="AK67" s="173">
        <v>1.02</v>
      </c>
      <c r="AL67">
        <v>1</v>
      </c>
      <c r="AM67">
        <v>1</v>
      </c>
      <c r="AN67">
        <v>1</v>
      </c>
      <c r="AO67">
        <v>1</v>
      </c>
    </row>
    <row r="68" spans="1:41" x14ac:dyDescent="0.25">
      <c r="A68" s="172">
        <v>38718</v>
      </c>
      <c r="B68" s="173">
        <v>1</v>
      </c>
      <c r="C68" s="173">
        <v>1</v>
      </c>
      <c r="D68" s="173">
        <v>1</v>
      </c>
      <c r="E68" s="173">
        <v>1</v>
      </c>
      <c r="F68" s="173">
        <v>1</v>
      </c>
      <c r="G68" s="173">
        <v>1</v>
      </c>
      <c r="H68" s="173">
        <v>1</v>
      </c>
      <c r="I68" s="173">
        <v>1</v>
      </c>
      <c r="J68" s="173">
        <v>1</v>
      </c>
      <c r="K68" s="173">
        <v>1</v>
      </c>
      <c r="L68" s="173">
        <v>1</v>
      </c>
      <c r="M68" s="173">
        <v>1</v>
      </c>
      <c r="N68" s="173">
        <v>1</v>
      </c>
      <c r="O68" s="173">
        <v>1</v>
      </c>
      <c r="P68" s="173">
        <v>1</v>
      </c>
      <c r="Q68" s="173">
        <v>1</v>
      </c>
      <c r="R68" s="173">
        <v>1</v>
      </c>
      <c r="S68" s="173">
        <v>1.02</v>
      </c>
      <c r="T68" s="173">
        <v>1</v>
      </c>
      <c r="U68" s="173">
        <v>1</v>
      </c>
      <c r="V68" s="173">
        <v>1</v>
      </c>
      <c r="W68" s="173">
        <v>1</v>
      </c>
      <c r="X68" s="173">
        <v>1</v>
      </c>
      <c r="Y68" s="173">
        <v>1</v>
      </c>
      <c r="Z68" s="173">
        <v>1</v>
      </c>
      <c r="AA68" s="173">
        <v>1</v>
      </c>
      <c r="AB68" s="173">
        <v>1</v>
      </c>
      <c r="AC68" s="173">
        <v>1</v>
      </c>
      <c r="AD68" s="173">
        <v>1</v>
      </c>
      <c r="AE68" s="173">
        <v>1</v>
      </c>
      <c r="AF68" s="173">
        <v>1.1000000000000001</v>
      </c>
      <c r="AG68" s="173">
        <v>1.1000000000000001</v>
      </c>
      <c r="AH68" s="173">
        <v>1.05</v>
      </c>
      <c r="AI68" s="173">
        <v>1</v>
      </c>
      <c r="AJ68" s="173">
        <v>1</v>
      </c>
      <c r="AK68" s="173">
        <v>1.02</v>
      </c>
      <c r="AL68">
        <v>1</v>
      </c>
      <c r="AM68">
        <v>1</v>
      </c>
      <c r="AN68">
        <v>1</v>
      </c>
      <c r="AO68">
        <v>1</v>
      </c>
    </row>
    <row r="69" spans="1:41" x14ac:dyDescent="0.25">
      <c r="A69" s="172">
        <v>38749</v>
      </c>
      <c r="B69" s="173">
        <v>1</v>
      </c>
      <c r="C69" s="173">
        <v>1</v>
      </c>
      <c r="D69" s="173">
        <v>1</v>
      </c>
      <c r="E69" s="173">
        <v>1</v>
      </c>
      <c r="F69" s="173">
        <v>1</v>
      </c>
      <c r="G69" s="173">
        <v>1</v>
      </c>
      <c r="H69" s="173">
        <v>1</v>
      </c>
      <c r="I69" s="173">
        <v>1</v>
      </c>
      <c r="J69" s="173">
        <v>1</v>
      </c>
      <c r="K69" s="173">
        <v>1</v>
      </c>
      <c r="L69" s="173">
        <v>1</v>
      </c>
      <c r="M69" s="173">
        <v>1</v>
      </c>
      <c r="N69" s="173">
        <v>1</v>
      </c>
      <c r="O69" s="173">
        <v>1</v>
      </c>
      <c r="P69" s="173">
        <v>1</v>
      </c>
      <c r="Q69" s="173">
        <v>1</v>
      </c>
      <c r="R69" s="173">
        <v>1</v>
      </c>
      <c r="S69" s="173">
        <v>1.02</v>
      </c>
      <c r="T69" s="173">
        <v>1</v>
      </c>
      <c r="U69" s="173">
        <v>1</v>
      </c>
      <c r="V69" s="173">
        <v>1</v>
      </c>
      <c r="W69" s="173">
        <v>1</v>
      </c>
      <c r="X69" s="173">
        <v>1</v>
      </c>
      <c r="Y69" s="173">
        <v>1</v>
      </c>
      <c r="Z69" s="173">
        <v>1</v>
      </c>
      <c r="AA69" s="173">
        <v>1</v>
      </c>
      <c r="AB69" s="173">
        <v>1</v>
      </c>
      <c r="AC69" s="173">
        <v>1</v>
      </c>
      <c r="AD69" s="173">
        <v>1</v>
      </c>
      <c r="AE69" s="173">
        <v>1</v>
      </c>
      <c r="AF69" s="173">
        <v>1.1000000000000001</v>
      </c>
      <c r="AG69" s="173">
        <v>1.1000000000000001</v>
      </c>
      <c r="AH69" s="173">
        <v>1.05</v>
      </c>
      <c r="AI69" s="173">
        <v>1</v>
      </c>
      <c r="AJ69" s="173">
        <v>1</v>
      </c>
      <c r="AK69" s="173">
        <v>1.02</v>
      </c>
      <c r="AL69">
        <v>1</v>
      </c>
      <c r="AM69">
        <v>1</v>
      </c>
      <c r="AN69">
        <v>1</v>
      </c>
      <c r="AO69">
        <v>1</v>
      </c>
    </row>
    <row r="70" spans="1:41" x14ac:dyDescent="0.25">
      <c r="A70" s="172">
        <v>38777</v>
      </c>
      <c r="B70" s="173">
        <v>1</v>
      </c>
      <c r="C70" s="173">
        <v>1</v>
      </c>
      <c r="D70" s="173">
        <v>1</v>
      </c>
      <c r="E70" s="173">
        <v>1</v>
      </c>
      <c r="F70" s="173">
        <v>1</v>
      </c>
      <c r="G70" s="173">
        <v>1</v>
      </c>
      <c r="H70" s="173">
        <v>1</v>
      </c>
      <c r="I70" s="173">
        <v>1</v>
      </c>
      <c r="J70" s="173">
        <v>1</v>
      </c>
      <c r="K70" s="173">
        <v>1</v>
      </c>
      <c r="L70" s="173">
        <v>1</v>
      </c>
      <c r="M70" s="173">
        <v>1</v>
      </c>
      <c r="N70" s="173">
        <v>1</v>
      </c>
      <c r="O70" s="173">
        <v>1</v>
      </c>
      <c r="P70" s="173">
        <v>1</v>
      </c>
      <c r="Q70" s="173">
        <v>1</v>
      </c>
      <c r="R70" s="173">
        <v>1</v>
      </c>
      <c r="S70" s="173">
        <v>1.02</v>
      </c>
      <c r="T70" s="173">
        <v>1</v>
      </c>
      <c r="U70" s="173">
        <v>1</v>
      </c>
      <c r="V70" s="173">
        <v>1</v>
      </c>
      <c r="W70" s="173">
        <v>1</v>
      </c>
      <c r="X70" s="173">
        <v>1</v>
      </c>
      <c r="Y70" s="173">
        <v>1</v>
      </c>
      <c r="Z70" s="173">
        <v>1</v>
      </c>
      <c r="AA70" s="173">
        <v>1</v>
      </c>
      <c r="AB70" s="173">
        <v>1</v>
      </c>
      <c r="AC70" s="173">
        <v>1</v>
      </c>
      <c r="AD70" s="173">
        <v>1</v>
      </c>
      <c r="AE70" s="173">
        <v>1</v>
      </c>
      <c r="AF70" s="173">
        <v>1.1000000000000001</v>
      </c>
      <c r="AG70" s="173">
        <v>1.1000000000000001</v>
      </c>
      <c r="AH70" s="173">
        <v>1.05</v>
      </c>
      <c r="AI70" s="173">
        <v>1</v>
      </c>
      <c r="AJ70" s="173">
        <v>1</v>
      </c>
      <c r="AK70" s="173">
        <v>1.02</v>
      </c>
      <c r="AL70">
        <v>1</v>
      </c>
      <c r="AM70">
        <v>1</v>
      </c>
      <c r="AN70">
        <v>1</v>
      </c>
      <c r="AO70">
        <v>1</v>
      </c>
    </row>
    <row r="71" spans="1:41" x14ac:dyDescent="0.25">
      <c r="A71" s="172">
        <v>38808</v>
      </c>
      <c r="B71" s="173">
        <v>1</v>
      </c>
      <c r="C71" s="173">
        <v>1</v>
      </c>
      <c r="D71" s="173">
        <v>1</v>
      </c>
      <c r="E71" s="173">
        <v>1</v>
      </c>
      <c r="F71" s="173">
        <v>1</v>
      </c>
      <c r="G71" s="173">
        <v>1</v>
      </c>
      <c r="H71" s="173">
        <v>1</v>
      </c>
      <c r="I71" s="173">
        <v>1</v>
      </c>
      <c r="J71" s="173">
        <v>1</v>
      </c>
      <c r="K71" s="173">
        <v>1</v>
      </c>
      <c r="L71" s="173">
        <v>1</v>
      </c>
      <c r="M71" s="173">
        <v>1</v>
      </c>
      <c r="N71" s="173">
        <v>1</v>
      </c>
      <c r="O71" s="173">
        <v>1</v>
      </c>
      <c r="P71" s="173">
        <v>1</v>
      </c>
      <c r="Q71" s="173">
        <v>1</v>
      </c>
      <c r="R71" s="173">
        <v>1</v>
      </c>
      <c r="S71" s="173">
        <v>1.02</v>
      </c>
      <c r="T71" s="173">
        <v>1</v>
      </c>
      <c r="U71" s="173">
        <v>1</v>
      </c>
      <c r="V71" s="173">
        <v>1</v>
      </c>
      <c r="W71" s="173">
        <v>1</v>
      </c>
      <c r="X71" s="173">
        <v>1</v>
      </c>
      <c r="Y71" s="173">
        <v>1.02</v>
      </c>
      <c r="Z71" s="173">
        <v>1</v>
      </c>
      <c r="AA71" s="173">
        <v>1</v>
      </c>
      <c r="AB71" s="173">
        <v>1</v>
      </c>
      <c r="AC71" s="173">
        <v>1</v>
      </c>
      <c r="AD71" s="173">
        <v>0.98</v>
      </c>
      <c r="AE71" s="173">
        <v>0.98</v>
      </c>
      <c r="AF71" s="173">
        <v>0.98</v>
      </c>
      <c r="AG71" s="173">
        <v>0.98</v>
      </c>
      <c r="AH71" s="173">
        <v>1.05</v>
      </c>
      <c r="AI71" s="173">
        <v>1</v>
      </c>
      <c r="AJ71" s="173">
        <v>1</v>
      </c>
      <c r="AK71" s="173">
        <v>1.02</v>
      </c>
      <c r="AL71">
        <v>1</v>
      </c>
      <c r="AM71">
        <v>1</v>
      </c>
      <c r="AN71">
        <v>1</v>
      </c>
      <c r="AO71">
        <v>1</v>
      </c>
    </row>
    <row r="72" spans="1:41" x14ac:dyDescent="0.25">
      <c r="A72" s="172">
        <v>38838</v>
      </c>
      <c r="B72" s="173">
        <v>1</v>
      </c>
      <c r="C72" s="173">
        <v>1</v>
      </c>
      <c r="D72" s="173">
        <v>1</v>
      </c>
      <c r="E72" s="173">
        <v>1</v>
      </c>
      <c r="F72" s="173">
        <v>1</v>
      </c>
      <c r="G72" s="173">
        <v>1</v>
      </c>
      <c r="H72" s="173">
        <v>1</v>
      </c>
      <c r="I72" s="173">
        <v>1</v>
      </c>
      <c r="J72" s="173">
        <v>1</v>
      </c>
      <c r="K72" s="173">
        <v>1</v>
      </c>
      <c r="L72" s="173">
        <v>1</v>
      </c>
      <c r="M72" s="173">
        <v>1</v>
      </c>
      <c r="N72" s="173">
        <v>1</v>
      </c>
      <c r="O72" s="173">
        <v>1</v>
      </c>
      <c r="P72" s="173">
        <v>1</v>
      </c>
      <c r="Q72" s="173">
        <v>1</v>
      </c>
      <c r="R72" s="173">
        <v>1</v>
      </c>
      <c r="S72" s="173">
        <v>1.02</v>
      </c>
      <c r="T72" s="173">
        <v>1</v>
      </c>
      <c r="U72" s="173">
        <v>1</v>
      </c>
      <c r="V72" s="173">
        <v>1</v>
      </c>
      <c r="W72" s="173">
        <v>1</v>
      </c>
      <c r="X72" s="173">
        <v>1</v>
      </c>
      <c r="Y72" s="173">
        <v>1.02</v>
      </c>
      <c r="Z72" s="173">
        <v>1</v>
      </c>
      <c r="AA72" s="173">
        <v>1</v>
      </c>
      <c r="AB72" s="173">
        <v>1</v>
      </c>
      <c r="AC72" s="173">
        <v>1</v>
      </c>
      <c r="AD72" s="173">
        <v>0.98</v>
      </c>
      <c r="AE72" s="173">
        <v>0.98</v>
      </c>
      <c r="AF72" s="173">
        <v>0.98</v>
      </c>
      <c r="AG72" s="173">
        <v>0.98</v>
      </c>
      <c r="AH72" s="173">
        <v>1.05</v>
      </c>
      <c r="AI72" s="173">
        <v>1</v>
      </c>
      <c r="AJ72" s="173">
        <v>1</v>
      </c>
      <c r="AK72" s="173">
        <v>1.02</v>
      </c>
      <c r="AL72">
        <v>1</v>
      </c>
      <c r="AM72">
        <v>1</v>
      </c>
      <c r="AN72">
        <v>1</v>
      </c>
      <c r="AO72">
        <v>1</v>
      </c>
    </row>
    <row r="73" spans="1:41" x14ac:dyDescent="0.25">
      <c r="A73" s="172">
        <v>38869</v>
      </c>
      <c r="B73" s="173">
        <v>1</v>
      </c>
      <c r="C73" s="173">
        <v>1</v>
      </c>
      <c r="D73" s="173">
        <v>1</v>
      </c>
      <c r="E73" s="173">
        <v>1</v>
      </c>
      <c r="F73" s="173">
        <v>1</v>
      </c>
      <c r="G73" s="173">
        <v>1</v>
      </c>
      <c r="H73" s="173">
        <v>1</v>
      </c>
      <c r="I73" s="173">
        <v>1</v>
      </c>
      <c r="J73" s="173">
        <v>1</v>
      </c>
      <c r="K73" s="173">
        <v>1</v>
      </c>
      <c r="L73" s="173">
        <v>1</v>
      </c>
      <c r="M73" s="173">
        <v>1</v>
      </c>
      <c r="N73" s="173">
        <v>1</v>
      </c>
      <c r="O73" s="173">
        <v>1</v>
      </c>
      <c r="P73" s="173">
        <v>1</v>
      </c>
      <c r="Q73" s="173">
        <v>1</v>
      </c>
      <c r="R73" s="173">
        <v>1</v>
      </c>
      <c r="S73" s="173">
        <v>1.02</v>
      </c>
      <c r="T73" s="173">
        <v>1</v>
      </c>
      <c r="U73" s="173">
        <v>1</v>
      </c>
      <c r="V73" s="173">
        <v>1</v>
      </c>
      <c r="W73" s="173">
        <v>1</v>
      </c>
      <c r="X73" s="173">
        <v>1</v>
      </c>
      <c r="Y73" s="173">
        <v>1.02</v>
      </c>
      <c r="Z73" s="173">
        <v>1</v>
      </c>
      <c r="AA73" s="173">
        <v>1</v>
      </c>
      <c r="AB73" s="173">
        <v>1</v>
      </c>
      <c r="AC73" s="173">
        <v>1</v>
      </c>
      <c r="AD73" s="173">
        <v>0.98</v>
      </c>
      <c r="AE73" s="173">
        <v>0.98</v>
      </c>
      <c r="AF73" s="173">
        <v>0.98</v>
      </c>
      <c r="AG73" s="173">
        <v>0.98</v>
      </c>
      <c r="AH73" s="173">
        <v>1.05</v>
      </c>
      <c r="AI73" s="173">
        <v>1</v>
      </c>
      <c r="AJ73" s="173">
        <v>1</v>
      </c>
      <c r="AK73" s="173">
        <v>1.02</v>
      </c>
      <c r="AL73">
        <v>1</v>
      </c>
      <c r="AM73">
        <v>1</v>
      </c>
      <c r="AN73">
        <v>1</v>
      </c>
      <c r="AO73">
        <v>1</v>
      </c>
    </row>
    <row r="74" spans="1:41" x14ac:dyDescent="0.25">
      <c r="A74" s="172">
        <v>38899</v>
      </c>
      <c r="B74" s="173">
        <v>1</v>
      </c>
      <c r="C74" s="173">
        <v>1</v>
      </c>
      <c r="D74" s="173">
        <v>1</v>
      </c>
      <c r="E74" s="173">
        <v>1</v>
      </c>
      <c r="F74" s="173">
        <v>1</v>
      </c>
      <c r="G74" s="173">
        <v>1</v>
      </c>
      <c r="H74" s="173">
        <v>1</v>
      </c>
      <c r="I74" s="173">
        <v>1</v>
      </c>
      <c r="J74" s="173">
        <v>1</v>
      </c>
      <c r="K74" s="173">
        <v>1</v>
      </c>
      <c r="L74" s="173">
        <v>1</v>
      </c>
      <c r="M74" s="173">
        <v>1</v>
      </c>
      <c r="N74" s="173">
        <v>1</v>
      </c>
      <c r="O74" s="173">
        <v>1</v>
      </c>
      <c r="P74" s="173">
        <v>1</v>
      </c>
      <c r="Q74" s="173">
        <v>1</v>
      </c>
      <c r="R74" s="173">
        <v>1</v>
      </c>
      <c r="S74" s="173">
        <v>1.02</v>
      </c>
      <c r="T74" s="173">
        <v>1</v>
      </c>
      <c r="U74" s="173">
        <v>1</v>
      </c>
      <c r="V74" s="173">
        <v>1</v>
      </c>
      <c r="W74" s="173">
        <v>1</v>
      </c>
      <c r="X74" s="173">
        <v>1</v>
      </c>
      <c r="Y74" s="173">
        <v>1.02</v>
      </c>
      <c r="Z74" s="173">
        <v>1</v>
      </c>
      <c r="AA74" s="173">
        <v>1</v>
      </c>
      <c r="AB74" s="173">
        <v>1</v>
      </c>
      <c r="AC74" s="173">
        <v>1</v>
      </c>
      <c r="AD74" s="173">
        <v>0.98</v>
      </c>
      <c r="AE74" s="173">
        <v>0.98</v>
      </c>
      <c r="AF74" s="173">
        <v>0.98</v>
      </c>
      <c r="AG74" s="173">
        <v>0.98</v>
      </c>
      <c r="AH74" s="173">
        <v>1.05</v>
      </c>
      <c r="AI74" s="173">
        <v>1</v>
      </c>
      <c r="AJ74" s="173">
        <v>1</v>
      </c>
      <c r="AK74" s="173">
        <v>1.02</v>
      </c>
      <c r="AL74">
        <v>1</v>
      </c>
      <c r="AM74">
        <v>1</v>
      </c>
      <c r="AN74">
        <v>1</v>
      </c>
      <c r="AO74">
        <v>1</v>
      </c>
    </row>
    <row r="75" spans="1:41" x14ac:dyDescent="0.25">
      <c r="A75" s="172">
        <v>38930</v>
      </c>
      <c r="B75" s="173">
        <v>1</v>
      </c>
      <c r="C75" s="173">
        <v>1</v>
      </c>
      <c r="D75" s="173">
        <v>1</v>
      </c>
      <c r="E75" s="173">
        <v>1</v>
      </c>
      <c r="F75" s="173">
        <v>1</v>
      </c>
      <c r="G75" s="173">
        <v>1</v>
      </c>
      <c r="H75" s="173">
        <v>1</v>
      </c>
      <c r="I75" s="173">
        <v>1</v>
      </c>
      <c r="J75" s="173">
        <v>1</v>
      </c>
      <c r="K75" s="173">
        <v>1</v>
      </c>
      <c r="L75" s="173">
        <v>1</v>
      </c>
      <c r="M75" s="173">
        <v>1</v>
      </c>
      <c r="N75" s="173">
        <v>1</v>
      </c>
      <c r="O75" s="173">
        <v>1</v>
      </c>
      <c r="P75" s="173">
        <v>1</v>
      </c>
      <c r="Q75" s="173">
        <v>1</v>
      </c>
      <c r="R75" s="173">
        <v>1</v>
      </c>
      <c r="S75" s="173">
        <v>1.02</v>
      </c>
      <c r="T75" s="173">
        <v>1</v>
      </c>
      <c r="U75" s="173">
        <v>1</v>
      </c>
      <c r="V75" s="173">
        <v>1</v>
      </c>
      <c r="W75" s="173">
        <v>1</v>
      </c>
      <c r="X75" s="173">
        <v>1</v>
      </c>
      <c r="Y75" s="173">
        <v>1.02</v>
      </c>
      <c r="Z75" s="173">
        <v>1</v>
      </c>
      <c r="AA75" s="173">
        <v>1</v>
      </c>
      <c r="AB75" s="173">
        <v>1</v>
      </c>
      <c r="AC75" s="173">
        <v>1</v>
      </c>
      <c r="AD75" s="173">
        <v>0.98</v>
      </c>
      <c r="AE75" s="173">
        <v>0.98</v>
      </c>
      <c r="AF75" s="173">
        <v>0.98</v>
      </c>
      <c r="AG75" s="173">
        <v>0.98</v>
      </c>
      <c r="AH75" s="173">
        <v>1.05</v>
      </c>
      <c r="AI75" s="173">
        <v>1</v>
      </c>
      <c r="AJ75" s="173">
        <v>1</v>
      </c>
      <c r="AK75" s="173">
        <v>1.02</v>
      </c>
      <c r="AL75">
        <v>1</v>
      </c>
      <c r="AM75">
        <v>1</v>
      </c>
      <c r="AN75">
        <v>1</v>
      </c>
      <c r="AO75">
        <v>1</v>
      </c>
    </row>
    <row r="76" spans="1:41" x14ac:dyDescent="0.25">
      <c r="A76" s="172">
        <v>38961</v>
      </c>
      <c r="B76" s="173">
        <v>1</v>
      </c>
      <c r="C76" s="173">
        <v>1</v>
      </c>
      <c r="D76" s="173">
        <v>1</v>
      </c>
      <c r="E76" s="173">
        <v>1</v>
      </c>
      <c r="F76" s="173">
        <v>1</v>
      </c>
      <c r="G76" s="173">
        <v>1</v>
      </c>
      <c r="H76" s="173">
        <v>1</v>
      </c>
      <c r="I76" s="173">
        <v>1</v>
      </c>
      <c r="J76" s="173">
        <v>1</v>
      </c>
      <c r="K76" s="173">
        <v>1</v>
      </c>
      <c r="L76" s="173">
        <v>1</v>
      </c>
      <c r="M76" s="173">
        <v>1</v>
      </c>
      <c r="N76" s="173">
        <v>1</v>
      </c>
      <c r="O76" s="173">
        <v>1</v>
      </c>
      <c r="P76" s="173">
        <v>1</v>
      </c>
      <c r="Q76" s="173">
        <v>1</v>
      </c>
      <c r="R76" s="173">
        <v>1</v>
      </c>
      <c r="S76" s="173">
        <v>1.02</v>
      </c>
      <c r="T76" s="173">
        <v>1</v>
      </c>
      <c r="U76" s="173">
        <v>1</v>
      </c>
      <c r="V76" s="173">
        <v>1</v>
      </c>
      <c r="W76" s="173">
        <v>1</v>
      </c>
      <c r="X76" s="173">
        <v>1</v>
      </c>
      <c r="Y76" s="173">
        <v>1.02</v>
      </c>
      <c r="Z76" s="173">
        <v>1</v>
      </c>
      <c r="AA76" s="173">
        <v>1</v>
      </c>
      <c r="AB76" s="173">
        <v>1</v>
      </c>
      <c r="AC76" s="173">
        <v>1</v>
      </c>
      <c r="AD76" s="173">
        <v>0.98</v>
      </c>
      <c r="AE76" s="173">
        <v>0.98</v>
      </c>
      <c r="AF76" s="173">
        <v>0.98</v>
      </c>
      <c r="AG76" s="173">
        <v>0.98</v>
      </c>
      <c r="AH76" s="173">
        <v>1.05</v>
      </c>
      <c r="AI76" s="173">
        <v>1</v>
      </c>
      <c r="AJ76" s="173">
        <v>1</v>
      </c>
      <c r="AK76" s="173">
        <v>1.02</v>
      </c>
      <c r="AL76">
        <v>1</v>
      </c>
      <c r="AM76">
        <v>1</v>
      </c>
      <c r="AN76">
        <v>1</v>
      </c>
      <c r="AO76">
        <v>1</v>
      </c>
    </row>
    <row r="77" spans="1:41" x14ac:dyDescent="0.25">
      <c r="A77" s="172">
        <v>38991</v>
      </c>
      <c r="B77" s="173">
        <v>1</v>
      </c>
      <c r="C77" s="173">
        <v>1</v>
      </c>
      <c r="D77" s="173">
        <v>1</v>
      </c>
      <c r="E77" s="173">
        <v>1</v>
      </c>
      <c r="F77" s="173">
        <v>1</v>
      </c>
      <c r="G77" s="173">
        <v>1</v>
      </c>
      <c r="H77" s="173">
        <v>1</v>
      </c>
      <c r="I77" s="173">
        <v>1</v>
      </c>
      <c r="J77" s="173">
        <v>1</v>
      </c>
      <c r="K77" s="173">
        <v>1</v>
      </c>
      <c r="L77" s="173">
        <v>1</v>
      </c>
      <c r="M77" s="173">
        <v>1</v>
      </c>
      <c r="N77" s="173">
        <v>1</v>
      </c>
      <c r="O77" s="173">
        <v>1</v>
      </c>
      <c r="P77" s="173">
        <v>1</v>
      </c>
      <c r="Q77" s="173">
        <v>1</v>
      </c>
      <c r="R77" s="173">
        <v>1</v>
      </c>
      <c r="S77" s="173">
        <v>1.02</v>
      </c>
      <c r="T77" s="173">
        <v>1</v>
      </c>
      <c r="U77" s="173">
        <v>1</v>
      </c>
      <c r="V77" s="173">
        <v>1</v>
      </c>
      <c r="W77" s="173">
        <v>1</v>
      </c>
      <c r="X77" s="173">
        <v>1</v>
      </c>
      <c r="Y77" s="173">
        <v>1.02</v>
      </c>
      <c r="Z77" s="173">
        <v>1</v>
      </c>
      <c r="AA77" s="173">
        <v>1</v>
      </c>
      <c r="AB77" s="173">
        <v>1</v>
      </c>
      <c r="AC77" s="173">
        <v>1</v>
      </c>
      <c r="AD77" s="173">
        <v>0.98</v>
      </c>
      <c r="AE77" s="173">
        <v>0.98</v>
      </c>
      <c r="AF77" s="173">
        <v>0.98</v>
      </c>
      <c r="AG77" s="173">
        <v>0.98</v>
      </c>
      <c r="AH77" s="173">
        <v>1.05</v>
      </c>
      <c r="AI77" s="173">
        <v>1</v>
      </c>
      <c r="AJ77" s="173">
        <v>1</v>
      </c>
      <c r="AK77" s="173">
        <v>1.02</v>
      </c>
      <c r="AL77">
        <v>1</v>
      </c>
      <c r="AM77">
        <v>1</v>
      </c>
      <c r="AN77">
        <v>1</v>
      </c>
      <c r="AO77">
        <v>1</v>
      </c>
    </row>
    <row r="78" spans="1:41" x14ac:dyDescent="0.25">
      <c r="A78" s="172">
        <v>39022</v>
      </c>
      <c r="B78" s="173">
        <v>1</v>
      </c>
      <c r="C78" s="173">
        <v>1</v>
      </c>
      <c r="D78" s="173">
        <v>1</v>
      </c>
      <c r="E78" s="173">
        <v>1</v>
      </c>
      <c r="F78" s="173">
        <v>1</v>
      </c>
      <c r="G78" s="173">
        <v>1</v>
      </c>
      <c r="H78" s="173">
        <v>1</v>
      </c>
      <c r="I78" s="173">
        <v>1</v>
      </c>
      <c r="J78" s="173">
        <v>1</v>
      </c>
      <c r="K78" s="173">
        <v>1</v>
      </c>
      <c r="L78" s="173">
        <v>1</v>
      </c>
      <c r="M78" s="173">
        <v>1</v>
      </c>
      <c r="N78" s="173">
        <v>1</v>
      </c>
      <c r="O78" s="173">
        <v>1</v>
      </c>
      <c r="P78" s="173">
        <v>1</v>
      </c>
      <c r="Q78" s="173">
        <v>1</v>
      </c>
      <c r="R78" s="173">
        <v>1</v>
      </c>
      <c r="S78" s="173">
        <v>1.02</v>
      </c>
      <c r="T78" s="173">
        <v>1</v>
      </c>
      <c r="U78" s="173">
        <v>1</v>
      </c>
      <c r="V78" s="173">
        <v>1</v>
      </c>
      <c r="W78" s="173">
        <v>1</v>
      </c>
      <c r="X78" s="173">
        <v>1</v>
      </c>
      <c r="Y78" s="173">
        <v>1</v>
      </c>
      <c r="Z78" s="173">
        <v>1</v>
      </c>
      <c r="AA78" s="173">
        <v>1</v>
      </c>
      <c r="AB78" s="173">
        <v>1</v>
      </c>
      <c r="AC78" s="173">
        <v>1</v>
      </c>
      <c r="AD78" s="173">
        <v>1</v>
      </c>
      <c r="AE78" s="173">
        <v>1</v>
      </c>
      <c r="AF78" s="173">
        <v>1.1000000000000001</v>
      </c>
      <c r="AG78" s="173">
        <v>1.1000000000000001</v>
      </c>
      <c r="AH78" s="173">
        <v>1.05</v>
      </c>
      <c r="AI78" s="173">
        <v>1</v>
      </c>
      <c r="AJ78" s="173">
        <v>1</v>
      </c>
      <c r="AK78" s="173">
        <v>1.02</v>
      </c>
      <c r="AL78">
        <v>1</v>
      </c>
      <c r="AM78">
        <v>1</v>
      </c>
      <c r="AN78">
        <v>1</v>
      </c>
      <c r="AO78">
        <v>1</v>
      </c>
    </row>
    <row r="79" spans="1:41" x14ac:dyDescent="0.25">
      <c r="A79" s="172">
        <v>39052</v>
      </c>
      <c r="B79" s="173">
        <v>1</v>
      </c>
      <c r="C79" s="173">
        <v>1</v>
      </c>
      <c r="D79" s="173">
        <v>1</v>
      </c>
      <c r="E79" s="173">
        <v>1</v>
      </c>
      <c r="F79" s="173">
        <v>1</v>
      </c>
      <c r="G79" s="173">
        <v>1</v>
      </c>
      <c r="H79" s="173">
        <v>1</v>
      </c>
      <c r="I79" s="173">
        <v>1</v>
      </c>
      <c r="J79" s="173">
        <v>1</v>
      </c>
      <c r="K79" s="173">
        <v>1</v>
      </c>
      <c r="L79" s="173">
        <v>1</v>
      </c>
      <c r="M79" s="173">
        <v>1</v>
      </c>
      <c r="N79" s="173">
        <v>1</v>
      </c>
      <c r="O79" s="173">
        <v>1</v>
      </c>
      <c r="P79" s="173">
        <v>1</v>
      </c>
      <c r="Q79" s="173">
        <v>1</v>
      </c>
      <c r="R79" s="173">
        <v>1</v>
      </c>
      <c r="S79" s="173">
        <v>1.02</v>
      </c>
      <c r="T79" s="173">
        <v>1</v>
      </c>
      <c r="U79" s="173">
        <v>1</v>
      </c>
      <c r="V79" s="173">
        <v>1</v>
      </c>
      <c r="W79" s="173">
        <v>1</v>
      </c>
      <c r="X79" s="173">
        <v>1</v>
      </c>
      <c r="Y79" s="173">
        <v>1</v>
      </c>
      <c r="Z79" s="173">
        <v>1</v>
      </c>
      <c r="AA79" s="173">
        <v>1</v>
      </c>
      <c r="AB79" s="173">
        <v>1</v>
      </c>
      <c r="AC79" s="173">
        <v>1</v>
      </c>
      <c r="AD79" s="173">
        <v>1</v>
      </c>
      <c r="AE79" s="173">
        <v>1</v>
      </c>
      <c r="AF79" s="173">
        <v>1.1000000000000001</v>
      </c>
      <c r="AG79" s="173">
        <v>1.1000000000000001</v>
      </c>
      <c r="AH79" s="173">
        <v>1.05</v>
      </c>
      <c r="AI79" s="173">
        <v>1</v>
      </c>
      <c r="AJ79" s="173">
        <v>1</v>
      </c>
      <c r="AK79" s="173">
        <v>1.02</v>
      </c>
      <c r="AL79">
        <v>1</v>
      </c>
      <c r="AM79">
        <v>1</v>
      </c>
      <c r="AN79">
        <v>1</v>
      </c>
      <c r="AO79">
        <v>1</v>
      </c>
    </row>
    <row r="80" spans="1:41" x14ac:dyDescent="0.25">
      <c r="A80" s="172">
        <v>39083</v>
      </c>
      <c r="B80" s="173">
        <v>1</v>
      </c>
      <c r="C80" s="173">
        <v>1</v>
      </c>
      <c r="D80" s="173">
        <v>1</v>
      </c>
      <c r="E80" s="173">
        <v>1</v>
      </c>
      <c r="F80" s="173">
        <v>1</v>
      </c>
      <c r="G80" s="173">
        <v>1</v>
      </c>
      <c r="H80" s="173">
        <v>1</v>
      </c>
      <c r="I80" s="173">
        <v>1</v>
      </c>
      <c r="J80" s="173">
        <v>1</v>
      </c>
      <c r="K80" s="173">
        <v>1</v>
      </c>
      <c r="L80" s="173">
        <v>1</v>
      </c>
      <c r="M80" s="173">
        <v>1</v>
      </c>
      <c r="N80" s="173">
        <v>1</v>
      </c>
      <c r="O80" s="173">
        <v>1</v>
      </c>
      <c r="P80" s="173">
        <v>1</v>
      </c>
      <c r="Q80" s="173">
        <v>1</v>
      </c>
      <c r="R80" s="173">
        <v>1</v>
      </c>
      <c r="S80" s="173">
        <v>1.02</v>
      </c>
      <c r="T80" s="173">
        <v>1</v>
      </c>
      <c r="U80" s="173">
        <v>1</v>
      </c>
      <c r="V80" s="173">
        <v>1</v>
      </c>
      <c r="W80" s="173">
        <v>1</v>
      </c>
      <c r="X80" s="173">
        <v>1</v>
      </c>
      <c r="Y80" s="173">
        <v>1</v>
      </c>
      <c r="Z80" s="173">
        <v>1</v>
      </c>
      <c r="AA80" s="173">
        <v>1</v>
      </c>
      <c r="AB80" s="173">
        <v>1</v>
      </c>
      <c r="AC80" s="173">
        <v>1</v>
      </c>
      <c r="AD80" s="173">
        <v>1</v>
      </c>
      <c r="AE80" s="173">
        <v>1</v>
      </c>
      <c r="AF80" s="173">
        <v>1.1000000000000001</v>
      </c>
      <c r="AG80" s="173">
        <v>1.1000000000000001</v>
      </c>
      <c r="AH80" s="173">
        <v>1.05</v>
      </c>
      <c r="AI80" s="173">
        <v>1</v>
      </c>
      <c r="AJ80" s="173">
        <v>1</v>
      </c>
      <c r="AK80" s="173">
        <v>1.02</v>
      </c>
      <c r="AL80">
        <v>1</v>
      </c>
      <c r="AM80">
        <v>1</v>
      </c>
      <c r="AN80">
        <v>1</v>
      </c>
      <c r="AO80">
        <v>1</v>
      </c>
    </row>
    <row r="81" spans="1:41" x14ac:dyDescent="0.25">
      <c r="A81" s="172">
        <v>39114</v>
      </c>
      <c r="B81" s="173">
        <v>1</v>
      </c>
      <c r="C81" s="173">
        <v>1</v>
      </c>
      <c r="D81" s="173">
        <v>1</v>
      </c>
      <c r="E81" s="173">
        <v>1</v>
      </c>
      <c r="F81" s="173">
        <v>1</v>
      </c>
      <c r="G81" s="173">
        <v>1</v>
      </c>
      <c r="H81" s="173">
        <v>1</v>
      </c>
      <c r="I81" s="173">
        <v>1</v>
      </c>
      <c r="J81" s="173">
        <v>1</v>
      </c>
      <c r="K81" s="173">
        <v>1</v>
      </c>
      <c r="L81" s="173">
        <v>1</v>
      </c>
      <c r="M81" s="173">
        <v>1</v>
      </c>
      <c r="N81" s="173">
        <v>1</v>
      </c>
      <c r="O81" s="173">
        <v>1</v>
      </c>
      <c r="P81" s="173">
        <v>1</v>
      </c>
      <c r="Q81" s="173">
        <v>1</v>
      </c>
      <c r="R81" s="173">
        <v>1</v>
      </c>
      <c r="S81" s="173">
        <v>1.02</v>
      </c>
      <c r="T81" s="173">
        <v>1</v>
      </c>
      <c r="U81" s="173">
        <v>1</v>
      </c>
      <c r="V81" s="173">
        <v>1</v>
      </c>
      <c r="W81" s="173">
        <v>1</v>
      </c>
      <c r="X81" s="173">
        <v>1</v>
      </c>
      <c r="Y81" s="173">
        <v>1</v>
      </c>
      <c r="Z81" s="173">
        <v>1</v>
      </c>
      <c r="AA81" s="173">
        <v>1</v>
      </c>
      <c r="AB81" s="173">
        <v>1</v>
      </c>
      <c r="AC81" s="173">
        <v>1</v>
      </c>
      <c r="AD81" s="173">
        <v>1</v>
      </c>
      <c r="AE81" s="173">
        <v>1</v>
      </c>
      <c r="AF81" s="173">
        <v>1.1000000000000001</v>
      </c>
      <c r="AG81" s="173">
        <v>1.1000000000000001</v>
      </c>
      <c r="AH81" s="173">
        <v>1.05</v>
      </c>
      <c r="AI81" s="173">
        <v>1</v>
      </c>
      <c r="AJ81" s="173">
        <v>1</v>
      </c>
      <c r="AK81" s="173">
        <v>1.02</v>
      </c>
      <c r="AL81">
        <v>1</v>
      </c>
      <c r="AM81">
        <v>1</v>
      </c>
      <c r="AN81">
        <v>1</v>
      </c>
      <c r="AO81">
        <v>1</v>
      </c>
    </row>
    <row r="82" spans="1:41" x14ac:dyDescent="0.25">
      <c r="A82" s="172">
        <v>39142</v>
      </c>
      <c r="B82" s="173">
        <v>1</v>
      </c>
      <c r="C82" s="173">
        <v>1</v>
      </c>
      <c r="D82" s="173">
        <v>1</v>
      </c>
      <c r="E82" s="173">
        <v>1</v>
      </c>
      <c r="F82" s="173">
        <v>1</v>
      </c>
      <c r="G82" s="173">
        <v>1</v>
      </c>
      <c r="H82" s="173">
        <v>1</v>
      </c>
      <c r="I82" s="173">
        <v>1</v>
      </c>
      <c r="J82" s="173">
        <v>1</v>
      </c>
      <c r="K82" s="173">
        <v>1</v>
      </c>
      <c r="L82" s="173">
        <v>1</v>
      </c>
      <c r="M82" s="173">
        <v>1</v>
      </c>
      <c r="N82" s="173">
        <v>1</v>
      </c>
      <c r="O82" s="173">
        <v>1</v>
      </c>
      <c r="P82" s="173">
        <v>1</v>
      </c>
      <c r="Q82" s="173">
        <v>1</v>
      </c>
      <c r="R82" s="173">
        <v>1</v>
      </c>
      <c r="S82" s="173">
        <v>1.02</v>
      </c>
      <c r="T82" s="173">
        <v>1</v>
      </c>
      <c r="U82" s="173">
        <v>1</v>
      </c>
      <c r="V82" s="173">
        <v>1</v>
      </c>
      <c r="W82" s="173">
        <v>1</v>
      </c>
      <c r="X82" s="173">
        <v>1</v>
      </c>
      <c r="Y82" s="173">
        <v>1</v>
      </c>
      <c r="Z82" s="173">
        <v>1</v>
      </c>
      <c r="AA82" s="173">
        <v>1</v>
      </c>
      <c r="AB82" s="173">
        <v>1</v>
      </c>
      <c r="AC82" s="173">
        <v>1</v>
      </c>
      <c r="AD82" s="173">
        <v>1</v>
      </c>
      <c r="AE82" s="173">
        <v>1</v>
      </c>
      <c r="AF82" s="173">
        <v>1.1000000000000001</v>
      </c>
      <c r="AG82" s="173">
        <v>1.1000000000000001</v>
      </c>
      <c r="AH82" s="173">
        <v>1.05</v>
      </c>
      <c r="AI82" s="173">
        <v>1</v>
      </c>
      <c r="AJ82" s="173">
        <v>1</v>
      </c>
      <c r="AK82" s="173">
        <v>1.02</v>
      </c>
      <c r="AL82">
        <v>1</v>
      </c>
      <c r="AM82">
        <v>1</v>
      </c>
      <c r="AN82">
        <v>1</v>
      </c>
      <c r="AO82">
        <v>1</v>
      </c>
    </row>
    <row r="83" spans="1:41" x14ac:dyDescent="0.25">
      <c r="A83" s="172">
        <v>39173</v>
      </c>
      <c r="B83" s="173">
        <v>1</v>
      </c>
      <c r="C83" s="173">
        <v>1</v>
      </c>
      <c r="D83" s="173">
        <v>1</v>
      </c>
      <c r="E83" s="173">
        <v>1</v>
      </c>
      <c r="F83" s="173">
        <v>1</v>
      </c>
      <c r="G83" s="173">
        <v>1</v>
      </c>
      <c r="H83" s="173">
        <v>1</v>
      </c>
      <c r="I83" s="173">
        <v>1</v>
      </c>
      <c r="J83" s="173">
        <v>1</v>
      </c>
      <c r="K83" s="173">
        <v>1</v>
      </c>
      <c r="L83" s="173">
        <v>1</v>
      </c>
      <c r="M83" s="173">
        <v>1</v>
      </c>
      <c r="N83" s="173">
        <v>1</v>
      </c>
      <c r="O83" s="173">
        <v>1</v>
      </c>
      <c r="P83" s="173">
        <v>1</v>
      </c>
      <c r="Q83" s="173">
        <v>1</v>
      </c>
      <c r="R83" s="173">
        <v>1</v>
      </c>
      <c r="S83" s="173">
        <v>1.02</v>
      </c>
      <c r="T83" s="173">
        <v>1</v>
      </c>
      <c r="U83" s="173">
        <v>1</v>
      </c>
      <c r="V83" s="173">
        <v>1</v>
      </c>
      <c r="W83" s="173">
        <v>1</v>
      </c>
      <c r="X83" s="173">
        <v>1</v>
      </c>
      <c r="Y83" s="173">
        <v>1.02</v>
      </c>
      <c r="Z83" s="173">
        <v>1</v>
      </c>
      <c r="AA83" s="173">
        <v>1</v>
      </c>
      <c r="AB83" s="173">
        <v>1</v>
      </c>
      <c r="AC83" s="173">
        <v>1</v>
      </c>
      <c r="AD83" s="173">
        <v>0.98</v>
      </c>
      <c r="AE83" s="173">
        <v>0.98</v>
      </c>
      <c r="AF83" s="173">
        <v>0.98</v>
      </c>
      <c r="AG83" s="173">
        <v>0.98</v>
      </c>
      <c r="AH83" s="173">
        <v>1.05</v>
      </c>
      <c r="AI83" s="173">
        <v>1</v>
      </c>
      <c r="AJ83" s="173">
        <v>1</v>
      </c>
      <c r="AK83" s="173">
        <v>1.02</v>
      </c>
      <c r="AL83">
        <v>1</v>
      </c>
      <c r="AM83">
        <v>1</v>
      </c>
      <c r="AN83">
        <v>1</v>
      </c>
      <c r="AO83">
        <v>1</v>
      </c>
    </row>
    <row r="84" spans="1:41" x14ac:dyDescent="0.25">
      <c r="A84" s="172">
        <v>39203</v>
      </c>
      <c r="B84" s="173">
        <v>1</v>
      </c>
      <c r="C84" s="173">
        <v>1</v>
      </c>
      <c r="D84" s="173">
        <v>1</v>
      </c>
      <c r="E84" s="173">
        <v>1</v>
      </c>
      <c r="F84" s="173">
        <v>1</v>
      </c>
      <c r="G84" s="173">
        <v>1</v>
      </c>
      <c r="H84" s="173">
        <v>1</v>
      </c>
      <c r="I84" s="173">
        <v>1</v>
      </c>
      <c r="J84" s="173">
        <v>1</v>
      </c>
      <c r="K84" s="173">
        <v>1</v>
      </c>
      <c r="L84" s="173">
        <v>1</v>
      </c>
      <c r="M84" s="173">
        <v>1</v>
      </c>
      <c r="N84" s="173">
        <v>1</v>
      </c>
      <c r="O84" s="173">
        <v>1</v>
      </c>
      <c r="P84" s="173">
        <v>1</v>
      </c>
      <c r="Q84" s="173">
        <v>1</v>
      </c>
      <c r="R84" s="173">
        <v>1</v>
      </c>
      <c r="S84" s="173">
        <v>1.02</v>
      </c>
      <c r="T84" s="173">
        <v>1</v>
      </c>
      <c r="U84" s="173">
        <v>1</v>
      </c>
      <c r="V84" s="173">
        <v>1</v>
      </c>
      <c r="W84" s="173">
        <v>1</v>
      </c>
      <c r="X84" s="173">
        <v>1</v>
      </c>
      <c r="Y84" s="173">
        <v>1.02</v>
      </c>
      <c r="Z84" s="173">
        <v>1</v>
      </c>
      <c r="AA84" s="173">
        <v>1</v>
      </c>
      <c r="AB84" s="173">
        <v>1</v>
      </c>
      <c r="AC84" s="173">
        <v>1</v>
      </c>
      <c r="AD84" s="173">
        <v>0.98</v>
      </c>
      <c r="AE84" s="173">
        <v>0.98</v>
      </c>
      <c r="AF84" s="173">
        <v>0.98</v>
      </c>
      <c r="AG84" s="173">
        <v>0.98</v>
      </c>
      <c r="AH84" s="173">
        <v>1.05</v>
      </c>
      <c r="AI84" s="173">
        <v>1</v>
      </c>
      <c r="AJ84" s="173">
        <v>1</v>
      </c>
      <c r="AK84" s="173">
        <v>1.02</v>
      </c>
      <c r="AL84">
        <v>1</v>
      </c>
      <c r="AM84">
        <v>1</v>
      </c>
      <c r="AN84">
        <v>1</v>
      </c>
      <c r="AO84">
        <v>1</v>
      </c>
    </row>
    <row r="85" spans="1:41" x14ac:dyDescent="0.25">
      <c r="A85" s="172">
        <v>39234</v>
      </c>
      <c r="B85" s="173">
        <v>1</v>
      </c>
      <c r="C85" s="173">
        <v>1</v>
      </c>
      <c r="D85" s="173">
        <v>1</v>
      </c>
      <c r="E85" s="173">
        <v>1</v>
      </c>
      <c r="F85" s="173">
        <v>1</v>
      </c>
      <c r="G85" s="173">
        <v>1</v>
      </c>
      <c r="H85" s="173">
        <v>1</v>
      </c>
      <c r="I85" s="173">
        <v>1</v>
      </c>
      <c r="J85" s="173">
        <v>1</v>
      </c>
      <c r="K85" s="173">
        <v>1</v>
      </c>
      <c r="L85" s="173">
        <v>1</v>
      </c>
      <c r="M85" s="173">
        <v>1</v>
      </c>
      <c r="N85" s="173">
        <v>1</v>
      </c>
      <c r="O85" s="173">
        <v>1</v>
      </c>
      <c r="P85" s="173">
        <v>1</v>
      </c>
      <c r="Q85" s="173">
        <v>1</v>
      </c>
      <c r="R85" s="173">
        <v>1</v>
      </c>
      <c r="S85" s="173">
        <v>1.02</v>
      </c>
      <c r="T85" s="173">
        <v>1</v>
      </c>
      <c r="U85" s="173">
        <v>1</v>
      </c>
      <c r="V85" s="173">
        <v>1</v>
      </c>
      <c r="W85" s="173">
        <v>1</v>
      </c>
      <c r="X85" s="173">
        <v>1</v>
      </c>
      <c r="Y85" s="173">
        <v>1.02</v>
      </c>
      <c r="Z85" s="173">
        <v>1</v>
      </c>
      <c r="AA85" s="173">
        <v>1</v>
      </c>
      <c r="AB85" s="173">
        <v>1</v>
      </c>
      <c r="AC85" s="173">
        <v>1</v>
      </c>
      <c r="AD85" s="173">
        <v>0.98</v>
      </c>
      <c r="AE85" s="173">
        <v>0.98</v>
      </c>
      <c r="AF85" s="173">
        <v>0.98</v>
      </c>
      <c r="AG85" s="173">
        <v>0.98</v>
      </c>
      <c r="AH85" s="173">
        <v>1.05</v>
      </c>
      <c r="AI85" s="173">
        <v>1</v>
      </c>
      <c r="AJ85" s="173">
        <v>1</v>
      </c>
      <c r="AK85" s="173">
        <v>1.02</v>
      </c>
      <c r="AL85">
        <v>1</v>
      </c>
      <c r="AM85">
        <v>1</v>
      </c>
      <c r="AN85">
        <v>1</v>
      </c>
      <c r="AO85">
        <v>1</v>
      </c>
    </row>
    <row r="86" spans="1:41" x14ac:dyDescent="0.25">
      <c r="A86" s="172">
        <v>39264</v>
      </c>
      <c r="B86" s="173">
        <v>1</v>
      </c>
      <c r="C86" s="173">
        <v>1</v>
      </c>
      <c r="D86" s="173">
        <v>1</v>
      </c>
      <c r="E86" s="173">
        <v>1</v>
      </c>
      <c r="F86" s="173">
        <v>1</v>
      </c>
      <c r="G86" s="173">
        <v>1</v>
      </c>
      <c r="H86" s="173">
        <v>1</v>
      </c>
      <c r="I86" s="173">
        <v>1</v>
      </c>
      <c r="J86" s="173">
        <v>1</v>
      </c>
      <c r="K86" s="173">
        <v>1</v>
      </c>
      <c r="L86" s="173">
        <v>1</v>
      </c>
      <c r="M86" s="173">
        <v>1</v>
      </c>
      <c r="N86" s="173">
        <v>1</v>
      </c>
      <c r="O86" s="173">
        <v>1</v>
      </c>
      <c r="P86" s="173">
        <v>1</v>
      </c>
      <c r="Q86" s="173">
        <v>1</v>
      </c>
      <c r="R86" s="173">
        <v>1</v>
      </c>
      <c r="S86" s="173">
        <v>1.02</v>
      </c>
      <c r="T86" s="173">
        <v>1</v>
      </c>
      <c r="U86" s="173">
        <v>1</v>
      </c>
      <c r="V86" s="173">
        <v>1</v>
      </c>
      <c r="W86" s="173">
        <v>1</v>
      </c>
      <c r="X86" s="173">
        <v>1</v>
      </c>
      <c r="Y86" s="173">
        <v>1.02</v>
      </c>
      <c r="Z86" s="173">
        <v>1</v>
      </c>
      <c r="AA86" s="173">
        <v>1</v>
      </c>
      <c r="AB86" s="173">
        <v>1</v>
      </c>
      <c r="AC86" s="173">
        <v>1</v>
      </c>
      <c r="AD86" s="173">
        <v>0.98</v>
      </c>
      <c r="AE86" s="173">
        <v>0.98</v>
      </c>
      <c r="AF86" s="173">
        <v>0.98</v>
      </c>
      <c r="AG86" s="173">
        <v>0.98</v>
      </c>
      <c r="AH86" s="173">
        <v>1.05</v>
      </c>
      <c r="AI86" s="173">
        <v>1</v>
      </c>
      <c r="AJ86" s="173">
        <v>1</v>
      </c>
      <c r="AK86" s="173">
        <v>1.02</v>
      </c>
      <c r="AL86">
        <v>1</v>
      </c>
      <c r="AM86">
        <v>1</v>
      </c>
      <c r="AN86">
        <v>1</v>
      </c>
      <c r="AO86">
        <v>1</v>
      </c>
    </row>
    <row r="87" spans="1:41" x14ac:dyDescent="0.25">
      <c r="A87" s="172">
        <v>39295</v>
      </c>
      <c r="B87" s="173">
        <v>1</v>
      </c>
      <c r="C87" s="173">
        <v>1</v>
      </c>
      <c r="D87" s="173">
        <v>1</v>
      </c>
      <c r="E87" s="173">
        <v>1</v>
      </c>
      <c r="F87" s="173">
        <v>1</v>
      </c>
      <c r="G87" s="173">
        <v>1</v>
      </c>
      <c r="H87" s="173">
        <v>1</v>
      </c>
      <c r="I87" s="173">
        <v>1</v>
      </c>
      <c r="J87" s="173">
        <v>1</v>
      </c>
      <c r="K87" s="173">
        <v>1</v>
      </c>
      <c r="L87" s="173">
        <v>1</v>
      </c>
      <c r="M87" s="173">
        <v>1</v>
      </c>
      <c r="N87" s="173">
        <v>1</v>
      </c>
      <c r="O87" s="173">
        <v>1</v>
      </c>
      <c r="P87" s="173">
        <v>1</v>
      </c>
      <c r="Q87" s="173">
        <v>1</v>
      </c>
      <c r="R87" s="173">
        <v>1</v>
      </c>
      <c r="S87" s="173">
        <v>1.02</v>
      </c>
      <c r="T87" s="173">
        <v>1</v>
      </c>
      <c r="U87" s="173">
        <v>1</v>
      </c>
      <c r="V87" s="173">
        <v>1</v>
      </c>
      <c r="W87" s="173">
        <v>1</v>
      </c>
      <c r="X87" s="173">
        <v>1</v>
      </c>
      <c r="Y87" s="173">
        <v>1.02</v>
      </c>
      <c r="Z87" s="173">
        <v>1</v>
      </c>
      <c r="AA87" s="173">
        <v>1</v>
      </c>
      <c r="AB87" s="173">
        <v>1</v>
      </c>
      <c r="AC87" s="173">
        <v>1</v>
      </c>
      <c r="AD87" s="173">
        <v>0.98</v>
      </c>
      <c r="AE87" s="173">
        <v>0.98</v>
      </c>
      <c r="AF87" s="173">
        <v>0.98</v>
      </c>
      <c r="AG87" s="173">
        <v>0.98</v>
      </c>
      <c r="AH87" s="173">
        <v>1.05</v>
      </c>
      <c r="AI87" s="173">
        <v>1</v>
      </c>
      <c r="AJ87" s="173">
        <v>1</v>
      </c>
      <c r="AK87" s="173">
        <v>1.02</v>
      </c>
      <c r="AL87">
        <v>1</v>
      </c>
      <c r="AM87">
        <v>1</v>
      </c>
      <c r="AN87">
        <v>1</v>
      </c>
      <c r="AO87">
        <v>1</v>
      </c>
    </row>
    <row r="88" spans="1:41" x14ac:dyDescent="0.25">
      <c r="A88" s="172">
        <v>39326</v>
      </c>
      <c r="B88" s="173">
        <v>1</v>
      </c>
      <c r="C88" s="173">
        <v>1</v>
      </c>
      <c r="D88" s="173">
        <v>1</v>
      </c>
      <c r="E88" s="173">
        <v>1</v>
      </c>
      <c r="F88" s="173">
        <v>1</v>
      </c>
      <c r="G88" s="173">
        <v>1</v>
      </c>
      <c r="H88" s="173">
        <v>1</v>
      </c>
      <c r="I88" s="173">
        <v>1</v>
      </c>
      <c r="J88" s="173">
        <v>1</v>
      </c>
      <c r="K88" s="173">
        <v>1</v>
      </c>
      <c r="L88" s="173">
        <v>1</v>
      </c>
      <c r="M88" s="173">
        <v>1</v>
      </c>
      <c r="N88" s="173">
        <v>1</v>
      </c>
      <c r="O88" s="173">
        <v>1</v>
      </c>
      <c r="P88" s="173">
        <v>1</v>
      </c>
      <c r="Q88" s="173">
        <v>1</v>
      </c>
      <c r="R88" s="173">
        <v>1</v>
      </c>
      <c r="S88" s="173">
        <v>1.02</v>
      </c>
      <c r="T88" s="173">
        <v>1</v>
      </c>
      <c r="U88" s="173">
        <v>1</v>
      </c>
      <c r="V88" s="173">
        <v>1</v>
      </c>
      <c r="W88" s="173">
        <v>1</v>
      </c>
      <c r="X88" s="173">
        <v>1</v>
      </c>
      <c r="Y88" s="173">
        <v>1.02</v>
      </c>
      <c r="Z88" s="173">
        <v>1</v>
      </c>
      <c r="AA88" s="173">
        <v>1</v>
      </c>
      <c r="AB88" s="173">
        <v>1</v>
      </c>
      <c r="AC88" s="173">
        <v>1</v>
      </c>
      <c r="AD88" s="173">
        <v>0.98</v>
      </c>
      <c r="AE88" s="173">
        <v>0.98</v>
      </c>
      <c r="AF88" s="173">
        <v>0.98</v>
      </c>
      <c r="AG88" s="173">
        <v>0.98</v>
      </c>
      <c r="AH88" s="173">
        <v>1.05</v>
      </c>
      <c r="AI88" s="173">
        <v>1</v>
      </c>
      <c r="AJ88" s="173">
        <v>1</v>
      </c>
      <c r="AK88" s="173">
        <v>1.02</v>
      </c>
      <c r="AL88">
        <v>1</v>
      </c>
      <c r="AM88">
        <v>1</v>
      </c>
      <c r="AN88">
        <v>1</v>
      </c>
      <c r="AO88">
        <v>1</v>
      </c>
    </row>
    <row r="89" spans="1:41" x14ac:dyDescent="0.25">
      <c r="A89" s="172">
        <v>39356</v>
      </c>
      <c r="B89" s="173">
        <v>1</v>
      </c>
      <c r="C89" s="173">
        <v>1</v>
      </c>
      <c r="D89" s="173">
        <v>1</v>
      </c>
      <c r="E89" s="173">
        <v>1</v>
      </c>
      <c r="F89" s="173">
        <v>1</v>
      </c>
      <c r="G89" s="173">
        <v>1</v>
      </c>
      <c r="H89" s="173">
        <v>1</v>
      </c>
      <c r="I89" s="173">
        <v>1</v>
      </c>
      <c r="J89" s="173">
        <v>1</v>
      </c>
      <c r="K89" s="173">
        <v>1</v>
      </c>
      <c r="L89" s="173">
        <v>1</v>
      </c>
      <c r="M89" s="173">
        <v>1</v>
      </c>
      <c r="N89" s="173">
        <v>1</v>
      </c>
      <c r="O89" s="173">
        <v>1</v>
      </c>
      <c r="P89" s="173">
        <v>1</v>
      </c>
      <c r="Q89" s="173">
        <v>1</v>
      </c>
      <c r="R89" s="173">
        <v>1</v>
      </c>
      <c r="S89" s="173">
        <v>1.02</v>
      </c>
      <c r="T89" s="173">
        <v>1</v>
      </c>
      <c r="U89" s="173">
        <v>1</v>
      </c>
      <c r="V89" s="173">
        <v>1</v>
      </c>
      <c r="W89" s="173">
        <v>1</v>
      </c>
      <c r="X89" s="173">
        <v>1</v>
      </c>
      <c r="Y89" s="173">
        <v>1.02</v>
      </c>
      <c r="Z89" s="173">
        <v>1</v>
      </c>
      <c r="AA89" s="173">
        <v>1</v>
      </c>
      <c r="AB89" s="173">
        <v>1</v>
      </c>
      <c r="AC89" s="173">
        <v>1</v>
      </c>
      <c r="AD89" s="173">
        <v>0.98</v>
      </c>
      <c r="AE89" s="173">
        <v>0.98</v>
      </c>
      <c r="AF89" s="173">
        <v>0.98</v>
      </c>
      <c r="AG89" s="173">
        <v>0.98</v>
      </c>
      <c r="AH89" s="173">
        <v>1.05</v>
      </c>
      <c r="AI89" s="173">
        <v>1</v>
      </c>
      <c r="AJ89" s="173">
        <v>1</v>
      </c>
      <c r="AK89" s="173">
        <v>1.02</v>
      </c>
      <c r="AL89">
        <v>1</v>
      </c>
      <c r="AM89">
        <v>1</v>
      </c>
      <c r="AN89">
        <v>1</v>
      </c>
      <c r="AO89">
        <v>1</v>
      </c>
    </row>
    <row r="90" spans="1:41" x14ac:dyDescent="0.25">
      <c r="A90" s="172">
        <v>39387</v>
      </c>
      <c r="B90" s="173">
        <v>1</v>
      </c>
      <c r="C90" s="173">
        <v>1</v>
      </c>
      <c r="D90" s="173">
        <v>1</v>
      </c>
      <c r="E90" s="173">
        <v>1</v>
      </c>
      <c r="F90" s="173">
        <v>1</v>
      </c>
      <c r="G90" s="173">
        <v>1</v>
      </c>
      <c r="H90" s="173">
        <v>1</v>
      </c>
      <c r="I90" s="173">
        <v>1</v>
      </c>
      <c r="J90" s="173">
        <v>1</v>
      </c>
      <c r="K90" s="173">
        <v>1</v>
      </c>
      <c r="L90" s="173">
        <v>1</v>
      </c>
      <c r="M90" s="173">
        <v>1</v>
      </c>
      <c r="N90" s="173">
        <v>1</v>
      </c>
      <c r="O90" s="173">
        <v>1</v>
      </c>
      <c r="P90" s="173">
        <v>1</v>
      </c>
      <c r="Q90" s="173">
        <v>1</v>
      </c>
      <c r="R90" s="173">
        <v>1</v>
      </c>
      <c r="S90" s="173">
        <v>1.02</v>
      </c>
      <c r="T90" s="173">
        <v>1</v>
      </c>
      <c r="U90" s="173">
        <v>1</v>
      </c>
      <c r="V90" s="173">
        <v>1</v>
      </c>
      <c r="W90" s="173">
        <v>1</v>
      </c>
      <c r="X90" s="173">
        <v>1</v>
      </c>
      <c r="Y90" s="173">
        <v>1</v>
      </c>
      <c r="Z90" s="173">
        <v>1</v>
      </c>
      <c r="AA90" s="173">
        <v>1</v>
      </c>
      <c r="AB90" s="173">
        <v>1</v>
      </c>
      <c r="AC90" s="173">
        <v>1</v>
      </c>
      <c r="AD90" s="173">
        <v>1</v>
      </c>
      <c r="AE90" s="173">
        <v>1</v>
      </c>
      <c r="AF90" s="173">
        <v>1.1000000000000001</v>
      </c>
      <c r="AG90" s="173">
        <v>1.1000000000000001</v>
      </c>
      <c r="AH90" s="173">
        <v>1.05</v>
      </c>
      <c r="AI90" s="173">
        <v>1</v>
      </c>
      <c r="AJ90" s="173">
        <v>1</v>
      </c>
      <c r="AK90" s="173">
        <v>1.02</v>
      </c>
      <c r="AL90">
        <v>1</v>
      </c>
      <c r="AM90">
        <v>1</v>
      </c>
      <c r="AN90">
        <v>1</v>
      </c>
      <c r="AO90">
        <v>1</v>
      </c>
    </row>
    <row r="91" spans="1:41" x14ac:dyDescent="0.25">
      <c r="A91" s="172">
        <v>39417</v>
      </c>
      <c r="B91" s="173">
        <v>1</v>
      </c>
      <c r="C91" s="173">
        <v>1</v>
      </c>
      <c r="D91" s="173">
        <v>1</v>
      </c>
      <c r="E91" s="173">
        <v>1</v>
      </c>
      <c r="F91" s="173">
        <v>1</v>
      </c>
      <c r="G91" s="173">
        <v>1</v>
      </c>
      <c r="H91" s="173">
        <v>1</v>
      </c>
      <c r="I91" s="173">
        <v>1</v>
      </c>
      <c r="J91" s="173">
        <v>1</v>
      </c>
      <c r="K91" s="173">
        <v>1</v>
      </c>
      <c r="L91" s="173">
        <v>1</v>
      </c>
      <c r="M91" s="173">
        <v>1</v>
      </c>
      <c r="N91" s="173">
        <v>1</v>
      </c>
      <c r="O91" s="173">
        <v>1</v>
      </c>
      <c r="P91" s="173">
        <v>1</v>
      </c>
      <c r="Q91" s="173">
        <v>1</v>
      </c>
      <c r="R91" s="173">
        <v>1</v>
      </c>
      <c r="S91" s="173">
        <v>1.02</v>
      </c>
      <c r="T91" s="173">
        <v>1</v>
      </c>
      <c r="U91" s="173">
        <v>1</v>
      </c>
      <c r="V91" s="173">
        <v>1</v>
      </c>
      <c r="W91" s="173">
        <v>1</v>
      </c>
      <c r="X91" s="173">
        <v>1</v>
      </c>
      <c r="Y91" s="173">
        <v>1</v>
      </c>
      <c r="Z91" s="173">
        <v>1</v>
      </c>
      <c r="AA91" s="173">
        <v>1</v>
      </c>
      <c r="AB91" s="173">
        <v>1</v>
      </c>
      <c r="AC91" s="173">
        <v>1</v>
      </c>
      <c r="AD91" s="173">
        <v>1</v>
      </c>
      <c r="AE91" s="173">
        <v>1</v>
      </c>
      <c r="AF91" s="173">
        <v>1.1000000000000001</v>
      </c>
      <c r="AG91" s="173">
        <v>1.1000000000000001</v>
      </c>
      <c r="AH91" s="173">
        <v>1.05</v>
      </c>
      <c r="AI91" s="173">
        <v>1</v>
      </c>
      <c r="AJ91" s="173">
        <v>1</v>
      </c>
      <c r="AK91" s="173">
        <v>1.02</v>
      </c>
      <c r="AL91">
        <v>1</v>
      </c>
      <c r="AM91">
        <v>1</v>
      </c>
      <c r="AN91">
        <v>1</v>
      </c>
      <c r="AO91">
        <v>1</v>
      </c>
    </row>
    <row r="92" spans="1:41" x14ac:dyDescent="0.25">
      <c r="A92" s="172">
        <v>39448</v>
      </c>
      <c r="B92" s="173">
        <v>1</v>
      </c>
      <c r="C92" s="173">
        <v>1</v>
      </c>
      <c r="D92" s="173">
        <v>1</v>
      </c>
      <c r="E92" s="173">
        <v>1</v>
      </c>
      <c r="F92" s="173">
        <v>1</v>
      </c>
      <c r="G92" s="173">
        <v>1</v>
      </c>
      <c r="H92" s="173">
        <v>1</v>
      </c>
      <c r="I92" s="173">
        <v>1</v>
      </c>
      <c r="J92" s="173">
        <v>1</v>
      </c>
      <c r="K92" s="173">
        <v>1</v>
      </c>
      <c r="L92" s="173">
        <v>1</v>
      </c>
      <c r="M92" s="173">
        <v>1</v>
      </c>
      <c r="N92" s="173">
        <v>1</v>
      </c>
      <c r="O92" s="173">
        <v>1</v>
      </c>
      <c r="P92" s="173">
        <v>1</v>
      </c>
      <c r="Q92" s="173">
        <v>1</v>
      </c>
      <c r="R92" s="173">
        <v>1</v>
      </c>
      <c r="S92" s="173">
        <v>1.02</v>
      </c>
      <c r="T92" s="173">
        <v>1</v>
      </c>
      <c r="U92" s="173">
        <v>1</v>
      </c>
      <c r="V92" s="173">
        <v>1</v>
      </c>
      <c r="W92" s="173">
        <v>1</v>
      </c>
      <c r="X92" s="173">
        <v>1</v>
      </c>
      <c r="Y92" s="173">
        <v>1</v>
      </c>
      <c r="Z92" s="173">
        <v>1</v>
      </c>
      <c r="AA92" s="173">
        <v>1</v>
      </c>
      <c r="AB92" s="173">
        <v>1</v>
      </c>
      <c r="AC92" s="173">
        <v>1</v>
      </c>
      <c r="AD92" s="173">
        <v>1</v>
      </c>
      <c r="AE92" s="173">
        <v>1</v>
      </c>
      <c r="AF92" s="173">
        <v>1.1000000000000001</v>
      </c>
      <c r="AG92" s="173">
        <v>1.1000000000000001</v>
      </c>
      <c r="AH92" s="173">
        <v>1.05</v>
      </c>
      <c r="AI92" s="173">
        <v>1</v>
      </c>
      <c r="AJ92" s="173">
        <v>1</v>
      </c>
      <c r="AK92" s="173">
        <v>1.02</v>
      </c>
      <c r="AL92">
        <v>1</v>
      </c>
      <c r="AM92">
        <v>1</v>
      </c>
      <c r="AN92">
        <v>1</v>
      </c>
      <c r="AO92">
        <v>1</v>
      </c>
    </row>
    <row r="93" spans="1:41" x14ac:dyDescent="0.25">
      <c r="A93" s="172">
        <v>39479</v>
      </c>
      <c r="B93" s="173">
        <v>1</v>
      </c>
      <c r="C93" s="173">
        <v>1</v>
      </c>
      <c r="D93" s="173">
        <v>1</v>
      </c>
      <c r="E93" s="173">
        <v>1</v>
      </c>
      <c r="F93" s="173">
        <v>1</v>
      </c>
      <c r="G93" s="173">
        <v>1</v>
      </c>
      <c r="H93" s="173">
        <v>1</v>
      </c>
      <c r="I93" s="173">
        <v>1</v>
      </c>
      <c r="J93" s="173">
        <v>1</v>
      </c>
      <c r="K93" s="173">
        <v>1</v>
      </c>
      <c r="L93" s="173">
        <v>1</v>
      </c>
      <c r="M93" s="173">
        <v>1</v>
      </c>
      <c r="N93" s="173">
        <v>1</v>
      </c>
      <c r="O93" s="173">
        <v>1</v>
      </c>
      <c r="P93" s="173">
        <v>1</v>
      </c>
      <c r="Q93" s="173">
        <v>1</v>
      </c>
      <c r="R93" s="173">
        <v>1</v>
      </c>
      <c r="S93" s="173">
        <v>1.02</v>
      </c>
      <c r="T93" s="173">
        <v>1</v>
      </c>
      <c r="U93" s="173">
        <v>1</v>
      </c>
      <c r="V93" s="173">
        <v>1</v>
      </c>
      <c r="W93" s="173">
        <v>1</v>
      </c>
      <c r="X93" s="173">
        <v>1</v>
      </c>
      <c r="Y93" s="173">
        <v>1</v>
      </c>
      <c r="Z93" s="173">
        <v>1</v>
      </c>
      <c r="AA93" s="173">
        <v>1</v>
      </c>
      <c r="AB93" s="173">
        <v>1</v>
      </c>
      <c r="AC93" s="173">
        <v>1</v>
      </c>
      <c r="AD93" s="173">
        <v>1</v>
      </c>
      <c r="AE93" s="173">
        <v>1</v>
      </c>
      <c r="AF93" s="173">
        <v>1.1000000000000001</v>
      </c>
      <c r="AG93" s="173">
        <v>1.1000000000000001</v>
      </c>
      <c r="AH93" s="173">
        <v>1.05</v>
      </c>
      <c r="AI93" s="173">
        <v>1</v>
      </c>
      <c r="AJ93" s="173">
        <v>1</v>
      </c>
      <c r="AK93" s="173">
        <v>1.02</v>
      </c>
      <c r="AL93">
        <v>1</v>
      </c>
      <c r="AM93">
        <v>1</v>
      </c>
      <c r="AN93">
        <v>1</v>
      </c>
      <c r="AO93">
        <v>1</v>
      </c>
    </row>
    <row r="94" spans="1:41" x14ac:dyDescent="0.25">
      <c r="A94" s="172">
        <v>39508</v>
      </c>
      <c r="B94" s="173">
        <v>1</v>
      </c>
      <c r="C94" s="173">
        <v>1</v>
      </c>
      <c r="D94" s="173">
        <v>1</v>
      </c>
      <c r="E94" s="173">
        <v>1</v>
      </c>
      <c r="F94" s="173">
        <v>1</v>
      </c>
      <c r="G94" s="173">
        <v>1</v>
      </c>
      <c r="H94" s="173">
        <v>1</v>
      </c>
      <c r="I94" s="173">
        <v>1</v>
      </c>
      <c r="J94" s="173">
        <v>1</v>
      </c>
      <c r="K94" s="173">
        <v>1</v>
      </c>
      <c r="L94" s="173">
        <v>1</v>
      </c>
      <c r="M94" s="173">
        <v>1</v>
      </c>
      <c r="N94" s="173">
        <v>1</v>
      </c>
      <c r="O94" s="173">
        <v>1</v>
      </c>
      <c r="P94" s="173">
        <v>1</v>
      </c>
      <c r="Q94" s="173">
        <v>1</v>
      </c>
      <c r="R94" s="173">
        <v>1</v>
      </c>
      <c r="S94" s="173">
        <v>1.02</v>
      </c>
      <c r="T94" s="173">
        <v>1</v>
      </c>
      <c r="U94" s="173">
        <v>1</v>
      </c>
      <c r="V94" s="173">
        <v>1</v>
      </c>
      <c r="W94" s="173">
        <v>1</v>
      </c>
      <c r="X94" s="173">
        <v>1</v>
      </c>
      <c r="Y94" s="173">
        <v>1</v>
      </c>
      <c r="Z94" s="173">
        <v>1</v>
      </c>
      <c r="AA94" s="173">
        <v>1</v>
      </c>
      <c r="AB94" s="173">
        <v>1</v>
      </c>
      <c r="AC94" s="173">
        <v>1</v>
      </c>
      <c r="AD94" s="173">
        <v>1</v>
      </c>
      <c r="AE94" s="173">
        <v>1</v>
      </c>
      <c r="AF94" s="173">
        <v>1.1000000000000001</v>
      </c>
      <c r="AG94" s="173">
        <v>1.1000000000000001</v>
      </c>
      <c r="AH94" s="173">
        <v>1.05</v>
      </c>
      <c r="AI94" s="173">
        <v>1</v>
      </c>
      <c r="AJ94" s="173">
        <v>1</v>
      </c>
      <c r="AK94" s="173">
        <v>1.02</v>
      </c>
      <c r="AL94">
        <v>1</v>
      </c>
      <c r="AM94">
        <v>1</v>
      </c>
      <c r="AN94">
        <v>1</v>
      </c>
      <c r="AO94">
        <v>1</v>
      </c>
    </row>
    <row r="95" spans="1:41" x14ac:dyDescent="0.25">
      <c r="A95" s="172">
        <v>39539</v>
      </c>
      <c r="B95" s="173">
        <v>1</v>
      </c>
      <c r="C95" s="173">
        <v>1</v>
      </c>
      <c r="D95" s="173">
        <v>1</v>
      </c>
      <c r="E95" s="173">
        <v>1</v>
      </c>
      <c r="F95" s="173">
        <v>1</v>
      </c>
      <c r="G95" s="173">
        <v>1</v>
      </c>
      <c r="H95" s="173">
        <v>1</v>
      </c>
      <c r="I95" s="173">
        <v>1</v>
      </c>
      <c r="J95" s="173">
        <v>1</v>
      </c>
      <c r="K95" s="173">
        <v>1</v>
      </c>
      <c r="L95" s="173">
        <v>1</v>
      </c>
      <c r="M95" s="173">
        <v>1</v>
      </c>
      <c r="N95" s="173">
        <v>1</v>
      </c>
      <c r="O95" s="173">
        <v>1</v>
      </c>
      <c r="P95" s="173">
        <v>1</v>
      </c>
      <c r="Q95" s="173">
        <v>1</v>
      </c>
      <c r="R95" s="173">
        <v>1</v>
      </c>
      <c r="S95" s="173">
        <v>1.02</v>
      </c>
      <c r="T95" s="173">
        <v>1</v>
      </c>
      <c r="U95" s="173">
        <v>1</v>
      </c>
      <c r="V95" s="173">
        <v>1</v>
      </c>
      <c r="W95" s="173">
        <v>1</v>
      </c>
      <c r="X95" s="173">
        <v>1</v>
      </c>
      <c r="Y95" s="173">
        <v>1.02</v>
      </c>
      <c r="Z95" s="173">
        <v>1</v>
      </c>
      <c r="AA95" s="173">
        <v>1</v>
      </c>
      <c r="AB95" s="173">
        <v>1</v>
      </c>
      <c r="AC95" s="173">
        <v>1</v>
      </c>
      <c r="AD95" s="173">
        <v>0.98</v>
      </c>
      <c r="AE95" s="173">
        <v>0.98</v>
      </c>
      <c r="AF95" s="173">
        <v>0.98</v>
      </c>
      <c r="AG95" s="173">
        <v>0.98</v>
      </c>
      <c r="AH95" s="173">
        <v>1.05</v>
      </c>
      <c r="AI95" s="173">
        <v>1</v>
      </c>
      <c r="AJ95" s="173">
        <v>1</v>
      </c>
      <c r="AK95" s="173">
        <v>1.02</v>
      </c>
      <c r="AL95">
        <v>1</v>
      </c>
      <c r="AM95">
        <v>1</v>
      </c>
      <c r="AN95">
        <v>1</v>
      </c>
      <c r="AO95">
        <v>1</v>
      </c>
    </row>
    <row r="96" spans="1:41" x14ac:dyDescent="0.25">
      <c r="A96" s="172">
        <v>39569</v>
      </c>
      <c r="B96" s="173">
        <v>1</v>
      </c>
      <c r="C96" s="173">
        <v>1</v>
      </c>
      <c r="D96" s="173">
        <v>1</v>
      </c>
      <c r="E96" s="173">
        <v>1</v>
      </c>
      <c r="F96" s="173">
        <v>1</v>
      </c>
      <c r="G96" s="173">
        <v>1</v>
      </c>
      <c r="H96" s="173">
        <v>1</v>
      </c>
      <c r="I96" s="173">
        <v>1</v>
      </c>
      <c r="J96" s="173">
        <v>1</v>
      </c>
      <c r="K96" s="173">
        <v>1</v>
      </c>
      <c r="L96" s="173">
        <v>1</v>
      </c>
      <c r="M96" s="173">
        <v>1</v>
      </c>
      <c r="N96" s="173">
        <v>1</v>
      </c>
      <c r="O96" s="173">
        <v>1</v>
      </c>
      <c r="P96" s="173">
        <v>1</v>
      </c>
      <c r="Q96" s="173">
        <v>1</v>
      </c>
      <c r="R96" s="173">
        <v>1</v>
      </c>
      <c r="S96" s="173">
        <v>1.02</v>
      </c>
      <c r="T96" s="173">
        <v>1</v>
      </c>
      <c r="U96" s="173">
        <v>1</v>
      </c>
      <c r="V96" s="173">
        <v>1</v>
      </c>
      <c r="W96" s="173">
        <v>1</v>
      </c>
      <c r="X96" s="173">
        <v>1</v>
      </c>
      <c r="Y96" s="173">
        <v>1.02</v>
      </c>
      <c r="Z96" s="173">
        <v>1</v>
      </c>
      <c r="AA96" s="173">
        <v>1</v>
      </c>
      <c r="AB96" s="173">
        <v>1</v>
      </c>
      <c r="AC96" s="173">
        <v>1</v>
      </c>
      <c r="AD96" s="173">
        <v>0.98</v>
      </c>
      <c r="AE96" s="173">
        <v>0.98</v>
      </c>
      <c r="AF96" s="173">
        <v>0.98</v>
      </c>
      <c r="AG96" s="173">
        <v>0.98</v>
      </c>
      <c r="AH96" s="173">
        <v>1.05</v>
      </c>
      <c r="AI96" s="173">
        <v>1</v>
      </c>
      <c r="AJ96" s="173">
        <v>1</v>
      </c>
      <c r="AK96" s="173">
        <v>1.02</v>
      </c>
      <c r="AL96">
        <v>1</v>
      </c>
      <c r="AM96">
        <v>1</v>
      </c>
      <c r="AN96">
        <v>1</v>
      </c>
      <c r="AO96">
        <v>1</v>
      </c>
    </row>
    <row r="97" spans="1:41" x14ac:dyDescent="0.25">
      <c r="A97" s="172">
        <v>39600</v>
      </c>
      <c r="B97" s="173">
        <v>1</v>
      </c>
      <c r="C97" s="173">
        <v>1</v>
      </c>
      <c r="D97" s="173">
        <v>1</v>
      </c>
      <c r="E97" s="173">
        <v>1</v>
      </c>
      <c r="F97" s="173">
        <v>1</v>
      </c>
      <c r="G97" s="173">
        <v>1</v>
      </c>
      <c r="H97" s="173">
        <v>1</v>
      </c>
      <c r="I97" s="173">
        <v>1</v>
      </c>
      <c r="J97" s="173">
        <v>1</v>
      </c>
      <c r="K97" s="173">
        <v>1</v>
      </c>
      <c r="L97" s="173">
        <v>1</v>
      </c>
      <c r="M97" s="173">
        <v>1</v>
      </c>
      <c r="N97" s="173">
        <v>1</v>
      </c>
      <c r="O97" s="173">
        <v>1</v>
      </c>
      <c r="P97" s="173">
        <v>1</v>
      </c>
      <c r="Q97" s="173">
        <v>1</v>
      </c>
      <c r="R97" s="173">
        <v>1</v>
      </c>
      <c r="S97" s="173">
        <v>1.02</v>
      </c>
      <c r="T97" s="173">
        <v>1</v>
      </c>
      <c r="U97" s="173">
        <v>1</v>
      </c>
      <c r="V97" s="173">
        <v>1</v>
      </c>
      <c r="W97" s="173">
        <v>1</v>
      </c>
      <c r="X97" s="173">
        <v>1</v>
      </c>
      <c r="Y97" s="173">
        <v>1.02</v>
      </c>
      <c r="Z97" s="173">
        <v>1</v>
      </c>
      <c r="AA97" s="173">
        <v>1</v>
      </c>
      <c r="AB97" s="173">
        <v>1</v>
      </c>
      <c r="AC97" s="173">
        <v>1</v>
      </c>
      <c r="AD97" s="173">
        <v>0.98</v>
      </c>
      <c r="AE97" s="173">
        <v>0.98</v>
      </c>
      <c r="AF97" s="173">
        <v>0.98</v>
      </c>
      <c r="AG97" s="173">
        <v>0.98</v>
      </c>
      <c r="AH97" s="173">
        <v>1.05</v>
      </c>
      <c r="AI97" s="173">
        <v>1</v>
      </c>
      <c r="AJ97" s="173">
        <v>1</v>
      </c>
      <c r="AK97" s="173">
        <v>1.02</v>
      </c>
      <c r="AL97">
        <v>1</v>
      </c>
      <c r="AM97">
        <v>1</v>
      </c>
      <c r="AN97">
        <v>1</v>
      </c>
      <c r="AO97">
        <v>1</v>
      </c>
    </row>
    <row r="98" spans="1:41" x14ac:dyDescent="0.25">
      <c r="A98" s="172">
        <v>39630</v>
      </c>
      <c r="B98" s="173">
        <v>1</v>
      </c>
      <c r="C98" s="173">
        <v>1</v>
      </c>
      <c r="D98" s="173">
        <v>1</v>
      </c>
      <c r="E98" s="173">
        <v>1</v>
      </c>
      <c r="F98" s="173">
        <v>1</v>
      </c>
      <c r="G98" s="173">
        <v>1</v>
      </c>
      <c r="H98" s="173">
        <v>1</v>
      </c>
      <c r="I98" s="173">
        <v>1</v>
      </c>
      <c r="J98" s="173">
        <v>1</v>
      </c>
      <c r="K98" s="173">
        <v>1</v>
      </c>
      <c r="L98" s="173">
        <v>1</v>
      </c>
      <c r="M98" s="173">
        <v>1</v>
      </c>
      <c r="N98" s="173">
        <v>1</v>
      </c>
      <c r="O98" s="173">
        <v>1</v>
      </c>
      <c r="P98" s="173">
        <v>1</v>
      </c>
      <c r="Q98" s="173">
        <v>1</v>
      </c>
      <c r="R98" s="173">
        <v>1</v>
      </c>
      <c r="S98" s="173">
        <v>1.02</v>
      </c>
      <c r="T98" s="173">
        <v>1</v>
      </c>
      <c r="U98" s="173">
        <v>1</v>
      </c>
      <c r="V98" s="173">
        <v>1</v>
      </c>
      <c r="W98" s="173">
        <v>1</v>
      </c>
      <c r="X98" s="173">
        <v>1</v>
      </c>
      <c r="Y98" s="173">
        <v>1.02</v>
      </c>
      <c r="Z98" s="173">
        <v>1</v>
      </c>
      <c r="AA98" s="173">
        <v>1</v>
      </c>
      <c r="AB98" s="173">
        <v>1</v>
      </c>
      <c r="AC98" s="173">
        <v>1</v>
      </c>
      <c r="AD98" s="173">
        <v>0.98</v>
      </c>
      <c r="AE98" s="173">
        <v>0.98</v>
      </c>
      <c r="AF98" s="173">
        <v>0.98</v>
      </c>
      <c r="AG98" s="173">
        <v>0.98</v>
      </c>
      <c r="AH98" s="173">
        <v>1.05</v>
      </c>
      <c r="AI98" s="173">
        <v>1</v>
      </c>
      <c r="AJ98" s="173">
        <v>1</v>
      </c>
      <c r="AK98" s="173">
        <v>1.02</v>
      </c>
      <c r="AL98">
        <v>1</v>
      </c>
      <c r="AM98">
        <v>1</v>
      </c>
      <c r="AN98">
        <v>1</v>
      </c>
      <c r="AO98">
        <v>1</v>
      </c>
    </row>
    <row r="99" spans="1:41" x14ac:dyDescent="0.25">
      <c r="A99" s="172">
        <v>39661</v>
      </c>
      <c r="B99" s="173">
        <v>1</v>
      </c>
      <c r="C99" s="173">
        <v>1</v>
      </c>
      <c r="D99" s="173">
        <v>1</v>
      </c>
      <c r="E99" s="173">
        <v>1</v>
      </c>
      <c r="F99" s="173">
        <v>1</v>
      </c>
      <c r="G99" s="173">
        <v>1</v>
      </c>
      <c r="H99" s="173">
        <v>1</v>
      </c>
      <c r="I99" s="173">
        <v>1</v>
      </c>
      <c r="J99" s="173">
        <v>1</v>
      </c>
      <c r="K99" s="173">
        <v>1</v>
      </c>
      <c r="L99" s="173">
        <v>1</v>
      </c>
      <c r="M99" s="173">
        <v>1</v>
      </c>
      <c r="N99" s="173">
        <v>1</v>
      </c>
      <c r="O99" s="173">
        <v>1</v>
      </c>
      <c r="P99" s="173">
        <v>1</v>
      </c>
      <c r="Q99" s="173">
        <v>1</v>
      </c>
      <c r="R99" s="173">
        <v>1</v>
      </c>
      <c r="S99" s="173">
        <v>1.02</v>
      </c>
      <c r="T99" s="173">
        <v>1</v>
      </c>
      <c r="U99" s="173">
        <v>1</v>
      </c>
      <c r="V99" s="173">
        <v>1</v>
      </c>
      <c r="W99" s="173">
        <v>1</v>
      </c>
      <c r="X99" s="173">
        <v>1</v>
      </c>
      <c r="Y99" s="173">
        <v>1.02</v>
      </c>
      <c r="Z99" s="173">
        <v>1</v>
      </c>
      <c r="AA99" s="173">
        <v>1</v>
      </c>
      <c r="AB99" s="173">
        <v>1</v>
      </c>
      <c r="AC99" s="173">
        <v>1</v>
      </c>
      <c r="AD99" s="173">
        <v>0.98</v>
      </c>
      <c r="AE99" s="173">
        <v>0.98</v>
      </c>
      <c r="AF99" s="173">
        <v>0.98</v>
      </c>
      <c r="AG99" s="173">
        <v>0.98</v>
      </c>
      <c r="AH99" s="173">
        <v>1.05</v>
      </c>
      <c r="AI99" s="173">
        <v>1</v>
      </c>
      <c r="AJ99" s="173">
        <v>1</v>
      </c>
      <c r="AK99" s="173">
        <v>1.02</v>
      </c>
      <c r="AL99">
        <v>1</v>
      </c>
      <c r="AM99">
        <v>1</v>
      </c>
      <c r="AN99">
        <v>1</v>
      </c>
      <c r="AO99">
        <v>1</v>
      </c>
    </row>
    <row r="100" spans="1:41" x14ac:dyDescent="0.25">
      <c r="A100" s="172">
        <v>39692</v>
      </c>
      <c r="B100" s="173">
        <v>1</v>
      </c>
      <c r="C100" s="173">
        <v>1</v>
      </c>
      <c r="D100" s="173">
        <v>1</v>
      </c>
      <c r="E100" s="173">
        <v>1</v>
      </c>
      <c r="F100" s="173">
        <v>1</v>
      </c>
      <c r="G100" s="173">
        <v>1</v>
      </c>
      <c r="H100" s="173">
        <v>1</v>
      </c>
      <c r="I100" s="173">
        <v>1</v>
      </c>
      <c r="J100" s="173">
        <v>1</v>
      </c>
      <c r="K100" s="173">
        <v>1</v>
      </c>
      <c r="L100" s="173">
        <v>1</v>
      </c>
      <c r="M100" s="173">
        <v>1</v>
      </c>
      <c r="N100" s="173">
        <v>1</v>
      </c>
      <c r="O100" s="173">
        <v>1</v>
      </c>
      <c r="P100" s="173">
        <v>1</v>
      </c>
      <c r="Q100" s="173">
        <v>1</v>
      </c>
      <c r="R100" s="173">
        <v>1</v>
      </c>
      <c r="S100" s="173">
        <v>1.02</v>
      </c>
      <c r="T100" s="173">
        <v>1</v>
      </c>
      <c r="U100" s="173">
        <v>1</v>
      </c>
      <c r="V100" s="173">
        <v>1</v>
      </c>
      <c r="W100" s="173">
        <v>1</v>
      </c>
      <c r="X100" s="173">
        <v>1</v>
      </c>
      <c r="Y100" s="173">
        <v>1.02</v>
      </c>
      <c r="Z100" s="173">
        <v>1</v>
      </c>
      <c r="AA100" s="173">
        <v>1</v>
      </c>
      <c r="AB100" s="173">
        <v>1</v>
      </c>
      <c r="AC100" s="173">
        <v>1</v>
      </c>
      <c r="AD100" s="173">
        <v>0.98</v>
      </c>
      <c r="AE100" s="173">
        <v>0.98</v>
      </c>
      <c r="AF100" s="173">
        <v>0.98</v>
      </c>
      <c r="AG100" s="173">
        <v>0.98</v>
      </c>
      <c r="AH100" s="173">
        <v>1.05</v>
      </c>
      <c r="AI100" s="173">
        <v>1</v>
      </c>
      <c r="AJ100" s="173">
        <v>1</v>
      </c>
      <c r="AK100" s="173">
        <v>1.02</v>
      </c>
      <c r="AL100">
        <v>1</v>
      </c>
      <c r="AM100">
        <v>1</v>
      </c>
      <c r="AN100">
        <v>1</v>
      </c>
      <c r="AO100">
        <v>1</v>
      </c>
    </row>
    <row r="101" spans="1:41" x14ac:dyDescent="0.25">
      <c r="A101" s="172">
        <v>39722</v>
      </c>
      <c r="B101" s="173">
        <v>1</v>
      </c>
      <c r="C101" s="173">
        <v>1</v>
      </c>
      <c r="D101" s="173">
        <v>1</v>
      </c>
      <c r="E101" s="173">
        <v>1</v>
      </c>
      <c r="F101" s="173">
        <v>1</v>
      </c>
      <c r="G101" s="173">
        <v>1</v>
      </c>
      <c r="H101" s="173">
        <v>1</v>
      </c>
      <c r="I101" s="173">
        <v>1</v>
      </c>
      <c r="J101" s="173">
        <v>1</v>
      </c>
      <c r="K101" s="173">
        <v>1</v>
      </c>
      <c r="L101" s="173">
        <v>1</v>
      </c>
      <c r="M101" s="173">
        <v>1</v>
      </c>
      <c r="N101" s="173">
        <v>1</v>
      </c>
      <c r="O101" s="173">
        <v>1</v>
      </c>
      <c r="P101" s="173">
        <v>1</v>
      </c>
      <c r="Q101" s="173">
        <v>1</v>
      </c>
      <c r="R101" s="173">
        <v>1</v>
      </c>
      <c r="S101" s="173">
        <v>1.02</v>
      </c>
      <c r="T101" s="173">
        <v>1</v>
      </c>
      <c r="U101" s="173">
        <v>1</v>
      </c>
      <c r="V101" s="173">
        <v>1</v>
      </c>
      <c r="W101" s="173">
        <v>1</v>
      </c>
      <c r="X101" s="173">
        <v>1</v>
      </c>
      <c r="Y101" s="173">
        <v>1.02</v>
      </c>
      <c r="Z101" s="173">
        <v>1</v>
      </c>
      <c r="AA101" s="173">
        <v>1</v>
      </c>
      <c r="AB101" s="173">
        <v>1</v>
      </c>
      <c r="AC101" s="173">
        <v>1</v>
      </c>
      <c r="AD101" s="173">
        <v>0.98</v>
      </c>
      <c r="AE101" s="173">
        <v>0.98</v>
      </c>
      <c r="AF101" s="173">
        <v>0.98</v>
      </c>
      <c r="AG101" s="173">
        <v>0.98</v>
      </c>
      <c r="AH101" s="173">
        <v>1.05</v>
      </c>
      <c r="AI101" s="173">
        <v>1</v>
      </c>
      <c r="AJ101" s="173">
        <v>1</v>
      </c>
      <c r="AK101" s="173">
        <v>1.02</v>
      </c>
      <c r="AL101">
        <v>1</v>
      </c>
      <c r="AM101">
        <v>1</v>
      </c>
      <c r="AN101">
        <v>1</v>
      </c>
      <c r="AO101">
        <v>1</v>
      </c>
    </row>
    <row r="102" spans="1:41" x14ac:dyDescent="0.25">
      <c r="A102" s="172">
        <v>39753</v>
      </c>
      <c r="B102" s="173">
        <v>1</v>
      </c>
      <c r="C102" s="173">
        <v>1</v>
      </c>
      <c r="D102" s="173">
        <v>1</v>
      </c>
      <c r="E102" s="173">
        <v>1</v>
      </c>
      <c r="F102" s="173">
        <v>1</v>
      </c>
      <c r="G102" s="173">
        <v>1</v>
      </c>
      <c r="H102" s="173">
        <v>1</v>
      </c>
      <c r="I102" s="173">
        <v>1</v>
      </c>
      <c r="J102" s="173">
        <v>1</v>
      </c>
      <c r="K102" s="173">
        <v>1</v>
      </c>
      <c r="L102" s="173">
        <v>1</v>
      </c>
      <c r="M102" s="173">
        <v>1</v>
      </c>
      <c r="N102" s="173">
        <v>1</v>
      </c>
      <c r="O102" s="173">
        <v>1</v>
      </c>
      <c r="P102" s="173">
        <v>1</v>
      </c>
      <c r="Q102" s="173">
        <v>1</v>
      </c>
      <c r="R102" s="173">
        <v>1</v>
      </c>
      <c r="S102" s="173">
        <v>1.02</v>
      </c>
      <c r="T102" s="173">
        <v>1</v>
      </c>
      <c r="U102" s="173">
        <v>1</v>
      </c>
      <c r="V102" s="173">
        <v>1</v>
      </c>
      <c r="W102" s="173">
        <v>1</v>
      </c>
      <c r="X102" s="173">
        <v>1</v>
      </c>
      <c r="Y102" s="173">
        <v>1</v>
      </c>
      <c r="Z102" s="173">
        <v>1</v>
      </c>
      <c r="AA102" s="173">
        <v>1</v>
      </c>
      <c r="AB102" s="173">
        <v>1</v>
      </c>
      <c r="AC102" s="173">
        <v>1</v>
      </c>
      <c r="AD102" s="173">
        <v>1</v>
      </c>
      <c r="AE102" s="173">
        <v>1</v>
      </c>
      <c r="AF102" s="173">
        <v>1.1000000000000001</v>
      </c>
      <c r="AG102" s="173">
        <v>1.1000000000000001</v>
      </c>
      <c r="AH102" s="173">
        <v>1.05</v>
      </c>
      <c r="AI102" s="173">
        <v>1</v>
      </c>
      <c r="AJ102" s="173">
        <v>1</v>
      </c>
      <c r="AK102" s="173">
        <v>1.02</v>
      </c>
      <c r="AL102">
        <v>1</v>
      </c>
      <c r="AM102">
        <v>1</v>
      </c>
      <c r="AN102">
        <v>1</v>
      </c>
      <c r="AO102">
        <v>1</v>
      </c>
    </row>
    <row r="103" spans="1:41" x14ac:dyDescent="0.25">
      <c r="A103" s="172">
        <v>39783</v>
      </c>
      <c r="B103" s="173">
        <v>1</v>
      </c>
      <c r="C103" s="173">
        <v>1</v>
      </c>
      <c r="D103" s="173">
        <v>1</v>
      </c>
      <c r="E103" s="173">
        <v>1</v>
      </c>
      <c r="F103" s="173">
        <v>1</v>
      </c>
      <c r="G103" s="173">
        <v>1</v>
      </c>
      <c r="H103" s="173">
        <v>1</v>
      </c>
      <c r="I103" s="173">
        <v>1</v>
      </c>
      <c r="J103" s="173">
        <v>1</v>
      </c>
      <c r="K103" s="173">
        <v>1</v>
      </c>
      <c r="L103" s="173">
        <v>1</v>
      </c>
      <c r="M103" s="173">
        <v>1</v>
      </c>
      <c r="N103" s="173">
        <v>1</v>
      </c>
      <c r="O103" s="173">
        <v>1</v>
      </c>
      <c r="P103" s="173">
        <v>1</v>
      </c>
      <c r="Q103" s="173">
        <v>1</v>
      </c>
      <c r="R103" s="173">
        <v>1</v>
      </c>
      <c r="S103" s="173">
        <v>1.02</v>
      </c>
      <c r="T103" s="173">
        <v>1</v>
      </c>
      <c r="U103" s="173">
        <v>1</v>
      </c>
      <c r="V103" s="173">
        <v>1</v>
      </c>
      <c r="W103" s="173">
        <v>1</v>
      </c>
      <c r="X103" s="173">
        <v>1</v>
      </c>
      <c r="Y103" s="173">
        <v>1</v>
      </c>
      <c r="Z103" s="173">
        <v>1</v>
      </c>
      <c r="AA103" s="173">
        <v>1</v>
      </c>
      <c r="AB103" s="173">
        <v>1</v>
      </c>
      <c r="AC103" s="173">
        <v>1</v>
      </c>
      <c r="AD103" s="173">
        <v>1</v>
      </c>
      <c r="AE103" s="173">
        <v>1</v>
      </c>
      <c r="AF103" s="173">
        <v>1.1000000000000001</v>
      </c>
      <c r="AG103" s="173">
        <v>1.1000000000000001</v>
      </c>
      <c r="AH103" s="173">
        <v>1.05</v>
      </c>
      <c r="AI103" s="173">
        <v>1</v>
      </c>
      <c r="AJ103" s="173">
        <v>1</v>
      </c>
      <c r="AK103" s="173">
        <v>1.02</v>
      </c>
      <c r="AL103">
        <v>1</v>
      </c>
      <c r="AM103">
        <v>1</v>
      </c>
      <c r="AN103">
        <v>1</v>
      </c>
      <c r="AO103">
        <v>1</v>
      </c>
    </row>
    <row r="104" spans="1:41" x14ac:dyDescent="0.25">
      <c r="A104" s="172">
        <v>39814</v>
      </c>
      <c r="B104" s="173">
        <v>1</v>
      </c>
      <c r="C104" s="173">
        <v>1</v>
      </c>
      <c r="D104" s="173">
        <v>1</v>
      </c>
      <c r="E104" s="173">
        <v>1</v>
      </c>
      <c r="F104" s="173">
        <v>1</v>
      </c>
      <c r="G104" s="173">
        <v>1</v>
      </c>
      <c r="H104" s="173">
        <v>1</v>
      </c>
      <c r="I104" s="173">
        <v>1</v>
      </c>
      <c r="J104" s="173">
        <v>1</v>
      </c>
      <c r="K104" s="173">
        <v>1</v>
      </c>
      <c r="L104" s="173">
        <v>1</v>
      </c>
      <c r="M104" s="173">
        <v>1</v>
      </c>
      <c r="N104" s="173">
        <v>1</v>
      </c>
      <c r="O104" s="173">
        <v>1</v>
      </c>
      <c r="P104" s="173">
        <v>1</v>
      </c>
      <c r="Q104" s="173">
        <v>1</v>
      </c>
      <c r="R104" s="173">
        <v>1</v>
      </c>
      <c r="S104" s="173">
        <v>1.02</v>
      </c>
      <c r="T104" s="173">
        <v>1</v>
      </c>
      <c r="U104" s="173">
        <v>1</v>
      </c>
      <c r="V104" s="173">
        <v>1</v>
      </c>
      <c r="W104" s="173">
        <v>1</v>
      </c>
      <c r="X104" s="173">
        <v>1</v>
      </c>
      <c r="Y104" s="173">
        <v>1</v>
      </c>
      <c r="Z104" s="173">
        <v>1</v>
      </c>
      <c r="AA104" s="173">
        <v>1</v>
      </c>
      <c r="AB104" s="173">
        <v>1</v>
      </c>
      <c r="AC104" s="173">
        <v>1</v>
      </c>
      <c r="AD104" s="173">
        <v>1</v>
      </c>
      <c r="AE104" s="173">
        <v>1</v>
      </c>
      <c r="AF104" s="173">
        <v>1.1000000000000001</v>
      </c>
      <c r="AG104" s="173">
        <v>1.1000000000000001</v>
      </c>
      <c r="AH104" s="173">
        <v>1.05</v>
      </c>
      <c r="AI104" s="173">
        <v>1</v>
      </c>
      <c r="AJ104" s="173">
        <v>1</v>
      </c>
      <c r="AK104" s="173">
        <v>1.02</v>
      </c>
      <c r="AL104">
        <v>1</v>
      </c>
      <c r="AM104">
        <v>1</v>
      </c>
      <c r="AN104">
        <v>1</v>
      </c>
      <c r="AO104">
        <v>1</v>
      </c>
    </row>
    <row r="105" spans="1:41" x14ac:dyDescent="0.25">
      <c r="A105" s="172">
        <v>39845</v>
      </c>
      <c r="B105" s="173">
        <v>1</v>
      </c>
      <c r="C105" s="173">
        <v>1</v>
      </c>
      <c r="D105" s="173">
        <v>1</v>
      </c>
      <c r="E105" s="173">
        <v>1</v>
      </c>
      <c r="F105" s="173">
        <v>1</v>
      </c>
      <c r="G105" s="173">
        <v>1</v>
      </c>
      <c r="H105" s="173">
        <v>1</v>
      </c>
      <c r="I105" s="173">
        <v>1</v>
      </c>
      <c r="J105" s="173">
        <v>1</v>
      </c>
      <c r="K105" s="173">
        <v>1</v>
      </c>
      <c r="L105" s="173">
        <v>1</v>
      </c>
      <c r="M105" s="173">
        <v>1</v>
      </c>
      <c r="N105" s="173">
        <v>1</v>
      </c>
      <c r="O105" s="173">
        <v>1</v>
      </c>
      <c r="P105" s="173">
        <v>1</v>
      </c>
      <c r="Q105" s="173">
        <v>1</v>
      </c>
      <c r="R105" s="173">
        <v>1</v>
      </c>
      <c r="S105" s="173">
        <v>1.02</v>
      </c>
      <c r="T105" s="173">
        <v>1</v>
      </c>
      <c r="U105" s="173">
        <v>1</v>
      </c>
      <c r="V105" s="173">
        <v>1</v>
      </c>
      <c r="W105" s="173">
        <v>1</v>
      </c>
      <c r="X105" s="173">
        <v>1</v>
      </c>
      <c r="Y105" s="173">
        <v>1</v>
      </c>
      <c r="Z105" s="173">
        <v>1</v>
      </c>
      <c r="AA105" s="173">
        <v>1</v>
      </c>
      <c r="AB105" s="173">
        <v>1</v>
      </c>
      <c r="AC105" s="173">
        <v>1</v>
      </c>
      <c r="AD105" s="173">
        <v>1</v>
      </c>
      <c r="AE105" s="173">
        <v>1</v>
      </c>
      <c r="AF105" s="173">
        <v>1.1000000000000001</v>
      </c>
      <c r="AG105" s="173">
        <v>1.1000000000000001</v>
      </c>
      <c r="AH105" s="173">
        <v>1.05</v>
      </c>
      <c r="AI105" s="173">
        <v>1</v>
      </c>
      <c r="AJ105" s="173">
        <v>1</v>
      </c>
      <c r="AK105" s="173">
        <v>1.02</v>
      </c>
      <c r="AL105">
        <v>1</v>
      </c>
      <c r="AM105">
        <v>1</v>
      </c>
      <c r="AN105">
        <v>1</v>
      </c>
      <c r="AO105">
        <v>1</v>
      </c>
    </row>
    <row r="106" spans="1:41" x14ac:dyDescent="0.25">
      <c r="A106" s="172">
        <v>39873</v>
      </c>
      <c r="B106" s="173">
        <v>1</v>
      </c>
      <c r="C106" s="173">
        <v>1</v>
      </c>
      <c r="D106" s="173">
        <v>1</v>
      </c>
      <c r="E106" s="173">
        <v>1</v>
      </c>
      <c r="F106" s="173">
        <v>1</v>
      </c>
      <c r="G106" s="173">
        <v>1</v>
      </c>
      <c r="H106" s="173">
        <v>1</v>
      </c>
      <c r="I106" s="173">
        <v>1</v>
      </c>
      <c r="J106" s="173">
        <v>1</v>
      </c>
      <c r="K106" s="173">
        <v>1</v>
      </c>
      <c r="L106" s="173">
        <v>1</v>
      </c>
      <c r="M106" s="173">
        <v>1</v>
      </c>
      <c r="N106" s="173">
        <v>1</v>
      </c>
      <c r="O106" s="173">
        <v>1</v>
      </c>
      <c r="P106" s="173">
        <v>1</v>
      </c>
      <c r="Q106" s="173">
        <v>1</v>
      </c>
      <c r="R106" s="173">
        <v>1</v>
      </c>
      <c r="S106" s="173">
        <v>1.02</v>
      </c>
      <c r="T106" s="173">
        <v>1</v>
      </c>
      <c r="U106" s="173">
        <v>1</v>
      </c>
      <c r="V106" s="173">
        <v>1</v>
      </c>
      <c r="W106" s="173">
        <v>1</v>
      </c>
      <c r="X106" s="173">
        <v>1</v>
      </c>
      <c r="Y106" s="173">
        <v>1</v>
      </c>
      <c r="Z106" s="173">
        <v>1</v>
      </c>
      <c r="AA106" s="173">
        <v>1</v>
      </c>
      <c r="AB106" s="173">
        <v>1</v>
      </c>
      <c r="AC106" s="173">
        <v>1</v>
      </c>
      <c r="AD106" s="173">
        <v>1</v>
      </c>
      <c r="AE106" s="173">
        <v>1</v>
      </c>
      <c r="AF106" s="173">
        <v>1.1000000000000001</v>
      </c>
      <c r="AG106" s="173">
        <v>1.1000000000000001</v>
      </c>
      <c r="AH106" s="173">
        <v>1.05</v>
      </c>
      <c r="AI106" s="173">
        <v>1</v>
      </c>
      <c r="AJ106" s="173">
        <v>1</v>
      </c>
      <c r="AK106" s="173">
        <v>1.02</v>
      </c>
      <c r="AL106">
        <v>1</v>
      </c>
      <c r="AM106">
        <v>1</v>
      </c>
      <c r="AN106">
        <v>1</v>
      </c>
      <c r="AO106">
        <v>1</v>
      </c>
    </row>
    <row r="107" spans="1:41" x14ac:dyDescent="0.25">
      <c r="A107" s="172">
        <v>39904</v>
      </c>
      <c r="B107" s="173">
        <v>1</v>
      </c>
      <c r="C107" s="173">
        <v>1</v>
      </c>
      <c r="D107" s="173">
        <v>1</v>
      </c>
      <c r="E107" s="173">
        <v>1</v>
      </c>
      <c r="F107" s="173">
        <v>1</v>
      </c>
      <c r="G107" s="173">
        <v>1</v>
      </c>
      <c r="H107" s="173">
        <v>1</v>
      </c>
      <c r="I107" s="173">
        <v>1</v>
      </c>
      <c r="J107" s="173">
        <v>1</v>
      </c>
      <c r="K107" s="173">
        <v>1</v>
      </c>
      <c r="L107" s="173">
        <v>1</v>
      </c>
      <c r="M107" s="173">
        <v>1</v>
      </c>
      <c r="N107" s="173">
        <v>1</v>
      </c>
      <c r="O107" s="173">
        <v>1</v>
      </c>
      <c r="P107" s="173">
        <v>1</v>
      </c>
      <c r="Q107" s="173">
        <v>1</v>
      </c>
      <c r="R107" s="173">
        <v>1</v>
      </c>
      <c r="S107" s="173">
        <v>1.02</v>
      </c>
      <c r="T107" s="173">
        <v>1</v>
      </c>
      <c r="U107" s="173">
        <v>1</v>
      </c>
      <c r="V107" s="173">
        <v>1</v>
      </c>
      <c r="W107" s="173">
        <v>1</v>
      </c>
      <c r="X107" s="173">
        <v>1</v>
      </c>
      <c r="Y107" s="173">
        <v>1.02</v>
      </c>
      <c r="Z107" s="173">
        <v>1</v>
      </c>
      <c r="AA107" s="173">
        <v>1</v>
      </c>
      <c r="AB107" s="173">
        <v>1</v>
      </c>
      <c r="AC107" s="173">
        <v>1</v>
      </c>
      <c r="AD107" s="173">
        <v>0.98</v>
      </c>
      <c r="AE107" s="173">
        <v>0.98</v>
      </c>
      <c r="AF107" s="173">
        <v>0.98</v>
      </c>
      <c r="AG107" s="173">
        <v>0.98</v>
      </c>
      <c r="AH107" s="173">
        <v>1.05</v>
      </c>
      <c r="AI107" s="173">
        <v>1</v>
      </c>
      <c r="AJ107" s="173">
        <v>1</v>
      </c>
      <c r="AK107" s="173">
        <v>1.02</v>
      </c>
      <c r="AL107">
        <v>1</v>
      </c>
      <c r="AM107">
        <v>1</v>
      </c>
      <c r="AN107">
        <v>1</v>
      </c>
      <c r="AO107">
        <v>1</v>
      </c>
    </row>
    <row r="108" spans="1:41" x14ac:dyDescent="0.25">
      <c r="A108" s="172">
        <v>39934</v>
      </c>
      <c r="B108" s="173">
        <v>1</v>
      </c>
      <c r="C108" s="173">
        <v>1</v>
      </c>
      <c r="D108" s="173">
        <v>1</v>
      </c>
      <c r="E108" s="173">
        <v>1</v>
      </c>
      <c r="F108" s="173">
        <v>1</v>
      </c>
      <c r="G108" s="173">
        <v>1</v>
      </c>
      <c r="H108" s="173">
        <v>1</v>
      </c>
      <c r="I108" s="173">
        <v>1</v>
      </c>
      <c r="J108" s="173">
        <v>1</v>
      </c>
      <c r="K108" s="173">
        <v>1</v>
      </c>
      <c r="L108" s="173">
        <v>1</v>
      </c>
      <c r="M108" s="173">
        <v>1</v>
      </c>
      <c r="N108" s="173">
        <v>1</v>
      </c>
      <c r="O108" s="173">
        <v>1</v>
      </c>
      <c r="P108" s="173">
        <v>1</v>
      </c>
      <c r="Q108" s="173">
        <v>1</v>
      </c>
      <c r="R108" s="173">
        <v>1</v>
      </c>
      <c r="S108" s="173">
        <v>1.02</v>
      </c>
      <c r="T108" s="173">
        <v>1</v>
      </c>
      <c r="U108" s="173">
        <v>1</v>
      </c>
      <c r="V108" s="173">
        <v>1</v>
      </c>
      <c r="W108" s="173">
        <v>1</v>
      </c>
      <c r="X108" s="173">
        <v>1</v>
      </c>
      <c r="Y108" s="173">
        <v>1.02</v>
      </c>
      <c r="Z108" s="173">
        <v>1</v>
      </c>
      <c r="AA108" s="173">
        <v>1</v>
      </c>
      <c r="AB108" s="173">
        <v>1</v>
      </c>
      <c r="AC108" s="173">
        <v>1</v>
      </c>
      <c r="AD108" s="173">
        <v>0.98</v>
      </c>
      <c r="AE108" s="173">
        <v>0.98</v>
      </c>
      <c r="AF108" s="173">
        <v>0.98</v>
      </c>
      <c r="AG108" s="173">
        <v>0.98</v>
      </c>
      <c r="AH108" s="173">
        <v>1.05</v>
      </c>
      <c r="AI108" s="173">
        <v>1</v>
      </c>
      <c r="AJ108" s="173">
        <v>1</v>
      </c>
      <c r="AK108" s="173">
        <v>1.02</v>
      </c>
      <c r="AL108">
        <v>1</v>
      </c>
      <c r="AM108">
        <v>1</v>
      </c>
      <c r="AN108">
        <v>1</v>
      </c>
      <c r="AO108">
        <v>1</v>
      </c>
    </row>
    <row r="109" spans="1:41" x14ac:dyDescent="0.25">
      <c r="A109" s="172">
        <v>39965</v>
      </c>
      <c r="B109" s="173">
        <v>1</v>
      </c>
      <c r="C109" s="173">
        <v>1</v>
      </c>
      <c r="D109" s="173">
        <v>1</v>
      </c>
      <c r="E109" s="173">
        <v>1</v>
      </c>
      <c r="F109" s="173">
        <v>1</v>
      </c>
      <c r="G109" s="173">
        <v>1</v>
      </c>
      <c r="H109" s="173">
        <v>1</v>
      </c>
      <c r="I109" s="173">
        <v>1</v>
      </c>
      <c r="J109" s="173">
        <v>1</v>
      </c>
      <c r="K109" s="173">
        <v>1</v>
      </c>
      <c r="L109" s="173">
        <v>1</v>
      </c>
      <c r="M109" s="173">
        <v>1</v>
      </c>
      <c r="N109" s="173">
        <v>1</v>
      </c>
      <c r="O109" s="173">
        <v>1</v>
      </c>
      <c r="P109" s="173">
        <v>1</v>
      </c>
      <c r="Q109" s="173">
        <v>1</v>
      </c>
      <c r="R109" s="173">
        <v>1</v>
      </c>
      <c r="S109" s="173">
        <v>1.02</v>
      </c>
      <c r="T109" s="173">
        <v>1</v>
      </c>
      <c r="U109" s="173">
        <v>1</v>
      </c>
      <c r="V109" s="173">
        <v>1</v>
      </c>
      <c r="W109" s="173">
        <v>1</v>
      </c>
      <c r="X109" s="173">
        <v>1</v>
      </c>
      <c r="Y109" s="173">
        <v>1.02</v>
      </c>
      <c r="Z109" s="173">
        <v>1</v>
      </c>
      <c r="AA109" s="173">
        <v>1</v>
      </c>
      <c r="AB109" s="173">
        <v>1</v>
      </c>
      <c r="AC109" s="173">
        <v>1</v>
      </c>
      <c r="AD109" s="173">
        <v>0.98</v>
      </c>
      <c r="AE109" s="173">
        <v>0.98</v>
      </c>
      <c r="AF109" s="173">
        <v>0.98</v>
      </c>
      <c r="AG109" s="173">
        <v>0.98</v>
      </c>
      <c r="AH109" s="173">
        <v>1.05</v>
      </c>
      <c r="AI109" s="173">
        <v>1</v>
      </c>
      <c r="AJ109" s="173">
        <v>1</v>
      </c>
      <c r="AK109" s="173">
        <v>1.02</v>
      </c>
      <c r="AL109">
        <v>1</v>
      </c>
      <c r="AM109">
        <v>1</v>
      </c>
      <c r="AN109">
        <v>1</v>
      </c>
      <c r="AO109">
        <v>1</v>
      </c>
    </row>
    <row r="110" spans="1:41" x14ac:dyDescent="0.25">
      <c r="A110" s="172">
        <v>39995</v>
      </c>
      <c r="B110" s="173">
        <v>1</v>
      </c>
      <c r="C110" s="173">
        <v>1</v>
      </c>
      <c r="D110" s="173">
        <v>1</v>
      </c>
      <c r="E110" s="173">
        <v>1</v>
      </c>
      <c r="F110" s="173">
        <v>1</v>
      </c>
      <c r="G110" s="173">
        <v>1</v>
      </c>
      <c r="H110" s="173">
        <v>1</v>
      </c>
      <c r="I110" s="173">
        <v>1</v>
      </c>
      <c r="J110" s="173">
        <v>1</v>
      </c>
      <c r="K110" s="173">
        <v>1</v>
      </c>
      <c r="L110" s="173">
        <v>1</v>
      </c>
      <c r="M110" s="173">
        <v>1</v>
      </c>
      <c r="N110" s="173">
        <v>1</v>
      </c>
      <c r="O110" s="173">
        <v>1</v>
      </c>
      <c r="P110" s="173">
        <v>1</v>
      </c>
      <c r="Q110" s="173">
        <v>1</v>
      </c>
      <c r="R110" s="173">
        <v>1</v>
      </c>
      <c r="S110" s="173">
        <v>1.02</v>
      </c>
      <c r="T110" s="173">
        <v>1</v>
      </c>
      <c r="U110" s="173">
        <v>1</v>
      </c>
      <c r="V110" s="173">
        <v>1</v>
      </c>
      <c r="W110" s="173">
        <v>1</v>
      </c>
      <c r="X110" s="173">
        <v>1</v>
      </c>
      <c r="Y110" s="173">
        <v>1.02</v>
      </c>
      <c r="Z110" s="173">
        <v>1</v>
      </c>
      <c r="AA110" s="173">
        <v>1</v>
      </c>
      <c r="AB110" s="173">
        <v>1</v>
      </c>
      <c r="AC110" s="173">
        <v>1</v>
      </c>
      <c r="AD110" s="173">
        <v>0.98</v>
      </c>
      <c r="AE110" s="173">
        <v>0.98</v>
      </c>
      <c r="AF110" s="173">
        <v>0.98</v>
      </c>
      <c r="AG110" s="173">
        <v>0.98</v>
      </c>
      <c r="AH110" s="173">
        <v>1.05</v>
      </c>
      <c r="AI110" s="173">
        <v>1</v>
      </c>
      <c r="AJ110" s="173">
        <v>1</v>
      </c>
      <c r="AK110" s="173">
        <v>1.02</v>
      </c>
      <c r="AL110">
        <v>1</v>
      </c>
      <c r="AM110">
        <v>1</v>
      </c>
      <c r="AN110">
        <v>1</v>
      </c>
      <c r="AO110">
        <v>1</v>
      </c>
    </row>
    <row r="111" spans="1:41" x14ac:dyDescent="0.25">
      <c r="A111" s="172">
        <v>40026</v>
      </c>
      <c r="B111" s="173">
        <v>1</v>
      </c>
      <c r="C111" s="173">
        <v>1</v>
      </c>
      <c r="D111" s="173">
        <v>1</v>
      </c>
      <c r="E111" s="173">
        <v>1</v>
      </c>
      <c r="F111" s="173">
        <v>1</v>
      </c>
      <c r="G111" s="173">
        <v>1</v>
      </c>
      <c r="H111" s="173">
        <v>1</v>
      </c>
      <c r="I111" s="173">
        <v>1</v>
      </c>
      <c r="J111" s="173">
        <v>1</v>
      </c>
      <c r="K111" s="173">
        <v>1</v>
      </c>
      <c r="L111" s="173">
        <v>1</v>
      </c>
      <c r="M111" s="173">
        <v>1</v>
      </c>
      <c r="N111" s="173">
        <v>1</v>
      </c>
      <c r="O111" s="173">
        <v>1</v>
      </c>
      <c r="P111" s="173">
        <v>1</v>
      </c>
      <c r="Q111" s="173">
        <v>1</v>
      </c>
      <c r="R111" s="173">
        <v>1</v>
      </c>
      <c r="S111" s="173">
        <v>1.02</v>
      </c>
      <c r="T111" s="173">
        <v>1</v>
      </c>
      <c r="U111" s="173">
        <v>1</v>
      </c>
      <c r="V111" s="173">
        <v>1</v>
      </c>
      <c r="W111" s="173">
        <v>1</v>
      </c>
      <c r="X111" s="173">
        <v>1</v>
      </c>
      <c r="Y111" s="173">
        <v>1.02</v>
      </c>
      <c r="Z111" s="173">
        <v>1</v>
      </c>
      <c r="AA111" s="173">
        <v>1</v>
      </c>
      <c r="AB111" s="173">
        <v>1</v>
      </c>
      <c r="AC111" s="173">
        <v>1</v>
      </c>
      <c r="AD111" s="173">
        <v>0.98</v>
      </c>
      <c r="AE111" s="173">
        <v>0.98</v>
      </c>
      <c r="AF111" s="173">
        <v>0.98</v>
      </c>
      <c r="AG111" s="173">
        <v>0.98</v>
      </c>
      <c r="AH111" s="173">
        <v>1.05</v>
      </c>
      <c r="AI111" s="173">
        <v>1</v>
      </c>
      <c r="AJ111" s="173">
        <v>1</v>
      </c>
      <c r="AK111" s="173">
        <v>1.02</v>
      </c>
      <c r="AL111">
        <v>1</v>
      </c>
      <c r="AM111">
        <v>1</v>
      </c>
      <c r="AN111">
        <v>1</v>
      </c>
      <c r="AO111">
        <v>1</v>
      </c>
    </row>
    <row r="112" spans="1:41" x14ac:dyDescent="0.25">
      <c r="A112" s="172">
        <v>40057</v>
      </c>
      <c r="B112" s="173">
        <v>1</v>
      </c>
      <c r="C112" s="173">
        <v>1</v>
      </c>
      <c r="D112" s="173">
        <v>1</v>
      </c>
      <c r="E112" s="173">
        <v>1</v>
      </c>
      <c r="F112" s="173">
        <v>1</v>
      </c>
      <c r="G112" s="173">
        <v>1</v>
      </c>
      <c r="H112" s="173">
        <v>1</v>
      </c>
      <c r="I112" s="173">
        <v>1</v>
      </c>
      <c r="J112" s="173">
        <v>1</v>
      </c>
      <c r="K112" s="173">
        <v>1</v>
      </c>
      <c r="L112" s="173">
        <v>1</v>
      </c>
      <c r="M112" s="173">
        <v>1</v>
      </c>
      <c r="N112" s="173">
        <v>1</v>
      </c>
      <c r="O112" s="173">
        <v>1</v>
      </c>
      <c r="P112" s="173">
        <v>1</v>
      </c>
      <c r="Q112" s="173">
        <v>1</v>
      </c>
      <c r="R112" s="173">
        <v>1</v>
      </c>
      <c r="S112" s="173">
        <v>1.02</v>
      </c>
      <c r="T112" s="173">
        <v>1</v>
      </c>
      <c r="U112" s="173">
        <v>1</v>
      </c>
      <c r="V112" s="173">
        <v>1</v>
      </c>
      <c r="W112" s="173">
        <v>1</v>
      </c>
      <c r="X112" s="173">
        <v>1</v>
      </c>
      <c r="Y112" s="173">
        <v>1.02</v>
      </c>
      <c r="Z112" s="173">
        <v>1</v>
      </c>
      <c r="AA112" s="173">
        <v>1</v>
      </c>
      <c r="AB112" s="173">
        <v>1</v>
      </c>
      <c r="AC112" s="173">
        <v>1</v>
      </c>
      <c r="AD112" s="173">
        <v>0.98</v>
      </c>
      <c r="AE112" s="173">
        <v>0.98</v>
      </c>
      <c r="AF112" s="173">
        <v>0.98</v>
      </c>
      <c r="AG112" s="173">
        <v>0.98</v>
      </c>
      <c r="AH112" s="173">
        <v>1.05</v>
      </c>
      <c r="AI112" s="173">
        <v>1</v>
      </c>
      <c r="AJ112" s="173">
        <v>1</v>
      </c>
      <c r="AK112" s="173">
        <v>1.02</v>
      </c>
      <c r="AL112">
        <v>1</v>
      </c>
      <c r="AM112">
        <v>1</v>
      </c>
      <c r="AN112">
        <v>1</v>
      </c>
      <c r="AO112">
        <v>1</v>
      </c>
    </row>
    <row r="113" spans="1:41" x14ac:dyDescent="0.25">
      <c r="A113" s="172">
        <v>40087</v>
      </c>
      <c r="B113" s="173">
        <v>1</v>
      </c>
      <c r="C113" s="173">
        <v>1</v>
      </c>
      <c r="D113" s="173">
        <v>1</v>
      </c>
      <c r="E113" s="173">
        <v>1</v>
      </c>
      <c r="F113" s="173">
        <v>1</v>
      </c>
      <c r="G113" s="173">
        <v>1</v>
      </c>
      <c r="H113" s="173">
        <v>1</v>
      </c>
      <c r="I113" s="173">
        <v>1</v>
      </c>
      <c r="J113" s="173">
        <v>1</v>
      </c>
      <c r="K113" s="173">
        <v>1</v>
      </c>
      <c r="L113" s="173">
        <v>1</v>
      </c>
      <c r="M113" s="173">
        <v>1</v>
      </c>
      <c r="N113" s="173">
        <v>1</v>
      </c>
      <c r="O113" s="173">
        <v>1</v>
      </c>
      <c r="P113" s="173">
        <v>1</v>
      </c>
      <c r="Q113" s="173">
        <v>1</v>
      </c>
      <c r="R113" s="173">
        <v>1</v>
      </c>
      <c r="S113" s="173">
        <v>1.02</v>
      </c>
      <c r="T113" s="173">
        <v>1</v>
      </c>
      <c r="U113" s="173">
        <v>1</v>
      </c>
      <c r="V113" s="173">
        <v>1</v>
      </c>
      <c r="W113" s="173">
        <v>1</v>
      </c>
      <c r="X113" s="173">
        <v>1</v>
      </c>
      <c r="Y113" s="173">
        <v>1.02</v>
      </c>
      <c r="Z113" s="173">
        <v>1</v>
      </c>
      <c r="AA113" s="173">
        <v>1</v>
      </c>
      <c r="AB113" s="173">
        <v>1</v>
      </c>
      <c r="AC113" s="173">
        <v>1</v>
      </c>
      <c r="AD113" s="173">
        <v>0.98</v>
      </c>
      <c r="AE113" s="173">
        <v>0.98</v>
      </c>
      <c r="AF113" s="173">
        <v>0.98</v>
      </c>
      <c r="AG113" s="173">
        <v>0.98</v>
      </c>
      <c r="AH113" s="173">
        <v>1.05</v>
      </c>
      <c r="AI113" s="173">
        <v>1</v>
      </c>
      <c r="AJ113" s="173">
        <v>1</v>
      </c>
      <c r="AK113" s="173">
        <v>1.02</v>
      </c>
      <c r="AL113">
        <v>1</v>
      </c>
      <c r="AM113">
        <v>1</v>
      </c>
      <c r="AN113">
        <v>1</v>
      </c>
      <c r="AO113">
        <v>1</v>
      </c>
    </row>
    <row r="114" spans="1:41" x14ac:dyDescent="0.25">
      <c r="A114" s="172">
        <v>40118</v>
      </c>
      <c r="B114" s="173">
        <v>1</v>
      </c>
      <c r="C114" s="173">
        <v>1</v>
      </c>
      <c r="D114" s="173">
        <v>1</v>
      </c>
      <c r="E114" s="173">
        <v>1</v>
      </c>
      <c r="F114" s="173">
        <v>1</v>
      </c>
      <c r="G114" s="173">
        <v>1</v>
      </c>
      <c r="H114" s="173">
        <v>1</v>
      </c>
      <c r="I114" s="173">
        <v>1</v>
      </c>
      <c r="J114" s="173">
        <v>1</v>
      </c>
      <c r="K114" s="173">
        <v>1</v>
      </c>
      <c r="L114" s="173">
        <v>1</v>
      </c>
      <c r="M114" s="173">
        <v>1</v>
      </c>
      <c r="N114" s="173">
        <v>1</v>
      </c>
      <c r="O114" s="173">
        <v>1</v>
      </c>
      <c r="P114" s="173">
        <v>1</v>
      </c>
      <c r="Q114" s="173">
        <v>1</v>
      </c>
      <c r="R114" s="173">
        <v>1</v>
      </c>
      <c r="S114" s="173">
        <v>1.02</v>
      </c>
      <c r="T114" s="173">
        <v>1</v>
      </c>
      <c r="U114" s="173">
        <v>1</v>
      </c>
      <c r="V114" s="173">
        <v>1</v>
      </c>
      <c r="W114" s="173">
        <v>1</v>
      </c>
      <c r="X114" s="173">
        <v>1</v>
      </c>
      <c r="Y114" s="173">
        <v>1</v>
      </c>
      <c r="Z114" s="173">
        <v>1</v>
      </c>
      <c r="AA114" s="173">
        <v>1</v>
      </c>
      <c r="AB114" s="173">
        <v>1</v>
      </c>
      <c r="AC114" s="173">
        <v>1</v>
      </c>
      <c r="AD114" s="173">
        <v>1</v>
      </c>
      <c r="AE114" s="173">
        <v>1</v>
      </c>
      <c r="AF114" s="173">
        <v>1.1000000000000001</v>
      </c>
      <c r="AG114" s="173">
        <v>1.1000000000000001</v>
      </c>
      <c r="AH114" s="173">
        <v>1.05</v>
      </c>
      <c r="AI114" s="173">
        <v>1</v>
      </c>
      <c r="AJ114" s="173">
        <v>1</v>
      </c>
      <c r="AK114" s="173">
        <v>1.02</v>
      </c>
      <c r="AL114">
        <v>1</v>
      </c>
      <c r="AM114">
        <v>1</v>
      </c>
      <c r="AN114">
        <v>1</v>
      </c>
      <c r="AO114">
        <v>1</v>
      </c>
    </row>
    <row r="115" spans="1:41" x14ac:dyDescent="0.25">
      <c r="A115" s="172">
        <v>40148</v>
      </c>
      <c r="B115" s="173">
        <v>1</v>
      </c>
      <c r="C115" s="173">
        <v>1</v>
      </c>
      <c r="D115" s="173">
        <v>1</v>
      </c>
      <c r="E115" s="173">
        <v>1</v>
      </c>
      <c r="F115" s="173">
        <v>1</v>
      </c>
      <c r="G115" s="173">
        <v>1</v>
      </c>
      <c r="H115" s="173">
        <v>1</v>
      </c>
      <c r="I115" s="173">
        <v>1</v>
      </c>
      <c r="J115" s="173">
        <v>1</v>
      </c>
      <c r="K115" s="173">
        <v>1</v>
      </c>
      <c r="L115" s="173">
        <v>1</v>
      </c>
      <c r="M115" s="173">
        <v>1</v>
      </c>
      <c r="N115" s="173">
        <v>1</v>
      </c>
      <c r="O115" s="173">
        <v>1</v>
      </c>
      <c r="P115" s="173">
        <v>1</v>
      </c>
      <c r="Q115" s="173">
        <v>1</v>
      </c>
      <c r="R115" s="173">
        <v>1</v>
      </c>
      <c r="S115" s="173">
        <v>1.02</v>
      </c>
      <c r="T115" s="173">
        <v>1</v>
      </c>
      <c r="U115" s="173">
        <v>1</v>
      </c>
      <c r="V115" s="173">
        <v>1</v>
      </c>
      <c r="W115" s="173">
        <v>1</v>
      </c>
      <c r="X115" s="173">
        <v>1</v>
      </c>
      <c r="Y115" s="173">
        <v>1</v>
      </c>
      <c r="Z115" s="173">
        <v>1</v>
      </c>
      <c r="AA115" s="173">
        <v>1</v>
      </c>
      <c r="AB115" s="173">
        <v>1</v>
      </c>
      <c r="AC115" s="173">
        <v>1</v>
      </c>
      <c r="AD115" s="173">
        <v>1</v>
      </c>
      <c r="AE115" s="173">
        <v>1</v>
      </c>
      <c r="AF115" s="173">
        <v>1.1000000000000001</v>
      </c>
      <c r="AG115" s="173">
        <v>1.1000000000000001</v>
      </c>
      <c r="AH115" s="173">
        <v>1.05</v>
      </c>
      <c r="AI115" s="173">
        <v>1</v>
      </c>
      <c r="AJ115" s="173">
        <v>1</v>
      </c>
      <c r="AK115" s="173">
        <v>1.02</v>
      </c>
      <c r="AL115">
        <v>1</v>
      </c>
      <c r="AM115">
        <v>1</v>
      </c>
      <c r="AN115">
        <v>1</v>
      </c>
      <c r="AO115">
        <v>1</v>
      </c>
    </row>
    <row r="116" spans="1:41" x14ac:dyDescent="0.25">
      <c r="A116" s="172">
        <v>40179</v>
      </c>
      <c r="B116" s="173">
        <v>1</v>
      </c>
      <c r="C116" s="173">
        <v>1</v>
      </c>
      <c r="D116" s="173">
        <v>1</v>
      </c>
      <c r="E116" s="173">
        <v>1</v>
      </c>
      <c r="F116" s="173">
        <v>1</v>
      </c>
      <c r="G116" s="173">
        <v>1</v>
      </c>
      <c r="H116" s="173">
        <v>1</v>
      </c>
      <c r="I116" s="173">
        <v>1</v>
      </c>
      <c r="J116" s="173">
        <v>1</v>
      </c>
      <c r="K116" s="173">
        <v>1</v>
      </c>
      <c r="L116" s="173">
        <v>1</v>
      </c>
      <c r="M116" s="173">
        <v>1</v>
      </c>
      <c r="N116" s="173">
        <v>1</v>
      </c>
      <c r="O116" s="173">
        <v>1</v>
      </c>
      <c r="P116" s="173">
        <v>1</v>
      </c>
      <c r="Q116" s="173">
        <v>1</v>
      </c>
      <c r="R116" s="173">
        <v>1</v>
      </c>
      <c r="S116" s="173">
        <v>1.02</v>
      </c>
      <c r="T116" s="173">
        <v>1</v>
      </c>
      <c r="U116" s="173">
        <v>1</v>
      </c>
      <c r="V116" s="173">
        <v>1</v>
      </c>
      <c r="W116" s="173">
        <v>1</v>
      </c>
      <c r="X116" s="173">
        <v>1</v>
      </c>
      <c r="Y116" s="173">
        <v>1</v>
      </c>
      <c r="Z116" s="173">
        <v>1</v>
      </c>
      <c r="AA116" s="173">
        <v>1</v>
      </c>
      <c r="AB116" s="173">
        <v>1</v>
      </c>
      <c r="AC116" s="173">
        <v>1</v>
      </c>
      <c r="AD116" s="173">
        <v>1</v>
      </c>
      <c r="AE116" s="173">
        <v>1</v>
      </c>
      <c r="AF116" s="173">
        <v>1.1000000000000001</v>
      </c>
      <c r="AG116" s="173">
        <v>1.1000000000000001</v>
      </c>
      <c r="AH116" s="173">
        <v>1.05</v>
      </c>
      <c r="AI116" s="173">
        <v>1</v>
      </c>
      <c r="AJ116" s="173">
        <v>1</v>
      </c>
      <c r="AK116" s="173">
        <v>1.02</v>
      </c>
      <c r="AL116">
        <v>1</v>
      </c>
      <c r="AM116">
        <v>1</v>
      </c>
      <c r="AN116">
        <v>1</v>
      </c>
      <c r="AO116">
        <v>1</v>
      </c>
    </row>
    <row r="117" spans="1:41" x14ac:dyDescent="0.25">
      <c r="A117" s="172">
        <v>40210</v>
      </c>
      <c r="B117" s="173">
        <v>1</v>
      </c>
      <c r="C117" s="173">
        <v>1</v>
      </c>
      <c r="D117" s="173">
        <v>1</v>
      </c>
      <c r="E117" s="173">
        <v>1</v>
      </c>
      <c r="F117" s="173">
        <v>1</v>
      </c>
      <c r="G117" s="173">
        <v>1</v>
      </c>
      <c r="H117" s="173">
        <v>1</v>
      </c>
      <c r="I117" s="173">
        <v>1</v>
      </c>
      <c r="J117" s="173">
        <v>1</v>
      </c>
      <c r="K117" s="173">
        <v>1</v>
      </c>
      <c r="L117" s="173">
        <v>1</v>
      </c>
      <c r="M117" s="173">
        <v>1</v>
      </c>
      <c r="N117" s="173">
        <v>1</v>
      </c>
      <c r="O117" s="173">
        <v>1</v>
      </c>
      <c r="P117" s="173">
        <v>1</v>
      </c>
      <c r="Q117" s="173">
        <v>1</v>
      </c>
      <c r="R117" s="173">
        <v>1</v>
      </c>
      <c r="S117" s="173">
        <v>1.02</v>
      </c>
      <c r="T117" s="173">
        <v>1</v>
      </c>
      <c r="U117" s="173">
        <v>1</v>
      </c>
      <c r="V117" s="173">
        <v>1</v>
      </c>
      <c r="W117" s="173">
        <v>1</v>
      </c>
      <c r="X117" s="173">
        <v>1</v>
      </c>
      <c r="Y117" s="173">
        <v>1</v>
      </c>
      <c r="Z117" s="173">
        <v>1</v>
      </c>
      <c r="AA117" s="173">
        <v>1</v>
      </c>
      <c r="AB117" s="173">
        <v>1</v>
      </c>
      <c r="AC117" s="173">
        <v>1</v>
      </c>
      <c r="AD117" s="173">
        <v>1</v>
      </c>
      <c r="AE117" s="173">
        <v>1</v>
      </c>
      <c r="AF117" s="173">
        <v>1.1000000000000001</v>
      </c>
      <c r="AG117" s="173">
        <v>1.1000000000000001</v>
      </c>
      <c r="AH117" s="173">
        <v>1.05</v>
      </c>
      <c r="AI117" s="173">
        <v>1</v>
      </c>
      <c r="AJ117" s="173">
        <v>1</v>
      </c>
      <c r="AK117" s="173">
        <v>1.02</v>
      </c>
      <c r="AL117">
        <v>1</v>
      </c>
      <c r="AM117">
        <v>1</v>
      </c>
      <c r="AN117">
        <v>1</v>
      </c>
      <c r="AO117">
        <v>1</v>
      </c>
    </row>
    <row r="118" spans="1:41" x14ac:dyDescent="0.25">
      <c r="A118" s="172">
        <v>40238</v>
      </c>
      <c r="B118" s="173">
        <v>1</v>
      </c>
      <c r="C118" s="173">
        <v>1</v>
      </c>
      <c r="D118" s="173">
        <v>1</v>
      </c>
      <c r="E118" s="173">
        <v>1</v>
      </c>
      <c r="F118" s="173">
        <v>1</v>
      </c>
      <c r="G118" s="173">
        <v>1</v>
      </c>
      <c r="H118" s="173">
        <v>1</v>
      </c>
      <c r="I118" s="173">
        <v>1</v>
      </c>
      <c r="J118" s="173">
        <v>1</v>
      </c>
      <c r="K118" s="173">
        <v>1</v>
      </c>
      <c r="L118" s="173">
        <v>1</v>
      </c>
      <c r="M118" s="173">
        <v>1</v>
      </c>
      <c r="N118" s="173">
        <v>1</v>
      </c>
      <c r="O118" s="173">
        <v>1</v>
      </c>
      <c r="P118" s="173">
        <v>1</v>
      </c>
      <c r="Q118" s="173">
        <v>1</v>
      </c>
      <c r="R118" s="173">
        <v>1</v>
      </c>
      <c r="S118" s="173">
        <v>1.02</v>
      </c>
      <c r="T118" s="173">
        <v>1</v>
      </c>
      <c r="U118" s="173">
        <v>1</v>
      </c>
      <c r="V118" s="173">
        <v>1</v>
      </c>
      <c r="W118" s="173">
        <v>1</v>
      </c>
      <c r="X118" s="173">
        <v>1</v>
      </c>
      <c r="Y118" s="173">
        <v>1</v>
      </c>
      <c r="Z118" s="173">
        <v>1</v>
      </c>
      <c r="AA118" s="173">
        <v>1</v>
      </c>
      <c r="AB118" s="173">
        <v>1</v>
      </c>
      <c r="AC118" s="173">
        <v>1</v>
      </c>
      <c r="AD118" s="173">
        <v>1</v>
      </c>
      <c r="AE118" s="173">
        <v>1</v>
      </c>
      <c r="AF118" s="173">
        <v>1.1000000000000001</v>
      </c>
      <c r="AG118" s="173">
        <v>1.1000000000000001</v>
      </c>
      <c r="AH118" s="173">
        <v>1.05</v>
      </c>
      <c r="AI118" s="173">
        <v>1</v>
      </c>
      <c r="AJ118" s="173">
        <v>1</v>
      </c>
      <c r="AK118" s="173">
        <v>1.02</v>
      </c>
      <c r="AL118">
        <v>1</v>
      </c>
      <c r="AM118">
        <v>1</v>
      </c>
      <c r="AN118">
        <v>1</v>
      </c>
      <c r="AO118">
        <v>1</v>
      </c>
    </row>
    <row r="119" spans="1:41" x14ac:dyDescent="0.25">
      <c r="A119" s="172">
        <v>40269</v>
      </c>
      <c r="B119" s="173">
        <v>1</v>
      </c>
      <c r="C119" s="173">
        <v>1</v>
      </c>
      <c r="D119" s="173">
        <v>1</v>
      </c>
      <c r="E119" s="173">
        <v>1</v>
      </c>
      <c r="F119" s="173">
        <v>1</v>
      </c>
      <c r="G119" s="173">
        <v>1</v>
      </c>
      <c r="H119" s="173">
        <v>1</v>
      </c>
      <c r="I119" s="173">
        <v>1</v>
      </c>
      <c r="J119" s="173">
        <v>1</v>
      </c>
      <c r="K119" s="173">
        <v>1</v>
      </c>
      <c r="L119" s="173">
        <v>1</v>
      </c>
      <c r="M119" s="173">
        <v>1</v>
      </c>
      <c r="N119" s="173">
        <v>1</v>
      </c>
      <c r="O119" s="173">
        <v>1</v>
      </c>
      <c r="P119" s="173">
        <v>1</v>
      </c>
      <c r="Q119" s="173">
        <v>1</v>
      </c>
      <c r="R119" s="173">
        <v>1</v>
      </c>
      <c r="S119" s="173">
        <v>1.02</v>
      </c>
      <c r="T119" s="173">
        <v>1</v>
      </c>
      <c r="U119" s="173">
        <v>1</v>
      </c>
      <c r="V119" s="173">
        <v>1</v>
      </c>
      <c r="W119" s="173">
        <v>1</v>
      </c>
      <c r="X119" s="173">
        <v>1</v>
      </c>
      <c r="Y119" s="173">
        <v>1.02</v>
      </c>
      <c r="Z119" s="173">
        <v>1</v>
      </c>
      <c r="AA119" s="173">
        <v>1</v>
      </c>
      <c r="AB119" s="173">
        <v>1</v>
      </c>
      <c r="AC119" s="173">
        <v>1</v>
      </c>
      <c r="AD119" s="173">
        <v>0.98</v>
      </c>
      <c r="AE119" s="173">
        <v>0.98</v>
      </c>
      <c r="AF119" s="173">
        <v>0.98</v>
      </c>
      <c r="AG119" s="173">
        <v>0.98</v>
      </c>
      <c r="AH119" s="173">
        <v>1.05</v>
      </c>
      <c r="AI119" s="173">
        <v>1</v>
      </c>
      <c r="AJ119" s="173">
        <v>1</v>
      </c>
      <c r="AK119" s="173">
        <v>1.02</v>
      </c>
      <c r="AL119">
        <v>1</v>
      </c>
      <c r="AM119">
        <v>1</v>
      </c>
      <c r="AN119">
        <v>1</v>
      </c>
      <c r="AO119">
        <v>1</v>
      </c>
    </row>
    <row r="120" spans="1:41" x14ac:dyDescent="0.25">
      <c r="A120" s="172">
        <v>40299</v>
      </c>
      <c r="B120" s="173">
        <v>1</v>
      </c>
      <c r="C120" s="173">
        <v>1</v>
      </c>
      <c r="D120" s="173">
        <v>1</v>
      </c>
      <c r="E120" s="173">
        <v>1</v>
      </c>
      <c r="F120" s="173">
        <v>1</v>
      </c>
      <c r="G120" s="173">
        <v>1</v>
      </c>
      <c r="H120" s="173">
        <v>1</v>
      </c>
      <c r="I120" s="173">
        <v>1</v>
      </c>
      <c r="J120" s="173">
        <v>1</v>
      </c>
      <c r="K120" s="173">
        <v>1</v>
      </c>
      <c r="L120" s="173">
        <v>1</v>
      </c>
      <c r="M120" s="173">
        <v>1</v>
      </c>
      <c r="N120" s="173">
        <v>1</v>
      </c>
      <c r="O120" s="173">
        <v>1</v>
      </c>
      <c r="P120" s="173">
        <v>1</v>
      </c>
      <c r="Q120" s="173">
        <v>1</v>
      </c>
      <c r="R120" s="173">
        <v>1</v>
      </c>
      <c r="S120" s="173">
        <v>1.02</v>
      </c>
      <c r="T120" s="173">
        <v>1</v>
      </c>
      <c r="U120" s="173">
        <v>1</v>
      </c>
      <c r="V120" s="173">
        <v>1</v>
      </c>
      <c r="W120" s="173">
        <v>1</v>
      </c>
      <c r="X120" s="173">
        <v>1</v>
      </c>
      <c r="Y120" s="173">
        <v>1.02</v>
      </c>
      <c r="Z120" s="173">
        <v>1</v>
      </c>
      <c r="AA120" s="173">
        <v>1</v>
      </c>
      <c r="AB120" s="173">
        <v>1</v>
      </c>
      <c r="AC120" s="173">
        <v>1</v>
      </c>
      <c r="AD120" s="173">
        <v>0.98</v>
      </c>
      <c r="AE120" s="173">
        <v>0.98</v>
      </c>
      <c r="AF120" s="173">
        <v>0.98</v>
      </c>
      <c r="AG120" s="173">
        <v>0.98</v>
      </c>
      <c r="AH120" s="173">
        <v>1.05</v>
      </c>
      <c r="AI120" s="173">
        <v>1</v>
      </c>
      <c r="AJ120" s="173">
        <v>1</v>
      </c>
      <c r="AK120" s="173">
        <v>1.02</v>
      </c>
      <c r="AL120">
        <v>1</v>
      </c>
      <c r="AM120">
        <v>1</v>
      </c>
      <c r="AN120">
        <v>1</v>
      </c>
      <c r="AO120">
        <v>1</v>
      </c>
    </row>
    <row r="121" spans="1:41" x14ac:dyDescent="0.25">
      <c r="A121" s="172">
        <v>40330</v>
      </c>
      <c r="B121" s="173">
        <v>1</v>
      </c>
      <c r="C121" s="173">
        <v>1</v>
      </c>
      <c r="D121" s="173">
        <v>1</v>
      </c>
      <c r="E121" s="173">
        <v>1</v>
      </c>
      <c r="F121" s="173">
        <v>1</v>
      </c>
      <c r="G121" s="173">
        <v>1</v>
      </c>
      <c r="H121" s="173">
        <v>1</v>
      </c>
      <c r="I121" s="173">
        <v>1</v>
      </c>
      <c r="J121" s="173">
        <v>1</v>
      </c>
      <c r="K121" s="173">
        <v>1</v>
      </c>
      <c r="L121" s="173">
        <v>1</v>
      </c>
      <c r="M121" s="173">
        <v>1</v>
      </c>
      <c r="N121" s="173">
        <v>1</v>
      </c>
      <c r="O121" s="173">
        <v>1</v>
      </c>
      <c r="P121" s="173">
        <v>1</v>
      </c>
      <c r="Q121" s="173">
        <v>1</v>
      </c>
      <c r="R121" s="173">
        <v>1</v>
      </c>
      <c r="S121" s="173">
        <v>1.02</v>
      </c>
      <c r="T121" s="173">
        <v>1</v>
      </c>
      <c r="U121" s="173">
        <v>1</v>
      </c>
      <c r="V121" s="173">
        <v>1</v>
      </c>
      <c r="W121" s="173">
        <v>1</v>
      </c>
      <c r="X121" s="173">
        <v>1</v>
      </c>
      <c r="Y121" s="173">
        <v>1.02</v>
      </c>
      <c r="Z121" s="173">
        <v>1</v>
      </c>
      <c r="AA121" s="173">
        <v>1</v>
      </c>
      <c r="AB121" s="173">
        <v>1</v>
      </c>
      <c r="AC121" s="173">
        <v>1</v>
      </c>
      <c r="AD121" s="173">
        <v>0.98</v>
      </c>
      <c r="AE121" s="173">
        <v>0.98</v>
      </c>
      <c r="AF121" s="173">
        <v>0.98</v>
      </c>
      <c r="AG121" s="173">
        <v>0.98</v>
      </c>
      <c r="AH121" s="173">
        <v>1.05</v>
      </c>
      <c r="AI121" s="173">
        <v>1</v>
      </c>
      <c r="AJ121" s="173">
        <v>1</v>
      </c>
      <c r="AK121" s="173">
        <v>1.02</v>
      </c>
      <c r="AL121">
        <v>1</v>
      </c>
      <c r="AM121">
        <v>1</v>
      </c>
      <c r="AN121">
        <v>1</v>
      </c>
      <c r="AO121">
        <v>1</v>
      </c>
    </row>
    <row r="122" spans="1:41" x14ac:dyDescent="0.25">
      <c r="A122" s="172">
        <v>40360</v>
      </c>
      <c r="B122" s="173">
        <v>1</v>
      </c>
      <c r="C122" s="173">
        <v>1</v>
      </c>
      <c r="D122" s="173">
        <v>1</v>
      </c>
      <c r="E122" s="173">
        <v>1</v>
      </c>
      <c r="F122" s="173">
        <v>1</v>
      </c>
      <c r="G122" s="173">
        <v>1</v>
      </c>
      <c r="H122" s="173">
        <v>1</v>
      </c>
      <c r="I122" s="173">
        <v>1</v>
      </c>
      <c r="J122" s="173">
        <v>1</v>
      </c>
      <c r="K122" s="173">
        <v>1</v>
      </c>
      <c r="L122" s="173">
        <v>1</v>
      </c>
      <c r="M122" s="173">
        <v>1</v>
      </c>
      <c r="N122" s="173">
        <v>1</v>
      </c>
      <c r="O122" s="173">
        <v>1</v>
      </c>
      <c r="P122" s="173">
        <v>1</v>
      </c>
      <c r="Q122" s="173">
        <v>1</v>
      </c>
      <c r="R122" s="173">
        <v>1</v>
      </c>
      <c r="S122" s="173">
        <v>1.02</v>
      </c>
      <c r="T122" s="173">
        <v>1</v>
      </c>
      <c r="U122" s="173">
        <v>1</v>
      </c>
      <c r="V122" s="173">
        <v>1</v>
      </c>
      <c r="W122" s="173">
        <v>1</v>
      </c>
      <c r="X122" s="173">
        <v>1</v>
      </c>
      <c r="Y122" s="173">
        <v>1.02</v>
      </c>
      <c r="Z122" s="173">
        <v>1</v>
      </c>
      <c r="AA122" s="173">
        <v>1</v>
      </c>
      <c r="AB122" s="173">
        <v>1</v>
      </c>
      <c r="AC122" s="173">
        <v>1</v>
      </c>
      <c r="AD122" s="173">
        <v>0.98</v>
      </c>
      <c r="AE122" s="173">
        <v>0.98</v>
      </c>
      <c r="AF122" s="173">
        <v>0.98</v>
      </c>
      <c r="AG122" s="173">
        <v>0.98</v>
      </c>
      <c r="AH122" s="173">
        <v>1.05</v>
      </c>
      <c r="AI122" s="173">
        <v>1</v>
      </c>
      <c r="AJ122" s="173">
        <v>1</v>
      </c>
      <c r="AK122" s="173">
        <v>1.02</v>
      </c>
      <c r="AL122">
        <v>1</v>
      </c>
      <c r="AM122">
        <v>1</v>
      </c>
      <c r="AN122">
        <v>1</v>
      </c>
      <c r="AO122">
        <v>1</v>
      </c>
    </row>
    <row r="123" spans="1:41" x14ac:dyDescent="0.25">
      <c r="A123" s="172">
        <v>40391</v>
      </c>
      <c r="B123" s="173">
        <v>1</v>
      </c>
      <c r="C123" s="173">
        <v>1</v>
      </c>
      <c r="D123" s="173">
        <v>1</v>
      </c>
      <c r="E123" s="173">
        <v>1</v>
      </c>
      <c r="F123" s="173">
        <v>1</v>
      </c>
      <c r="G123" s="173">
        <v>1</v>
      </c>
      <c r="H123" s="173">
        <v>1</v>
      </c>
      <c r="I123" s="173">
        <v>1</v>
      </c>
      <c r="J123" s="173">
        <v>1</v>
      </c>
      <c r="K123" s="173">
        <v>1</v>
      </c>
      <c r="L123" s="173">
        <v>1</v>
      </c>
      <c r="M123" s="173">
        <v>1</v>
      </c>
      <c r="N123" s="173">
        <v>1</v>
      </c>
      <c r="O123" s="173">
        <v>1</v>
      </c>
      <c r="P123" s="173">
        <v>1</v>
      </c>
      <c r="Q123" s="173">
        <v>1</v>
      </c>
      <c r="R123" s="173">
        <v>1</v>
      </c>
      <c r="S123" s="173">
        <v>1.02</v>
      </c>
      <c r="T123" s="173">
        <v>1</v>
      </c>
      <c r="U123" s="173">
        <v>1</v>
      </c>
      <c r="V123" s="173">
        <v>1</v>
      </c>
      <c r="W123" s="173">
        <v>1</v>
      </c>
      <c r="X123" s="173">
        <v>1</v>
      </c>
      <c r="Y123" s="173">
        <v>1.02</v>
      </c>
      <c r="Z123" s="173">
        <v>1</v>
      </c>
      <c r="AA123" s="173">
        <v>1</v>
      </c>
      <c r="AB123" s="173">
        <v>1</v>
      </c>
      <c r="AC123" s="173">
        <v>1</v>
      </c>
      <c r="AD123" s="173">
        <v>0.98</v>
      </c>
      <c r="AE123" s="173">
        <v>0.98</v>
      </c>
      <c r="AF123" s="173">
        <v>0.98</v>
      </c>
      <c r="AG123" s="173">
        <v>0.98</v>
      </c>
      <c r="AH123" s="173">
        <v>1.05</v>
      </c>
      <c r="AI123" s="173">
        <v>1</v>
      </c>
      <c r="AJ123" s="173">
        <v>1</v>
      </c>
      <c r="AK123" s="173">
        <v>1.02</v>
      </c>
      <c r="AL123">
        <v>1</v>
      </c>
      <c r="AM123">
        <v>1</v>
      </c>
      <c r="AN123">
        <v>1</v>
      </c>
      <c r="AO123">
        <v>1</v>
      </c>
    </row>
    <row r="124" spans="1:41" x14ac:dyDescent="0.25">
      <c r="A124" s="172">
        <v>40422</v>
      </c>
      <c r="B124" s="173">
        <v>1</v>
      </c>
      <c r="C124" s="173">
        <v>1</v>
      </c>
      <c r="D124" s="173">
        <v>1</v>
      </c>
      <c r="E124" s="173">
        <v>1</v>
      </c>
      <c r="F124" s="173">
        <v>1</v>
      </c>
      <c r="G124" s="173">
        <v>1</v>
      </c>
      <c r="H124" s="173">
        <v>1</v>
      </c>
      <c r="I124" s="173">
        <v>1</v>
      </c>
      <c r="J124" s="173">
        <v>1</v>
      </c>
      <c r="K124" s="173">
        <v>1</v>
      </c>
      <c r="L124" s="173">
        <v>1</v>
      </c>
      <c r="M124" s="173">
        <v>1</v>
      </c>
      <c r="N124" s="173">
        <v>1</v>
      </c>
      <c r="O124" s="173">
        <v>1</v>
      </c>
      <c r="P124" s="173">
        <v>1</v>
      </c>
      <c r="Q124" s="173">
        <v>1</v>
      </c>
      <c r="R124" s="173">
        <v>1</v>
      </c>
      <c r="S124" s="173">
        <v>1.02</v>
      </c>
      <c r="T124" s="173">
        <v>1</v>
      </c>
      <c r="U124" s="173">
        <v>1</v>
      </c>
      <c r="V124" s="173">
        <v>1</v>
      </c>
      <c r="W124" s="173">
        <v>1</v>
      </c>
      <c r="X124" s="173">
        <v>1</v>
      </c>
      <c r="Y124" s="173">
        <v>1.02</v>
      </c>
      <c r="Z124" s="173">
        <v>1</v>
      </c>
      <c r="AA124" s="173">
        <v>1</v>
      </c>
      <c r="AB124" s="173">
        <v>1</v>
      </c>
      <c r="AC124" s="173">
        <v>1</v>
      </c>
      <c r="AD124" s="173">
        <v>0.98</v>
      </c>
      <c r="AE124" s="173">
        <v>0.98</v>
      </c>
      <c r="AF124" s="173">
        <v>0.98</v>
      </c>
      <c r="AG124" s="173">
        <v>0.98</v>
      </c>
      <c r="AH124" s="173">
        <v>1.05</v>
      </c>
      <c r="AI124" s="173">
        <v>1</v>
      </c>
      <c r="AJ124" s="173">
        <v>1</v>
      </c>
      <c r="AK124" s="173">
        <v>1.02</v>
      </c>
      <c r="AL124">
        <v>1</v>
      </c>
      <c r="AM124">
        <v>1</v>
      </c>
      <c r="AN124">
        <v>1</v>
      </c>
      <c r="AO124">
        <v>1</v>
      </c>
    </row>
    <row r="125" spans="1:41" x14ac:dyDescent="0.25">
      <c r="A125" s="172">
        <v>40452</v>
      </c>
      <c r="B125" s="173">
        <v>1</v>
      </c>
      <c r="C125" s="173">
        <v>1</v>
      </c>
      <c r="D125" s="173">
        <v>1</v>
      </c>
      <c r="E125" s="173">
        <v>1</v>
      </c>
      <c r="F125" s="173">
        <v>1</v>
      </c>
      <c r="G125" s="173">
        <v>1</v>
      </c>
      <c r="H125" s="173">
        <v>1</v>
      </c>
      <c r="I125" s="173">
        <v>1</v>
      </c>
      <c r="J125" s="173">
        <v>1</v>
      </c>
      <c r="K125" s="173">
        <v>1</v>
      </c>
      <c r="L125" s="173">
        <v>1</v>
      </c>
      <c r="M125" s="173">
        <v>1</v>
      </c>
      <c r="N125" s="173">
        <v>1</v>
      </c>
      <c r="O125" s="173">
        <v>1</v>
      </c>
      <c r="P125" s="173">
        <v>1</v>
      </c>
      <c r="Q125" s="173">
        <v>1</v>
      </c>
      <c r="R125" s="173">
        <v>1</v>
      </c>
      <c r="S125" s="173">
        <v>1.02</v>
      </c>
      <c r="T125" s="173">
        <v>1</v>
      </c>
      <c r="U125" s="173">
        <v>1</v>
      </c>
      <c r="V125" s="173">
        <v>1</v>
      </c>
      <c r="W125" s="173">
        <v>1</v>
      </c>
      <c r="X125" s="173">
        <v>1</v>
      </c>
      <c r="Y125" s="173">
        <v>1.02</v>
      </c>
      <c r="Z125" s="173">
        <v>1</v>
      </c>
      <c r="AA125" s="173">
        <v>1</v>
      </c>
      <c r="AB125" s="173">
        <v>1</v>
      </c>
      <c r="AC125" s="173">
        <v>1</v>
      </c>
      <c r="AD125" s="173">
        <v>0.98</v>
      </c>
      <c r="AE125" s="173">
        <v>0.98</v>
      </c>
      <c r="AF125" s="173">
        <v>0.98</v>
      </c>
      <c r="AG125" s="173">
        <v>0.98</v>
      </c>
      <c r="AH125" s="173">
        <v>1.05</v>
      </c>
      <c r="AI125" s="173">
        <v>1</v>
      </c>
      <c r="AJ125" s="173">
        <v>1</v>
      </c>
      <c r="AK125" s="173">
        <v>1.02</v>
      </c>
      <c r="AL125">
        <v>1</v>
      </c>
      <c r="AM125">
        <v>1</v>
      </c>
      <c r="AN125">
        <v>1</v>
      </c>
      <c r="AO125">
        <v>1</v>
      </c>
    </row>
    <row r="126" spans="1:41" x14ac:dyDescent="0.25">
      <c r="A126" s="172">
        <v>40483</v>
      </c>
      <c r="B126" s="173">
        <v>1</v>
      </c>
      <c r="C126" s="173">
        <v>1</v>
      </c>
      <c r="D126" s="173">
        <v>1</v>
      </c>
      <c r="E126" s="173">
        <v>1</v>
      </c>
      <c r="F126" s="173">
        <v>1</v>
      </c>
      <c r="G126" s="173">
        <v>1</v>
      </c>
      <c r="H126" s="173">
        <v>1</v>
      </c>
      <c r="I126" s="173">
        <v>1</v>
      </c>
      <c r="J126" s="173">
        <v>1</v>
      </c>
      <c r="K126" s="173">
        <v>1</v>
      </c>
      <c r="L126" s="173">
        <v>1</v>
      </c>
      <c r="M126" s="173">
        <v>1</v>
      </c>
      <c r="N126" s="173">
        <v>1</v>
      </c>
      <c r="O126" s="173">
        <v>1</v>
      </c>
      <c r="P126" s="173">
        <v>1</v>
      </c>
      <c r="Q126" s="173">
        <v>1</v>
      </c>
      <c r="R126" s="173">
        <v>1</v>
      </c>
      <c r="S126" s="173">
        <v>1.02</v>
      </c>
      <c r="T126" s="173">
        <v>1</v>
      </c>
      <c r="U126" s="173">
        <v>1</v>
      </c>
      <c r="V126" s="173">
        <v>1</v>
      </c>
      <c r="W126" s="173">
        <v>1</v>
      </c>
      <c r="X126" s="173">
        <v>1</v>
      </c>
      <c r="Y126" s="173">
        <v>1</v>
      </c>
      <c r="Z126" s="173">
        <v>1</v>
      </c>
      <c r="AA126" s="173">
        <v>1</v>
      </c>
      <c r="AB126" s="173">
        <v>1</v>
      </c>
      <c r="AC126" s="173">
        <v>1</v>
      </c>
      <c r="AD126" s="173">
        <v>1</v>
      </c>
      <c r="AE126" s="173">
        <v>1</v>
      </c>
      <c r="AF126" s="173">
        <v>1.1000000000000001</v>
      </c>
      <c r="AG126" s="173">
        <v>1.1000000000000001</v>
      </c>
      <c r="AH126" s="173">
        <v>1.05</v>
      </c>
      <c r="AI126" s="173">
        <v>1</v>
      </c>
      <c r="AJ126" s="173">
        <v>1</v>
      </c>
      <c r="AK126" s="173">
        <v>1.02</v>
      </c>
      <c r="AL126">
        <v>1</v>
      </c>
      <c r="AM126">
        <v>1</v>
      </c>
      <c r="AN126">
        <v>1</v>
      </c>
      <c r="AO126">
        <v>1</v>
      </c>
    </row>
    <row r="127" spans="1:41" x14ac:dyDescent="0.25">
      <c r="A127" s="172">
        <v>40513</v>
      </c>
      <c r="B127" s="173">
        <v>1</v>
      </c>
      <c r="C127" s="173">
        <v>1</v>
      </c>
      <c r="D127" s="173">
        <v>1</v>
      </c>
      <c r="E127" s="173">
        <v>1</v>
      </c>
      <c r="F127" s="173">
        <v>1</v>
      </c>
      <c r="G127" s="173">
        <v>1</v>
      </c>
      <c r="H127" s="173">
        <v>1</v>
      </c>
      <c r="I127" s="173">
        <v>1</v>
      </c>
      <c r="J127" s="173">
        <v>1</v>
      </c>
      <c r="K127" s="173">
        <v>1</v>
      </c>
      <c r="L127" s="173">
        <v>1</v>
      </c>
      <c r="M127" s="173">
        <v>1</v>
      </c>
      <c r="N127" s="173">
        <v>1</v>
      </c>
      <c r="O127" s="173">
        <v>1</v>
      </c>
      <c r="P127" s="173">
        <v>1</v>
      </c>
      <c r="Q127" s="173">
        <v>1</v>
      </c>
      <c r="R127" s="173">
        <v>1</v>
      </c>
      <c r="S127" s="173">
        <v>1.02</v>
      </c>
      <c r="T127" s="173">
        <v>1</v>
      </c>
      <c r="U127" s="173">
        <v>1</v>
      </c>
      <c r="V127" s="173">
        <v>1</v>
      </c>
      <c r="W127" s="173">
        <v>1</v>
      </c>
      <c r="X127" s="173">
        <v>1</v>
      </c>
      <c r="Y127" s="173">
        <v>1</v>
      </c>
      <c r="Z127" s="173">
        <v>1</v>
      </c>
      <c r="AA127" s="173">
        <v>1</v>
      </c>
      <c r="AB127" s="173">
        <v>1</v>
      </c>
      <c r="AC127" s="173">
        <v>1</v>
      </c>
      <c r="AD127" s="173">
        <v>1</v>
      </c>
      <c r="AE127" s="173">
        <v>1</v>
      </c>
      <c r="AF127" s="173">
        <v>1.1000000000000001</v>
      </c>
      <c r="AG127" s="173">
        <v>1.1000000000000001</v>
      </c>
      <c r="AH127" s="173">
        <v>1.05</v>
      </c>
      <c r="AI127" s="173">
        <v>1</v>
      </c>
      <c r="AJ127" s="173">
        <v>1</v>
      </c>
      <c r="AK127" s="173">
        <v>1.02</v>
      </c>
      <c r="AL127">
        <v>1</v>
      </c>
      <c r="AM127">
        <v>1</v>
      </c>
      <c r="AN127">
        <v>1</v>
      </c>
      <c r="AO127">
        <v>1</v>
      </c>
    </row>
    <row r="128" spans="1:41" x14ac:dyDescent="0.25">
      <c r="A128" s="172">
        <v>40544</v>
      </c>
      <c r="B128" s="173">
        <v>1</v>
      </c>
      <c r="C128" s="173">
        <v>1</v>
      </c>
      <c r="D128" s="173">
        <v>1</v>
      </c>
      <c r="E128" s="173">
        <v>1</v>
      </c>
      <c r="F128" s="173">
        <v>1</v>
      </c>
      <c r="G128" s="173">
        <v>1</v>
      </c>
      <c r="H128" s="173">
        <v>1</v>
      </c>
      <c r="I128" s="173">
        <v>1</v>
      </c>
      <c r="J128" s="173">
        <v>1</v>
      </c>
      <c r="K128" s="173">
        <v>1</v>
      </c>
      <c r="L128" s="173">
        <v>1</v>
      </c>
      <c r="M128" s="173">
        <v>1</v>
      </c>
      <c r="N128" s="173">
        <v>1</v>
      </c>
      <c r="O128" s="173">
        <v>1</v>
      </c>
      <c r="P128" s="173">
        <v>1</v>
      </c>
      <c r="Q128" s="173">
        <v>1</v>
      </c>
      <c r="R128" s="173">
        <v>1</v>
      </c>
      <c r="S128" s="173">
        <v>1.02</v>
      </c>
      <c r="T128" s="173">
        <v>1</v>
      </c>
      <c r="U128" s="173">
        <v>1</v>
      </c>
      <c r="V128" s="173">
        <v>1</v>
      </c>
      <c r="W128" s="173">
        <v>1</v>
      </c>
      <c r="X128" s="173">
        <v>1</v>
      </c>
      <c r="Y128" s="173">
        <v>1</v>
      </c>
      <c r="Z128" s="173">
        <v>1</v>
      </c>
      <c r="AA128" s="173">
        <v>1</v>
      </c>
      <c r="AB128" s="173">
        <v>1</v>
      </c>
      <c r="AC128" s="173">
        <v>1</v>
      </c>
      <c r="AD128" s="173">
        <v>1</v>
      </c>
      <c r="AE128" s="173">
        <v>1</v>
      </c>
      <c r="AF128" s="173">
        <v>1.1000000000000001</v>
      </c>
      <c r="AG128" s="173">
        <v>1.1000000000000001</v>
      </c>
      <c r="AH128" s="173">
        <v>1.05</v>
      </c>
      <c r="AI128" s="173">
        <v>1</v>
      </c>
      <c r="AJ128" s="173">
        <v>1</v>
      </c>
      <c r="AK128" s="173">
        <v>1.02</v>
      </c>
      <c r="AL128">
        <v>1</v>
      </c>
      <c r="AM128">
        <v>1</v>
      </c>
      <c r="AN128">
        <v>1</v>
      </c>
      <c r="AO128">
        <v>1</v>
      </c>
    </row>
    <row r="129" spans="1:41" x14ac:dyDescent="0.25">
      <c r="A129" s="172">
        <v>40575</v>
      </c>
      <c r="B129" s="173">
        <v>1</v>
      </c>
      <c r="C129" s="173">
        <v>1</v>
      </c>
      <c r="D129" s="173">
        <v>1</v>
      </c>
      <c r="E129" s="173">
        <v>1</v>
      </c>
      <c r="F129" s="173">
        <v>1</v>
      </c>
      <c r="G129" s="173">
        <v>1</v>
      </c>
      <c r="H129" s="173">
        <v>1</v>
      </c>
      <c r="I129" s="173">
        <v>1</v>
      </c>
      <c r="J129" s="173">
        <v>1</v>
      </c>
      <c r="K129" s="173">
        <v>1</v>
      </c>
      <c r="L129" s="173">
        <v>1</v>
      </c>
      <c r="M129" s="173">
        <v>1</v>
      </c>
      <c r="N129" s="173">
        <v>1</v>
      </c>
      <c r="O129" s="173">
        <v>1</v>
      </c>
      <c r="P129" s="173">
        <v>1</v>
      </c>
      <c r="Q129" s="173">
        <v>1</v>
      </c>
      <c r="R129" s="173">
        <v>1</v>
      </c>
      <c r="S129" s="173">
        <v>1.02</v>
      </c>
      <c r="T129" s="173">
        <v>1</v>
      </c>
      <c r="U129" s="173">
        <v>1</v>
      </c>
      <c r="V129" s="173">
        <v>1</v>
      </c>
      <c r="W129" s="173">
        <v>1</v>
      </c>
      <c r="X129" s="173">
        <v>1</v>
      </c>
      <c r="Y129" s="173">
        <v>1</v>
      </c>
      <c r="Z129" s="173">
        <v>1</v>
      </c>
      <c r="AA129" s="173">
        <v>1</v>
      </c>
      <c r="AB129" s="173">
        <v>1</v>
      </c>
      <c r="AC129" s="173">
        <v>1</v>
      </c>
      <c r="AD129" s="173">
        <v>1</v>
      </c>
      <c r="AE129" s="173">
        <v>1</v>
      </c>
      <c r="AF129" s="173">
        <v>1.1000000000000001</v>
      </c>
      <c r="AG129" s="173">
        <v>1.1000000000000001</v>
      </c>
      <c r="AH129" s="173">
        <v>1.05</v>
      </c>
      <c r="AI129" s="173">
        <v>1</v>
      </c>
      <c r="AJ129" s="173">
        <v>1</v>
      </c>
      <c r="AK129" s="173">
        <v>1.02</v>
      </c>
      <c r="AL129">
        <v>1</v>
      </c>
      <c r="AM129">
        <v>1</v>
      </c>
      <c r="AN129">
        <v>1</v>
      </c>
      <c r="AO129">
        <v>1</v>
      </c>
    </row>
    <row r="130" spans="1:41" x14ac:dyDescent="0.25">
      <c r="A130" s="172">
        <v>40603</v>
      </c>
      <c r="B130" s="173">
        <v>1</v>
      </c>
      <c r="C130" s="173">
        <v>1</v>
      </c>
      <c r="D130" s="173">
        <v>1</v>
      </c>
      <c r="E130" s="173">
        <v>1</v>
      </c>
      <c r="F130" s="173">
        <v>1</v>
      </c>
      <c r="G130" s="173">
        <v>1</v>
      </c>
      <c r="H130" s="173">
        <v>1</v>
      </c>
      <c r="I130" s="173">
        <v>1</v>
      </c>
      <c r="J130" s="173">
        <v>1</v>
      </c>
      <c r="K130" s="173">
        <v>1</v>
      </c>
      <c r="L130" s="173">
        <v>1</v>
      </c>
      <c r="M130" s="173">
        <v>1</v>
      </c>
      <c r="N130" s="173">
        <v>1</v>
      </c>
      <c r="O130" s="173">
        <v>1</v>
      </c>
      <c r="P130" s="173">
        <v>1</v>
      </c>
      <c r="Q130" s="173">
        <v>1</v>
      </c>
      <c r="R130" s="173">
        <v>1</v>
      </c>
      <c r="S130" s="173">
        <v>1.02</v>
      </c>
      <c r="T130" s="173">
        <v>1</v>
      </c>
      <c r="U130" s="173">
        <v>1</v>
      </c>
      <c r="V130" s="173">
        <v>1</v>
      </c>
      <c r="W130" s="173">
        <v>1</v>
      </c>
      <c r="X130" s="173">
        <v>1</v>
      </c>
      <c r="Y130" s="173">
        <v>1</v>
      </c>
      <c r="Z130" s="173">
        <v>1</v>
      </c>
      <c r="AA130" s="173">
        <v>1</v>
      </c>
      <c r="AB130" s="173">
        <v>1</v>
      </c>
      <c r="AC130" s="173">
        <v>1</v>
      </c>
      <c r="AD130" s="173">
        <v>1</v>
      </c>
      <c r="AE130" s="173">
        <v>1</v>
      </c>
      <c r="AF130" s="173">
        <v>1.1000000000000001</v>
      </c>
      <c r="AG130" s="173">
        <v>1.1000000000000001</v>
      </c>
      <c r="AH130" s="173">
        <v>1.05</v>
      </c>
      <c r="AI130" s="173">
        <v>1</v>
      </c>
      <c r="AJ130" s="173">
        <v>1</v>
      </c>
      <c r="AK130" s="173">
        <v>1.02</v>
      </c>
      <c r="AL130">
        <v>1</v>
      </c>
      <c r="AM130">
        <v>1</v>
      </c>
      <c r="AN130">
        <v>1</v>
      </c>
      <c r="AO130">
        <v>1</v>
      </c>
    </row>
    <row r="131" spans="1:41" x14ac:dyDescent="0.25">
      <c r="A131" s="172">
        <v>40634</v>
      </c>
      <c r="B131" s="173">
        <v>1</v>
      </c>
      <c r="C131" s="173">
        <v>1</v>
      </c>
      <c r="D131" s="173">
        <v>1</v>
      </c>
      <c r="E131" s="173">
        <v>1</v>
      </c>
      <c r="F131" s="173">
        <v>1</v>
      </c>
      <c r="G131" s="173">
        <v>1</v>
      </c>
      <c r="H131" s="173">
        <v>1</v>
      </c>
      <c r="I131" s="173">
        <v>1</v>
      </c>
      <c r="J131" s="173">
        <v>1</v>
      </c>
      <c r="K131" s="173">
        <v>1</v>
      </c>
      <c r="L131" s="173">
        <v>1</v>
      </c>
      <c r="M131" s="173">
        <v>1</v>
      </c>
      <c r="N131" s="173">
        <v>1</v>
      </c>
      <c r="O131" s="173">
        <v>1</v>
      </c>
      <c r="P131" s="173">
        <v>1</v>
      </c>
      <c r="Q131" s="173">
        <v>1</v>
      </c>
      <c r="R131" s="173">
        <v>1</v>
      </c>
      <c r="S131" s="173">
        <v>1.02</v>
      </c>
      <c r="T131" s="173">
        <v>1</v>
      </c>
      <c r="U131" s="173">
        <v>1</v>
      </c>
      <c r="V131" s="173">
        <v>1</v>
      </c>
      <c r="W131" s="173">
        <v>1</v>
      </c>
      <c r="X131" s="173">
        <v>1</v>
      </c>
      <c r="Y131" s="173">
        <v>1.02</v>
      </c>
      <c r="Z131" s="173">
        <v>1</v>
      </c>
      <c r="AA131" s="173">
        <v>1</v>
      </c>
      <c r="AB131" s="173">
        <v>1</v>
      </c>
      <c r="AC131" s="173">
        <v>1</v>
      </c>
      <c r="AD131" s="173">
        <v>0.98</v>
      </c>
      <c r="AE131" s="173">
        <v>0.98</v>
      </c>
      <c r="AF131" s="173">
        <v>0.98</v>
      </c>
      <c r="AG131" s="173">
        <v>0.98</v>
      </c>
      <c r="AH131" s="173">
        <v>1.05</v>
      </c>
      <c r="AI131" s="173">
        <v>1</v>
      </c>
      <c r="AJ131" s="173">
        <v>1</v>
      </c>
      <c r="AK131" s="173">
        <v>1.02</v>
      </c>
      <c r="AL131">
        <v>1</v>
      </c>
      <c r="AM131">
        <v>1</v>
      </c>
      <c r="AN131">
        <v>1</v>
      </c>
      <c r="AO131">
        <v>1</v>
      </c>
    </row>
    <row r="132" spans="1:41" x14ac:dyDescent="0.25">
      <c r="A132" s="172">
        <v>40664</v>
      </c>
      <c r="B132" s="173">
        <v>1</v>
      </c>
      <c r="C132" s="173">
        <v>1</v>
      </c>
      <c r="D132" s="173">
        <v>1</v>
      </c>
      <c r="E132" s="173">
        <v>1</v>
      </c>
      <c r="F132" s="173">
        <v>1</v>
      </c>
      <c r="G132" s="173">
        <v>1</v>
      </c>
      <c r="H132" s="173">
        <v>1</v>
      </c>
      <c r="I132" s="173">
        <v>1</v>
      </c>
      <c r="J132" s="173">
        <v>1</v>
      </c>
      <c r="K132" s="173">
        <v>1</v>
      </c>
      <c r="L132" s="173">
        <v>1</v>
      </c>
      <c r="M132" s="173">
        <v>1</v>
      </c>
      <c r="N132" s="173">
        <v>1</v>
      </c>
      <c r="O132" s="173">
        <v>1</v>
      </c>
      <c r="P132" s="173">
        <v>1</v>
      </c>
      <c r="Q132" s="173">
        <v>1</v>
      </c>
      <c r="R132" s="173">
        <v>1</v>
      </c>
      <c r="S132" s="173">
        <v>1.02</v>
      </c>
      <c r="T132" s="173">
        <v>1</v>
      </c>
      <c r="U132" s="173">
        <v>1</v>
      </c>
      <c r="V132" s="173">
        <v>1</v>
      </c>
      <c r="W132" s="173">
        <v>1</v>
      </c>
      <c r="X132" s="173">
        <v>1</v>
      </c>
      <c r="Y132" s="173">
        <v>1.02</v>
      </c>
      <c r="Z132" s="173">
        <v>1</v>
      </c>
      <c r="AA132" s="173">
        <v>1</v>
      </c>
      <c r="AB132" s="173">
        <v>1</v>
      </c>
      <c r="AC132" s="173">
        <v>1</v>
      </c>
      <c r="AD132" s="173">
        <v>0.98</v>
      </c>
      <c r="AE132" s="173">
        <v>0.98</v>
      </c>
      <c r="AF132" s="173">
        <v>0.98</v>
      </c>
      <c r="AG132" s="173">
        <v>0.98</v>
      </c>
      <c r="AH132" s="173">
        <v>1.05</v>
      </c>
      <c r="AI132" s="173">
        <v>1</v>
      </c>
      <c r="AJ132" s="173">
        <v>1</v>
      </c>
      <c r="AK132" s="173">
        <v>1.02</v>
      </c>
      <c r="AL132">
        <v>1</v>
      </c>
      <c r="AM132">
        <v>1</v>
      </c>
      <c r="AN132">
        <v>1</v>
      </c>
      <c r="AO132">
        <v>1</v>
      </c>
    </row>
    <row r="133" spans="1:41" x14ac:dyDescent="0.25">
      <c r="A133" s="172">
        <v>40695</v>
      </c>
      <c r="B133" s="173">
        <v>1</v>
      </c>
      <c r="C133" s="173">
        <v>1</v>
      </c>
      <c r="D133" s="173">
        <v>1</v>
      </c>
      <c r="E133" s="173">
        <v>1</v>
      </c>
      <c r="F133" s="173">
        <v>1</v>
      </c>
      <c r="G133" s="173">
        <v>1</v>
      </c>
      <c r="H133" s="173">
        <v>1</v>
      </c>
      <c r="I133" s="173">
        <v>1</v>
      </c>
      <c r="J133" s="173">
        <v>1</v>
      </c>
      <c r="K133" s="173">
        <v>1</v>
      </c>
      <c r="L133" s="173">
        <v>1</v>
      </c>
      <c r="M133" s="173">
        <v>1</v>
      </c>
      <c r="N133" s="173">
        <v>1</v>
      </c>
      <c r="O133" s="173">
        <v>1</v>
      </c>
      <c r="P133" s="173">
        <v>1</v>
      </c>
      <c r="Q133" s="173">
        <v>1</v>
      </c>
      <c r="R133" s="173">
        <v>1</v>
      </c>
      <c r="S133" s="173">
        <v>1.02</v>
      </c>
      <c r="T133" s="173">
        <v>1</v>
      </c>
      <c r="U133" s="173">
        <v>1</v>
      </c>
      <c r="V133" s="173">
        <v>1</v>
      </c>
      <c r="W133" s="173">
        <v>1</v>
      </c>
      <c r="X133" s="173">
        <v>1</v>
      </c>
      <c r="Y133" s="173">
        <v>1.02</v>
      </c>
      <c r="Z133" s="173">
        <v>1</v>
      </c>
      <c r="AA133" s="173">
        <v>1</v>
      </c>
      <c r="AB133" s="173">
        <v>1</v>
      </c>
      <c r="AC133" s="173">
        <v>1</v>
      </c>
      <c r="AD133" s="173">
        <v>0.98</v>
      </c>
      <c r="AE133" s="173">
        <v>0.98</v>
      </c>
      <c r="AF133" s="173">
        <v>0.98</v>
      </c>
      <c r="AG133" s="173">
        <v>0.98</v>
      </c>
      <c r="AH133" s="173">
        <v>1.05</v>
      </c>
      <c r="AI133" s="173">
        <v>1</v>
      </c>
      <c r="AJ133" s="173">
        <v>1</v>
      </c>
      <c r="AK133" s="173">
        <v>1.02</v>
      </c>
      <c r="AL133">
        <v>1</v>
      </c>
      <c r="AM133">
        <v>1</v>
      </c>
      <c r="AN133">
        <v>1</v>
      </c>
      <c r="AO133">
        <v>1</v>
      </c>
    </row>
    <row r="134" spans="1:41" x14ac:dyDescent="0.25">
      <c r="A134" s="172">
        <v>40725</v>
      </c>
      <c r="B134" s="173">
        <v>1</v>
      </c>
      <c r="C134" s="173">
        <v>1</v>
      </c>
      <c r="D134" s="173">
        <v>1</v>
      </c>
      <c r="E134" s="173">
        <v>1</v>
      </c>
      <c r="F134" s="173">
        <v>1</v>
      </c>
      <c r="G134" s="173">
        <v>1</v>
      </c>
      <c r="H134" s="173">
        <v>1</v>
      </c>
      <c r="I134" s="173">
        <v>1</v>
      </c>
      <c r="J134" s="173">
        <v>1</v>
      </c>
      <c r="K134" s="173">
        <v>1</v>
      </c>
      <c r="L134" s="173">
        <v>1</v>
      </c>
      <c r="M134" s="173">
        <v>1</v>
      </c>
      <c r="N134" s="173">
        <v>1</v>
      </c>
      <c r="O134" s="173">
        <v>1</v>
      </c>
      <c r="P134" s="173">
        <v>1</v>
      </c>
      <c r="Q134" s="173">
        <v>1</v>
      </c>
      <c r="R134" s="173">
        <v>1</v>
      </c>
      <c r="S134" s="173">
        <v>1.02</v>
      </c>
      <c r="T134" s="173">
        <v>1</v>
      </c>
      <c r="U134" s="173">
        <v>1</v>
      </c>
      <c r="V134" s="173">
        <v>1</v>
      </c>
      <c r="W134" s="173">
        <v>1</v>
      </c>
      <c r="X134" s="173">
        <v>1</v>
      </c>
      <c r="Y134" s="173">
        <v>1.02</v>
      </c>
      <c r="Z134" s="173">
        <v>1</v>
      </c>
      <c r="AA134" s="173">
        <v>1</v>
      </c>
      <c r="AB134" s="173">
        <v>1</v>
      </c>
      <c r="AC134" s="173">
        <v>1</v>
      </c>
      <c r="AD134" s="173">
        <v>0.98</v>
      </c>
      <c r="AE134" s="173">
        <v>0.98</v>
      </c>
      <c r="AF134" s="173">
        <v>0.98</v>
      </c>
      <c r="AG134" s="173">
        <v>0.98</v>
      </c>
      <c r="AH134" s="173">
        <v>1.05</v>
      </c>
      <c r="AI134" s="173">
        <v>1</v>
      </c>
      <c r="AJ134" s="173">
        <v>1</v>
      </c>
      <c r="AK134" s="173">
        <v>1.02</v>
      </c>
      <c r="AL134">
        <v>1</v>
      </c>
      <c r="AM134">
        <v>1</v>
      </c>
      <c r="AN134">
        <v>1</v>
      </c>
      <c r="AO134">
        <v>1</v>
      </c>
    </row>
    <row r="135" spans="1:41" x14ac:dyDescent="0.25">
      <c r="A135" s="172">
        <v>40756</v>
      </c>
      <c r="B135" s="173">
        <v>1</v>
      </c>
      <c r="C135" s="173">
        <v>1</v>
      </c>
      <c r="D135" s="173">
        <v>1</v>
      </c>
      <c r="E135" s="173">
        <v>1</v>
      </c>
      <c r="F135" s="173">
        <v>1</v>
      </c>
      <c r="G135" s="173">
        <v>1</v>
      </c>
      <c r="H135" s="173">
        <v>1</v>
      </c>
      <c r="I135" s="173">
        <v>1</v>
      </c>
      <c r="J135" s="173">
        <v>1</v>
      </c>
      <c r="K135" s="173">
        <v>1</v>
      </c>
      <c r="L135" s="173">
        <v>1</v>
      </c>
      <c r="M135" s="173">
        <v>1</v>
      </c>
      <c r="N135" s="173">
        <v>1</v>
      </c>
      <c r="O135" s="173">
        <v>1</v>
      </c>
      <c r="P135" s="173">
        <v>1</v>
      </c>
      <c r="Q135" s="173">
        <v>1</v>
      </c>
      <c r="R135" s="173">
        <v>1</v>
      </c>
      <c r="S135" s="173">
        <v>1.02</v>
      </c>
      <c r="T135" s="173">
        <v>1</v>
      </c>
      <c r="U135" s="173">
        <v>1</v>
      </c>
      <c r="V135" s="173">
        <v>1</v>
      </c>
      <c r="W135" s="173">
        <v>1</v>
      </c>
      <c r="X135" s="173">
        <v>1</v>
      </c>
      <c r="Y135" s="173">
        <v>1.02</v>
      </c>
      <c r="Z135" s="173">
        <v>1</v>
      </c>
      <c r="AA135" s="173">
        <v>1</v>
      </c>
      <c r="AB135" s="173">
        <v>1</v>
      </c>
      <c r="AC135" s="173">
        <v>1</v>
      </c>
      <c r="AD135" s="173">
        <v>0.98</v>
      </c>
      <c r="AE135" s="173">
        <v>0.98</v>
      </c>
      <c r="AF135" s="173">
        <v>0.98</v>
      </c>
      <c r="AG135" s="173">
        <v>0.98</v>
      </c>
      <c r="AH135" s="173">
        <v>1.05</v>
      </c>
      <c r="AI135" s="173">
        <v>1</v>
      </c>
      <c r="AJ135" s="173">
        <v>1</v>
      </c>
      <c r="AK135" s="173">
        <v>1.02</v>
      </c>
      <c r="AL135">
        <v>1</v>
      </c>
      <c r="AM135">
        <v>1</v>
      </c>
      <c r="AN135">
        <v>1</v>
      </c>
      <c r="AO135">
        <v>1</v>
      </c>
    </row>
    <row r="136" spans="1:41" x14ac:dyDescent="0.25">
      <c r="A136" s="172">
        <v>40787</v>
      </c>
      <c r="B136" s="173">
        <v>1</v>
      </c>
      <c r="C136" s="173">
        <v>1</v>
      </c>
      <c r="D136" s="173">
        <v>1</v>
      </c>
      <c r="E136" s="173">
        <v>1</v>
      </c>
      <c r="F136" s="173">
        <v>1</v>
      </c>
      <c r="G136" s="173">
        <v>1</v>
      </c>
      <c r="H136" s="173">
        <v>1</v>
      </c>
      <c r="I136" s="173">
        <v>1</v>
      </c>
      <c r="J136" s="173">
        <v>1</v>
      </c>
      <c r="K136" s="173">
        <v>1</v>
      </c>
      <c r="L136" s="173">
        <v>1</v>
      </c>
      <c r="M136" s="173">
        <v>1</v>
      </c>
      <c r="N136" s="173">
        <v>1</v>
      </c>
      <c r="O136" s="173">
        <v>1</v>
      </c>
      <c r="P136" s="173">
        <v>1</v>
      </c>
      <c r="Q136" s="173">
        <v>1</v>
      </c>
      <c r="R136" s="173">
        <v>1</v>
      </c>
      <c r="S136" s="173">
        <v>1.02</v>
      </c>
      <c r="T136" s="173">
        <v>1</v>
      </c>
      <c r="U136" s="173">
        <v>1</v>
      </c>
      <c r="V136" s="173">
        <v>1</v>
      </c>
      <c r="W136" s="173">
        <v>1</v>
      </c>
      <c r="X136" s="173">
        <v>1</v>
      </c>
      <c r="Y136" s="173">
        <v>1.02</v>
      </c>
      <c r="Z136" s="173">
        <v>1</v>
      </c>
      <c r="AA136" s="173">
        <v>1</v>
      </c>
      <c r="AB136" s="173">
        <v>1</v>
      </c>
      <c r="AC136" s="173">
        <v>1</v>
      </c>
      <c r="AD136" s="173">
        <v>0.98</v>
      </c>
      <c r="AE136" s="173">
        <v>0.98</v>
      </c>
      <c r="AF136" s="173">
        <v>0.98</v>
      </c>
      <c r="AG136" s="173">
        <v>0.98</v>
      </c>
      <c r="AH136" s="173">
        <v>1.05</v>
      </c>
      <c r="AI136" s="173">
        <v>1</v>
      </c>
      <c r="AJ136" s="173">
        <v>1</v>
      </c>
      <c r="AK136" s="173">
        <v>1.02</v>
      </c>
      <c r="AL136">
        <v>1</v>
      </c>
      <c r="AM136">
        <v>1</v>
      </c>
      <c r="AN136">
        <v>1</v>
      </c>
      <c r="AO136">
        <v>1</v>
      </c>
    </row>
    <row r="137" spans="1:41" x14ac:dyDescent="0.25">
      <c r="A137" s="172">
        <v>40817</v>
      </c>
      <c r="B137" s="173">
        <v>1</v>
      </c>
      <c r="C137" s="173">
        <v>1</v>
      </c>
      <c r="D137" s="173">
        <v>1</v>
      </c>
      <c r="E137" s="173">
        <v>1</v>
      </c>
      <c r="F137" s="173">
        <v>1</v>
      </c>
      <c r="G137" s="173">
        <v>1</v>
      </c>
      <c r="H137" s="173">
        <v>1</v>
      </c>
      <c r="I137" s="173">
        <v>1</v>
      </c>
      <c r="J137" s="173">
        <v>1</v>
      </c>
      <c r="K137" s="173">
        <v>1</v>
      </c>
      <c r="L137" s="173">
        <v>1</v>
      </c>
      <c r="M137" s="173">
        <v>1</v>
      </c>
      <c r="N137" s="173">
        <v>1</v>
      </c>
      <c r="O137" s="173">
        <v>1</v>
      </c>
      <c r="P137" s="173">
        <v>1</v>
      </c>
      <c r="Q137" s="173">
        <v>1</v>
      </c>
      <c r="R137" s="173">
        <v>1</v>
      </c>
      <c r="S137" s="173">
        <v>1.02</v>
      </c>
      <c r="T137" s="173">
        <v>1</v>
      </c>
      <c r="U137" s="173">
        <v>1</v>
      </c>
      <c r="V137" s="173">
        <v>1</v>
      </c>
      <c r="W137" s="173">
        <v>1</v>
      </c>
      <c r="X137" s="173">
        <v>1</v>
      </c>
      <c r="Y137" s="173">
        <v>1.02</v>
      </c>
      <c r="Z137" s="173">
        <v>1</v>
      </c>
      <c r="AA137" s="173">
        <v>1</v>
      </c>
      <c r="AB137" s="173">
        <v>1</v>
      </c>
      <c r="AC137" s="173">
        <v>1</v>
      </c>
      <c r="AD137" s="173">
        <v>0.98</v>
      </c>
      <c r="AE137" s="173">
        <v>0.98</v>
      </c>
      <c r="AF137" s="173">
        <v>0.98</v>
      </c>
      <c r="AG137" s="173">
        <v>0.98</v>
      </c>
      <c r="AH137" s="173">
        <v>1.05</v>
      </c>
      <c r="AI137" s="173">
        <v>1</v>
      </c>
      <c r="AJ137" s="173">
        <v>1</v>
      </c>
      <c r="AK137" s="173">
        <v>1.02</v>
      </c>
      <c r="AL137">
        <v>1</v>
      </c>
      <c r="AM137">
        <v>1</v>
      </c>
      <c r="AN137">
        <v>1</v>
      </c>
      <c r="AO137">
        <v>1</v>
      </c>
    </row>
    <row r="138" spans="1:41" x14ac:dyDescent="0.25">
      <c r="A138" s="172">
        <v>40848</v>
      </c>
      <c r="B138" s="173">
        <v>1</v>
      </c>
      <c r="C138" s="173">
        <v>1</v>
      </c>
      <c r="D138" s="173">
        <v>1</v>
      </c>
      <c r="E138" s="173">
        <v>1</v>
      </c>
      <c r="F138" s="173">
        <v>1</v>
      </c>
      <c r="G138" s="173">
        <v>1</v>
      </c>
      <c r="H138" s="173">
        <v>1</v>
      </c>
      <c r="I138" s="173">
        <v>1</v>
      </c>
      <c r="J138" s="173">
        <v>1</v>
      </c>
      <c r="K138" s="173">
        <v>1</v>
      </c>
      <c r="L138" s="173">
        <v>1</v>
      </c>
      <c r="M138" s="173">
        <v>1</v>
      </c>
      <c r="N138" s="173">
        <v>1</v>
      </c>
      <c r="O138" s="173">
        <v>1</v>
      </c>
      <c r="P138" s="173">
        <v>1</v>
      </c>
      <c r="Q138" s="173">
        <v>1</v>
      </c>
      <c r="R138" s="173">
        <v>1</v>
      </c>
      <c r="S138" s="173">
        <v>1.02</v>
      </c>
      <c r="T138" s="173">
        <v>1</v>
      </c>
      <c r="U138" s="173">
        <v>1</v>
      </c>
      <c r="V138" s="173">
        <v>1</v>
      </c>
      <c r="W138" s="173">
        <v>1</v>
      </c>
      <c r="X138" s="173">
        <v>1</v>
      </c>
      <c r="Y138" s="173">
        <v>1</v>
      </c>
      <c r="Z138" s="173">
        <v>1</v>
      </c>
      <c r="AA138" s="173">
        <v>1</v>
      </c>
      <c r="AB138" s="173">
        <v>1</v>
      </c>
      <c r="AC138" s="173">
        <v>1</v>
      </c>
      <c r="AD138" s="173">
        <v>1</v>
      </c>
      <c r="AE138" s="173">
        <v>1</v>
      </c>
      <c r="AF138" s="173">
        <v>1.1000000000000001</v>
      </c>
      <c r="AG138" s="173">
        <v>1.1000000000000001</v>
      </c>
      <c r="AH138" s="173">
        <v>1.05</v>
      </c>
      <c r="AI138" s="173">
        <v>1</v>
      </c>
      <c r="AJ138" s="173">
        <v>1</v>
      </c>
      <c r="AK138" s="173">
        <v>1.02</v>
      </c>
      <c r="AL138">
        <v>1</v>
      </c>
      <c r="AM138">
        <v>1</v>
      </c>
      <c r="AN138">
        <v>1</v>
      </c>
      <c r="AO138">
        <v>1</v>
      </c>
    </row>
    <row r="139" spans="1:41" x14ac:dyDescent="0.25">
      <c r="A139" s="172">
        <v>40878</v>
      </c>
      <c r="B139" s="173">
        <v>1</v>
      </c>
      <c r="C139" s="173">
        <v>1</v>
      </c>
      <c r="D139" s="173">
        <v>1</v>
      </c>
      <c r="E139" s="173">
        <v>1</v>
      </c>
      <c r="F139" s="173">
        <v>1</v>
      </c>
      <c r="G139" s="173">
        <v>1</v>
      </c>
      <c r="H139" s="173">
        <v>1</v>
      </c>
      <c r="I139" s="173">
        <v>1</v>
      </c>
      <c r="J139" s="173">
        <v>1</v>
      </c>
      <c r="K139" s="173">
        <v>1</v>
      </c>
      <c r="L139" s="173">
        <v>1</v>
      </c>
      <c r="M139" s="173">
        <v>1</v>
      </c>
      <c r="N139" s="173">
        <v>1</v>
      </c>
      <c r="O139" s="173">
        <v>1</v>
      </c>
      <c r="P139" s="173">
        <v>1</v>
      </c>
      <c r="Q139" s="173">
        <v>1</v>
      </c>
      <c r="R139" s="173">
        <v>1</v>
      </c>
      <c r="S139" s="173">
        <v>1.02</v>
      </c>
      <c r="T139" s="173">
        <v>1</v>
      </c>
      <c r="U139" s="173">
        <v>1</v>
      </c>
      <c r="V139" s="173">
        <v>1</v>
      </c>
      <c r="W139" s="173">
        <v>1</v>
      </c>
      <c r="X139" s="173">
        <v>1</v>
      </c>
      <c r="Y139" s="173">
        <v>1</v>
      </c>
      <c r="Z139" s="173">
        <v>1</v>
      </c>
      <c r="AA139" s="173">
        <v>1</v>
      </c>
      <c r="AB139" s="173">
        <v>1</v>
      </c>
      <c r="AC139" s="173">
        <v>1</v>
      </c>
      <c r="AD139" s="173">
        <v>1</v>
      </c>
      <c r="AE139" s="173">
        <v>1</v>
      </c>
      <c r="AF139" s="173">
        <v>1.1000000000000001</v>
      </c>
      <c r="AG139" s="173">
        <v>1.1000000000000001</v>
      </c>
      <c r="AH139" s="173">
        <v>1.05</v>
      </c>
      <c r="AI139" s="173">
        <v>1</v>
      </c>
      <c r="AJ139" s="173">
        <v>1</v>
      </c>
      <c r="AK139" s="173">
        <v>1.02</v>
      </c>
      <c r="AL139">
        <v>1</v>
      </c>
      <c r="AM139">
        <v>1</v>
      </c>
      <c r="AN139">
        <v>1</v>
      </c>
      <c r="AO139">
        <v>1</v>
      </c>
    </row>
    <row r="140" spans="1:41" x14ac:dyDescent="0.25">
      <c r="A140" s="172">
        <v>40909</v>
      </c>
      <c r="B140" s="173">
        <v>1</v>
      </c>
      <c r="C140" s="173">
        <v>1</v>
      </c>
      <c r="D140" s="173">
        <v>1</v>
      </c>
      <c r="E140" s="173">
        <v>1</v>
      </c>
      <c r="F140" s="173">
        <v>1</v>
      </c>
      <c r="G140" s="173">
        <v>1</v>
      </c>
      <c r="H140" s="173">
        <v>1</v>
      </c>
      <c r="I140" s="173">
        <v>1</v>
      </c>
      <c r="J140" s="173">
        <v>1</v>
      </c>
      <c r="K140" s="173">
        <v>1</v>
      </c>
      <c r="L140" s="173">
        <v>1</v>
      </c>
      <c r="M140" s="173">
        <v>1</v>
      </c>
      <c r="N140" s="173">
        <v>1</v>
      </c>
      <c r="O140" s="173">
        <v>1</v>
      </c>
      <c r="P140" s="173">
        <v>1</v>
      </c>
      <c r="Q140" s="173">
        <v>1</v>
      </c>
      <c r="R140" s="173">
        <v>1</v>
      </c>
      <c r="S140" s="173">
        <v>1.02</v>
      </c>
      <c r="T140" s="173">
        <v>1</v>
      </c>
      <c r="U140" s="173">
        <v>1</v>
      </c>
      <c r="V140" s="173">
        <v>1</v>
      </c>
      <c r="W140" s="173">
        <v>1</v>
      </c>
      <c r="X140" s="173">
        <v>1</v>
      </c>
      <c r="Y140" s="173">
        <v>1</v>
      </c>
      <c r="Z140" s="173">
        <v>1</v>
      </c>
      <c r="AA140" s="173">
        <v>1</v>
      </c>
      <c r="AB140" s="173">
        <v>1</v>
      </c>
      <c r="AC140" s="173">
        <v>1</v>
      </c>
      <c r="AD140" s="173">
        <v>1</v>
      </c>
      <c r="AE140" s="173">
        <v>1</v>
      </c>
      <c r="AF140" s="173">
        <v>1.1000000000000001</v>
      </c>
      <c r="AG140" s="173">
        <v>1.1000000000000001</v>
      </c>
      <c r="AH140" s="173">
        <v>1.05</v>
      </c>
      <c r="AI140" s="173">
        <v>1</v>
      </c>
      <c r="AJ140" s="173">
        <v>1</v>
      </c>
      <c r="AK140" s="173">
        <v>1.02</v>
      </c>
      <c r="AL140">
        <v>1</v>
      </c>
      <c r="AM140">
        <v>1</v>
      </c>
      <c r="AN140">
        <v>1</v>
      </c>
      <c r="AO140">
        <v>1</v>
      </c>
    </row>
    <row r="141" spans="1:41" x14ac:dyDescent="0.25">
      <c r="A141" s="172">
        <v>40940</v>
      </c>
      <c r="B141" s="173">
        <v>1</v>
      </c>
      <c r="C141" s="173">
        <v>1</v>
      </c>
      <c r="D141" s="173">
        <v>1</v>
      </c>
      <c r="E141" s="173">
        <v>1</v>
      </c>
      <c r="F141" s="173">
        <v>1</v>
      </c>
      <c r="G141" s="173">
        <v>1</v>
      </c>
      <c r="H141" s="173">
        <v>1</v>
      </c>
      <c r="I141" s="173">
        <v>1</v>
      </c>
      <c r="J141" s="173">
        <v>1</v>
      </c>
      <c r="K141" s="173">
        <v>1</v>
      </c>
      <c r="L141" s="173">
        <v>1</v>
      </c>
      <c r="M141" s="173">
        <v>1</v>
      </c>
      <c r="N141" s="173">
        <v>1</v>
      </c>
      <c r="O141" s="173">
        <v>1</v>
      </c>
      <c r="P141" s="173">
        <v>1</v>
      </c>
      <c r="Q141" s="173">
        <v>1</v>
      </c>
      <c r="R141" s="173">
        <v>1</v>
      </c>
      <c r="S141" s="173">
        <v>1.02</v>
      </c>
      <c r="T141" s="173">
        <v>1</v>
      </c>
      <c r="U141" s="173">
        <v>1</v>
      </c>
      <c r="V141" s="173">
        <v>1</v>
      </c>
      <c r="W141" s="173">
        <v>1</v>
      </c>
      <c r="X141" s="173">
        <v>1</v>
      </c>
      <c r="Y141" s="173">
        <v>1</v>
      </c>
      <c r="Z141" s="173">
        <v>1</v>
      </c>
      <c r="AA141" s="173">
        <v>1</v>
      </c>
      <c r="AB141" s="173">
        <v>1</v>
      </c>
      <c r="AC141" s="173">
        <v>1</v>
      </c>
      <c r="AD141" s="173">
        <v>1</v>
      </c>
      <c r="AE141" s="173">
        <v>1</v>
      </c>
      <c r="AF141" s="173">
        <v>1.1000000000000001</v>
      </c>
      <c r="AG141" s="173">
        <v>1.1000000000000001</v>
      </c>
      <c r="AH141" s="173">
        <v>1.05</v>
      </c>
      <c r="AI141" s="173">
        <v>1</v>
      </c>
      <c r="AJ141" s="173">
        <v>1</v>
      </c>
      <c r="AK141" s="173">
        <v>1.02</v>
      </c>
      <c r="AL141">
        <v>1</v>
      </c>
      <c r="AM141">
        <v>1</v>
      </c>
      <c r="AN141">
        <v>1</v>
      </c>
      <c r="AO141">
        <v>1</v>
      </c>
    </row>
    <row r="142" spans="1:41" x14ac:dyDescent="0.25">
      <c r="A142" s="172">
        <v>40969</v>
      </c>
      <c r="B142" s="173">
        <v>1</v>
      </c>
      <c r="C142" s="173">
        <v>1</v>
      </c>
      <c r="D142" s="173">
        <v>1</v>
      </c>
      <c r="E142" s="173">
        <v>1</v>
      </c>
      <c r="F142" s="173">
        <v>1</v>
      </c>
      <c r="G142" s="173">
        <v>1</v>
      </c>
      <c r="H142" s="173">
        <v>1</v>
      </c>
      <c r="I142" s="173">
        <v>1</v>
      </c>
      <c r="J142" s="173">
        <v>1</v>
      </c>
      <c r="K142" s="173">
        <v>1</v>
      </c>
      <c r="L142" s="173">
        <v>1</v>
      </c>
      <c r="M142" s="173">
        <v>1</v>
      </c>
      <c r="N142" s="173">
        <v>1</v>
      </c>
      <c r="O142" s="173">
        <v>1</v>
      </c>
      <c r="P142" s="173">
        <v>1</v>
      </c>
      <c r="Q142" s="173">
        <v>1</v>
      </c>
      <c r="R142" s="173">
        <v>1</v>
      </c>
      <c r="S142" s="173">
        <v>1.02</v>
      </c>
      <c r="T142" s="173">
        <v>1</v>
      </c>
      <c r="U142" s="173">
        <v>1</v>
      </c>
      <c r="V142" s="173">
        <v>1</v>
      </c>
      <c r="W142" s="173">
        <v>1</v>
      </c>
      <c r="X142" s="173">
        <v>1</v>
      </c>
      <c r="Y142" s="173">
        <v>1</v>
      </c>
      <c r="Z142" s="173">
        <v>1</v>
      </c>
      <c r="AA142" s="173">
        <v>1</v>
      </c>
      <c r="AB142" s="173">
        <v>1</v>
      </c>
      <c r="AC142" s="173">
        <v>1</v>
      </c>
      <c r="AD142" s="173">
        <v>1</v>
      </c>
      <c r="AE142" s="173">
        <v>1</v>
      </c>
      <c r="AF142" s="173">
        <v>1.1000000000000001</v>
      </c>
      <c r="AG142" s="173">
        <v>1.1000000000000001</v>
      </c>
      <c r="AH142" s="173">
        <v>1.05</v>
      </c>
      <c r="AI142" s="173">
        <v>1</v>
      </c>
      <c r="AJ142" s="173">
        <v>1</v>
      </c>
      <c r="AK142" s="173">
        <v>1.02</v>
      </c>
      <c r="AL142">
        <v>1</v>
      </c>
      <c r="AM142">
        <v>1</v>
      </c>
      <c r="AN142">
        <v>1</v>
      </c>
      <c r="AO142">
        <v>1</v>
      </c>
    </row>
    <row r="143" spans="1:41" x14ac:dyDescent="0.25">
      <c r="A143" s="172">
        <v>41000</v>
      </c>
      <c r="B143" s="173">
        <v>1</v>
      </c>
      <c r="C143" s="173">
        <v>1</v>
      </c>
      <c r="D143" s="173">
        <v>1</v>
      </c>
      <c r="E143" s="173">
        <v>1</v>
      </c>
      <c r="F143" s="173">
        <v>1</v>
      </c>
      <c r="G143" s="173">
        <v>1</v>
      </c>
      <c r="H143" s="173">
        <v>1</v>
      </c>
      <c r="I143" s="173">
        <v>1</v>
      </c>
      <c r="J143" s="173">
        <v>1</v>
      </c>
      <c r="K143" s="173">
        <v>1</v>
      </c>
      <c r="L143" s="173">
        <v>1</v>
      </c>
      <c r="M143" s="173">
        <v>1</v>
      </c>
      <c r="N143" s="173">
        <v>1</v>
      </c>
      <c r="O143" s="173">
        <v>1</v>
      </c>
      <c r="P143" s="173">
        <v>1</v>
      </c>
      <c r="Q143" s="173">
        <v>1</v>
      </c>
      <c r="R143" s="173">
        <v>1</v>
      </c>
      <c r="S143" s="173">
        <v>1.02</v>
      </c>
      <c r="T143" s="173">
        <v>1</v>
      </c>
      <c r="U143" s="173">
        <v>1</v>
      </c>
      <c r="V143" s="173">
        <v>1</v>
      </c>
      <c r="W143" s="173">
        <v>1</v>
      </c>
      <c r="X143" s="173">
        <v>1</v>
      </c>
      <c r="Y143" s="173">
        <v>1.02</v>
      </c>
      <c r="Z143" s="173">
        <v>1</v>
      </c>
      <c r="AA143" s="173">
        <v>1</v>
      </c>
      <c r="AB143" s="173">
        <v>1</v>
      </c>
      <c r="AC143" s="173">
        <v>1</v>
      </c>
      <c r="AD143" s="173">
        <v>0.98</v>
      </c>
      <c r="AE143" s="173">
        <v>0.98</v>
      </c>
      <c r="AF143" s="173">
        <v>0.98</v>
      </c>
      <c r="AG143" s="173">
        <v>0.98</v>
      </c>
      <c r="AH143" s="173">
        <v>1.05</v>
      </c>
      <c r="AI143" s="173">
        <v>1</v>
      </c>
      <c r="AJ143" s="173">
        <v>1</v>
      </c>
      <c r="AK143" s="173">
        <v>1.02</v>
      </c>
      <c r="AL143">
        <v>1</v>
      </c>
      <c r="AM143">
        <v>1</v>
      </c>
      <c r="AN143">
        <v>1</v>
      </c>
      <c r="AO143">
        <v>1</v>
      </c>
    </row>
    <row r="144" spans="1:41" x14ac:dyDescent="0.25">
      <c r="A144" s="172">
        <v>41030</v>
      </c>
      <c r="B144" s="173">
        <v>1</v>
      </c>
      <c r="C144" s="173">
        <v>1</v>
      </c>
      <c r="D144" s="173">
        <v>1</v>
      </c>
      <c r="E144" s="173">
        <v>1</v>
      </c>
      <c r="F144" s="173">
        <v>1</v>
      </c>
      <c r="G144" s="173">
        <v>1</v>
      </c>
      <c r="H144" s="173">
        <v>1</v>
      </c>
      <c r="I144" s="173">
        <v>1</v>
      </c>
      <c r="J144" s="173">
        <v>1</v>
      </c>
      <c r="K144" s="173">
        <v>1</v>
      </c>
      <c r="L144" s="173">
        <v>1</v>
      </c>
      <c r="M144" s="173">
        <v>1</v>
      </c>
      <c r="N144" s="173">
        <v>1</v>
      </c>
      <c r="O144" s="173">
        <v>1</v>
      </c>
      <c r="P144" s="173">
        <v>1</v>
      </c>
      <c r="Q144" s="173">
        <v>1</v>
      </c>
      <c r="R144" s="173">
        <v>1</v>
      </c>
      <c r="S144" s="173">
        <v>1.02</v>
      </c>
      <c r="T144" s="173">
        <v>1</v>
      </c>
      <c r="U144" s="173">
        <v>1</v>
      </c>
      <c r="V144" s="173">
        <v>1</v>
      </c>
      <c r="W144" s="173">
        <v>1</v>
      </c>
      <c r="X144" s="173">
        <v>1</v>
      </c>
      <c r="Y144" s="173">
        <v>1.02</v>
      </c>
      <c r="Z144" s="173">
        <v>1</v>
      </c>
      <c r="AA144" s="173">
        <v>1</v>
      </c>
      <c r="AB144" s="173">
        <v>1</v>
      </c>
      <c r="AC144" s="173">
        <v>1</v>
      </c>
      <c r="AD144" s="173">
        <v>0.98</v>
      </c>
      <c r="AE144" s="173">
        <v>0.98</v>
      </c>
      <c r="AF144" s="173">
        <v>0.98</v>
      </c>
      <c r="AG144" s="173">
        <v>0.98</v>
      </c>
      <c r="AH144" s="173">
        <v>1.05</v>
      </c>
      <c r="AI144" s="173">
        <v>1</v>
      </c>
      <c r="AJ144" s="173">
        <v>1</v>
      </c>
      <c r="AK144" s="173">
        <v>1.02</v>
      </c>
      <c r="AL144">
        <v>1</v>
      </c>
      <c r="AM144">
        <v>1</v>
      </c>
      <c r="AN144">
        <v>1</v>
      </c>
      <c r="AO144">
        <v>1</v>
      </c>
    </row>
    <row r="145" spans="1:41" x14ac:dyDescent="0.25">
      <c r="A145" s="172">
        <v>41061</v>
      </c>
      <c r="B145" s="173">
        <v>1</v>
      </c>
      <c r="C145" s="173">
        <v>1</v>
      </c>
      <c r="D145" s="173">
        <v>1</v>
      </c>
      <c r="E145" s="173">
        <v>1</v>
      </c>
      <c r="F145" s="173">
        <v>1</v>
      </c>
      <c r="G145" s="173">
        <v>1</v>
      </c>
      <c r="H145" s="173">
        <v>1</v>
      </c>
      <c r="I145" s="173">
        <v>1</v>
      </c>
      <c r="J145" s="173">
        <v>1</v>
      </c>
      <c r="K145" s="173">
        <v>1</v>
      </c>
      <c r="L145" s="173">
        <v>1</v>
      </c>
      <c r="M145" s="173">
        <v>1</v>
      </c>
      <c r="N145" s="173">
        <v>1</v>
      </c>
      <c r="O145" s="173">
        <v>1</v>
      </c>
      <c r="P145" s="173">
        <v>1</v>
      </c>
      <c r="Q145" s="173">
        <v>1</v>
      </c>
      <c r="R145" s="173">
        <v>1</v>
      </c>
      <c r="S145" s="173">
        <v>1.02</v>
      </c>
      <c r="T145" s="173">
        <v>1</v>
      </c>
      <c r="U145" s="173">
        <v>1</v>
      </c>
      <c r="V145" s="173">
        <v>1</v>
      </c>
      <c r="W145" s="173">
        <v>1</v>
      </c>
      <c r="X145" s="173">
        <v>1</v>
      </c>
      <c r="Y145" s="173">
        <v>1.02</v>
      </c>
      <c r="Z145" s="173">
        <v>1</v>
      </c>
      <c r="AA145" s="173">
        <v>1</v>
      </c>
      <c r="AB145" s="173">
        <v>1</v>
      </c>
      <c r="AC145" s="173">
        <v>1</v>
      </c>
      <c r="AD145" s="173">
        <v>0.98</v>
      </c>
      <c r="AE145" s="173">
        <v>0.98</v>
      </c>
      <c r="AF145" s="173">
        <v>0.98</v>
      </c>
      <c r="AG145" s="173">
        <v>0.98</v>
      </c>
      <c r="AH145" s="173">
        <v>1.05</v>
      </c>
      <c r="AI145" s="173">
        <v>1</v>
      </c>
      <c r="AJ145" s="173">
        <v>1</v>
      </c>
      <c r="AK145" s="173">
        <v>1.02</v>
      </c>
      <c r="AL145">
        <v>1</v>
      </c>
      <c r="AM145">
        <v>1</v>
      </c>
      <c r="AN145">
        <v>1</v>
      </c>
      <c r="AO145">
        <v>1</v>
      </c>
    </row>
    <row r="146" spans="1:41" x14ac:dyDescent="0.25">
      <c r="A146" s="172">
        <v>41091</v>
      </c>
      <c r="B146" s="173">
        <v>1</v>
      </c>
      <c r="C146" s="173">
        <v>1</v>
      </c>
      <c r="D146" s="173">
        <v>1</v>
      </c>
      <c r="E146" s="173">
        <v>1</v>
      </c>
      <c r="F146" s="173">
        <v>1</v>
      </c>
      <c r="G146" s="173">
        <v>1</v>
      </c>
      <c r="H146" s="173">
        <v>1</v>
      </c>
      <c r="I146" s="173">
        <v>1</v>
      </c>
      <c r="J146" s="173">
        <v>1</v>
      </c>
      <c r="K146" s="173">
        <v>1</v>
      </c>
      <c r="L146" s="173">
        <v>1</v>
      </c>
      <c r="M146" s="173">
        <v>1</v>
      </c>
      <c r="N146" s="173">
        <v>1</v>
      </c>
      <c r="O146" s="173">
        <v>1</v>
      </c>
      <c r="P146" s="173">
        <v>1</v>
      </c>
      <c r="Q146" s="173">
        <v>1</v>
      </c>
      <c r="R146" s="173">
        <v>1</v>
      </c>
      <c r="S146" s="173">
        <v>1.02</v>
      </c>
      <c r="T146" s="173">
        <v>1</v>
      </c>
      <c r="U146" s="173">
        <v>1</v>
      </c>
      <c r="V146" s="173">
        <v>1</v>
      </c>
      <c r="W146" s="173">
        <v>1</v>
      </c>
      <c r="X146" s="173">
        <v>1</v>
      </c>
      <c r="Y146" s="173">
        <v>1.02</v>
      </c>
      <c r="Z146" s="173">
        <v>1</v>
      </c>
      <c r="AA146" s="173">
        <v>1</v>
      </c>
      <c r="AB146" s="173">
        <v>1</v>
      </c>
      <c r="AC146" s="173">
        <v>1</v>
      </c>
      <c r="AD146" s="173">
        <v>0.98</v>
      </c>
      <c r="AE146" s="173">
        <v>0.98</v>
      </c>
      <c r="AF146" s="173">
        <v>0.98</v>
      </c>
      <c r="AG146" s="173">
        <v>0.98</v>
      </c>
      <c r="AH146" s="173">
        <v>1.05</v>
      </c>
      <c r="AI146" s="173">
        <v>1</v>
      </c>
      <c r="AJ146" s="173">
        <v>1</v>
      </c>
      <c r="AK146" s="173">
        <v>1.02</v>
      </c>
      <c r="AL146">
        <v>1</v>
      </c>
      <c r="AM146">
        <v>1</v>
      </c>
      <c r="AN146">
        <v>1</v>
      </c>
      <c r="AO146">
        <v>1</v>
      </c>
    </row>
    <row r="147" spans="1:41" x14ac:dyDescent="0.25">
      <c r="A147" s="172">
        <v>41122</v>
      </c>
      <c r="B147" s="173">
        <v>1</v>
      </c>
      <c r="C147" s="173">
        <v>1</v>
      </c>
      <c r="D147" s="173">
        <v>1</v>
      </c>
      <c r="E147" s="173">
        <v>1</v>
      </c>
      <c r="F147" s="173">
        <v>1</v>
      </c>
      <c r="G147" s="173">
        <v>1</v>
      </c>
      <c r="H147" s="173">
        <v>1</v>
      </c>
      <c r="I147" s="173">
        <v>1</v>
      </c>
      <c r="J147" s="173">
        <v>1</v>
      </c>
      <c r="K147" s="173">
        <v>1</v>
      </c>
      <c r="L147" s="173">
        <v>1</v>
      </c>
      <c r="M147" s="173">
        <v>1</v>
      </c>
      <c r="N147" s="173">
        <v>1</v>
      </c>
      <c r="O147" s="173">
        <v>1</v>
      </c>
      <c r="P147" s="173">
        <v>1</v>
      </c>
      <c r="Q147" s="173">
        <v>1</v>
      </c>
      <c r="R147" s="173">
        <v>1</v>
      </c>
      <c r="S147" s="173">
        <v>1.02</v>
      </c>
      <c r="T147" s="173">
        <v>1</v>
      </c>
      <c r="U147" s="173">
        <v>1</v>
      </c>
      <c r="V147" s="173">
        <v>1</v>
      </c>
      <c r="W147" s="173">
        <v>1</v>
      </c>
      <c r="X147" s="173">
        <v>1</v>
      </c>
      <c r="Y147" s="173">
        <v>1.02</v>
      </c>
      <c r="Z147" s="173">
        <v>1</v>
      </c>
      <c r="AA147" s="173">
        <v>1</v>
      </c>
      <c r="AB147" s="173">
        <v>1</v>
      </c>
      <c r="AC147" s="173">
        <v>1</v>
      </c>
      <c r="AD147" s="173">
        <v>0.98</v>
      </c>
      <c r="AE147" s="173">
        <v>0.98</v>
      </c>
      <c r="AF147" s="173">
        <v>0.98</v>
      </c>
      <c r="AG147" s="173">
        <v>0.98</v>
      </c>
      <c r="AH147" s="173">
        <v>1.05</v>
      </c>
      <c r="AI147" s="173">
        <v>1</v>
      </c>
      <c r="AJ147" s="173">
        <v>1</v>
      </c>
      <c r="AK147" s="173">
        <v>1.02</v>
      </c>
      <c r="AL147">
        <v>1</v>
      </c>
      <c r="AM147">
        <v>1</v>
      </c>
      <c r="AN147">
        <v>1</v>
      </c>
      <c r="AO147">
        <v>1</v>
      </c>
    </row>
    <row r="148" spans="1:41" x14ac:dyDescent="0.25">
      <c r="A148" s="172">
        <v>41153</v>
      </c>
      <c r="B148" s="173">
        <v>1</v>
      </c>
      <c r="C148" s="173">
        <v>1</v>
      </c>
      <c r="D148" s="173">
        <v>1</v>
      </c>
      <c r="E148" s="173">
        <v>1</v>
      </c>
      <c r="F148" s="173">
        <v>1</v>
      </c>
      <c r="G148" s="173">
        <v>1</v>
      </c>
      <c r="H148" s="173">
        <v>1</v>
      </c>
      <c r="I148" s="173">
        <v>1</v>
      </c>
      <c r="J148" s="173">
        <v>1</v>
      </c>
      <c r="K148" s="173">
        <v>1</v>
      </c>
      <c r="L148" s="173">
        <v>1</v>
      </c>
      <c r="M148" s="173">
        <v>1</v>
      </c>
      <c r="N148" s="173">
        <v>1</v>
      </c>
      <c r="O148" s="173">
        <v>1</v>
      </c>
      <c r="P148" s="173">
        <v>1</v>
      </c>
      <c r="Q148" s="173">
        <v>1</v>
      </c>
      <c r="R148" s="173">
        <v>1</v>
      </c>
      <c r="S148" s="173">
        <v>1.02</v>
      </c>
      <c r="T148" s="173">
        <v>1</v>
      </c>
      <c r="U148" s="173">
        <v>1</v>
      </c>
      <c r="V148" s="173">
        <v>1</v>
      </c>
      <c r="W148" s="173">
        <v>1</v>
      </c>
      <c r="X148" s="173">
        <v>1</v>
      </c>
      <c r="Y148" s="173">
        <v>1.02</v>
      </c>
      <c r="Z148" s="173">
        <v>1</v>
      </c>
      <c r="AA148" s="173">
        <v>1</v>
      </c>
      <c r="AB148" s="173">
        <v>1</v>
      </c>
      <c r="AC148" s="173">
        <v>1</v>
      </c>
      <c r="AD148" s="173">
        <v>0.98</v>
      </c>
      <c r="AE148" s="173">
        <v>0.98</v>
      </c>
      <c r="AF148" s="173">
        <v>0.98</v>
      </c>
      <c r="AG148" s="173">
        <v>0.98</v>
      </c>
      <c r="AH148" s="173">
        <v>1.05</v>
      </c>
      <c r="AI148" s="173">
        <v>1</v>
      </c>
      <c r="AJ148" s="173">
        <v>1</v>
      </c>
      <c r="AK148" s="173">
        <v>1.02</v>
      </c>
      <c r="AL148">
        <v>1</v>
      </c>
      <c r="AM148">
        <v>1</v>
      </c>
      <c r="AN148">
        <v>1</v>
      </c>
      <c r="AO148">
        <v>1</v>
      </c>
    </row>
    <row r="149" spans="1:41" x14ac:dyDescent="0.25">
      <c r="A149" s="172">
        <v>41183</v>
      </c>
      <c r="B149" s="173">
        <v>1</v>
      </c>
      <c r="C149" s="173">
        <v>1</v>
      </c>
      <c r="D149" s="173">
        <v>1</v>
      </c>
      <c r="E149" s="173">
        <v>1</v>
      </c>
      <c r="F149" s="173">
        <v>1</v>
      </c>
      <c r="G149" s="173">
        <v>1</v>
      </c>
      <c r="H149" s="173">
        <v>1</v>
      </c>
      <c r="I149" s="173">
        <v>1</v>
      </c>
      <c r="J149" s="173">
        <v>1</v>
      </c>
      <c r="K149" s="173">
        <v>1</v>
      </c>
      <c r="L149" s="173">
        <v>1</v>
      </c>
      <c r="M149" s="173">
        <v>1</v>
      </c>
      <c r="N149" s="173">
        <v>1</v>
      </c>
      <c r="O149" s="173">
        <v>1</v>
      </c>
      <c r="P149" s="173">
        <v>1</v>
      </c>
      <c r="Q149" s="173">
        <v>1</v>
      </c>
      <c r="R149" s="173">
        <v>1</v>
      </c>
      <c r="S149" s="173">
        <v>1.02</v>
      </c>
      <c r="T149" s="173">
        <v>1</v>
      </c>
      <c r="U149" s="173">
        <v>1</v>
      </c>
      <c r="V149" s="173">
        <v>1</v>
      </c>
      <c r="W149" s="173">
        <v>1</v>
      </c>
      <c r="X149" s="173">
        <v>1</v>
      </c>
      <c r="Y149" s="173">
        <v>1.02</v>
      </c>
      <c r="Z149" s="173">
        <v>1</v>
      </c>
      <c r="AA149" s="173">
        <v>1</v>
      </c>
      <c r="AB149" s="173">
        <v>1</v>
      </c>
      <c r="AC149" s="173">
        <v>1</v>
      </c>
      <c r="AD149" s="173">
        <v>0.98</v>
      </c>
      <c r="AE149" s="173">
        <v>0.98</v>
      </c>
      <c r="AF149" s="173">
        <v>0.98</v>
      </c>
      <c r="AG149" s="173">
        <v>0.98</v>
      </c>
      <c r="AH149" s="173">
        <v>1.05</v>
      </c>
      <c r="AI149" s="173">
        <v>1</v>
      </c>
      <c r="AJ149" s="173">
        <v>1</v>
      </c>
      <c r="AK149" s="173">
        <v>1.02</v>
      </c>
      <c r="AL149">
        <v>1</v>
      </c>
      <c r="AM149">
        <v>1</v>
      </c>
      <c r="AN149">
        <v>1</v>
      </c>
      <c r="AO149">
        <v>1</v>
      </c>
    </row>
    <row r="150" spans="1:41" x14ac:dyDescent="0.25">
      <c r="A150" s="172">
        <v>41214</v>
      </c>
      <c r="B150" s="173">
        <v>1</v>
      </c>
      <c r="C150" s="173">
        <v>1</v>
      </c>
      <c r="D150" s="173">
        <v>1</v>
      </c>
      <c r="E150" s="173">
        <v>1</v>
      </c>
      <c r="F150" s="173">
        <v>1</v>
      </c>
      <c r="G150" s="173">
        <v>1</v>
      </c>
      <c r="H150" s="173">
        <v>1</v>
      </c>
      <c r="I150" s="173">
        <v>1</v>
      </c>
      <c r="J150" s="173">
        <v>1</v>
      </c>
      <c r="K150" s="173">
        <v>1</v>
      </c>
      <c r="L150" s="173">
        <v>1</v>
      </c>
      <c r="M150" s="173">
        <v>1</v>
      </c>
      <c r="N150" s="173">
        <v>1</v>
      </c>
      <c r="O150" s="173">
        <v>1</v>
      </c>
      <c r="P150" s="173">
        <v>1</v>
      </c>
      <c r="Q150" s="173">
        <v>1</v>
      </c>
      <c r="R150" s="173">
        <v>1</v>
      </c>
      <c r="S150" s="173">
        <v>1.02</v>
      </c>
      <c r="T150" s="173">
        <v>1</v>
      </c>
      <c r="U150" s="173">
        <v>1</v>
      </c>
      <c r="V150" s="173">
        <v>1</v>
      </c>
      <c r="W150" s="173">
        <v>1</v>
      </c>
      <c r="X150" s="173">
        <v>1</v>
      </c>
      <c r="Y150" s="173">
        <v>1</v>
      </c>
      <c r="Z150" s="173">
        <v>1</v>
      </c>
      <c r="AA150" s="173">
        <v>1</v>
      </c>
      <c r="AB150" s="173">
        <v>1</v>
      </c>
      <c r="AC150" s="173">
        <v>1</v>
      </c>
      <c r="AD150" s="173">
        <v>1</v>
      </c>
      <c r="AE150" s="173">
        <v>1</v>
      </c>
      <c r="AF150" s="173">
        <v>1.1000000000000001</v>
      </c>
      <c r="AG150" s="173">
        <v>1.1000000000000001</v>
      </c>
      <c r="AH150" s="173">
        <v>1.05</v>
      </c>
      <c r="AI150" s="173">
        <v>1</v>
      </c>
      <c r="AJ150" s="173">
        <v>1</v>
      </c>
      <c r="AK150" s="173">
        <v>1.02</v>
      </c>
      <c r="AL150">
        <v>1</v>
      </c>
      <c r="AM150">
        <v>1</v>
      </c>
      <c r="AN150">
        <v>1</v>
      </c>
      <c r="AO150">
        <v>1</v>
      </c>
    </row>
    <row r="151" spans="1:41" x14ac:dyDescent="0.25">
      <c r="A151" s="172">
        <v>41244</v>
      </c>
      <c r="B151" s="173">
        <v>1</v>
      </c>
      <c r="C151" s="173">
        <v>1</v>
      </c>
      <c r="D151" s="173">
        <v>1</v>
      </c>
      <c r="E151" s="173">
        <v>1</v>
      </c>
      <c r="F151" s="173">
        <v>1</v>
      </c>
      <c r="G151" s="173">
        <v>1</v>
      </c>
      <c r="H151" s="173">
        <v>1</v>
      </c>
      <c r="I151" s="173">
        <v>1</v>
      </c>
      <c r="J151" s="173">
        <v>1</v>
      </c>
      <c r="K151" s="173">
        <v>1</v>
      </c>
      <c r="L151" s="173">
        <v>1</v>
      </c>
      <c r="M151" s="173">
        <v>1</v>
      </c>
      <c r="N151" s="173">
        <v>1</v>
      </c>
      <c r="O151" s="173">
        <v>1</v>
      </c>
      <c r="P151" s="173">
        <v>1</v>
      </c>
      <c r="Q151" s="173">
        <v>1</v>
      </c>
      <c r="R151" s="173">
        <v>1</v>
      </c>
      <c r="S151" s="173">
        <v>1.02</v>
      </c>
      <c r="T151" s="173">
        <v>1</v>
      </c>
      <c r="U151" s="173">
        <v>1</v>
      </c>
      <c r="V151" s="173">
        <v>1</v>
      </c>
      <c r="W151" s="173">
        <v>1</v>
      </c>
      <c r="X151" s="173">
        <v>1</v>
      </c>
      <c r="Y151" s="173">
        <v>1</v>
      </c>
      <c r="Z151" s="173">
        <v>1</v>
      </c>
      <c r="AA151" s="173">
        <v>1</v>
      </c>
      <c r="AB151" s="173">
        <v>1</v>
      </c>
      <c r="AC151" s="173">
        <v>1</v>
      </c>
      <c r="AD151" s="173">
        <v>1</v>
      </c>
      <c r="AE151" s="173">
        <v>1</v>
      </c>
      <c r="AF151" s="173">
        <v>1.1000000000000001</v>
      </c>
      <c r="AG151" s="173">
        <v>1.1000000000000001</v>
      </c>
      <c r="AH151" s="173">
        <v>1.05</v>
      </c>
      <c r="AI151" s="173">
        <v>1</v>
      </c>
      <c r="AJ151" s="173">
        <v>1</v>
      </c>
      <c r="AK151" s="173">
        <v>1.02</v>
      </c>
      <c r="AL151">
        <v>1</v>
      </c>
      <c r="AM151">
        <v>1</v>
      </c>
      <c r="AN151">
        <v>1</v>
      </c>
      <c r="AO151">
        <v>1</v>
      </c>
    </row>
    <row r="152" spans="1:41" x14ac:dyDescent="0.25">
      <c r="A152" s="172">
        <v>41275</v>
      </c>
      <c r="B152" s="173">
        <v>1</v>
      </c>
      <c r="C152" s="173">
        <v>1</v>
      </c>
      <c r="D152" s="173">
        <v>1</v>
      </c>
      <c r="E152" s="173">
        <v>1</v>
      </c>
      <c r="F152" s="173">
        <v>1</v>
      </c>
      <c r="G152" s="173">
        <v>1</v>
      </c>
      <c r="H152" s="173">
        <v>1</v>
      </c>
      <c r="I152" s="173">
        <v>1</v>
      </c>
      <c r="J152" s="173">
        <v>1</v>
      </c>
      <c r="K152" s="173">
        <v>1</v>
      </c>
      <c r="L152" s="173">
        <v>1</v>
      </c>
      <c r="M152" s="173">
        <v>1</v>
      </c>
      <c r="N152" s="173">
        <v>1</v>
      </c>
      <c r="O152" s="173">
        <v>1</v>
      </c>
      <c r="P152" s="173">
        <v>1</v>
      </c>
      <c r="Q152" s="173">
        <v>1</v>
      </c>
      <c r="R152" s="173">
        <v>1</v>
      </c>
      <c r="S152" s="173">
        <v>1.02</v>
      </c>
      <c r="T152" s="173">
        <v>1</v>
      </c>
      <c r="U152" s="173">
        <v>1</v>
      </c>
      <c r="V152" s="173">
        <v>1</v>
      </c>
      <c r="W152" s="173">
        <v>1</v>
      </c>
      <c r="X152" s="173">
        <v>1</v>
      </c>
      <c r="Y152" s="173">
        <v>1</v>
      </c>
      <c r="Z152" s="173">
        <v>1</v>
      </c>
      <c r="AA152" s="173">
        <v>1</v>
      </c>
      <c r="AB152" s="173">
        <v>1</v>
      </c>
      <c r="AC152" s="173">
        <v>1</v>
      </c>
      <c r="AD152" s="173">
        <v>1</v>
      </c>
      <c r="AE152" s="173">
        <v>1</v>
      </c>
      <c r="AF152" s="173">
        <v>1.1000000000000001</v>
      </c>
      <c r="AG152" s="173">
        <v>1.1000000000000001</v>
      </c>
      <c r="AH152" s="173">
        <v>1.05</v>
      </c>
      <c r="AI152" s="173">
        <v>1</v>
      </c>
      <c r="AJ152" s="173">
        <v>1</v>
      </c>
      <c r="AK152" s="173">
        <v>1.02</v>
      </c>
      <c r="AL152">
        <v>1</v>
      </c>
      <c r="AM152">
        <v>1</v>
      </c>
      <c r="AN152">
        <v>1</v>
      </c>
      <c r="AO152">
        <v>1</v>
      </c>
    </row>
    <row r="153" spans="1:41" x14ac:dyDescent="0.25">
      <c r="A153" s="172">
        <v>41306</v>
      </c>
      <c r="B153" s="173">
        <v>1</v>
      </c>
      <c r="C153" s="173">
        <v>1</v>
      </c>
      <c r="D153" s="173">
        <v>1</v>
      </c>
      <c r="E153" s="173">
        <v>1</v>
      </c>
      <c r="F153" s="173">
        <v>1</v>
      </c>
      <c r="G153" s="173">
        <v>1</v>
      </c>
      <c r="H153" s="173">
        <v>1</v>
      </c>
      <c r="I153" s="173">
        <v>1</v>
      </c>
      <c r="J153" s="173">
        <v>1</v>
      </c>
      <c r="K153" s="173">
        <v>1</v>
      </c>
      <c r="L153" s="173">
        <v>1</v>
      </c>
      <c r="M153" s="173">
        <v>1</v>
      </c>
      <c r="N153" s="173">
        <v>1</v>
      </c>
      <c r="O153" s="173">
        <v>1</v>
      </c>
      <c r="P153" s="173">
        <v>1</v>
      </c>
      <c r="Q153" s="173">
        <v>1</v>
      </c>
      <c r="R153" s="173">
        <v>1</v>
      </c>
      <c r="S153" s="173">
        <v>1.02</v>
      </c>
      <c r="T153" s="173">
        <v>1</v>
      </c>
      <c r="U153" s="173">
        <v>1</v>
      </c>
      <c r="V153" s="173">
        <v>1</v>
      </c>
      <c r="W153" s="173">
        <v>1</v>
      </c>
      <c r="X153" s="173">
        <v>1</v>
      </c>
      <c r="Y153" s="173">
        <v>1</v>
      </c>
      <c r="Z153" s="173">
        <v>1</v>
      </c>
      <c r="AA153" s="173">
        <v>1</v>
      </c>
      <c r="AB153" s="173">
        <v>1</v>
      </c>
      <c r="AC153" s="173">
        <v>1</v>
      </c>
      <c r="AD153" s="173">
        <v>1</v>
      </c>
      <c r="AE153" s="173">
        <v>1</v>
      </c>
      <c r="AF153" s="173">
        <v>1.1000000000000001</v>
      </c>
      <c r="AG153" s="173">
        <v>1.1000000000000001</v>
      </c>
      <c r="AH153" s="173">
        <v>1.05</v>
      </c>
      <c r="AI153" s="173">
        <v>1</v>
      </c>
      <c r="AJ153" s="173">
        <v>1</v>
      </c>
      <c r="AK153" s="173">
        <v>1.02</v>
      </c>
      <c r="AL153">
        <v>1</v>
      </c>
      <c r="AM153">
        <v>1</v>
      </c>
      <c r="AN153">
        <v>1</v>
      </c>
      <c r="AO153">
        <v>1</v>
      </c>
    </row>
    <row r="154" spans="1:41" x14ac:dyDescent="0.25">
      <c r="A154" s="172">
        <v>41334</v>
      </c>
      <c r="B154" s="173">
        <v>1</v>
      </c>
      <c r="C154" s="173">
        <v>1</v>
      </c>
      <c r="D154" s="173">
        <v>1</v>
      </c>
      <c r="E154" s="173">
        <v>1</v>
      </c>
      <c r="F154" s="173">
        <v>1</v>
      </c>
      <c r="G154" s="173">
        <v>1</v>
      </c>
      <c r="H154" s="173">
        <v>1</v>
      </c>
      <c r="I154" s="173">
        <v>1</v>
      </c>
      <c r="J154" s="173">
        <v>1</v>
      </c>
      <c r="K154" s="173">
        <v>1</v>
      </c>
      <c r="L154" s="173">
        <v>1</v>
      </c>
      <c r="M154" s="173">
        <v>1</v>
      </c>
      <c r="N154" s="173">
        <v>1</v>
      </c>
      <c r="O154" s="173">
        <v>1</v>
      </c>
      <c r="P154" s="173">
        <v>1</v>
      </c>
      <c r="Q154" s="173">
        <v>1</v>
      </c>
      <c r="R154" s="173">
        <v>1</v>
      </c>
      <c r="S154" s="173">
        <v>1.02</v>
      </c>
      <c r="T154" s="173">
        <v>1</v>
      </c>
      <c r="U154" s="173">
        <v>1</v>
      </c>
      <c r="V154" s="173">
        <v>1</v>
      </c>
      <c r="W154" s="173">
        <v>1</v>
      </c>
      <c r="X154" s="173">
        <v>1</v>
      </c>
      <c r="Y154" s="173">
        <v>1</v>
      </c>
      <c r="Z154" s="173">
        <v>1</v>
      </c>
      <c r="AA154" s="173">
        <v>1</v>
      </c>
      <c r="AB154" s="173">
        <v>1</v>
      </c>
      <c r="AC154" s="173">
        <v>1</v>
      </c>
      <c r="AD154" s="173">
        <v>1</v>
      </c>
      <c r="AE154" s="173">
        <v>1</v>
      </c>
      <c r="AF154" s="173">
        <v>1.1000000000000001</v>
      </c>
      <c r="AG154" s="173">
        <v>1.1000000000000001</v>
      </c>
      <c r="AH154" s="173">
        <v>1.05</v>
      </c>
      <c r="AI154" s="173">
        <v>1</v>
      </c>
      <c r="AJ154" s="173">
        <v>1</v>
      </c>
      <c r="AK154" s="173">
        <v>1.02</v>
      </c>
      <c r="AL154">
        <v>1</v>
      </c>
      <c r="AM154">
        <v>1</v>
      </c>
      <c r="AN154">
        <v>1</v>
      </c>
      <c r="AO154">
        <v>1</v>
      </c>
    </row>
    <row r="155" spans="1:41" x14ac:dyDescent="0.25">
      <c r="A155" s="172">
        <v>41365</v>
      </c>
      <c r="B155" s="173">
        <v>1</v>
      </c>
      <c r="C155" s="173">
        <v>1</v>
      </c>
      <c r="D155" s="173">
        <v>1</v>
      </c>
      <c r="E155" s="173">
        <v>1</v>
      </c>
      <c r="F155" s="173">
        <v>1</v>
      </c>
      <c r="G155" s="173">
        <v>1</v>
      </c>
      <c r="H155" s="173">
        <v>1</v>
      </c>
      <c r="I155" s="173">
        <v>1</v>
      </c>
      <c r="J155" s="173">
        <v>1</v>
      </c>
      <c r="K155" s="173">
        <v>1</v>
      </c>
      <c r="L155" s="173">
        <v>1</v>
      </c>
      <c r="M155" s="173">
        <v>1</v>
      </c>
      <c r="N155" s="173">
        <v>1</v>
      </c>
      <c r="O155" s="173">
        <v>1</v>
      </c>
      <c r="P155" s="173">
        <v>1</v>
      </c>
      <c r="Q155" s="173">
        <v>1</v>
      </c>
      <c r="R155" s="173">
        <v>1</v>
      </c>
      <c r="S155" s="173">
        <v>1.02</v>
      </c>
      <c r="T155" s="173">
        <v>1</v>
      </c>
      <c r="U155" s="173">
        <v>1</v>
      </c>
      <c r="V155" s="173">
        <v>1</v>
      </c>
      <c r="W155" s="173">
        <v>1</v>
      </c>
      <c r="X155" s="173">
        <v>1</v>
      </c>
      <c r="Y155" s="173">
        <v>1.02</v>
      </c>
      <c r="Z155" s="173">
        <v>1</v>
      </c>
      <c r="AA155" s="173">
        <v>1</v>
      </c>
      <c r="AB155" s="173">
        <v>1</v>
      </c>
      <c r="AC155" s="173">
        <v>1</v>
      </c>
      <c r="AD155" s="173">
        <v>0.98</v>
      </c>
      <c r="AE155" s="173">
        <v>0.98</v>
      </c>
      <c r="AF155" s="173">
        <v>0.98</v>
      </c>
      <c r="AG155" s="173">
        <v>0.98</v>
      </c>
      <c r="AH155" s="173">
        <v>1.05</v>
      </c>
      <c r="AI155" s="173">
        <v>1</v>
      </c>
      <c r="AJ155" s="173">
        <v>1</v>
      </c>
      <c r="AK155" s="173">
        <v>1.02</v>
      </c>
      <c r="AL155">
        <v>1</v>
      </c>
      <c r="AM155">
        <v>1</v>
      </c>
      <c r="AN155">
        <v>1</v>
      </c>
      <c r="AO155">
        <v>1</v>
      </c>
    </row>
    <row r="156" spans="1:41" x14ac:dyDescent="0.25">
      <c r="A156" s="172">
        <v>41395</v>
      </c>
      <c r="B156" s="173">
        <v>1</v>
      </c>
      <c r="C156" s="173">
        <v>1</v>
      </c>
      <c r="D156" s="173">
        <v>1</v>
      </c>
      <c r="E156" s="173">
        <v>1</v>
      </c>
      <c r="F156" s="173">
        <v>1</v>
      </c>
      <c r="G156" s="173">
        <v>1</v>
      </c>
      <c r="H156" s="173">
        <v>1</v>
      </c>
      <c r="I156" s="173">
        <v>1</v>
      </c>
      <c r="J156" s="173">
        <v>1</v>
      </c>
      <c r="K156" s="173">
        <v>1</v>
      </c>
      <c r="L156" s="173">
        <v>1</v>
      </c>
      <c r="M156" s="173">
        <v>1</v>
      </c>
      <c r="N156" s="173">
        <v>1</v>
      </c>
      <c r="O156" s="173">
        <v>1</v>
      </c>
      <c r="P156" s="173">
        <v>1</v>
      </c>
      <c r="Q156" s="173">
        <v>1</v>
      </c>
      <c r="R156" s="173">
        <v>1</v>
      </c>
      <c r="S156" s="173">
        <v>1.02</v>
      </c>
      <c r="T156" s="173">
        <v>1</v>
      </c>
      <c r="U156" s="173">
        <v>1</v>
      </c>
      <c r="V156" s="173">
        <v>1</v>
      </c>
      <c r="W156" s="173">
        <v>1</v>
      </c>
      <c r="X156" s="173">
        <v>1</v>
      </c>
      <c r="Y156" s="173">
        <v>1.02</v>
      </c>
      <c r="Z156" s="173">
        <v>1</v>
      </c>
      <c r="AA156" s="173">
        <v>1</v>
      </c>
      <c r="AB156" s="173">
        <v>1</v>
      </c>
      <c r="AC156" s="173">
        <v>1</v>
      </c>
      <c r="AD156" s="173">
        <v>0.98</v>
      </c>
      <c r="AE156" s="173">
        <v>0.98</v>
      </c>
      <c r="AF156" s="173">
        <v>0.98</v>
      </c>
      <c r="AG156" s="173">
        <v>0.98</v>
      </c>
      <c r="AH156" s="173">
        <v>1.05</v>
      </c>
      <c r="AI156" s="173">
        <v>1</v>
      </c>
      <c r="AJ156" s="173">
        <v>1</v>
      </c>
      <c r="AK156" s="173">
        <v>1.02</v>
      </c>
      <c r="AL156">
        <v>1</v>
      </c>
      <c r="AM156">
        <v>1</v>
      </c>
      <c r="AN156">
        <v>1</v>
      </c>
      <c r="AO156">
        <v>1</v>
      </c>
    </row>
    <row r="157" spans="1:41" x14ac:dyDescent="0.25">
      <c r="A157" s="172">
        <v>41426</v>
      </c>
      <c r="B157" s="173">
        <v>1</v>
      </c>
      <c r="C157" s="173">
        <v>1</v>
      </c>
      <c r="D157" s="173">
        <v>1</v>
      </c>
      <c r="E157" s="173">
        <v>1</v>
      </c>
      <c r="F157" s="173">
        <v>1</v>
      </c>
      <c r="G157" s="173">
        <v>1</v>
      </c>
      <c r="H157" s="173">
        <v>1</v>
      </c>
      <c r="I157" s="173">
        <v>1</v>
      </c>
      <c r="J157" s="173">
        <v>1</v>
      </c>
      <c r="K157" s="173">
        <v>1</v>
      </c>
      <c r="L157" s="173">
        <v>1</v>
      </c>
      <c r="M157" s="173">
        <v>1</v>
      </c>
      <c r="N157" s="173">
        <v>1</v>
      </c>
      <c r="O157" s="173">
        <v>1</v>
      </c>
      <c r="P157" s="173">
        <v>1</v>
      </c>
      <c r="Q157" s="173">
        <v>1</v>
      </c>
      <c r="R157" s="173">
        <v>1</v>
      </c>
      <c r="S157" s="173">
        <v>1.02</v>
      </c>
      <c r="T157" s="173">
        <v>1</v>
      </c>
      <c r="U157" s="173">
        <v>1</v>
      </c>
      <c r="V157" s="173">
        <v>1</v>
      </c>
      <c r="W157" s="173">
        <v>1</v>
      </c>
      <c r="X157" s="173">
        <v>1</v>
      </c>
      <c r="Y157" s="173">
        <v>1.02</v>
      </c>
      <c r="Z157" s="173">
        <v>1</v>
      </c>
      <c r="AA157" s="173">
        <v>1</v>
      </c>
      <c r="AB157" s="173">
        <v>1</v>
      </c>
      <c r="AC157" s="173">
        <v>1</v>
      </c>
      <c r="AD157" s="173">
        <v>0.98</v>
      </c>
      <c r="AE157" s="173">
        <v>0.98</v>
      </c>
      <c r="AF157" s="173">
        <v>0.98</v>
      </c>
      <c r="AG157" s="173">
        <v>0.98</v>
      </c>
      <c r="AH157" s="173">
        <v>1.05</v>
      </c>
      <c r="AI157" s="173">
        <v>1</v>
      </c>
      <c r="AJ157" s="173">
        <v>1</v>
      </c>
      <c r="AK157" s="173">
        <v>1.02</v>
      </c>
      <c r="AL157">
        <v>1</v>
      </c>
      <c r="AM157">
        <v>1</v>
      </c>
      <c r="AN157">
        <v>1</v>
      </c>
      <c r="AO157">
        <v>1</v>
      </c>
    </row>
    <row r="158" spans="1:41" x14ac:dyDescent="0.25">
      <c r="A158" s="172">
        <v>41456</v>
      </c>
      <c r="B158" s="173">
        <v>1</v>
      </c>
      <c r="C158" s="173">
        <v>1</v>
      </c>
      <c r="D158" s="173">
        <v>1</v>
      </c>
      <c r="E158" s="173">
        <v>1</v>
      </c>
      <c r="F158" s="173">
        <v>1</v>
      </c>
      <c r="G158" s="173">
        <v>1</v>
      </c>
      <c r="H158" s="173">
        <v>1</v>
      </c>
      <c r="I158" s="173">
        <v>1</v>
      </c>
      <c r="J158" s="173">
        <v>1</v>
      </c>
      <c r="K158" s="173">
        <v>1</v>
      </c>
      <c r="L158" s="173">
        <v>1</v>
      </c>
      <c r="M158" s="173">
        <v>1</v>
      </c>
      <c r="N158" s="173">
        <v>1</v>
      </c>
      <c r="O158" s="173">
        <v>1</v>
      </c>
      <c r="P158" s="173">
        <v>1</v>
      </c>
      <c r="Q158" s="173">
        <v>1</v>
      </c>
      <c r="R158" s="173">
        <v>1</v>
      </c>
      <c r="S158" s="173">
        <v>1.02</v>
      </c>
      <c r="T158" s="173">
        <v>1</v>
      </c>
      <c r="U158" s="173">
        <v>1</v>
      </c>
      <c r="V158" s="173">
        <v>1</v>
      </c>
      <c r="W158" s="173">
        <v>1</v>
      </c>
      <c r="X158" s="173">
        <v>1</v>
      </c>
      <c r="Y158" s="173">
        <v>1.02</v>
      </c>
      <c r="Z158" s="173">
        <v>1</v>
      </c>
      <c r="AA158" s="173">
        <v>1</v>
      </c>
      <c r="AB158" s="173">
        <v>1</v>
      </c>
      <c r="AC158" s="173">
        <v>1</v>
      </c>
      <c r="AD158" s="173">
        <v>0.98</v>
      </c>
      <c r="AE158" s="173">
        <v>0.98</v>
      </c>
      <c r="AF158" s="173">
        <v>0.98</v>
      </c>
      <c r="AG158" s="173">
        <v>0.98</v>
      </c>
      <c r="AH158" s="173">
        <v>1.05</v>
      </c>
      <c r="AI158" s="173">
        <v>1</v>
      </c>
      <c r="AJ158" s="173">
        <v>1</v>
      </c>
      <c r="AK158" s="173">
        <v>1.02</v>
      </c>
      <c r="AL158">
        <v>1</v>
      </c>
      <c r="AM158">
        <v>1</v>
      </c>
      <c r="AN158">
        <v>1</v>
      </c>
      <c r="AO158">
        <v>1</v>
      </c>
    </row>
    <row r="159" spans="1:41" x14ac:dyDescent="0.25">
      <c r="A159" s="172">
        <v>41487</v>
      </c>
      <c r="B159" s="173">
        <v>1</v>
      </c>
      <c r="C159" s="173">
        <v>1</v>
      </c>
      <c r="D159" s="173">
        <v>1</v>
      </c>
      <c r="E159" s="173">
        <v>1</v>
      </c>
      <c r="F159" s="173">
        <v>1</v>
      </c>
      <c r="G159" s="173">
        <v>1</v>
      </c>
      <c r="H159" s="173">
        <v>1</v>
      </c>
      <c r="I159" s="173">
        <v>1</v>
      </c>
      <c r="J159" s="173">
        <v>1</v>
      </c>
      <c r="K159" s="173">
        <v>1</v>
      </c>
      <c r="L159" s="173">
        <v>1</v>
      </c>
      <c r="M159" s="173">
        <v>1</v>
      </c>
      <c r="N159" s="173">
        <v>1</v>
      </c>
      <c r="O159" s="173">
        <v>1</v>
      </c>
      <c r="P159" s="173">
        <v>1</v>
      </c>
      <c r="Q159" s="173">
        <v>1</v>
      </c>
      <c r="R159" s="173">
        <v>1</v>
      </c>
      <c r="S159" s="173">
        <v>1.02</v>
      </c>
      <c r="T159" s="173">
        <v>1</v>
      </c>
      <c r="U159" s="173">
        <v>1</v>
      </c>
      <c r="V159" s="173">
        <v>1</v>
      </c>
      <c r="W159" s="173">
        <v>1</v>
      </c>
      <c r="X159" s="173">
        <v>1</v>
      </c>
      <c r="Y159" s="173">
        <v>1.02</v>
      </c>
      <c r="Z159" s="173">
        <v>1</v>
      </c>
      <c r="AA159" s="173">
        <v>1</v>
      </c>
      <c r="AB159" s="173">
        <v>1</v>
      </c>
      <c r="AC159" s="173">
        <v>1</v>
      </c>
      <c r="AD159" s="173">
        <v>0.98</v>
      </c>
      <c r="AE159" s="173">
        <v>0.98</v>
      </c>
      <c r="AF159" s="173">
        <v>0.98</v>
      </c>
      <c r="AG159" s="173">
        <v>0.98</v>
      </c>
      <c r="AH159" s="173">
        <v>1.05</v>
      </c>
      <c r="AI159" s="173">
        <v>1</v>
      </c>
      <c r="AJ159" s="173">
        <v>1</v>
      </c>
      <c r="AK159" s="173">
        <v>1.02</v>
      </c>
      <c r="AL159">
        <v>1</v>
      </c>
      <c r="AM159">
        <v>1</v>
      </c>
      <c r="AN159">
        <v>1</v>
      </c>
      <c r="AO159">
        <v>1</v>
      </c>
    </row>
    <row r="160" spans="1:41" x14ac:dyDescent="0.25">
      <c r="A160" s="172">
        <v>41518</v>
      </c>
      <c r="B160" s="173">
        <v>1</v>
      </c>
      <c r="C160" s="173">
        <v>1</v>
      </c>
      <c r="D160" s="173">
        <v>1</v>
      </c>
      <c r="E160" s="173">
        <v>1</v>
      </c>
      <c r="F160" s="173">
        <v>1</v>
      </c>
      <c r="G160" s="173">
        <v>1</v>
      </c>
      <c r="H160" s="173">
        <v>1</v>
      </c>
      <c r="I160" s="173">
        <v>1</v>
      </c>
      <c r="J160" s="173">
        <v>1</v>
      </c>
      <c r="K160" s="173">
        <v>1</v>
      </c>
      <c r="L160" s="173">
        <v>1</v>
      </c>
      <c r="M160" s="173">
        <v>1</v>
      </c>
      <c r="N160" s="173">
        <v>1</v>
      </c>
      <c r="O160" s="173">
        <v>1</v>
      </c>
      <c r="P160" s="173">
        <v>1</v>
      </c>
      <c r="Q160" s="173">
        <v>1</v>
      </c>
      <c r="R160" s="173">
        <v>1</v>
      </c>
      <c r="S160" s="173">
        <v>1.02</v>
      </c>
      <c r="T160" s="173">
        <v>1</v>
      </c>
      <c r="U160" s="173">
        <v>1</v>
      </c>
      <c r="V160" s="173">
        <v>1</v>
      </c>
      <c r="W160" s="173">
        <v>1</v>
      </c>
      <c r="X160" s="173">
        <v>1</v>
      </c>
      <c r="Y160" s="173">
        <v>1.02</v>
      </c>
      <c r="Z160" s="173">
        <v>1</v>
      </c>
      <c r="AA160" s="173">
        <v>1</v>
      </c>
      <c r="AB160" s="173">
        <v>1</v>
      </c>
      <c r="AC160" s="173">
        <v>1</v>
      </c>
      <c r="AD160" s="173">
        <v>0.98</v>
      </c>
      <c r="AE160" s="173">
        <v>0.98</v>
      </c>
      <c r="AF160" s="173">
        <v>0.98</v>
      </c>
      <c r="AG160" s="173">
        <v>0.98</v>
      </c>
      <c r="AH160" s="173">
        <v>1.05</v>
      </c>
      <c r="AI160" s="173">
        <v>1</v>
      </c>
      <c r="AJ160" s="173">
        <v>1</v>
      </c>
      <c r="AK160" s="173">
        <v>1.02</v>
      </c>
      <c r="AL160">
        <v>1</v>
      </c>
      <c r="AM160">
        <v>1</v>
      </c>
      <c r="AN160">
        <v>1</v>
      </c>
      <c r="AO160">
        <v>1</v>
      </c>
    </row>
    <row r="161" spans="1:41" x14ac:dyDescent="0.25">
      <c r="A161" s="172">
        <v>41548</v>
      </c>
      <c r="B161" s="173">
        <v>1</v>
      </c>
      <c r="C161" s="173">
        <v>1</v>
      </c>
      <c r="D161" s="173">
        <v>1</v>
      </c>
      <c r="E161" s="173">
        <v>1</v>
      </c>
      <c r="F161" s="173">
        <v>1</v>
      </c>
      <c r="G161" s="173">
        <v>1</v>
      </c>
      <c r="H161" s="173">
        <v>1</v>
      </c>
      <c r="I161" s="173">
        <v>1</v>
      </c>
      <c r="J161" s="173">
        <v>1</v>
      </c>
      <c r="K161" s="173">
        <v>1</v>
      </c>
      <c r="L161" s="173">
        <v>1</v>
      </c>
      <c r="M161" s="173">
        <v>1</v>
      </c>
      <c r="N161" s="173">
        <v>1</v>
      </c>
      <c r="O161" s="173">
        <v>1</v>
      </c>
      <c r="P161" s="173">
        <v>1</v>
      </c>
      <c r="Q161" s="173">
        <v>1</v>
      </c>
      <c r="R161" s="173">
        <v>1</v>
      </c>
      <c r="S161" s="173">
        <v>1.02</v>
      </c>
      <c r="T161" s="173">
        <v>1</v>
      </c>
      <c r="U161" s="173">
        <v>1</v>
      </c>
      <c r="V161" s="173">
        <v>1</v>
      </c>
      <c r="W161" s="173">
        <v>1</v>
      </c>
      <c r="X161" s="173">
        <v>1</v>
      </c>
      <c r="Y161" s="173">
        <v>1.02</v>
      </c>
      <c r="Z161" s="173">
        <v>1</v>
      </c>
      <c r="AA161" s="173">
        <v>1</v>
      </c>
      <c r="AB161" s="173">
        <v>1</v>
      </c>
      <c r="AC161" s="173">
        <v>1</v>
      </c>
      <c r="AD161" s="173">
        <v>0.98</v>
      </c>
      <c r="AE161" s="173">
        <v>0.98</v>
      </c>
      <c r="AF161" s="173">
        <v>0.98</v>
      </c>
      <c r="AG161" s="173">
        <v>0.98</v>
      </c>
      <c r="AH161" s="173">
        <v>1.05</v>
      </c>
      <c r="AI161" s="173">
        <v>1</v>
      </c>
      <c r="AJ161" s="173">
        <v>1</v>
      </c>
      <c r="AK161" s="173">
        <v>1.02</v>
      </c>
      <c r="AL161">
        <v>1</v>
      </c>
      <c r="AM161">
        <v>1</v>
      </c>
      <c r="AN161">
        <v>1</v>
      </c>
      <c r="AO161">
        <v>1</v>
      </c>
    </row>
    <row r="162" spans="1:41" x14ac:dyDescent="0.25">
      <c r="A162" s="172">
        <v>41579</v>
      </c>
      <c r="B162" s="173">
        <v>1</v>
      </c>
      <c r="C162" s="173">
        <v>1</v>
      </c>
      <c r="D162" s="173">
        <v>1</v>
      </c>
      <c r="E162" s="173">
        <v>1</v>
      </c>
      <c r="F162" s="173">
        <v>1</v>
      </c>
      <c r="G162" s="173">
        <v>1</v>
      </c>
      <c r="H162" s="173">
        <v>1</v>
      </c>
      <c r="I162" s="173">
        <v>1</v>
      </c>
      <c r="J162" s="173">
        <v>1</v>
      </c>
      <c r="K162" s="173">
        <v>1</v>
      </c>
      <c r="L162" s="173">
        <v>1</v>
      </c>
      <c r="M162" s="173">
        <v>1</v>
      </c>
      <c r="N162" s="173">
        <v>1</v>
      </c>
      <c r="O162" s="173">
        <v>1</v>
      </c>
      <c r="P162" s="173">
        <v>1</v>
      </c>
      <c r="Q162" s="173">
        <v>1</v>
      </c>
      <c r="R162" s="173">
        <v>1</v>
      </c>
      <c r="S162" s="173">
        <v>1.02</v>
      </c>
      <c r="T162" s="173">
        <v>1</v>
      </c>
      <c r="U162" s="173">
        <v>1</v>
      </c>
      <c r="V162" s="173">
        <v>1</v>
      </c>
      <c r="W162" s="173">
        <v>1</v>
      </c>
      <c r="X162" s="173">
        <v>1</v>
      </c>
      <c r="Y162" s="173">
        <v>1</v>
      </c>
      <c r="Z162" s="173">
        <v>1</v>
      </c>
      <c r="AA162" s="173">
        <v>1</v>
      </c>
      <c r="AB162" s="173">
        <v>1</v>
      </c>
      <c r="AC162" s="173">
        <v>1</v>
      </c>
      <c r="AD162" s="173">
        <v>1</v>
      </c>
      <c r="AE162" s="173">
        <v>1</v>
      </c>
      <c r="AF162" s="173">
        <v>1.1000000000000001</v>
      </c>
      <c r="AG162" s="173">
        <v>1.1000000000000001</v>
      </c>
      <c r="AH162" s="173">
        <v>1.05</v>
      </c>
      <c r="AI162" s="173">
        <v>1</v>
      </c>
      <c r="AJ162" s="173">
        <v>1</v>
      </c>
      <c r="AK162" s="173">
        <v>1.02</v>
      </c>
      <c r="AL162">
        <v>1</v>
      </c>
      <c r="AM162">
        <v>1</v>
      </c>
      <c r="AN162">
        <v>1</v>
      </c>
      <c r="AO162">
        <v>1</v>
      </c>
    </row>
    <row r="163" spans="1:41" x14ac:dyDescent="0.25">
      <c r="A163" s="172">
        <v>41609</v>
      </c>
      <c r="B163" s="173">
        <v>1</v>
      </c>
      <c r="C163" s="173">
        <v>1</v>
      </c>
      <c r="D163" s="173">
        <v>1</v>
      </c>
      <c r="E163" s="173">
        <v>1</v>
      </c>
      <c r="F163" s="173">
        <v>1</v>
      </c>
      <c r="G163" s="173">
        <v>1</v>
      </c>
      <c r="H163" s="173">
        <v>1</v>
      </c>
      <c r="I163" s="173">
        <v>1</v>
      </c>
      <c r="J163" s="173">
        <v>1</v>
      </c>
      <c r="K163" s="173">
        <v>1</v>
      </c>
      <c r="L163" s="173">
        <v>1</v>
      </c>
      <c r="M163" s="173">
        <v>1</v>
      </c>
      <c r="N163" s="173">
        <v>1</v>
      </c>
      <c r="O163" s="173">
        <v>1</v>
      </c>
      <c r="P163" s="173">
        <v>1</v>
      </c>
      <c r="Q163" s="173">
        <v>1</v>
      </c>
      <c r="R163" s="173">
        <v>1</v>
      </c>
      <c r="S163" s="173">
        <v>1.02</v>
      </c>
      <c r="T163" s="173">
        <v>1</v>
      </c>
      <c r="U163" s="173">
        <v>1</v>
      </c>
      <c r="V163" s="173">
        <v>1</v>
      </c>
      <c r="W163" s="173">
        <v>1</v>
      </c>
      <c r="X163" s="173">
        <v>1</v>
      </c>
      <c r="Y163" s="173">
        <v>1</v>
      </c>
      <c r="Z163" s="173">
        <v>1</v>
      </c>
      <c r="AA163" s="173">
        <v>1</v>
      </c>
      <c r="AB163" s="173">
        <v>1</v>
      </c>
      <c r="AC163" s="173">
        <v>1</v>
      </c>
      <c r="AD163" s="173">
        <v>1</v>
      </c>
      <c r="AE163" s="173">
        <v>1</v>
      </c>
      <c r="AF163" s="173">
        <v>1.1000000000000001</v>
      </c>
      <c r="AG163" s="173">
        <v>1.1000000000000001</v>
      </c>
      <c r="AH163" s="173">
        <v>1.05</v>
      </c>
      <c r="AI163" s="173">
        <v>1</v>
      </c>
      <c r="AJ163" s="173">
        <v>1</v>
      </c>
      <c r="AK163" s="173">
        <v>1.02</v>
      </c>
      <c r="AL163">
        <v>1</v>
      </c>
      <c r="AM163">
        <v>1</v>
      </c>
      <c r="AN163">
        <v>1</v>
      </c>
      <c r="AO163">
        <v>1</v>
      </c>
    </row>
    <row r="164" spans="1:41" x14ac:dyDescent="0.25">
      <c r="A164" s="172">
        <v>41640</v>
      </c>
      <c r="B164" s="173">
        <v>1</v>
      </c>
      <c r="C164" s="173">
        <v>1</v>
      </c>
      <c r="D164" s="173">
        <v>1</v>
      </c>
      <c r="E164" s="173">
        <v>1</v>
      </c>
      <c r="F164" s="173">
        <v>1</v>
      </c>
      <c r="G164" s="173">
        <v>1</v>
      </c>
      <c r="H164" s="173">
        <v>1</v>
      </c>
      <c r="I164" s="173">
        <v>1</v>
      </c>
      <c r="J164" s="173">
        <v>1</v>
      </c>
      <c r="K164" s="173">
        <v>1</v>
      </c>
      <c r="L164" s="173">
        <v>1</v>
      </c>
      <c r="M164" s="173">
        <v>1</v>
      </c>
      <c r="N164" s="173">
        <v>1</v>
      </c>
      <c r="O164" s="173">
        <v>1</v>
      </c>
      <c r="P164" s="173">
        <v>1</v>
      </c>
      <c r="Q164" s="173">
        <v>1</v>
      </c>
      <c r="R164" s="173">
        <v>1</v>
      </c>
      <c r="S164" s="173">
        <v>1.02</v>
      </c>
      <c r="T164" s="173">
        <v>1</v>
      </c>
      <c r="U164" s="173">
        <v>1</v>
      </c>
      <c r="V164" s="173">
        <v>1</v>
      </c>
      <c r="W164" s="173">
        <v>1</v>
      </c>
      <c r="X164" s="173">
        <v>1</v>
      </c>
      <c r="Y164" s="173">
        <v>1</v>
      </c>
      <c r="Z164" s="173">
        <v>1</v>
      </c>
      <c r="AA164" s="173">
        <v>1</v>
      </c>
      <c r="AB164" s="173">
        <v>1</v>
      </c>
      <c r="AC164" s="173">
        <v>1</v>
      </c>
      <c r="AD164" s="173">
        <v>1</v>
      </c>
      <c r="AE164" s="173">
        <v>1</v>
      </c>
      <c r="AF164" s="173">
        <v>1.1000000000000001</v>
      </c>
      <c r="AG164" s="173">
        <v>1.1000000000000001</v>
      </c>
      <c r="AH164" s="173">
        <v>1.05</v>
      </c>
      <c r="AI164" s="173">
        <v>1</v>
      </c>
      <c r="AJ164" s="173">
        <v>1</v>
      </c>
      <c r="AK164" s="173">
        <v>1.02</v>
      </c>
      <c r="AL164">
        <v>1</v>
      </c>
      <c r="AM164">
        <v>1</v>
      </c>
      <c r="AN164">
        <v>1</v>
      </c>
      <c r="AO164">
        <v>1</v>
      </c>
    </row>
    <row r="165" spans="1:41" x14ac:dyDescent="0.25">
      <c r="A165" s="172">
        <v>41671</v>
      </c>
      <c r="B165" s="173">
        <v>1</v>
      </c>
      <c r="C165" s="173">
        <v>1</v>
      </c>
      <c r="D165" s="173">
        <v>1</v>
      </c>
      <c r="E165" s="173">
        <v>1</v>
      </c>
      <c r="F165" s="173">
        <v>1</v>
      </c>
      <c r="G165" s="173">
        <v>1</v>
      </c>
      <c r="H165" s="173">
        <v>1</v>
      </c>
      <c r="I165" s="173">
        <v>1</v>
      </c>
      <c r="J165" s="173">
        <v>1</v>
      </c>
      <c r="K165" s="173">
        <v>1</v>
      </c>
      <c r="L165" s="173">
        <v>1</v>
      </c>
      <c r="M165" s="173">
        <v>1</v>
      </c>
      <c r="N165" s="173">
        <v>1</v>
      </c>
      <c r="O165" s="173">
        <v>1</v>
      </c>
      <c r="P165" s="173">
        <v>1</v>
      </c>
      <c r="Q165" s="173">
        <v>1</v>
      </c>
      <c r="R165" s="173">
        <v>1</v>
      </c>
      <c r="S165" s="173">
        <v>1.02</v>
      </c>
      <c r="T165" s="173">
        <v>1</v>
      </c>
      <c r="U165" s="173">
        <v>1</v>
      </c>
      <c r="V165" s="173">
        <v>1</v>
      </c>
      <c r="W165" s="173">
        <v>1</v>
      </c>
      <c r="X165" s="173">
        <v>1</v>
      </c>
      <c r="Y165" s="173">
        <v>1</v>
      </c>
      <c r="Z165" s="173">
        <v>1</v>
      </c>
      <c r="AA165" s="173">
        <v>1</v>
      </c>
      <c r="AB165" s="173">
        <v>1</v>
      </c>
      <c r="AC165" s="173">
        <v>1</v>
      </c>
      <c r="AD165" s="173">
        <v>1</v>
      </c>
      <c r="AE165" s="173">
        <v>1</v>
      </c>
      <c r="AF165" s="173">
        <v>1.1000000000000001</v>
      </c>
      <c r="AG165" s="173">
        <v>1.1000000000000001</v>
      </c>
      <c r="AH165" s="173">
        <v>1.05</v>
      </c>
      <c r="AI165" s="173">
        <v>1</v>
      </c>
      <c r="AJ165" s="173">
        <v>1</v>
      </c>
      <c r="AK165" s="173">
        <v>1.02</v>
      </c>
      <c r="AL165">
        <v>1</v>
      </c>
      <c r="AM165">
        <v>1</v>
      </c>
      <c r="AN165">
        <v>1</v>
      </c>
      <c r="AO165">
        <v>1</v>
      </c>
    </row>
    <row r="166" spans="1:41" x14ac:dyDescent="0.25">
      <c r="A166" s="172">
        <v>41699</v>
      </c>
      <c r="B166" s="173">
        <v>1</v>
      </c>
      <c r="C166" s="173">
        <v>1</v>
      </c>
      <c r="D166" s="173">
        <v>1</v>
      </c>
      <c r="E166" s="173">
        <v>1</v>
      </c>
      <c r="F166" s="173">
        <v>1</v>
      </c>
      <c r="G166" s="173">
        <v>1</v>
      </c>
      <c r="H166" s="173">
        <v>1</v>
      </c>
      <c r="I166" s="173">
        <v>1</v>
      </c>
      <c r="J166" s="173">
        <v>1</v>
      </c>
      <c r="K166" s="173">
        <v>1</v>
      </c>
      <c r="L166" s="173">
        <v>1</v>
      </c>
      <c r="M166" s="173">
        <v>1</v>
      </c>
      <c r="N166" s="173">
        <v>1</v>
      </c>
      <c r="O166" s="173">
        <v>1</v>
      </c>
      <c r="P166" s="173">
        <v>1</v>
      </c>
      <c r="Q166" s="173">
        <v>1</v>
      </c>
      <c r="R166" s="173">
        <v>1</v>
      </c>
      <c r="S166" s="173">
        <v>1.02</v>
      </c>
      <c r="T166" s="173">
        <v>1</v>
      </c>
      <c r="U166" s="173">
        <v>1</v>
      </c>
      <c r="V166" s="173">
        <v>1</v>
      </c>
      <c r="W166" s="173">
        <v>1</v>
      </c>
      <c r="X166" s="173">
        <v>1</v>
      </c>
      <c r="Y166" s="173">
        <v>1</v>
      </c>
      <c r="Z166" s="173">
        <v>1</v>
      </c>
      <c r="AA166" s="173">
        <v>1</v>
      </c>
      <c r="AB166" s="173">
        <v>1</v>
      </c>
      <c r="AC166" s="173">
        <v>1</v>
      </c>
      <c r="AD166" s="173">
        <v>1</v>
      </c>
      <c r="AE166" s="173">
        <v>1</v>
      </c>
      <c r="AF166" s="173">
        <v>1.1000000000000001</v>
      </c>
      <c r="AG166" s="173">
        <v>1.1000000000000001</v>
      </c>
      <c r="AH166" s="173">
        <v>1.05</v>
      </c>
      <c r="AI166" s="173">
        <v>1</v>
      </c>
      <c r="AJ166" s="173">
        <v>1</v>
      </c>
      <c r="AK166" s="173">
        <v>1.02</v>
      </c>
      <c r="AL166">
        <v>1</v>
      </c>
      <c r="AM166">
        <v>1</v>
      </c>
      <c r="AN166">
        <v>1</v>
      </c>
      <c r="AO166">
        <v>1</v>
      </c>
    </row>
    <row r="167" spans="1:41" x14ac:dyDescent="0.25">
      <c r="A167" s="172">
        <v>41730</v>
      </c>
      <c r="B167" s="173">
        <v>1</v>
      </c>
      <c r="C167" s="173">
        <v>1</v>
      </c>
      <c r="D167" s="173">
        <v>1</v>
      </c>
      <c r="E167" s="173">
        <v>1</v>
      </c>
      <c r="F167" s="173">
        <v>1</v>
      </c>
      <c r="G167" s="173">
        <v>1</v>
      </c>
      <c r="H167" s="173">
        <v>1</v>
      </c>
      <c r="I167" s="173">
        <v>1</v>
      </c>
      <c r="J167" s="173">
        <v>1</v>
      </c>
      <c r="K167" s="173">
        <v>1</v>
      </c>
      <c r="L167" s="173">
        <v>1</v>
      </c>
      <c r="M167" s="173">
        <v>1</v>
      </c>
      <c r="N167" s="173">
        <v>1</v>
      </c>
      <c r="O167" s="173">
        <v>1</v>
      </c>
      <c r="P167" s="173">
        <v>1</v>
      </c>
      <c r="Q167" s="173">
        <v>1</v>
      </c>
      <c r="R167" s="173">
        <v>1</v>
      </c>
      <c r="S167" s="173">
        <v>1.02</v>
      </c>
      <c r="T167" s="173">
        <v>1</v>
      </c>
      <c r="U167" s="173">
        <v>1</v>
      </c>
      <c r="V167" s="173">
        <v>1</v>
      </c>
      <c r="W167" s="173">
        <v>1</v>
      </c>
      <c r="X167" s="173">
        <v>1</v>
      </c>
      <c r="Y167" s="173">
        <v>1.02</v>
      </c>
      <c r="Z167" s="173">
        <v>1</v>
      </c>
      <c r="AA167" s="173">
        <v>1</v>
      </c>
      <c r="AB167" s="173">
        <v>1</v>
      </c>
      <c r="AC167" s="173">
        <v>1</v>
      </c>
      <c r="AD167" s="173">
        <v>0.98</v>
      </c>
      <c r="AE167" s="173">
        <v>0.98</v>
      </c>
      <c r="AF167" s="173">
        <v>0.98</v>
      </c>
      <c r="AG167" s="173">
        <v>0.98</v>
      </c>
      <c r="AH167" s="173">
        <v>1.05</v>
      </c>
      <c r="AI167" s="173">
        <v>1</v>
      </c>
      <c r="AJ167" s="173">
        <v>1</v>
      </c>
      <c r="AK167" s="173">
        <v>1.02</v>
      </c>
      <c r="AL167">
        <v>1</v>
      </c>
      <c r="AM167">
        <v>1</v>
      </c>
      <c r="AN167">
        <v>1</v>
      </c>
      <c r="AO167">
        <v>1</v>
      </c>
    </row>
    <row r="168" spans="1:41" x14ac:dyDescent="0.25">
      <c r="A168" s="172">
        <v>41760</v>
      </c>
      <c r="B168" s="173">
        <v>1</v>
      </c>
      <c r="C168" s="173">
        <v>1</v>
      </c>
      <c r="D168" s="173">
        <v>1</v>
      </c>
      <c r="E168" s="173">
        <v>1</v>
      </c>
      <c r="F168" s="173">
        <v>1</v>
      </c>
      <c r="G168" s="173">
        <v>1</v>
      </c>
      <c r="H168" s="173">
        <v>1</v>
      </c>
      <c r="I168" s="173">
        <v>1</v>
      </c>
      <c r="J168" s="173">
        <v>1</v>
      </c>
      <c r="K168" s="173">
        <v>1</v>
      </c>
      <c r="L168" s="173">
        <v>1</v>
      </c>
      <c r="M168" s="173">
        <v>1</v>
      </c>
      <c r="N168" s="173">
        <v>1</v>
      </c>
      <c r="O168" s="173">
        <v>1</v>
      </c>
      <c r="P168" s="173">
        <v>1</v>
      </c>
      <c r="Q168" s="173">
        <v>1</v>
      </c>
      <c r="R168" s="173">
        <v>1</v>
      </c>
      <c r="S168" s="173">
        <v>1.02</v>
      </c>
      <c r="T168" s="173">
        <v>1</v>
      </c>
      <c r="U168" s="173">
        <v>1</v>
      </c>
      <c r="V168" s="173">
        <v>1</v>
      </c>
      <c r="W168" s="173">
        <v>1</v>
      </c>
      <c r="X168" s="173">
        <v>1</v>
      </c>
      <c r="Y168" s="173">
        <v>1.02</v>
      </c>
      <c r="Z168" s="173">
        <v>1</v>
      </c>
      <c r="AA168" s="173">
        <v>1</v>
      </c>
      <c r="AB168" s="173">
        <v>1</v>
      </c>
      <c r="AC168" s="173">
        <v>1</v>
      </c>
      <c r="AD168" s="173">
        <v>0.98</v>
      </c>
      <c r="AE168" s="173">
        <v>0.98</v>
      </c>
      <c r="AF168" s="173">
        <v>0.98</v>
      </c>
      <c r="AG168" s="173">
        <v>0.98</v>
      </c>
      <c r="AH168" s="173">
        <v>1.05</v>
      </c>
      <c r="AI168" s="173">
        <v>1</v>
      </c>
      <c r="AJ168" s="173">
        <v>1</v>
      </c>
      <c r="AK168" s="173">
        <v>1.02</v>
      </c>
      <c r="AL168">
        <v>1</v>
      </c>
      <c r="AM168">
        <v>1</v>
      </c>
      <c r="AN168">
        <v>1</v>
      </c>
      <c r="AO168">
        <v>1</v>
      </c>
    </row>
    <row r="169" spans="1:41" x14ac:dyDescent="0.25">
      <c r="A169" s="172">
        <v>41791</v>
      </c>
      <c r="B169" s="173">
        <v>1</v>
      </c>
      <c r="C169" s="173">
        <v>1</v>
      </c>
      <c r="D169" s="173">
        <v>1</v>
      </c>
      <c r="E169" s="173">
        <v>1</v>
      </c>
      <c r="F169" s="173">
        <v>1</v>
      </c>
      <c r="G169" s="173">
        <v>1</v>
      </c>
      <c r="H169" s="173">
        <v>1</v>
      </c>
      <c r="I169" s="173">
        <v>1</v>
      </c>
      <c r="J169" s="173">
        <v>1</v>
      </c>
      <c r="K169" s="173">
        <v>1</v>
      </c>
      <c r="L169" s="173">
        <v>1</v>
      </c>
      <c r="M169" s="173">
        <v>1</v>
      </c>
      <c r="N169" s="173">
        <v>1</v>
      </c>
      <c r="O169" s="173">
        <v>1</v>
      </c>
      <c r="P169" s="173">
        <v>1</v>
      </c>
      <c r="Q169" s="173">
        <v>1</v>
      </c>
      <c r="R169" s="173">
        <v>1</v>
      </c>
      <c r="S169" s="173">
        <v>1.02</v>
      </c>
      <c r="T169" s="173">
        <v>1</v>
      </c>
      <c r="U169" s="173">
        <v>1</v>
      </c>
      <c r="V169" s="173">
        <v>1</v>
      </c>
      <c r="W169" s="173">
        <v>1</v>
      </c>
      <c r="X169" s="173">
        <v>1</v>
      </c>
      <c r="Y169" s="173">
        <v>1.02</v>
      </c>
      <c r="Z169" s="173">
        <v>1</v>
      </c>
      <c r="AA169" s="173">
        <v>1</v>
      </c>
      <c r="AB169" s="173">
        <v>1</v>
      </c>
      <c r="AC169" s="173">
        <v>1</v>
      </c>
      <c r="AD169" s="173">
        <v>0.98</v>
      </c>
      <c r="AE169" s="173">
        <v>0.98</v>
      </c>
      <c r="AF169" s="173">
        <v>0.98</v>
      </c>
      <c r="AG169" s="173">
        <v>0.98</v>
      </c>
      <c r="AH169" s="173">
        <v>1.05</v>
      </c>
      <c r="AI169" s="173">
        <v>1</v>
      </c>
      <c r="AJ169" s="173">
        <v>1</v>
      </c>
      <c r="AK169" s="173">
        <v>1.02</v>
      </c>
      <c r="AL169">
        <v>1</v>
      </c>
      <c r="AM169">
        <v>1</v>
      </c>
      <c r="AN169">
        <v>1</v>
      </c>
      <c r="AO169">
        <v>1</v>
      </c>
    </row>
    <row r="170" spans="1:41" x14ac:dyDescent="0.25">
      <c r="A170" s="172">
        <v>41821</v>
      </c>
      <c r="B170" s="173">
        <v>1</v>
      </c>
      <c r="C170" s="173">
        <v>1</v>
      </c>
      <c r="D170" s="173">
        <v>1</v>
      </c>
      <c r="E170" s="173">
        <v>1</v>
      </c>
      <c r="F170" s="173">
        <v>1</v>
      </c>
      <c r="G170" s="173">
        <v>1</v>
      </c>
      <c r="H170" s="173">
        <v>1</v>
      </c>
      <c r="I170" s="173">
        <v>1</v>
      </c>
      <c r="J170" s="173">
        <v>1</v>
      </c>
      <c r="K170" s="173">
        <v>1</v>
      </c>
      <c r="L170" s="173">
        <v>1</v>
      </c>
      <c r="M170" s="173">
        <v>1</v>
      </c>
      <c r="N170" s="173">
        <v>1</v>
      </c>
      <c r="O170" s="173">
        <v>1</v>
      </c>
      <c r="P170" s="173">
        <v>1</v>
      </c>
      <c r="Q170" s="173">
        <v>1</v>
      </c>
      <c r="R170" s="173">
        <v>1</v>
      </c>
      <c r="S170" s="173">
        <v>1.02</v>
      </c>
      <c r="T170" s="173">
        <v>1</v>
      </c>
      <c r="U170" s="173">
        <v>1</v>
      </c>
      <c r="V170" s="173">
        <v>1</v>
      </c>
      <c r="W170" s="173">
        <v>1</v>
      </c>
      <c r="X170" s="173">
        <v>1</v>
      </c>
      <c r="Y170" s="173">
        <v>1.02</v>
      </c>
      <c r="Z170" s="173">
        <v>1</v>
      </c>
      <c r="AA170" s="173">
        <v>1</v>
      </c>
      <c r="AB170" s="173">
        <v>1</v>
      </c>
      <c r="AC170" s="173">
        <v>1</v>
      </c>
      <c r="AD170" s="173">
        <v>0.98</v>
      </c>
      <c r="AE170" s="173">
        <v>0.98</v>
      </c>
      <c r="AF170" s="173">
        <v>0.98</v>
      </c>
      <c r="AG170" s="173">
        <v>0.98</v>
      </c>
      <c r="AH170" s="173">
        <v>1.05</v>
      </c>
      <c r="AI170" s="173">
        <v>1</v>
      </c>
      <c r="AJ170" s="173">
        <v>1</v>
      </c>
      <c r="AK170" s="173">
        <v>1.02</v>
      </c>
      <c r="AL170">
        <v>1</v>
      </c>
      <c r="AM170">
        <v>1</v>
      </c>
      <c r="AN170">
        <v>1</v>
      </c>
      <c r="AO170">
        <v>1</v>
      </c>
    </row>
    <row r="171" spans="1:41" x14ac:dyDescent="0.25">
      <c r="A171" s="172">
        <v>41852</v>
      </c>
      <c r="B171" s="173">
        <v>1</v>
      </c>
      <c r="C171" s="173">
        <v>1</v>
      </c>
      <c r="D171" s="173">
        <v>1</v>
      </c>
      <c r="E171" s="173">
        <v>1</v>
      </c>
      <c r="F171" s="173">
        <v>1</v>
      </c>
      <c r="G171" s="173">
        <v>1</v>
      </c>
      <c r="H171" s="173">
        <v>1</v>
      </c>
      <c r="I171" s="173">
        <v>1</v>
      </c>
      <c r="J171" s="173">
        <v>1</v>
      </c>
      <c r="K171" s="173">
        <v>1</v>
      </c>
      <c r="L171" s="173">
        <v>1</v>
      </c>
      <c r="M171" s="173">
        <v>1</v>
      </c>
      <c r="N171" s="173">
        <v>1</v>
      </c>
      <c r="O171" s="173">
        <v>1</v>
      </c>
      <c r="P171" s="173">
        <v>1</v>
      </c>
      <c r="Q171" s="173">
        <v>1</v>
      </c>
      <c r="R171" s="173">
        <v>1</v>
      </c>
      <c r="S171" s="173">
        <v>1.02</v>
      </c>
      <c r="T171" s="173">
        <v>1</v>
      </c>
      <c r="U171" s="173">
        <v>1</v>
      </c>
      <c r="V171" s="173">
        <v>1</v>
      </c>
      <c r="W171" s="173">
        <v>1</v>
      </c>
      <c r="X171" s="173">
        <v>1</v>
      </c>
      <c r="Y171" s="173">
        <v>1.02</v>
      </c>
      <c r="Z171" s="173">
        <v>1</v>
      </c>
      <c r="AA171" s="173">
        <v>1</v>
      </c>
      <c r="AB171" s="173">
        <v>1</v>
      </c>
      <c r="AC171" s="173">
        <v>1</v>
      </c>
      <c r="AD171" s="173">
        <v>0.98</v>
      </c>
      <c r="AE171" s="173">
        <v>0.98</v>
      </c>
      <c r="AF171" s="173">
        <v>0.98</v>
      </c>
      <c r="AG171" s="173">
        <v>0.98</v>
      </c>
      <c r="AH171" s="173">
        <v>1.05</v>
      </c>
      <c r="AI171" s="173">
        <v>1</v>
      </c>
      <c r="AJ171" s="173">
        <v>1</v>
      </c>
      <c r="AK171" s="173">
        <v>1.02</v>
      </c>
      <c r="AL171">
        <v>1</v>
      </c>
      <c r="AM171">
        <v>1</v>
      </c>
      <c r="AN171">
        <v>1</v>
      </c>
      <c r="AO171">
        <v>1</v>
      </c>
    </row>
    <row r="172" spans="1:41" x14ac:dyDescent="0.25">
      <c r="A172" s="172">
        <v>41883</v>
      </c>
      <c r="B172" s="173">
        <v>1</v>
      </c>
      <c r="C172" s="173">
        <v>1</v>
      </c>
      <c r="D172" s="173">
        <v>1</v>
      </c>
      <c r="E172" s="173">
        <v>1</v>
      </c>
      <c r="F172" s="173">
        <v>1</v>
      </c>
      <c r="G172" s="173">
        <v>1</v>
      </c>
      <c r="H172" s="173">
        <v>1</v>
      </c>
      <c r="I172" s="173">
        <v>1</v>
      </c>
      <c r="J172" s="173">
        <v>1</v>
      </c>
      <c r="K172" s="173">
        <v>1</v>
      </c>
      <c r="L172" s="173">
        <v>1</v>
      </c>
      <c r="M172" s="173">
        <v>1</v>
      </c>
      <c r="N172" s="173">
        <v>1</v>
      </c>
      <c r="O172" s="173">
        <v>1</v>
      </c>
      <c r="P172" s="173">
        <v>1</v>
      </c>
      <c r="Q172" s="173">
        <v>1</v>
      </c>
      <c r="R172" s="173">
        <v>1</v>
      </c>
      <c r="S172" s="173">
        <v>1.02</v>
      </c>
      <c r="T172" s="173">
        <v>1</v>
      </c>
      <c r="U172" s="173">
        <v>1</v>
      </c>
      <c r="V172" s="173">
        <v>1</v>
      </c>
      <c r="W172" s="173">
        <v>1</v>
      </c>
      <c r="X172" s="173">
        <v>1</v>
      </c>
      <c r="Y172" s="173">
        <v>1.02</v>
      </c>
      <c r="Z172" s="173">
        <v>1</v>
      </c>
      <c r="AA172" s="173">
        <v>1</v>
      </c>
      <c r="AB172" s="173">
        <v>1</v>
      </c>
      <c r="AC172" s="173">
        <v>1</v>
      </c>
      <c r="AD172" s="173">
        <v>0.98</v>
      </c>
      <c r="AE172" s="173">
        <v>0.98</v>
      </c>
      <c r="AF172" s="173">
        <v>0.98</v>
      </c>
      <c r="AG172" s="173">
        <v>0.98</v>
      </c>
      <c r="AH172" s="173">
        <v>1.05</v>
      </c>
      <c r="AI172" s="173">
        <v>1</v>
      </c>
      <c r="AJ172" s="173">
        <v>1</v>
      </c>
      <c r="AK172" s="173">
        <v>1.02</v>
      </c>
      <c r="AL172">
        <v>1</v>
      </c>
      <c r="AM172">
        <v>1</v>
      </c>
      <c r="AN172">
        <v>1</v>
      </c>
      <c r="AO172">
        <v>1</v>
      </c>
    </row>
    <row r="173" spans="1:41" x14ac:dyDescent="0.25">
      <c r="A173" s="172">
        <v>41913</v>
      </c>
      <c r="B173" s="173">
        <v>1</v>
      </c>
      <c r="C173" s="173">
        <v>1</v>
      </c>
      <c r="D173" s="173">
        <v>1</v>
      </c>
      <c r="E173" s="173">
        <v>1</v>
      </c>
      <c r="F173" s="173">
        <v>1</v>
      </c>
      <c r="G173" s="173">
        <v>1</v>
      </c>
      <c r="H173" s="173">
        <v>1</v>
      </c>
      <c r="I173" s="173">
        <v>1</v>
      </c>
      <c r="J173" s="173">
        <v>1</v>
      </c>
      <c r="K173" s="173">
        <v>1</v>
      </c>
      <c r="L173" s="173">
        <v>1</v>
      </c>
      <c r="M173" s="173">
        <v>1</v>
      </c>
      <c r="N173" s="173">
        <v>1</v>
      </c>
      <c r="O173" s="173">
        <v>1</v>
      </c>
      <c r="P173" s="173">
        <v>1</v>
      </c>
      <c r="Q173" s="173">
        <v>1</v>
      </c>
      <c r="R173" s="173">
        <v>1</v>
      </c>
      <c r="S173" s="173">
        <v>1.02</v>
      </c>
      <c r="T173" s="173">
        <v>1</v>
      </c>
      <c r="U173" s="173">
        <v>1</v>
      </c>
      <c r="V173" s="173">
        <v>1</v>
      </c>
      <c r="W173" s="173">
        <v>1</v>
      </c>
      <c r="X173" s="173">
        <v>1</v>
      </c>
      <c r="Y173" s="173">
        <v>1.02</v>
      </c>
      <c r="Z173" s="173">
        <v>1</v>
      </c>
      <c r="AA173" s="173">
        <v>1</v>
      </c>
      <c r="AB173" s="173">
        <v>1</v>
      </c>
      <c r="AC173" s="173">
        <v>1</v>
      </c>
      <c r="AD173" s="173">
        <v>0.98</v>
      </c>
      <c r="AE173" s="173">
        <v>0.98</v>
      </c>
      <c r="AF173" s="173">
        <v>0.98</v>
      </c>
      <c r="AG173" s="173">
        <v>0.98</v>
      </c>
      <c r="AH173" s="173">
        <v>1.05</v>
      </c>
      <c r="AI173" s="173">
        <v>1</v>
      </c>
      <c r="AJ173" s="173">
        <v>1</v>
      </c>
      <c r="AK173" s="173">
        <v>1.02</v>
      </c>
      <c r="AL173">
        <v>1</v>
      </c>
      <c r="AM173">
        <v>1</v>
      </c>
      <c r="AN173">
        <v>1</v>
      </c>
      <c r="AO173">
        <v>1</v>
      </c>
    </row>
    <row r="174" spans="1:41" x14ac:dyDescent="0.25">
      <c r="A174" s="172">
        <v>41944</v>
      </c>
      <c r="B174" s="173">
        <v>1</v>
      </c>
      <c r="C174" s="173">
        <v>1</v>
      </c>
      <c r="D174" s="173">
        <v>1</v>
      </c>
      <c r="E174" s="173">
        <v>1</v>
      </c>
      <c r="F174" s="173">
        <v>1</v>
      </c>
      <c r="G174" s="173">
        <v>1</v>
      </c>
      <c r="H174" s="173">
        <v>1</v>
      </c>
      <c r="I174" s="173">
        <v>1</v>
      </c>
      <c r="J174" s="173">
        <v>1</v>
      </c>
      <c r="K174" s="173">
        <v>1</v>
      </c>
      <c r="L174" s="173">
        <v>1</v>
      </c>
      <c r="M174" s="173">
        <v>1</v>
      </c>
      <c r="N174" s="173">
        <v>1</v>
      </c>
      <c r="O174" s="173">
        <v>1</v>
      </c>
      <c r="P174" s="173">
        <v>1</v>
      </c>
      <c r="Q174" s="173">
        <v>1</v>
      </c>
      <c r="R174" s="173">
        <v>1</v>
      </c>
      <c r="S174" s="173">
        <v>1.02</v>
      </c>
      <c r="T174" s="173">
        <v>1</v>
      </c>
      <c r="U174" s="173">
        <v>1</v>
      </c>
      <c r="V174" s="173">
        <v>1</v>
      </c>
      <c r="W174" s="173">
        <v>1</v>
      </c>
      <c r="X174" s="173">
        <v>1</v>
      </c>
      <c r="Y174" s="173">
        <v>1</v>
      </c>
      <c r="Z174" s="173">
        <v>1</v>
      </c>
      <c r="AA174" s="173">
        <v>1</v>
      </c>
      <c r="AB174" s="173">
        <v>1</v>
      </c>
      <c r="AC174" s="173">
        <v>1</v>
      </c>
      <c r="AD174" s="173">
        <v>1</v>
      </c>
      <c r="AE174" s="173">
        <v>1</v>
      </c>
      <c r="AF174" s="173">
        <v>1.1000000000000001</v>
      </c>
      <c r="AG174" s="173">
        <v>1.1000000000000001</v>
      </c>
      <c r="AH174" s="173">
        <v>1.05</v>
      </c>
      <c r="AI174" s="173">
        <v>1</v>
      </c>
      <c r="AJ174" s="173">
        <v>1</v>
      </c>
      <c r="AK174" s="173">
        <v>1.02</v>
      </c>
      <c r="AL174">
        <v>1</v>
      </c>
      <c r="AM174">
        <v>1</v>
      </c>
      <c r="AN174">
        <v>1</v>
      </c>
      <c r="AO174">
        <v>1</v>
      </c>
    </row>
    <row r="175" spans="1:41" x14ac:dyDescent="0.25">
      <c r="A175" s="172">
        <v>41974</v>
      </c>
      <c r="B175" s="173">
        <v>1</v>
      </c>
      <c r="C175" s="173">
        <v>1</v>
      </c>
      <c r="D175" s="173">
        <v>1</v>
      </c>
      <c r="E175" s="173">
        <v>1</v>
      </c>
      <c r="F175" s="173">
        <v>1</v>
      </c>
      <c r="G175" s="173">
        <v>1</v>
      </c>
      <c r="H175" s="173">
        <v>1</v>
      </c>
      <c r="I175" s="173">
        <v>1</v>
      </c>
      <c r="J175" s="173">
        <v>1</v>
      </c>
      <c r="K175" s="173">
        <v>1</v>
      </c>
      <c r="L175" s="173">
        <v>1</v>
      </c>
      <c r="M175" s="173">
        <v>1</v>
      </c>
      <c r="N175" s="173">
        <v>1</v>
      </c>
      <c r="O175" s="173">
        <v>1</v>
      </c>
      <c r="P175" s="173">
        <v>1</v>
      </c>
      <c r="Q175" s="173">
        <v>1</v>
      </c>
      <c r="R175" s="173">
        <v>1</v>
      </c>
      <c r="S175" s="173">
        <v>1.02</v>
      </c>
      <c r="T175" s="173">
        <v>1</v>
      </c>
      <c r="U175" s="173">
        <v>1</v>
      </c>
      <c r="V175" s="173">
        <v>1</v>
      </c>
      <c r="W175" s="173">
        <v>1</v>
      </c>
      <c r="X175" s="173">
        <v>1</v>
      </c>
      <c r="Y175" s="173">
        <v>1</v>
      </c>
      <c r="Z175" s="173">
        <v>1</v>
      </c>
      <c r="AA175" s="173">
        <v>1</v>
      </c>
      <c r="AB175" s="173">
        <v>1</v>
      </c>
      <c r="AC175" s="173">
        <v>1</v>
      </c>
      <c r="AD175" s="173">
        <v>1</v>
      </c>
      <c r="AE175" s="173">
        <v>1</v>
      </c>
      <c r="AF175" s="173">
        <v>1.1000000000000001</v>
      </c>
      <c r="AG175" s="173">
        <v>1.1000000000000001</v>
      </c>
      <c r="AH175" s="173">
        <v>1.05</v>
      </c>
      <c r="AI175" s="173">
        <v>1</v>
      </c>
      <c r="AJ175" s="173">
        <v>1</v>
      </c>
      <c r="AK175" s="173">
        <v>1.02</v>
      </c>
      <c r="AL175">
        <v>1</v>
      </c>
      <c r="AM175">
        <v>1</v>
      </c>
      <c r="AN175">
        <v>1</v>
      </c>
      <c r="AO175">
        <v>1</v>
      </c>
    </row>
    <row r="176" spans="1:41" x14ac:dyDescent="0.25">
      <c r="A176" s="172">
        <v>42005</v>
      </c>
      <c r="B176" s="173">
        <v>1</v>
      </c>
      <c r="C176" s="173">
        <v>1</v>
      </c>
      <c r="D176" s="173">
        <v>1</v>
      </c>
      <c r="E176" s="173">
        <v>1</v>
      </c>
      <c r="F176" s="173">
        <v>1</v>
      </c>
      <c r="G176" s="173">
        <v>1</v>
      </c>
      <c r="H176" s="173">
        <v>1</v>
      </c>
      <c r="I176" s="173">
        <v>1</v>
      </c>
      <c r="J176" s="173">
        <v>1</v>
      </c>
      <c r="K176" s="173">
        <v>1</v>
      </c>
      <c r="L176" s="173">
        <v>1</v>
      </c>
      <c r="M176" s="173">
        <v>1</v>
      </c>
      <c r="N176" s="173">
        <v>1</v>
      </c>
      <c r="O176" s="173">
        <v>1</v>
      </c>
      <c r="P176" s="173">
        <v>1</v>
      </c>
      <c r="Q176" s="173">
        <v>1</v>
      </c>
      <c r="R176" s="173">
        <v>1</v>
      </c>
      <c r="S176" s="173">
        <v>1.02</v>
      </c>
      <c r="T176" s="173">
        <v>1</v>
      </c>
      <c r="U176" s="173">
        <v>1</v>
      </c>
      <c r="V176" s="173">
        <v>1</v>
      </c>
      <c r="W176" s="173">
        <v>1</v>
      </c>
      <c r="X176" s="173">
        <v>1</v>
      </c>
      <c r="Y176" s="173">
        <v>1</v>
      </c>
      <c r="Z176" s="173">
        <v>1</v>
      </c>
      <c r="AA176" s="173">
        <v>1</v>
      </c>
      <c r="AB176" s="173">
        <v>1</v>
      </c>
      <c r="AC176" s="173">
        <v>1</v>
      </c>
      <c r="AD176" s="173">
        <v>1</v>
      </c>
      <c r="AE176" s="173">
        <v>1</v>
      </c>
      <c r="AF176" s="173">
        <v>1.1000000000000001</v>
      </c>
      <c r="AG176" s="173">
        <v>1.1000000000000001</v>
      </c>
      <c r="AH176" s="173">
        <v>1.05</v>
      </c>
      <c r="AI176" s="173">
        <v>1</v>
      </c>
      <c r="AJ176" s="173">
        <v>1</v>
      </c>
      <c r="AK176" s="173">
        <v>1.02</v>
      </c>
      <c r="AL176">
        <v>1</v>
      </c>
      <c r="AM176">
        <v>1</v>
      </c>
      <c r="AN176">
        <v>1</v>
      </c>
      <c r="AO176">
        <v>1</v>
      </c>
    </row>
    <row r="177" spans="1:41" x14ac:dyDescent="0.25">
      <c r="A177" s="172">
        <v>42036</v>
      </c>
      <c r="B177" s="173">
        <v>1</v>
      </c>
      <c r="C177" s="173">
        <v>1</v>
      </c>
      <c r="D177" s="173">
        <v>1</v>
      </c>
      <c r="E177" s="173">
        <v>1</v>
      </c>
      <c r="F177" s="173">
        <v>1</v>
      </c>
      <c r="G177" s="173">
        <v>1</v>
      </c>
      <c r="H177" s="173">
        <v>1</v>
      </c>
      <c r="I177" s="173">
        <v>1</v>
      </c>
      <c r="J177" s="173">
        <v>1</v>
      </c>
      <c r="K177" s="173">
        <v>1</v>
      </c>
      <c r="L177" s="173">
        <v>1</v>
      </c>
      <c r="M177" s="173">
        <v>1</v>
      </c>
      <c r="N177" s="173">
        <v>1</v>
      </c>
      <c r="O177" s="173">
        <v>1</v>
      </c>
      <c r="P177" s="173">
        <v>1</v>
      </c>
      <c r="Q177" s="173">
        <v>1</v>
      </c>
      <c r="R177" s="173">
        <v>1</v>
      </c>
      <c r="S177" s="173">
        <v>1.02</v>
      </c>
      <c r="T177" s="173">
        <v>1</v>
      </c>
      <c r="U177" s="173">
        <v>1</v>
      </c>
      <c r="V177" s="173">
        <v>1</v>
      </c>
      <c r="W177" s="173">
        <v>1</v>
      </c>
      <c r="X177" s="173">
        <v>1</v>
      </c>
      <c r="Y177" s="173">
        <v>1</v>
      </c>
      <c r="Z177" s="173">
        <v>1</v>
      </c>
      <c r="AA177" s="173">
        <v>1</v>
      </c>
      <c r="AB177" s="173">
        <v>1</v>
      </c>
      <c r="AC177" s="173">
        <v>1</v>
      </c>
      <c r="AD177" s="173">
        <v>1</v>
      </c>
      <c r="AE177" s="173">
        <v>1</v>
      </c>
      <c r="AF177" s="173">
        <v>1.1000000000000001</v>
      </c>
      <c r="AG177" s="173">
        <v>1.1000000000000001</v>
      </c>
      <c r="AH177" s="173">
        <v>1.05</v>
      </c>
      <c r="AI177" s="173">
        <v>1</v>
      </c>
      <c r="AJ177" s="173">
        <v>1</v>
      </c>
      <c r="AK177" s="173">
        <v>1.02</v>
      </c>
      <c r="AL177">
        <v>1</v>
      </c>
      <c r="AM177">
        <v>1</v>
      </c>
      <c r="AN177">
        <v>1</v>
      </c>
      <c r="AO177">
        <v>1</v>
      </c>
    </row>
    <row r="178" spans="1:41" x14ac:dyDescent="0.25">
      <c r="A178" s="172">
        <v>42064</v>
      </c>
      <c r="B178" s="173">
        <v>1</v>
      </c>
      <c r="C178" s="173">
        <v>1</v>
      </c>
      <c r="D178" s="173">
        <v>1</v>
      </c>
      <c r="E178" s="173">
        <v>1</v>
      </c>
      <c r="F178" s="173">
        <v>1</v>
      </c>
      <c r="G178" s="173">
        <v>1</v>
      </c>
      <c r="H178" s="173">
        <v>1</v>
      </c>
      <c r="I178" s="173">
        <v>1</v>
      </c>
      <c r="J178" s="173">
        <v>1</v>
      </c>
      <c r="K178" s="173">
        <v>1</v>
      </c>
      <c r="L178" s="173">
        <v>1</v>
      </c>
      <c r="M178" s="173">
        <v>1</v>
      </c>
      <c r="N178" s="173">
        <v>1</v>
      </c>
      <c r="O178" s="173">
        <v>1</v>
      </c>
      <c r="P178" s="173">
        <v>1</v>
      </c>
      <c r="Q178" s="173">
        <v>1</v>
      </c>
      <c r="R178" s="173">
        <v>1</v>
      </c>
      <c r="S178" s="173">
        <v>1.02</v>
      </c>
      <c r="T178" s="173">
        <v>1</v>
      </c>
      <c r="U178" s="173">
        <v>1</v>
      </c>
      <c r="V178" s="173">
        <v>1</v>
      </c>
      <c r="W178" s="173">
        <v>1</v>
      </c>
      <c r="X178" s="173">
        <v>1</v>
      </c>
      <c r="Y178" s="173">
        <v>1</v>
      </c>
      <c r="Z178" s="173">
        <v>1</v>
      </c>
      <c r="AA178" s="173">
        <v>1</v>
      </c>
      <c r="AB178" s="173">
        <v>1</v>
      </c>
      <c r="AC178" s="173">
        <v>1</v>
      </c>
      <c r="AD178" s="173">
        <v>1</v>
      </c>
      <c r="AE178" s="173">
        <v>1</v>
      </c>
      <c r="AF178" s="173">
        <v>1.1000000000000001</v>
      </c>
      <c r="AG178" s="173">
        <v>1.1000000000000001</v>
      </c>
      <c r="AH178" s="173">
        <v>1.05</v>
      </c>
      <c r="AI178" s="173">
        <v>1</v>
      </c>
      <c r="AJ178" s="173">
        <v>1</v>
      </c>
      <c r="AK178" s="173">
        <v>1.02</v>
      </c>
      <c r="AL178">
        <v>1</v>
      </c>
      <c r="AM178">
        <v>1</v>
      </c>
      <c r="AN178">
        <v>1</v>
      </c>
      <c r="AO178">
        <v>1</v>
      </c>
    </row>
    <row r="179" spans="1:41" x14ac:dyDescent="0.25">
      <c r="A179" s="172">
        <v>42095</v>
      </c>
      <c r="B179" s="173">
        <v>1</v>
      </c>
      <c r="C179" s="173">
        <v>1</v>
      </c>
      <c r="D179" s="173">
        <v>1</v>
      </c>
      <c r="E179" s="173">
        <v>1</v>
      </c>
      <c r="F179" s="173">
        <v>1</v>
      </c>
      <c r="G179" s="173">
        <v>1</v>
      </c>
      <c r="H179" s="173">
        <v>1</v>
      </c>
      <c r="I179" s="173">
        <v>1</v>
      </c>
      <c r="J179" s="173">
        <v>1</v>
      </c>
      <c r="K179" s="173">
        <v>1</v>
      </c>
      <c r="L179" s="173">
        <v>1</v>
      </c>
      <c r="M179" s="173">
        <v>1</v>
      </c>
      <c r="N179" s="173">
        <v>1</v>
      </c>
      <c r="O179" s="173">
        <v>1</v>
      </c>
      <c r="P179" s="173">
        <v>1</v>
      </c>
      <c r="Q179" s="173">
        <v>1</v>
      </c>
      <c r="R179" s="173">
        <v>1</v>
      </c>
      <c r="S179" s="173">
        <v>1.02</v>
      </c>
      <c r="T179" s="173">
        <v>1</v>
      </c>
      <c r="U179" s="173">
        <v>1</v>
      </c>
      <c r="V179" s="173">
        <v>1</v>
      </c>
      <c r="W179" s="173">
        <v>1</v>
      </c>
      <c r="X179" s="173">
        <v>1</v>
      </c>
      <c r="Y179" s="173">
        <v>1.02</v>
      </c>
      <c r="Z179" s="173">
        <v>1</v>
      </c>
      <c r="AA179" s="173">
        <v>1</v>
      </c>
      <c r="AB179" s="173">
        <v>1</v>
      </c>
      <c r="AC179" s="173">
        <v>1</v>
      </c>
      <c r="AD179" s="173">
        <v>0.98</v>
      </c>
      <c r="AE179" s="173">
        <v>0.98</v>
      </c>
      <c r="AF179" s="173">
        <v>0.98</v>
      </c>
      <c r="AG179" s="173">
        <v>0.98</v>
      </c>
      <c r="AH179" s="173">
        <v>1.05</v>
      </c>
      <c r="AI179" s="173">
        <v>1</v>
      </c>
      <c r="AJ179" s="173">
        <v>1</v>
      </c>
      <c r="AK179" s="173">
        <v>1.02</v>
      </c>
      <c r="AL179">
        <v>1</v>
      </c>
      <c r="AM179">
        <v>1</v>
      </c>
      <c r="AN179">
        <v>1</v>
      </c>
      <c r="AO179">
        <v>1</v>
      </c>
    </row>
    <row r="180" spans="1:41" x14ac:dyDescent="0.25">
      <c r="A180" s="172">
        <v>42125</v>
      </c>
      <c r="B180" s="173">
        <v>1</v>
      </c>
      <c r="C180" s="173">
        <v>1</v>
      </c>
      <c r="D180" s="173">
        <v>1</v>
      </c>
      <c r="E180" s="173">
        <v>1</v>
      </c>
      <c r="F180" s="173">
        <v>1</v>
      </c>
      <c r="G180" s="173">
        <v>1</v>
      </c>
      <c r="H180" s="173">
        <v>1</v>
      </c>
      <c r="I180" s="173">
        <v>1</v>
      </c>
      <c r="J180" s="173">
        <v>1</v>
      </c>
      <c r="K180" s="173">
        <v>1</v>
      </c>
      <c r="L180" s="173">
        <v>1</v>
      </c>
      <c r="M180" s="173">
        <v>1</v>
      </c>
      <c r="N180" s="173">
        <v>1</v>
      </c>
      <c r="O180" s="173">
        <v>1</v>
      </c>
      <c r="P180" s="173">
        <v>1</v>
      </c>
      <c r="Q180" s="173">
        <v>1</v>
      </c>
      <c r="R180" s="173">
        <v>1</v>
      </c>
      <c r="S180" s="173">
        <v>1.02</v>
      </c>
      <c r="T180" s="173">
        <v>1</v>
      </c>
      <c r="U180" s="173">
        <v>1</v>
      </c>
      <c r="V180" s="173">
        <v>1</v>
      </c>
      <c r="W180" s="173">
        <v>1</v>
      </c>
      <c r="X180" s="173">
        <v>1</v>
      </c>
      <c r="Y180" s="173">
        <v>1.02</v>
      </c>
      <c r="Z180" s="173">
        <v>1</v>
      </c>
      <c r="AA180" s="173">
        <v>1</v>
      </c>
      <c r="AB180" s="173">
        <v>1</v>
      </c>
      <c r="AC180" s="173">
        <v>1</v>
      </c>
      <c r="AD180" s="173">
        <v>0.98</v>
      </c>
      <c r="AE180" s="173">
        <v>0.98</v>
      </c>
      <c r="AF180" s="173">
        <v>0.98</v>
      </c>
      <c r="AG180" s="173">
        <v>0.98</v>
      </c>
      <c r="AH180" s="173">
        <v>1.05</v>
      </c>
      <c r="AI180" s="173">
        <v>1</v>
      </c>
      <c r="AJ180" s="173">
        <v>1</v>
      </c>
      <c r="AK180" s="173">
        <v>1.02</v>
      </c>
      <c r="AL180">
        <v>1</v>
      </c>
      <c r="AM180">
        <v>1</v>
      </c>
      <c r="AN180">
        <v>1</v>
      </c>
      <c r="AO180">
        <v>1</v>
      </c>
    </row>
    <row r="181" spans="1:41" x14ac:dyDescent="0.25">
      <c r="A181" s="172">
        <v>42156</v>
      </c>
      <c r="B181" s="173">
        <v>1</v>
      </c>
      <c r="C181" s="173">
        <v>1</v>
      </c>
      <c r="D181" s="173">
        <v>1</v>
      </c>
      <c r="E181" s="173">
        <v>1</v>
      </c>
      <c r="F181" s="173">
        <v>1</v>
      </c>
      <c r="G181" s="173">
        <v>1</v>
      </c>
      <c r="H181" s="173">
        <v>1</v>
      </c>
      <c r="I181" s="173">
        <v>1</v>
      </c>
      <c r="J181" s="173">
        <v>1</v>
      </c>
      <c r="K181" s="173">
        <v>1</v>
      </c>
      <c r="L181" s="173">
        <v>1</v>
      </c>
      <c r="M181" s="173">
        <v>1</v>
      </c>
      <c r="N181" s="173">
        <v>1</v>
      </c>
      <c r="O181" s="173">
        <v>1</v>
      </c>
      <c r="P181" s="173">
        <v>1</v>
      </c>
      <c r="Q181" s="173">
        <v>1</v>
      </c>
      <c r="R181" s="173">
        <v>1</v>
      </c>
      <c r="S181" s="173">
        <v>1.02</v>
      </c>
      <c r="T181" s="173">
        <v>1</v>
      </c>
      <c r="U181" s="173">
        <v>1</v>
      </c>
      <c r="V181" s="173">
        <v>1</v>
      </c>
      <c r="W181" s="173">
        <v>1</v>
      </c>
      <c r="X181" s="173">
        <v>1</v>
      </c>
      <c r="Y181" s="173">
        <v>1.02</v>
      </c>
      <c r="Z181" s="173">
        <v>1</v>
      </c>
      <c r="AA181" s="173">
        <v>1</v>
      </c>
      <c r="AB181" s="173">
        <v>1</v>
      </c>
      <c r="AC181" s="173">
        <v>1</v>
      </c>
      <c r="AD181" s="173">
        <v>0.98</v>
      </c>
      <c r="AE181" s="173">
        <v>0.98</v>
      </c>
      <c r="AF181" s="173">
        <v>0.98</v>
      </c>
      <c r="AG181" s="173">
        <v>0.98</v>
      </c>
      <c r="AH181" s="173">
        <v>1.05</v>
      </c>
      <c r="AI181" s="173">
        <v>1</v>
      </c>
      <c r="AJ181" s="173">
        <v>1</v>
      </c>
      <c r="AK181" s="173">
        <v>1.02</v>
      </c>
      <c r="AL181">
        <v>1</v>
      </c>
      <c r="AM181">
        <v>1</v>
      </c>
      <c r="AN181">
        <v>1</v>
      </c>
      <c r="AO181">
        <v>1</v>
      </c>
    </row>
    <row r="182" spans="1:41" x14ac:dyDescent="0.25">
      <c r="A182" s="172">
        <v>42186</v>
      </c>
      <c r="B182" s="173">
        <v>1</v>
      </c>
      <c r="C182" s="173">
        <v>1</v>
      </c>
      <c r="D182" s="173">
        <v>1</v>
      </c>
      <c r="E182" s="173">
        <v>1</v>
      </c>
      <c r="F182" s="173">
        <v>1</v>
      </c>
      <c r="G182" s="173">
        <v>1</v>
      </c>
      <c r="H182" s="173">
        <v>1</v>
      </c>
      <c r="I182" s="173">
        <v>1</v>
      </c>
      <c r="J182" s="173">
        <v>1</v>
      </c>
      <c r="K182" s="173">
        <v>1</v>
      </c>
      <c r="L182" s="173">
        <v>1</v>
      </c>
      <c r="M182" s="173">
        <v>1</v>
      </c>
      <c r="N182" s="173">
        <v>1</v>
      </c>
      <c r="O182" s="173">
        <v>1</v>
      </c>
      <c r="P182" s="173">
        <v>1</v>
      </c>
      <c r="Q182" s="173">
        <v>1</v>
      </c>
      <c r="R182" s="173">
        <v>1</v>
      </c>
      <c r="S182" s="173">
        <v>1.02</v>
      </c>
      <c r="T182" s="173">
        <v>1</v>
      </c>
      <c r="U182" s="173">
        <v>1</v>
      </c>
      <c r="V182" s="173">
        <v>1</v>
      </c>
      <c r="W182" s="173">
        <v>1</v>
      </c>
      <c r="X182" s="173">
        <v>1</v>
      </c>
      <c r="Y182" s="173">
        <v>1.02</v>
      </c>
      <c r="Z182" s="173">
        <v>1</v>
      </c>
      <c r="AA182" s="173">
        <v>1</v>
      </c>
      <c r="AB182" s="173">
        <v>1</v>
      </c>
      <c r="AC182" s="173">
        <v>1</v>
      </c>
      <c r="AD182" s="173">
        <v>0.98</v>
      </c>
      <c r="AE182" s="173">
        <v>0.98</v>
      </c>
      <c r="AF182" s="173">
        <v>0.98</v>
      </c>
      <c r="AG182" s="173">
        <v>0.98</v>
      </c>
      <c r="AH182" s="173">
        <v>1.05</v>
      </c>
      <c r="AI182" s="173">
        <v>1</v>
      </c>
      <c r="AJ182" s="173">
        <v>1</v>
      </c>
      <c r="AK182" s="173">
        <v>1.02</v>
      </c>
      <c r="AL182">
        <v>1</v>
      </c>
      <c r="AM182">
        <v>1</v>
      </c>
      <c r="AN182">
        <v>1</v>
      </c>
      <c r="AO182">
        <v>1</v>
      </c>
    </row>
    <row r="183" spans="1:41" x14ac:dyDescent="0.25">
      <c r="A183" s="172">
        <v>42217</v>
      </c>
      <c r="B183" s="173">
        <v>1</v>
      </c>
      <c r="C183" s="173">
        <v>1</v>
      </c>
      <c r="D183" s="173">
        <v>1</v>
      </c>
      <c r="E183" s="173">
        <v>1</v>
      </c>
      <c r="F183" s="173">
        <v>1</v>
      </c>
      <c r="G183" s="173">
        <v>1</v>
      </c>
      <c r="H183" s="173">
        <v>1</v>
      </c>
      <c r="I183" s="173">
        <v>1</v>
      </c>
      <c r="J183" s="173">
        <v>1</v>
      </c>
      <c r="K183" s="173">
        <v>1</v>
      </c>
      <c r="L183" s="173">
        <v>1</v>
      </c>
      <c r="M183" s="173">
        <v>1</v>
      </c>
      <c r="N183" s="173">
        <v>1</v>
      </c>
      <c r="O183" s="173">
        <v>1</v>
      </c>
      <c r="P183" s="173">
        <v>1</v>
      </c>
      <c r="Q183" s="173">
        <v>1</v>
      </c>
      <c r="R183" s="173">
        <v>1</v>
      </c>
      <c r="S183" s="173">
        <v>1.02</v>
      </c>
      <c r="T183" s="173">
        <v>1</v>
      </c>
      <c r="U183" s="173">
        <v>1</v>
      </c>
      <c r="V183" s="173">
        <v>1</v>
      </c>
      <c r="W183" s="173">
        <v>1</v>
      </c>
      <c r="X183" s="173">
        <v>1</v>
      </c>
      <c r="Y183" s="173">
        <v>1.02</v>
      </c>
      <c r="Z183" s="173">
        <v>1</v>
      </c>
      <c r="AA183" s="173">
        <v>1</v>
      </c>
      <c r="AB183" s="173">
        <v>1</v>
      </c>
      <c r="AC183" s="173">
        <v>1</v>
      </c>
      <c r="AD183" s="173">
        <v>0.98</v>
      </c>
      <c r="AE183" s="173">
        <v>0.98</v>
      </c>
      <c r="AF183" s="173">
        <v>0.98</v>
      </c>
      <c r="AG183" s="173">
        <v>0.98</v>
      </c>
      <c r="AH183" s="173">
        <v>1.05</v>
      </c>
      <c r="AI183" s="173">
        <v>1</v>
      </c>
      <c r="AJ183" s="173">
        <v>1</v>
      </c>
      <c r="AK183" s="173">
        <v>1.02</v>
      </c>
      <c r="AL183">
        <v>1</v>
      </c>
      <c r="AM183">
        <v>1</v>
      </c>
      <c r="AN183">
        <v>1</v>
      </c>
      <c r="AO183">
        <v>1</v>
      </c>
    </row>
    <row r="184" spans="1:41" x14ac:dyDescent="0.25">
      <c r="A184" s="172">
        <v>42248</v>
      </c>
      <c r="B184" s="173">
        <v>1</v>
      </c>
      <c r="C184" s="173">
        <v>1</v>
      </c>
      <c r="D184" s="173">
        <v>1</v>
      </c>
      <c r="E184" s="173">
        <v>1</v>
      </c>
      <c r="F184" s="173">
        <v>1</v>
      </c>
      <c r="G184" s="173">
        <v>1</v>
      </c>
      <c r="H184" s="173">
        <v>1</v>
      </c>
      <c r="I184" s="173">
        <v>1</v>
      </c>
      <c r="J184" s="173">
        <v>1</v>
      </c>
      <c r="K184" s="173">
        <v>1</v>
      </c>
      <c r="L184" s="173">
        <v>1</v>
      </c>
      <c r="M184" s="173">
        <v>1</v>
      </c>
      <c r="N184" s="173">
        <v>1</v>
      </c>
      <c r="O184" s="173">
        <v>1</v>
      </c>
      <c r="P184" s="173">
        <v>1</v>
      </c>
      <c r="Q184" s="173">
        <v>1</v>
      </c>
      <c r="R184" s="173">
        <v>1</v>
      </c>
      <c r="S184" s="173">
        <v>1.02</v>
      </c>
      <c r="T184" s="173">
        <v>1</v>
      </c>
      <c r="U184" s="173">
        <v>1</v>
      </c>
      <c r="V184" s="173">
        <v>1</v>
      </c>
      <c r="W184" s="173">
        <v>1</v>
      </c>
      <c r="X184" s="173">
        <v>1</v>
      </c>
      <c r="Y184" s="173">
        <v>1.02</v>
      </c>
      <c r="Z184" s="173">
        <v>1</v>
      </c>
      <c r="AA184" s="173">
        <v>1</v>
      </c>
      <c r="AB184" s="173">
        <v>1</v>
      </c>
      <c r="AC184" s="173">
        <v>1</v>
      </c>
      <c r="AD184" s="173">
        <v>0.98</v>
      </c>
      <c r="AE184" s="173">
        <v>0.98</v>
      </c>
      <c r="AF184" s="173">
        <v>0.98</v>
      </c>
      <c r="AG184" s="173">
        <v>0.98</v>
      </c>
      <c r="AH184" s="173">
        <v>1.05</v>
      </c>
      <c r="AI184" s="173">
        <v>1</v>
      </c>
      <c r="AJ184" s="173">
        <v>1</v>
      </c>
      <c r="AK184" s="173">
        <v>1.02</v>
      </c>
      <c r="AL184">
        <v>1</v>
      </c>
      <c r="AM184">
        <v>1</v>
      </c>
      <c r="AN184">
        <v>1</v>
      </c>
      <c r="AO184">
        <v>1</v>
      </c>
    </row>
    <row r="185" spans="1:41" x14ac:dyDescent="0.25">
      <c r="A185" s="172">
        <v>42278</v>
      </c>
      <c r="B185" s="173">
        <v>1</v>
      </c>
      <c r="C185" s="173">
        <v>1</v>
      </c>
      <c r="D185" s="173">
        <v>1</v>
      </c>
      <c r="E185" s="173">
        <v>1</v>
      </c>
      <c r="F185" s="173">
        <v>1</v>
      </c>
      <c r="G185" s="173">
        <v>1</v>
      </c>
      <c r="H185" s="173">
        <v>1</v>
      </c>
      <c r="I185" s="173">
        <v>1</v>
      </c>
      <c r="J185" s="173">
        <v>1</v>
      </c>
      <c r="K185" s="173">
        <v>1</v>
      </c>
      <c r="L185" s="173">
        <v>1</v>
      </c>
      <c r="M185" s="173">
        <v>1</v>
      </c>
      <c r="N185" s="173">
        <v>1</v>
      </c>
      <c r="O185" s="173">
        <v>1</v>
      </c>
      <c r="P185" s="173">
        <v>1</v>
      </c>
      <c r="Q185" s="173">
        <v>1</v>
      </c>
      <c r="R185" s="173">
        <v>1</v>
      </c>
      <c r="S185" s="173">
        <v>1.02</v>
      </c>
      <c r="T185" s="173">
        <v>1</v>
      </c>
      <c r="U185" s="173">
        <v>1</v>
      </c>
      <c r="V185" s="173">
        <v>1</v>
      </c>
      <c r="W185" s="173">
        <v>1</v>
      </c>
      <c r="X185" s="173">
        <v>1</v>
      </c>
      <c r="Y185" s="173">
        <v>1.02</v>
      </c>
      <c r="Z185" s="173">
        <v>1</v>
      </c>
      <c r="AA185" s="173">
        <v>1</v>
      </c>
      <c r="AB185" s="173">
        <v>1</v>
      </c>
      <c r="AC185" s="173">
        <v>1</v>
      </c>
      <c r="AD185" s="173">
        <v>0.98</v>
      </c>
      <c r="AE185" s="173">
        <v>0.98</v>
      </c>
      <c r="AF185" s="173">
        <v>0.98</v>
      </c>
      <c r="AG185" s="173">
        <v>0.98</v>
      </c>
      <c r="AH185" s="173">
        <v>1.05</v>
      </c>
      <c r="AI185" s="173">
        <v>1</v>
      </c>
      <c r="AJ185" s="173">
        <v>1</v>
      </c>
      <c r="AK185" s="173">
        <v>1.02</v>
      </c>
      <c r="AL185">
        <v>1</v>
      </c>
      <c r="AM185">
        <v>1</v>
      </c>
      <c r="AN185">
        <v>1</v>
      </c>
      <c r="AO185">
        <v>1</v>
      </c>
    </row>
    <row r="186" spans="1:41" x14ac:dyDescent="0.25">
      <c r="A186" s="172">
        <v>42309</v>
      </c>
      <c r="B186" s="173">
        <v>1</v>
      </c>
      <c r="C186" s="173">
        <v>1</v>
      </c>
      <c r="D186" s="173">
        <v>1</v>
      </c>
      <c r="E186" s="173">
        <v>1</v>
      </c>
      <c r="F186" s="173">
        <v>1</v>
      </c>
      <c r="G186" s="173">
        <v>1</v>
      </c>
      <c r="H186" s="173">
        <v>1</v>
      </c>
      <c r="I186" s="173">
        <v>1</v>
      </c>
      <c r="J186" s="173">
        <v>1</v>
      </c>
      <c r="K186" s="173">
        <v>1</v>
      </c>
      <c r="L186" s="173">
        <v>1</v>
      </c>
      <c r="M186" s="173">
        <v>1</v>
      </c>
      <c r="N186" s="173">
        <v>1</v>
      </c>
      <c r="O186" s="173">
        <v>1</v>
      </c>
      <c r="P186" s="173">
        <v>1</v>
      </c>
      <c r="Q186" s="173">
        <v>1</v>
      </c>
      <c r="R186" s="173">
        <v>1</v>
      </c>
      <c r="S186" s="173">
        <v>1.02</v>
      </c>
      <c r="T186" s="173">
        <v>1</v>
      </c>
      <c r="U186" s="173">
        <v>1</v>
      </c>
      <c r="V186" s="173">
        <v>1</v>
      </c>
      <c r="W186" s="173">
        <v>1</v>
      </c>
      <c r="X186" s="173">
        <v>1</v>
      </c>
      <c r="Y186" s="173">
        <v>1</v>
      </c>
      <c r="Z186" s="173">
        <v>1</v>
      </c>
      <c r="AA186" s="173">
        <v>1</v>
      </c>
      <c r="AB186" s="173">
        <v>1</v>
      </c>
      <c r="AC186" s="173">
        <v>1</v>
      </c>
      <c r="AD186" s="173">
        <v>1</v>
      </c>
      <c r="AE186" s="173">
        <v>1</v>
      </c>
      <c r="AF186" s="173">
        <v>1.1000000000000001</v>
      </c>
      <c r="AG186" s="173">
        <v>1.1000000000000001</v>
      </c>
      <c r="AH186" s="173">
        <v>1.05</v>
      </c>
      <c r="AI186" s="173">
        <v>1</v>
      </c>
      <c r="AJ186" s="173">
        <v>1</v>
      </c>
      <c r="AK186" s="173">
        <v>1.02</v>
      </c>
      <c r="AL186">
        <v>1</v>
      </c>
      <c r="AM186">
        <v>1</v>
      </c>
      <c r="AN186">
        <v>1</v>
      </c>
      <c r="AO186">
        <v>1</v>
      </c>
    </row>
    <row r="187" spans="1:41" x14ac:dyDescent="0.25">
      <c r="A187" s="172">
        <v>42339</v>
      </c>
      <c r="B187" s="173">
        <v>1</v>
      </c>
      <c r="C187" s="173">
        <v>1</v>
      </c>
      <c r="D187" s="173">
        <v>1</v>
      </c>
      <c r="E187" s="173">
        <v>1</v>
      </c>
      <c r="F187" s="173">
        <v>1</v>
      </c>
      <c r="G187" s="173">
        <v>1</v>
      </c>
      <c r="H187" s="173">
        <v>1</v>
      </c>
      <c r="I187" s="173">
        <v>1</v>
      </c>
      <c r="J187" s="173">
        <v>1</v>
      </c>
      <c r="K187" s="173">
        <v>1</v>
      </c>
      <c r="L187" s="173">
        <v>1</v>
      </c>
      <c r="M187" s="173">
        <v>1</v>
      </c>
      <c r="N187" s="173">
        <v>1</v>
      </c>
      <c r="O187" s="173">
        <v>1</v>
      </c>
      <c r="P187" s="173">
        <v>1</v>
      </c>
      <c r="Q187" s="173">
        <v>1</v>
      </c>
      <c r="R187" s="173">
        <v>1</v>
      </c>
      <c r="S187" s="173">
        <v>1.02</v>
      </c>
      <c r="T187" s="173">
        <v>1</v>
      </c>
      <c r="U187" s="173">
        <v>1</v>
      </c>
      <c r="V187" s="173">
        <v>1</v>
      </c>
      <c r="W187" s="173">
        <v>1</v>
      </c>
      <c r="X187" s="173">
        <v>1</v>
      </c>
      <c r="Y187" s="173">
        <v>1</v>
      </c>
      <c r="Z187" s="173">
        <v>1</v>
      </c>
      <c r="AA187" s="173">
        <v>1</v>
      </c>
      <c r="AB187" s="173">
        <v>1</v>
      </c>
      <c r="AC187" s="173">
        <v>1</v>
      </c>
      <c r="AD187" s="173">
        <v>1</v>
      </c>
      <c r="AE187" s="173">
        <v>1</v>
      </c>
      <c r="AF187" s="173">
        <v>1.1000000000000001</v>
      </c>
      <c r="AG187" s="173">
        <v>1.1000000000000001</v>
      </c>
      <c r="AH187" s="173">
        <v>1.05</v>
      </c>
      <c r="AI187" s="173">
        <v>1</v>
      </c>
      <c r="AJ187" s="173">
        <v>1</v>
      </c>
      <c r="AK187" s="173">
        <v>1.02</v>
      </c>
      <c r="AL187">
        <v>1</v>
      </c>
      <c r="AM187">
        <v>1</v>
      </c>
      <c r="AN187">
        <v>1</v>
      </c>
      <c r="AO187">
        <v>1</v>
      </c>
    </row>
    <row r="188" spans="1:41" x14ac:dyDescent="0.25">
      <c r="A188" s="172">
        <v>42370</v>
      </c>
      <c r="B188" s="173">
        <v>1</v>
      </c>
      <c r="C188" s="173">
        <v>1</v>
      </c>
      <c r="D188" s="173">
        <v>1</v>
      </c>
      <c r="E188" s="173">
        <v>1</v>
      </c>
      <c r="F188" s="173">
        <v>1</v>
      </c>
      <c r="G188" s="173">
        <v>1</v>
      </c>
      <c r="H188" s="173">
        <v>1</v>
      </c>
      <c r="I188" s="173">
        <v>1</v>
      </c>
      <c r="J188" s="173">
        <v>1</v>
      </c>
      <c r="K188" s="173">
        <v>1</v>
      </c>
      <c r="L188" s="173">
        <v>1</v>
      </c>
      <c r="M188" s="173">
        <v>1</v>
      </c>
      <c r="N188" s="173">
        <v>1</v>
      </c>
      <c r="O188" s="173">
        <v>1</v>
      </c>
      <c r="P188" s="173">
        <v>1</v>
      </c>
      <c r="Q188" s="173">
        <v>1</v>
      </c>
      <c r="R188" s="173">
        <v>1</v>
      </c>
      <c r="S188" s="173">
        <v>1.02</v>
      </c>
      <c r="T188" s="173">
        <v>1</v>
      </c>
      <c r="U188" s="173">
        <v>1</v>
      </c>
      <c r="V188" s="173">
        <v>1</v>
      </c>
      <c r="W188" s="173">
        <v>1</v>
      </c>
      <c r="X188" s="173">
        <v>1</v>
      </c>
      <c r="Y188" s="173">
        <v>1</v>
      </c>
      <c r="Z188" s="173">
        <v>1</v>
      </c>
      <c r="AA188" s="173">
        <v>1</v>
      </c>
      <c r="AB188" s="173">
        <v>1</v>
      </c>
      <c r="AC188" s="173">
        <v>1</v>
      </c>
      <c r="AD188" s="173">
        <v>1</v>
      </c>
      <c r="AE188" s="173">
        <v>1</v>
      </c>
      <c r="AF188" s="173">
        <v>1.1000000000000001</v>
      </c>
      <c r="AG188" s="173">
        <v>1.1000000000000001</v>
      </c>
      <c r="AH188" s="173">
        <v>1.05</v>
      </c>
      <c r="AI188" s="173">
        <v>1</v>
      </c>
      <c r="AJ188" s="173">
        <v>1</v>
      </c>
      <c r="AK188" s="173">
        <v>1.02</v>
      </c>
      <c r="AL188">
        <v>1</v>
      </c>
      <c r="AM188">
        <v>1</v>
      </c>
      <c r="AN188">
        <v>1</v>
      </c>
      <c r="AO188">
        <v>1</v>
      </c>
    </row>
    <row r="189" spans="1:41" x14ac:dyDescent="0.25">
      <c r="A189" s="172">
        <v>42401</v>
      </c>
      <c r="B189" s="173">
        <v>1</v>
      </c>
      <c r="C189" s="173">
        <v>1</v>
      </c>
      <c r="D189" s="173">
        <v>1</v>
      </c>
      <c r="E189" s="173">
        <v>1</v>
      </c>
      <c r="F189" s="173">
        <v>1</v>
      </c>
      <c r="G189" s="173">
        <v>1</v>
      </c>
      <c r="H189" s="173">
        <v>1</v>
      </c>
      <c r="I189" s="173">
        <v>1</v>
      </c>
      <c r="J189" s="173">
        <v>1</v>
      </c>
      <c r="K189" s="173">
        <v>1</v>
      </c>
      <c r="L189" s="173">
        <v>1</v>
      </c>
      <c r="M189" s="173">
        <v>1</v>
      </c>
      <c r="N189" s="173">
        <v>1</v>
      </c>
      <c r="O189" s="173">
        <v>1</v>
      </c>
      <c r="P189" s="173">
        <v>1</v>
      </c>
      <c r="Q189" s="173">
        <v>1</v>
      </c>
      <c r="R189" s="173">
        <v>1</v>
      </c>
      <c r="S189" s="173">
        <v>1.02</v>
      </c>
      <c r="T189" s="173">
        <v>1</v>
      </c>
      <c r="U189" s="173">
        <v>1</v>
      </c>
      <c r="V189" s="173">
        <v>1</v>
      </c>
      <c r="W189" s="173">
        <v>1</v>
      </c>
      <c r="X189" s="173">
        <v>1</v>
      </c>
      <c r="Y189" s="173">
        <v>1</v>
      </c>
      <c r="Z189" s="173">
        <v>1</v>
      </c>
      <c r="AA189" s="173">
        <v>1</v>
      </c>
      <c r="AB189" s="173">
        <v>1</v>
      </c>
      <c r="AC189" s="173">
        <v>1</v>
      </c>
      <c r="AD189" s="173">
        <v>1</v>
      </c>
      <c r="AE189" s="173">
        <v>1</v>
      </c>
      <c r="AF189" s="173">
        <v>1.1000000000000001</v>
      </c>
      <c r="AG189" s="173">
        <v>1.1000000000000001</v>
      </c>
      <c r="AH189" s="173">
        <v>1.05</v>
      </c>
      <c r="AI189" s="173">
        <v>1</v>
      </c>
      <c r="AJ189" s="173">
        <v>1</v>
      </c>
      <c r="AK189" s="173">
        <v>1.02</v>
      </c>
      <c r="AL189">
        <v>1</v>
      </c>
      <c r="AM189">
        <v>1</v>
      </c>
      <c r="AN189">
        <v>1</v>
      </c>
      <c r="AO189">
        <v>1</v>
      </c>
    </row>
    <row r="190" spans="1:41" x14ac:dyDescent="0.25">
      <c r="A190" s="172">
        <v>42430</v>
      </c>
      <c r="B190" s="173">
        <v>1</v>
      </c>
      <c r="C190" s="173">
        <v>1</v>
      </c>
      <c r="D190" s="173">
        <v>1</v>
      </c>
      <c r="E190" s="173">
        <v>1</v>
      </c>
      <c r="F190" s="173">
        <v>1</v>
      </c>
      <c r="G190" s="173">
        <v>1</v>
      </c>
      <c r="H190" s="173">
        <v>1</v>
      </c>
      <c r="I190" s="173">
        <v>1</v>
      </c>
      <c r="J190" s="173">
        <v>1</v>
      </c>
      <c r="K190" s="173">
        <v>1</v>
      </c>
      <c r="L190" s="173">
        <v>1</v>
      </c>
      <c r="M190" s="173">
        <v>1</v>
      </c>
      <c r="N190" s="173">
        <v>1</v>
      </c>
      <c r="O190" s="173">
        <v>1</v>
      </c>
      <c r="P190" s="173">
        <v>1</v>
      </c>
      <c r="Q190" s="173">
        <v>1</v>
      </c>
      <c r="R190" s="173">
        <v>1</v>
      </c>
      <c r="S190" s="173">
        <v>1.02</v>
      </c>
      <c r="T190" s="173">
        <v>1</v>
      </c>
      <c r="U190" s="173">
        <v>1</v>
      </c>
      <c r="V190" s="173">
        <v>1</v>
      </c>
      <c r="W190" s="173">
        <v>1</v>
      </c>
      <c r="X190" s="173">
        <v>1</v>
      </c>
      <c r="Y190" s="173">
        <v>1</v>
      </c>
      <c r="Z190" s="173">
        <v>1</v>
      </c>
      <c r="AA190" s="173">
        <v>1</v>
      </c>
      <c r="AB190" s="173">
        <v>1</v>
      </c>
      <c r="AC190" s="173">
        <v>1</v>
      </c>
      <c r="AD190" s="173">
        <v>1</v>
      </c>
      <c r="AE190" s="173">
        <v>1</v>
      </c>
      <c r="AF190" s="173">
        <v>1.1000000000000001</v>
      </c>
      <c r="AG190" s="173">
        <v>1.1000000000000001</v>
      </c>
      <c r="AH190" s="173">
        <v>1.05</v>
      </c>
      <c r="AI190" s="173">
        <v>1</v>
      </c>
      <c r="AJ190" s="173">
        <v>1</v>
      </c>
      <c r="AK190" s="173">
        <v>1.02</v>
      </c>
      <c r="AL190">
        <v>1</v>
      </c>
      <c r="AM190">
        <v>1</v>
      </c>
      <c r="AN190">
        <v>1</v>
      </c>
      <c r="AO190">
        <v>1</v>
      </c>
    </row>
    <row r="191" spans="1:41" x14ac:dyDescent="0.25">
      <c r="A191" s="172">
        <v>42461</v>
      </c>
      <c r="B191" s="173">
        <v>1</v>
      </c>
      <c r="C191" s="173">
        <v>1</v>
      </c>
      <c r="D191" s="173">
        <v>1</v>
      </c>
      <c r="E191" s="173">
        <v>1</v>
      </c>
      <c r="F191" s="173">
        <v>1</v>
      </c>
      <c r="G191" s="173">
        <v>1</v>
      </c>
      <c r="H191" s="173">
        <v>1</v>
      </c>
      <c r="I191" s="173">
        <v>1</v>
      </c>
      <c r="J191" s="173">
        <v>1</v>
      </c>
      <c r="K191" s="173">
        <v>1</v>
      </c>
      <c r="L191" s="173">
        <v>1</v>
      </c>
      <c r="M191" s="173">
        <v>1</v>
      </c>
      <c r="N191" s="173">
        <v>1</v>
      </c>
      <c r="O191" s="173">
        <v>1</v>
      </c>
      <c r="P191" s="173">
        <v>1</v>
      </c>
      <c r="Q191" s="173">
        <v>1</v>
      </c>
      <c r="R191" s="173">
        <v>1</v>
      </c>
      <c r="S191" s="173">
        <v>1.02</v>
      </c>
      <c r="T191" s="173">
        <v>1</v>
      </c>
      <c r="U191" s="173">
        <v>1</v>
      </c>
      <c r="V191" s="173">
        <v>1</v>
      </c>
      <c r="W191" s="173">
        <v>1</v>
      </c>
      <c r="X191" s="173">
        <v>1</v>
      </c>
      <c r="Y191" s="173">
        <v>1.02</v>
      </c>
      <c r="Z191" s="173">
        <v>1</v>
      </c>
      <c r="AA191" s="173">
        <v>1</v>
      </c>
      <c r="AB191" s="173">
        <v>1</v>
      </c>
      <c r="AC191" s="173">
        <v>1</v>
      </c>
      <c r="AD191" s="173">
        <v>0.98</v>
      </c>
      <c r="AE191" s="173">
        <v>0.98</v>
      </c>
      <c r="AF191" s="173">
        <v>0.98</v>
      </c>
      <c r="AG191" s="173">
        <v>0.98</v>
      </c>
      <c r="AH191" s="173">
        <v>1.05</v>
      </c>
      <c r="AI191" s="173">
        <v>1</v>
      </c>
      <c r="AJ191" s="173">
        <v>1</v>
      </c>
      <c r="AK191" s="173">
        <v>1.02</v>
      </c>
      <c r="AL191">
        <v>1</v>
      </c>
      <c r="AM191">
        <v>1</v>
      </c>
      <c r="AN191">
        <v>1</v>
      </c>
      <c r="AO191">
        <v>1</v>
      </c>
    </row>
    <row r="192" spans="1:41" x14ac:dyDescent="0.25">
      <c r="A192" s="172">
        <v>42491</v>
      </c>
      <c r="B192" s="173">
        <v>1</v>
      </c>
      <c r="C192" s="173">
        <v>1</v>
      </c>
      <c r="D192" s="173">
        <v>1</v>
      </c>
      <c r="E192" s="173">
        <v>1</v>
      </c>
      <c r="F192" s="173">
        <v>1</v>
      </c>
      <c r="G192" s="173">
        <v>1</v>
      </c>
      <c r="H192" s="173">
        <v>1</v>
      </c>
      <c r="I192" s="173">
        <v>1</v>
      </c>
      <c r="J192" s="173">
        <v>1</v>
      </c>
      <c r="K192" s="173">
        <v>1</v>
      </c>
      <c r="L192" s="173">
        <v>1</v>
      </c>
      <c r="M192" s="173">
        <v>1</v>
      </c>
      <c r="N192" s="173">
        <v>1</v>
      </c>
      <c r="O192" s="173">
        <v>1</v>
      </c>
      <c r="P192" s="173">
        <v>1</v>
      </c>
      <c r="Q192" s="173">
        <v>1</v>
      </c>
      <c r="R192" s="173">
        <v>1</v>
      </c>
      <c r="S192" s="173">
        <v>1.02</v>
      </c>
      <c r="T192" s="173">
        <v>1</v>
      </c>
      <c r="U192" s="173">
        <v>1</v>
      </c>
      <c r="V192" s="173">
        <v>1</v>
      </c>
      <c r="W192" s="173">
        <v>1</v>
      </c>
      <c r="X192" s="173">
        <v>1</v>
      </c>
      <c r="Y192" s="173">
        <v>1.02</v>
      </c>
      <c r="Z192" s="173">
        <v>1</v>
      </c>
      <c r="AA192" s="173">
        <v>1</v>
      </c>
      <c r="AB192" s="173">
        <v>1</v>
      </c>
      <c r="AC192" s="173">
        <v>1</v>
      </c>
      <c r="AD192" s="173">
        <v>0.98</v>
      </c>
      <c r="AE192" s="173">
        <v>0.98</v>
      </c>
      <c r="AF192" s="173">
        <v>0.98</v>
      </c>
      <c r="AG192" s="173">
        <v>0.98</v>
      </c>
      <c r="AH192" s="173">
        <v>1.05</v>
      </c>
      <c r="AI192" s="173">
        <v>1</v>
      </c>
      <c r="AJ192" s="173">
        <v>1</v>
      </c>
      <c r="AK192" s="173">
        <v>1.02</v>
      </c>
      <c r="AL192">
        <v>1</v>
      </c>
      <c r="AM192">
        <v>1</v>
      </c>
      <c r="AN192">
        <v>1</v>
      </c>
      <c r="AO192">
        <v>1</v>
      </c>
    </row>
    <row r="193" spans="1:41" x14ac:dyDescent="0.25">
      <c r="A193" s="172">
        <v>42522</v>
      </c>
      <c r="B193" s="173">
        <v>1</v>
      </c>
      <c r="C193" s="173">
        <v>1</v>
      </c>
      <c r="D193" s="173">
        <v>1</v>
      </c>
      <c r="E193" s="173">
        <v>1</v>
      </c>
      <c r="F193" s="173">
        <v>1</v>
      </c>
      <c r="G193" s="173">
        <v>1</v>
      </c>
      <c r="H193" s="173">
        <v>1</v>
      </c>
      <c r="I193" s="173">
        <v>1</v>
      </c>
      <c r="J193" s="173">
        <v>1</v>
      </c>
      <c r="K193" s="173">
        <v>1</v>
      </c>
      <c r="L193" s="173">
        <v>1</v>
      </c>
      <c r="M193" s="173">
        <v>1</v>
      </c>
      <c r="N193" s="173">
        <v>1</v>
      </c>
      <c r="O193" s="173">
        <v>1</v>
      </c>
      <c r="P193" s="173">
        <v>1</v>
      </c>
      <c r="Q193" s="173">
        <v>1</v>
      </c>
      <c r="R193" s="173">
        <v>1</v>
      </c>
      <c r="S193" s="173">
        <v>1.02</v>
      </c>
      <c r="T193" s="173">
        <v>1</v>
      </c>
      <c r="U193" s="173">
        <v>1</v>
      </c>
      <c r="V193" s="173">
        <v>1</v>
      </c>
      <c r="W193" s="173">
        <v>1</v>
      </c>
      <c r="X193" s="173">
        <v>1</v>
      </c>
      <c r="Y193" s="173">
        <v>1.02</v>
      </c>
      <c r="Z193" s="173">
        <v>1</v>
      </c>
      <c r="AA193" s="173">
        <v>1</v>
      </c>
      <c r="AB193" s="173">
        <v>1</v>
      </c>
      <c r="AC193" s="173">
        <v>1</v>
      </c>
      <c r="AD193" s="173">
        <v>0.98</v>
      </c>
      <c r="AE193" s="173">
        <v>0.98</v>
      </c>
      <c r="AF193" s="173">
        <v>0.98</v>
      </c>
      <c r="AG193" s="173">
        <v>0.98</v>
      </c>
      <c r="AH193" s="173">
        <v>1.05</v>
      </c>
      <c r="AI193" s="173">
        <v>1</v>
      </c>
      <c r="AJ193" s="173">
        <v>1</v>
      </c>
      <c r="AK193" s="173">
        <v>1.02</v>
      </c>
      <c r="AL193">
        <v>1</v>
      </c>
      <c r="AM193">
        <v>1</v>
      </c>
      <c r="AN193">
        <v>1</v>
      </c>
      <c r="AO193">
        <v>1</v>
      </c>
    </row>
    <row r="194" spans="1:41" x14ac:dyDescent="0.25">
      <c r="A194" s="172">
        <v>42552</v>
      </c>
      <c r="B194" s="173">
        <v>1</v>
      </c>
      <c r="C194" s="173">
        <v>1</v>
      </c>
      <c r="D194" s="173">
        <v>1</v>
      </c>
      <c r="E194" s="173">
        <v>1</v>
      </c>
      <c r="F194" s="173">
        <v>1</v>
      </c>
      <c r="G194" s="173">
        <v>1</v>
      </c>
      <c r="H194" s="173">
        <v>1</v>
      </c>
      <c r="I194" s="173">
        <v>1</v>
      </c>
      <c r="J194" s="173">
        <v>1</v>
      </c>
      <c r="K194" s="173">
        <v>1</v>
      </c>
      <c r="L194" s="173">
        <v>1</v>
      </c>
      <c r="M194" s="173">
        <v>1</v>
      </c>
      <c r="N194" s="173">
        <v>1</v>
      </c>
      <c r="O194" s="173">
        <v>1</v>
      </c>
      <c r="P194" s="173">
        <v>1</v>
      </c>
      <c r="Q194" s="173">
        <v>1</v>
      </c>
      <c r="R194" s="173">
        <v>1</v>
      </c>
      <c r="S194" s="173">
        <v>1.02</v>
      </c>
      <c r="T194" s="173">
        <v>1</v>
      </c>
      <c r="U194" s="173">
        <v>1</v>
      </c>
      <c r="V194" s="173">
        <v>1</v>
      </c>
      <c r="W194" s="173">
        <v>1</v>
      </c>
      <c r="X194" s="173">
        <v>1</v>
      </c>
      <c r="Y194" s="173">
        <v>1.02</v>
      </c>
      <c r="Z194" s="173">
        <v>1</v>
      </c>
      <c r="AA194" s="173">
        <v>1</v>
      </c>
      <c r="AB194" s="173">
        <v>1</v>
      </c>
      <c r="AC194" s="173">
        <v>1</v>
      </c>
      <c r="AD194" s="173">
        <v>0.98</v>
      </c>
      <c r="AE194" s="173">
        <v>0.98</v>
      </c>
      <c r="AF194" s="173">
        <v>0.98</v>
      </c>
      <c r="AG194" s="173">
        <v>0.98</v>
      </c>
      <c r="AH194" s="173">
        <v>1.05</v>
      </c>
      <c r="AI194" s="173">
        <v>1</v>
      </c>
      <c r="AJ194" s="173">
        <v>1</v>
      </c>
      <c r="AK194" s="173">
        <v>1.02</v>
      </c>
      <c r="AL194">
        <v>1</v>
      </c>
      <c r="AM194">
        <v>1</v>
      </c>
      <c r="AN194">
        <v>1</v>
      </c>
      <c r="AO194">
        <v>1</v>
      </c>
    </row>
    <row r="195" spans="1:41" x14ac:dyDescent="0.25">
      <c r="A195" s="172">
        <v>42583</v>
      </c>
      <c r="B195" s="173">
        <v>1</v>
      </c>
      <c r="C195" s="173">
        <v>1</v>
      </c>
      <c r="D195" s="173">
        <v>1</v>
      </c>
      <c r="E195" s="173">
        <v>1</v>
      </c>
      <c r="F195" s="173">
        <v>1</v>
      </c>
      <c r="G195" s="173">
        <v>1</v>
      </c>
      <c r="H195" s="173">
        <v>1</v>
      </c>
      <c r="I195" s="173">
        <v>1</v>
      </c>
      <c r="J195" s="173">
        <v>1</v>
      </c>
      <c r="K195" s="173">
        <v>1</v>
      </c>
      <c r="L195" s="173">
        <v>1</v>
      </c>
      <c r="M195" s="173">
        <v>1</v>
      </c>
      <c r="N195" s="173">
        <v>1</v>
      </c>
      <c r="O195" s="173">
        <v>1</v>
      </c>
      <c r="P195" s="173">
        <v>1</v>
      </c>
      <c r="Q195" s="173">
        <v>1</v>
      </c>
      <c r="R195" s="173">
        <v>1</v>
      </c>
      <c r="S195" s="173">
        <v>1.02</v>
      </c>
      <c r="T195" s="173">
        <v>1</v>
      </c>
      <c r="U195" s="173">
        <v>1</v>
      </c>
      <c r="V195" s="173">
        <v>1</v>
      </c>
      <c r="W195" s="173">
        <v>1</v>
      </c>
      <c r="X195" s="173">
        <v>1</v>
      </c>
      <c r="Y195" s="173">
        <v>1.02</v>
      </c>
      <c r="Z195" s="173">
        <v>1</v>
      </c>
      <c r="AA195" s="173">
        <v>1</v>
      </c>
      <c r="AB195" s="173">
        <v>1</v>
      </c>
      <c r="AC195" s="173">
        <v>1</v>
      </c>
      <c r="AD195" s="173">
        <v>0.98</v>
      </c>
      <c r="AE195" s="173">
        <v>0.98</v>
      </c>
      <c r="AF195" s="173">
        <v>0.98</v>
      </c>
      <c r="AG195" s="173">
        <v>0.98</v>
      </c>
      <c r="AH195" s="173">
        <v>1.05</v>
      </c>
      <c r="AI195" s="173">
        <v>1</v>
      </c>
      <c r="AJ195" s="173">
        <v>1</v>
      </c>
      <c r="AK195" s="173">
        <v>1.02</v>
      </c>
      <c r="AL195">
        <v>1</v>
      </c>
      <c r="AM195">
        <v>1</v>
      </c>
      <c r="AN195">
        <v>1</v>
      </c>
      <c r="AO195">
        <v>1</v>
      </c>
    </row>
    <row r="196" spans="1:41" x14ac:dyDescent="0.25">
      <c r="A196" s="172">
        <v>42614</v>
      </c>
      <c r="B196" s="173">
        <v>1</v>
      </c>
      <c r="C196" s="173">
        <v>1</v>
      </c>
      <c r="D196" s="173">
        <v>1</v>
      </c>
      <c r="E196" s="173">
        <v>1</v>
      </c>
      <c r="F196" s="173">
        <v>1</v>
      </c>
      <c r="G196" s="173">
        <v>1</v>
      </c>
      <c r="H196" s="173">
        <v>1</v>
      </c>
      <c r="I196" s="173">
        <v>1</v>
      </c>
      <c r="J196" s="173">
        <v>1</v>
      </c>
      <c r="K196" s="173">
        <v>1</v>
      </c>
      <c r="L196" s="173">
        <v>1</v>
      </c>
      <c r="M196" s="173">
        <v>1</v>
      </c>
      <c r="N196" s="173">
        <v>1</v>
      </c>
      <c r="O196" s="173">
        <v>1</v>
      </c>
      <c r="P196" s="173">
        <v>1</v>
      </c>
      <c r="Q196" s="173">
        <v>1</v>
      </c>
      <c r="R196" s="173">
        <v>1</v>
      </c>
      <c r="S196" s="173">
        <v>1.02</v>
      </c>
      <c r="T196" s="173">
        <v>1</v>
      </c>
      <c r="U196" s="173">
        <v>1</v>
      </c>
      <c r="V196" s="173">
        <v>1</v>
      </c>
      <c r="W196" s="173">
        <v>1</v>
      </c>
      <c r="X196" s="173">
        <v>1</v>
      </c>
      <c r="Y196" s="173">
        <v>1.02</v>
      </c>
      <c r="Z196" s="173">
        <v>1</v>
      </c>
      <c r="AA196" s="173">
        <v>1</v>
      </c>
      <c r="AB196" s="173">
        <v>1</v>
      </c>
      <c r="AC196" s="173">
        <v>1</v>
      </c>
      <c r="AD196" s="173">
        <v>0.98</v>
      </c>
      <c r="AE196" s="173">
        <v>0.98</v>
      </c>
      <c r="AF196" s="173">
        <v>0.98</v>
      </c>
      <c r="AG196" s="173">
        <v>0.98</v>
      </c>
      <c r="AH196" s="173">
        <v>1.05</v>
      </c>
      <c r="AI196" s="173">
        <v>1</v>
      </c>
      <c r="AJ196" s="173">
        <v>1</v>
      </c>
      <c r="AK196" s="173">
        <v>1.02</v>
      </c>
      <c r="AL196">
        <v>1</v>
      </c>
      <c r="AM196">
        <v>1</v>
      </c>
      <c r="AN196">
        <v>1</v>
      </c>
      <c r="AO196">
        <v>1</v>
      </c>
    </row>
    <row r="197" spans="1:41" x14ac:dyDescent="0.25">
      <c r="A197" s="172">
        <v>42644</v>
      </c>
      <c r="B197" s="173">
        <v>1</v>
      </c>
      <c r="C197" s="173">
        <v>1</v>
      </c>
      <c r="D197" s="173">
        <v>1</v>
      </c>
      <c r="E197" s="173">
        <v>1</v>
      </c>
      <c r="F197" s="173">
        <v>1</v>
      </c>
      <c r="G197" s="173">
        <v>1</v>
      </c>
      <c r="H197" s="173">
        <v>1</v>
      </c>
      <c r="I197" s="173">
        <v>1</v>
      </c>
      <c r="J197" s="173">
        <v>1</v>
      </c>
      <c r="K197" s="173">
        <v>1</v>
      </c>
      <c r="L197" s="173">
        <v>1</v>
      </c>
      <c r="M197" s="173">
        <v>1</v>
      </c>
      <c r="N197" s="173">
        <v>1</v>
      </c>
      <c r="O197" s="173">
        <v>1</v>
      </c>
      <c r="P197" s="173">
        <v>1</v>
      </c>
      <c r="Q197" s="173">
        <v>1</v>
      </c>
      <c r="R197" s="173">
        <v>1</v>
      </c>
      <c r="S197" s="173">
        <v>1.02</v>
      </c>
      <c r="T197" s="173">
        <v>1</v>
      </c>
      <c r="U197" s="173">
        <v>1</v>
      </c>
      <c r="V197" s="173">
        <v>1</v>
      </c>
      <c r="W197" s="173">
        <v>1</v>
      </c>
      <c r="X197" s="173">
        <v>1</v>
      </c>
      <c r="Y197" s="173">
        <v>1.02</v>
      </c>
      <c r="Z197" s="173">
        <v>1</v>
      </c>
      <c r="AA197" s="173">
        <v>1</v>
      </c>
      <c r="AB197" s="173">
        <v>1</v>
      </c>
      <c r="AC197" s="173">
        <v>1</v>
      </c>
      <c r="AD197" s="173">
        <v>0.98</v>
      </c>
      <c r="AE197" s="173">
        <v>0.98</v>
      </c>
      <c r="AF197" s="173">
        <v>0.98</v>
      </c>
      <c r="AG197" s="173">
        <v>0.98</v>
      </c>
      <c r="AH197" s="173">
        <v>1.05</v>
      </c>
      <c r="AI197" s="173">
        <v>1</v>
      </c>
      <c r="AJ197" s="173">
        <v>1</v>
      </c>
      <c r="AK197" s="173">
        <v>1.02</v>
      </c>
      <c r="AL197">
        <v>1</v>
      </c>
      <c r="AM197">
        <v>1</v>
      </c>
      <c r="AN197">
        <v>1</v>
      </c>
      <c r="AO197">
        <v>1</v>
      </c>
    </row>
    <row r="198" spans="1:41" x14ac:dyDescent="0.25">
      <c r="A198" s="172">
        <v>42675</v>
      </c>
      <c r="B198" s="173">
        <v>1</v>
      </c>
      <c r="C198" s="173">
        <v>1</v>
      </c>
      <c r="D198" s="173">
        <v>1</v>
      </c>
      <c r="E198" s="173">
        <v>1</v>
      </c>
      <c r="F198" s="173">
        <v>1</v>
      </c>
      <c r="G198" s="173">
        <v>1</v>
      </c>
      <c r="H198" s="173">
        <v>1</v>
      </c>
      <c r="I198" s="173">
        <v>1</v>
      </c>
      <c r="J198" s="173">
        <v>1</v>
      </c>
      <c r="K198" s="173">
        <v>1</v>
      </c>
      <c r="L198" s="173">
        <v>1</v>
      </c>
      <c r="M198" s="173">
        <v>1</v>
      </c>
      <c r="N198" s="173">
        <v>1</v>
      </c>
      <c r="O198" s="173">
        <v>1</v>
      </c>
      <c r="P198" s="173">
        <v>1</v>
      </c>
      <c r="Q198" s="173">
        <v>1</v>
      </c>
      <c r="R198" s="173">
        <v>1</v>
      </c>
      <c r="S198" s="173">
        <v>1.02</v>
      </c>
      <c r="T198" s="173">
        <v>1</v>
      </c>
      <c r="U198" s="173">
        <v>1</v>
      </c>
      <c r="V198" s="173">
        <v>1</v>
      </c>
      <c r="W198" s="173">
        <v>1</v>
      </c>
      <c r="X198" s="173">
        <v>1</v>
      </c>
      <c r="Y198" s="173">
        <v>1</v>
      </c>
      <c r="Z198" s="173">
        <v>1</v>
      </c>
      <c r="AA198" s="173">
        <v>1</v>
      </c>
      <c r="AB198" s="173">
        <v>1</v>
      </c>
      <c r="AC198" s="173">
        <v>1</v>
      </c>
      <c r="AD198" s="173">
        <v>1</v>
      </c>
      <c r="AE198" s="173">
        <v>1</v>
      </c>
      <c r="AF198" s="173">
        <v>1.1000000000000001</v>
      </c>
      <c r="AG198" s="173">
        <v>1.1000000000000001</v>
      </c>
      <c r="AH198" s="173">
        <v>1.05</v>
      </c>
      <c r="AI198" s="173">
        <v>1</v>
      </c>
      <c r="AJ198" s="173">
        <v>1</v>
      </c>
      <c r="AK198" s="173">
        <v>1.02</v>
      </c>
      <c r="AL198">
        <v>1</v>
      </c>
      <c r="AM198">
        <v>1</v>
      </c>
      <c r="AN198">
        <v>1</v>
      </c>
      <c r="AO198">
        <v>1</v>
      </c>
    </row>
    <row r="199" spans="1:41" x14ac:dyDescent="0.25">
      <c r="A199" s="172">
        <v>42705</v>
      </c>
      <c r="B199" s="173">
        <v>1</v>
      </c>
      <c r="C199" s="173">
        <v>1</v>
      </c>
      <c r="D199" s="173">
        <v>1</v>
      </c>
      <c r="E199" s="173">
        <v>1</v>
      </c>
      <c r="F199" s="173">
        <v>1</v>
      </c>
      <c r="G199" s="173">
        <v>1</v>
      </c>
      <c r="H199" s="173">
        <v>1</v>
      </c>
      <c r="I199" s="173">
        <v>1</v>
      </c>
      <c r="J199" s="173">
        <v>1</v>
      </c>
      <c r="K199" s="173">
        <v>1</v>
      </c>
      <c r="L199" s="173">
        <v>1</v>
      </c>
      <c r="M199" s="173">
        <v>1</v>
      </c>
      <c r="N199" s="173">
        <v>1</v>
      </c>
      <c r="O199" s="173">
        <v>1</v>
      </c>
      <c r="P199" s="173">
        <v>1</v>
      </c>
      <c r="Q199" s="173">
        <v>1</v>
      </c>
      <c r="R199" s="173">
        <v>1</v>
      </c>
      <c r="S199" s="173">
        <v>1.02</v>
      </c>
      <c r="T199" s="173">
        <v>1</v>
      </c>
      <c r="U199" s="173">
        <v>1</v>
      </c>
      <c r="V199" s="173">
        <v>1</v>
      </c>
      <c r="W199" s="173">
        <v>1</v>
      </c>
      <c r="X199" s="173">
        <v>1</v>
      </c>
      <c r="Y199" s="173">
        <v>1</v>
      </c>
      <c r="Z199" s="173">
        <v>1</v>
      </c>
      <c r="AA199" s="173">
        <v>1</v>
      </c>
      <c r="AB199" s="173">
        <v>1</v>
      </c>
      <c r="AC199" s="173">
        <v>1</v>
      </c>
      <c r="AD199" s="173">
        <v>1</v>
      </c>
      <c r="AE199" s="173">
        <v>1</v>
      </c>
      <c r="AF199" s="173">
        <v>1.1000000000000001</v>
      </c>
      <c r="AG199" s="173">
        <v>1.1000000000000001</v>
      </c>
      <c r="AH199" s="173">
        <v>1.05</v>
      </c>
      <c r="AI199" s="173">
        <v>1</v>
      </c>
      <c r="AJ199" s="173">
        <v>1</v>
      </c>
      <c r="AK199" s="173">
        <v>1.02</v>
      </c>
      <c r="AL199">
        <v>1</v>
      </c>
      <c r="AM199">
        <v>1</v>
      </c>
      <c r="AN199">
        <v>1</v>
      </c>
      <c r="AO199">
        <v>1</v>
      </c>
    </row>
    <row r="200" spans="1:41" x14ac:dyDescent="0.25">
      <c r="A200" s="172">
        <v>42736</v>
      </c>
      <c r="B200" s="173">
        <v>1</v>
      </c>
      <c r="C200" s="173">
        <v>1</v>
      </c>
      <c r="D200" s="173">
        <v>1</v>
      </c>
      <c r="E200" s="173">
        <v>1</v>
      </c>
      <c r="F200" s="173">
        <v>1</v>
      </c>
      <c r="G200" s="173">
        <v>1</v>
      </c>
      <c r="H200" s="173">
        <v>1</v>
      </c>
      <c r="I200" s="173">
        <v>1</v>
      </c>
      <c r="J200" s="173">
        <v>1</v>
      </c>
      <c r="K200" s="173">
        <v>1</v>
      </c>
      <c r="L200" s="173">
        <v>1</v>
      </c>
      <c r="M200" s="173">
        <v>1</v>
      </c>
      <c r="N200" s="173">
        <v>1</v>
      </c>
      <c r="O200" s="173">
        <v>1</v>
      </c>
      <c r="P200" s="173">
        <v>1</v>
      </c>
      <c r="Q200" s="173">
        <v>1</v>
      </c>
      <c r="R200" s="173">
        <v>1</v>
      </c>
      <c r="S200" s="173">
        <v>1.02</v>
      </c>
      <c r="T200" s="173">
        <v>1</v>
      </c>
      <c r="U200" s="173">
        <v>1</v>
      </c>
      <c r="V200" s="173">
        <v>1</v>
      </c>
      <c r="W200" s="173">
        <v>1</v>
      </c>
      <c r="X200" s="173">
        <v>1</v>
      </c>
      <c r="Y200" s="173">
        <v>1</v>
      </c>
      <c r="Z200" s="173">
        <v>1</v>
      </c>
      <c r="AA200" s="173">
        <v>1</v>
      </c>
      <c r="AB200" s="173">
        <v>1</v>
      </c>
      <c r="AC200" s="173">
        <v>1</v>
      </c>
      <c r="AD200" s="173">
        <v>1</v>
      </c>
      <c r="AE200" s="173">
        <v>1</v>
      </c>
      <c r="AF200" s="173">
        <v>1.1000000000000001</v>
      </c>
      <c r="AG200" s="173">
        <v>1.1000000000000001</v>
      </c>
      <c r="AH200" s="173">
        <v>1.05</v>
      </c>
      <c r="AI200" s="173">
        <v>1</v>
      </c>
      <c r="AJ200" s="173">
        <v>1</v>
      </c>
      <c r="AK200" s="173">
        <v>1.02</v>
      </c>
      <c r="AL200">
        <v>1</v>
      </c>
      <c r="AM200">
        <v>1</v>
      </c>
      <c r="AN200">
        <v>1</v>
      </c>
      <c r="AO200">
        <v>1</v>
      </c>
    </row>
    <row r="201" spans="1:41" x14ac:dyDescent="0.25">
      <c r="A201" s="172">
        <v>42767</v>
      </c>
      <c r="B201" s="173">
        <v>1</v>
      </c>
      <c r="C201" s="173">
        <v>1</v>
      </c>
      <c r="D201" s="173">
        <v>1</v>
      </c>
      <c r="E201" s="173">
        <v>1</v>
      </c>
      <c r="F201" s="173">
        <v>1</v>
      </c>
      <c r="G201" s="173">
        <v>1</v>
      </c>
      <c r="H201" s="173">
        <v>1</v>
      </c>
      <c r="I201" s="173">
        <v>1</v>
      </c>
      <c r="J201" s="173">
        <v>1</v>
      </c>
      <c r="K201" s="173">
        <v>1</v>
      </c>
      <c r="L201" s="173">
        <v>1</v>
      </c>
      <c r="M201" s="173">
        <v>1</v>
      </c>
      <c r="N201" s="173">
        <v>1</v>
      </c>
      <c r="O201" s="173">
        <v>1</v>
      </c>
      <c r="P201" s="173">
        <v>1</v>
      </c>
      <c r="Q201" s="173">
        <v>1</v>
      </c>
      <c r="R201" s="173">
        <v>1</v>
      </c>
      <c r="S201" s="173">
        <v>1.02</v>
      </c>
      <c r="T201" s="173">
        <v>1</v>
      </c>
      <c r="U201" s="173">
        <v>1</v>
      </c>
      <c r="V201" s="173">
        <v>1</v>
      </c>
      <c r="W201" s="173">
        <v>1</v>
      </c>
      <c r="X201" s="173">
        <v>1</v>
      </c>
      <c r="Y201" s="173">
        <v>1</v>
      </c>
      <c r="Z201" s="173">
        <v>1</v>
      </c>
      <c r="AA201" s="173">
        <v>1</v>
      </c>
      <c r="AB201" s="173">
        <v>1</v>
      </c>
      <c r="AC201" s="173">
        <v>1</v>
      </c>
      <c r="AD201" s="173">
        <v>1</v>
      </c>
      <c r="AE201" s="173">
        <v>1</v>
      </c>
      <c r="AF201" s="173">
        <v>1.1000000000000001</v>
      </c>
      <c r="AG201" s="173">
        <v>1.1000000000000001</v>
      </c>
      <c r="AH201" s="173">
        <v>1.05</v>
      </c>
      <c r="AI201" s="173">
        <v>1</v>
      </c>
      <c r="AJ201" s="173">
        <v>1</v>
      </c>
      <c r="AK201" s="173">
        <v>1.02</v>
      </c>
      <c r="AL201">
        <v>1</v>
      </c>
      <c r="AM201">
        <v>1</v>
      </c>
      <c r="AN201">
        <v>1</v>
      </c>
      <c r="AO201">
        <v>1</v>
      </c>
    </row>
    <row r="202" spans="1:41" x14ac:dyDescent="0.25">
      <c r="A202" s="172">
        <v>42795</v>
      </c>
      <c r="B202" s="173">
        <v>1</v>
      </c>
      <c r="C202" s="173">
        <v>1</v>
      </c>
      <c r="D202" s="173">
        <v>1</v>
      </c>
      <c r="E202" s="173">
        <v>1</v>
      </c>
      <c r="F202" s="173">
        <v>1</v>
      </c>
      <c r="G202" s="173">
        <v>1</v>
      </c>
      <c r="H202" s="173">
        <v>1</v>
      </c>
      <c r="I202" s="173">
        <v>1</v>
      </c>
      <c r="J202" s="173">
        <v>1</v>
      </c>
      <c r="K202" s="173">
        <v>1</v>
      </c>
      <c r="L202" s="173">
        <v>1</v>
      </c>
      <c r="M202" s="173">
        <v>1</v>
      </c>
      <c r="N202" s="173">
        <v>1</v>
      </c>
      <c r="O202" s="173">
        <v>1</v>
      </c>
      <c r="P202" s="173">
        <v>1</v>
      </c>
      <c r="Q202" s="173">
        <v>1</v>
      </c>
      <c r="R202" s="173">
        <v>1</v>
      </c>
      <c r="S202" s="173">
        <v>1.02</v>
      </c>
      <c r="T202" s="173">
        <v>1</v>
      </c>
      <c r="U202" s="173">
        <v>1</v>
      </c>
      <c r="V202" s="173">
        <v>1</v>
      </c>
      <c r="W202" s="173">
        <v>1</v>
      </c>
      <c r="X202" s="173">
        <v>1</v>
      </c>
      <c r="Y202" s="173">
        <v>1</v>
      </c>
      <c r="Z202" s="173">
        <v>1</v>
      </c>
      <c r="AA202" s="173">
        <v>1</v>
      </c>
      <c r="AB202" s="173">
        <v>1</v>
      </c>
      <c r="AC202" s="173">
        <v>1</v>
      </c>
      <c r="AD202" s="173">
        <v>1</v>
      </c>
      <c r="AE202" s="173">
        <v>1</v>
      </c>
      <c r="AF202" s="173">
        <v>1.1000000000000001</v>
      </c>
      <c r="AG202" s="173">
        <v>1.1000000000000001</v>
      </c>
      <c r="AH202" s="173">
        <v>1.05</v>
      </c>
      <c r="AI202" s="173">
        <v>1</v>
      </c>
      <c r="AJ202" s="173">
        <v>1</v>
      </c>
      <c r="AK202" s="173">
        <v>1.02</v>
      </c>
      <c r="AL202">
        <v>1</v>
      </c>
      <c r="AM202">
        <v>1</v>
      </c>
      <c r="AN202">
        <v>1</v>
      </c>
      <c r="AO202">
        <v>1</v>
      </c>
    </row>
    <row r="203" spans="1:41" x14ac:dyDescent="0.25">
      <c r="A203" s="172">
        <v>42826</v>
      </c>
      <c r="B203" s="173">
        <v>1</v>
      </c>
      <c r="C203" s="173">
        <v>1</v>
      </c>
      <c r="D203" s="173">
        <v>1</v>
      </c>
      <c r="E203" s="173">
        <v>1</v>
      </c>
      <c r="F203" s="173">
        <v>1</v>
      </c>
      <c r="G203" s="173">
        <v>1</v>
      </c>
      <c r="H203" s="173">
        <v>1</v>
      </c>
      <c r="I203" s="173">
        <v>1</v>
      </c>
      <c r="J203" s="173">
        <v>1</v>
      </c>
      <c r="K203" s="173">
        <v>1</v>
      </c>
      <c r="L203" s="173">
        <v>1</v>
      </c>
      <c r="M203" s="173">
        <v>1</v>
      </c>
      <c r="N203" s="173">
        <v>1</v>
      </c>
      <c r="O203" s="173">
        <v>1</v>
      </c>
      <c r="P203" s="173">
        <v>1</v>
      </c>
      <c r="Q203" s="173">
        <v>1</v>
      </c>
      <c r="R203" s="173">
        <v>1</v>
      </c>
      <c r="S203" s="173">
        <v>1.02</v>
      </c>
      <c r="T203" s="173">
        <v>1</v>
      </c>
      <c r="U203" s="173">
        <v>1</v>
      </c>
      <c r="V203" s="173">
        <v>1</v>
      </c>
      <c r="W203" s="173">
        <v>1</v>
      </c>
      <c r="X203" s="173">
        <v>1</v>
      </c>
      <c r="Y203" s="173">
        <v>1.02</v>
      </c>
      <c r="Z203" s="173">
        <v>1</v>
      </c>
      <c r="AA203" s="173">
        <v>1</v>
      </c>
      <c r="AB203" s="173">
        <v>1</v>
      </c>
      <c r="AC203" s="173">
        <v>1</v>
      </c>
      <c r="AD203" s="173">
        <v>0.98</v>
      </c>
      <c r="AE203" s="173">
        <v>0.98</v>
      </c>
      <c r="AF203" s="173">
        <v>0.98</v>
      </c>
      <c r="AG203" s="173">
        <v>0.98</v>
      </c>
      <c r="AH203" s="173">
        <v>1.05</v>
      </c>
      <c r="AI203" s="173">
        <v>1</v>
      </c>
      <c r="AJ203" s="173">
        <v>1</v>
      </c>
      <c r="AK203" s="173">
        <v>1.02</v>
      </c>
      <c r="AL203">
        <v>1</v>
      </c>
      <c r="AM203">
        <v>1</v>
      </c>
      <c r="AN203">
        <v>1</v>
      </c>
      <c r="AO203">
        <v>1</v>
      </c>
    </row>
    <row r="204" spans="1:41" x14ac:dyDescent="0.25">
      <c r="A204" s="172">
        <v>42856</v>
      </c>
      <c r="B204" s="173">
        <v>1</v>
      </c>
      <c r="C204" s="173">
        <v>1</v>
      </c>
      <c r="D204" s="173">
        <v>1</v>
      </c>
      <c r="E204" s="173">
        <v>1</v>
      </c>
      <c r="F204" s="173">
        <v>1</v>
      </c>
      <c r="G204" s="173">
        <v>1</v>
      </c>
      <c r="H204" s="173">
        <v>1</v>
      </c>
      <c r="I204" s="173">
        <v>1</v>
      </c>
      <c r="J204" s="173">
        <v>1</v>
      </c>
      <c r="K204" s="173">
        <v>1</v>
      </c>
      <c r="L204" s="173">
        <v>1</v>
      </c>
      <c r="M204" s="173">
        <v>1</v>
      </c>
      <c r="N204" s="173">
        <v>1</v>
      </c>
      <c r="O204" s="173">
        <v>1</v>
      </c>
      <c r="P204" s="173">
        <v>1</v>
      </c>
      <c r="Q204" s="173">
        <v>1</v>
      </c>
      <c r="R204" s="173">
        <v>1</v>
      </c>
      <c r="S204" s="173">
        <v>1.02</v>
      </c>
      <c r="T204" s="173">
        <v>1</v>
      </c>
      <c r="U204" s="173">
        <v>1</v>
      </c>
      <c r="V204" s="173">
        <v>1</v>
      </c>
      <c r="W204" s="173">
        <v>1</v>
      </c>
      <c r="X204" s="173">
        <v>1</v>
      </c>
      <c r="Y204" s="173">
        <v>1.02</v>
      </c>
      <c r="Z204" s="173">
        <v>1</v>
      </c>
      <c r="AA204" s="173">
        <v>1</v>
      </c>
      <c r="AB204" s="173">
        <v>1</v>
      </c>
      <c r="AC204" s="173">
        <v>1</v>
      </c>
      <c r="AD204" s="173">
        <v>0.98</v>
      </c>
      <c r="AE204" s="173">
        <v>0.98</v>
      </c>
      <c r="AF204" s="173">
        <v>0.98</v>
      </c>
      <c r="AG204" s="173">
        <v>0.98</v>
      </c>
      <c r="AH204" s="173">
        <v>1.05</v>
      </c>
      <c r="AI204" s="173">
        <v>1</v>
      </c>
      <c r="AJ204" s="173">
        <v>1</v>
      </c>
      <c r="AK204" s="173">
        <v>1.02</v>
      </c>
      <c r="AL204">
        <v>1</v>
      </c>
      <c r="AM204">
        <v>1</v>
      </c>
      <c r="AN204">
        <v>1</v>
      </c>
      <c r="AO204">
        <v>1</v>
      </c>
    </row>
    <row r="205" spans="1:41" x14ac:dyDescent="0.25">
      <c r="A205" s="172">
        <v>42887</v>
      </c>
      <c r="B205" s="173">
        <v>1</v>
      </c>
      <c r="C205" s="173">
        <v>1</v>
      </c>
      <c r="D205" s="173">
        <v>1</v>
      </c>
      <c r="E205" s="173">
        <v>1</v>
      </c>
      <c r="F205" s="173">
        <v>1</v>
      </c>
      <c r="G205" s="173">
        <v>1</v>
      </c>
      <c r="H205" s="173">
        <v>1</v>
      </c>
      <c r="I205" s="173">
        <v>1</v>
      </c>
      <c r="J205" s="173">
        <v>1</v>
      </c>
      <c r="K205" s="173">
        <v>1</v>
      </c>
      <c r="L205" s="173">
        <v>1</v>
      </c>
      <c r="M205" s="173">
        <v>1</v>
      </c>
      <c r="N205" s="173">
        <v>1</v>
      </c>
      <c r="O205" s="173">
        <v>1</v>
      </c>
      <c r="P205" s="173">
        <v>1</v>
      </c>
      <c r="Q205" s="173">
        <v>1</v>
      </c>
      <c r="R205" s="173">
        <v>1</v>
      </c>
      <c r="S205" s="173">
        <v>1.02</v>
      </c>
      <c r="T205" s="173">
        <v>1</v>
      </c>
      <c r="U205" s="173">
        <v>1</v>
      </c>
      <c r="V205" s="173">
        <v>1</v>
      </c>
      <c r="W205" s="173">
        <v>1</v>
      </c>
      <c r="X205" s="173">
        <v>1</v>
      </c>
      <c r="Y205" s="173">
        <v>1.02</v>
      </c>
      <c r="Z205" s="173">
        <v>1</v>
      </c>
      <c r="AA205" s="173">
        <v>1</v>
      </c>
      <c r="AB205" s="173">
        <v>1</v>
      </c>
      <c r="AC205" s="173">
        <v>1</v>
      </c>
      <c r="AD205" s="173">
        <v>0.98</v>
      </c>
      <c r="AE205" s="173">
        <v>0.98</v>
      </c>
      <c r="AF205" s="173">
        <v>0.98</v>
      </c>
      <c r="AG205" s="173">
        <v>0.98</v>
      </c>
      <c r="AH205" s="173">
        <v>1.05</v>
      </c>
      <c r="AI205" s="173">
        <v>1</v>
      </c>
      <c r="AJ205" s="173">
        <v>1</v>
      </c>
      <c r="AK205" s="173">
        <v>1.02</v>
      </c>
      <c r="AL205">
        <v>1</v>
      </c>
      <c r="AM205">
        <v>1</v>
      </c>
      <c r="AN205">
        <v>1</v>
      </c>
      <c r="AO205">
        <v>1</v>
      </c>
    </row>
    <row r="206" spans="1:41" x14ac:dyDescent="0.25">
      <c r="A206" s="172">
        <v>42917</v>
      </c>
      <c r="B206" s="173">
        <v>1</v>
      </c>
      <c r="C206" s="173">
        <v>1</v>
      </c>
      <c r="D206" s="173">
        <v>1</v>
      </c>
      <c r="E206" s="173">
        <v>1</v>
      </c>
      <c r="F206" s="173">
        <v>1</v>
      </c>
      <c r="G206" s="173">
        <v>1</v>
      </c>
      <c r="H206" s="173">
        <v>1</v>
      </c>
      <c r="I206" s="173">
        <v>1</v>
      </c>
      <c r="J206" s="173">
        <v>1</v>
      </c>
      <c r="K206" s="173">
        <v>1</v>
      </c>
      <c r="L206" s="173">
        <v>1</v>
      </c>
      <c r="M206" s="173">
        <v>1</v>
      </c>
      <c r="N206" s="173">
        <v>1</v>
      </c>
      <c r="O206" s="173">
        <v>1</v>
      </c>
      <c r="P206" s="173">
        <v>1</v>
      </c>
      <c r="Q206" s="173">
        <v>1</v>
      </c>
      <c r="R206" s="173">
        <v>1</v>
      </c>
      <c r="S206" s="173">
        <v>1.02</v>
      </c>
      <c r="T206" s="173">
        <v>1</v>
      </c>
      <c r="U206" s="173">
        <v>1</v>
      </c>
      <c r="V206" s="173">
        <v>1</v>
      </c>
      <c r="W206" s="173">
        <v>1</v>
      </c>
      <c r="X206" s="173">
        <v>1</v>
      </c>
      <c r="Y206" s="173">
        <v>1.02</v>
      </c>
      <c r="Z206" s="173">
        <v>1</v>
      </c>
      <c r="AA206" s="173">
        <v>1</v>
      </c>
      <c r="AB206" s="173">
        <v>1</v>
      </c>
      <c r="AC206" s="173">
        <v>1</v>
      </c>
      <c r="AD206" s="173">
        <v>0.98</v>
      </c>
      <c r="AE206" s="173">
        <v>0.98</v>
      </c>
      <c r="AF206" s="173">
        <v>0.98</v>
      </c>
      <c r="AG206" s="173">
        <v>0.98</v>
      </c>
      <c r="AH206" s="173">
        <v>1.05</v>
      </c>
      <c r="AI206" s="173">
        <v>1</v>
      </c>
      <c r="AJ206" s="173">
        <v>1</v>
      </c>
      <c r="AK206" s="173">
        <v>1.02</v>
      </c>
      <c r="AL206">
        <v>1</v>
      </c>
      <c r="AM206">
        <v>1</v>
      </c>
      <c r="AN206">
        <v>1</v>
      </c>
      <c r="AO206">
        <v>1</v>
      </c>
    </row>
    <row r="207" spans="1:41" x14ac:dyDescent="0.25">
      <c r="A207" s="172">
        <v>42948</v>
      </c>
      <c r="B207" s="173">
        <v>1</v>
      </c>
      <c r="C207" s="173">
        <v>1</v>
      </c>
      <c r="D207" s="173">
        <v>1</v>
      </c>
      <c r="E207" s="173">
        <v>1</v>
      </c>
      <c r="F207" s="173">
        <v>1</v>
      </c>
      <c r="G207" s="173">
        <v>1</v>
      </c>
      <c r="H207" s="173">
        <v>1</v>
      </c>
      <c r="I207" s="173">
        <v>1</v>
      </c>
      <c r="J207" s="173">
        <v>1</v>
      </c>
      <c r="K207" s="173">
        <v>1</v>
      </c>
      <c r="L207" s="173">
        <v>1</v>
      </c>
      <c r="M207" s="173">
        <v>1</v>
      </c>
      <c r="N207" s="173">
        <v>1</v>
      </c>
      <c r="O207" s="173">
        <v>1</v>
      </c>
      <c r="P207" s="173">
        <v>1</v>
      </c>
      <c r="Q207" s="173">
        <v>1</v>
      </c>
      <c r="R207" s="173">
        <v>1</v>
      </c>
      <c r="S207" s="173">
        <v>1.02</v>
      </c>
      <c r="T207" s="173">
        <v>1</v>
      </c>
      <c r="U207" s="173">
        <v>1</v>
      </c>
      <c r="V207" s="173">
        <v>1</v>
      </c>
      <c r="W207" s="173">
        <v>1</v>
      </c>
      <c r="X207" s="173">
        <v>1</v>
      </c>
      <c r="Y207" s="173">
        <v>1.02</v>
      </c>
      <c r="Z207" s="173">
        <v>1</v>
      </c>
      <c r="AA207" s="173">
        <v>1</v>
      </c>
      <c r="AB207" s="173">
        <v>1</v>
      </c>
      <c r="AC207" s="173">
        <v>1</v>
      </c>
      <c r="AD207" s="173">
        <v>0.98</v>
      </c>
      <c r="AE207" s="173">
        <v>0.98</v>
      </c>
      <c r="AF207" s="173">
        <v>0.98</v>
      </c>
      <c r="AG207" s="173">
        <v>0.98</v>
      </c>
      <c r="AH207" s="173">
        <v>1.05</v>
      </c>
      <c r="AI207" s="173">
        <v>1</v>
      </c>
      <c r="AJ207" s="173">
        <v>1</v>
      </c>
      <c r="AK207" s="173">
        <v>1.02</v>
      </c>
      <c r="AL207">
        <v>1</v>
      </c>
      <c r="AM207">
        <v>1</v>
      </c>
      <c r="AN207">
        <v>1</v>
      </c>
      <c r="AO207">
        <v>1</v>
      </c>
    </row>
    <row r="208" spans="1:41" x14ac:dyDescent="0.25">
      <c r="A208" s="172">
        <v>42979</v>
      </c>
      <c r="B208" s="173">
        <v>1</v>
      </c>
      <c r="C208" s="173">
        <v>1</v>
      </c>
      <c r="D208" s="173">
        <v>1</v>
      </c>
      <c r="E208" s="173">
        <v>1</v>
      </c>
      <c r="F208" s="173">
        <v>1</v>
      </c>
      <c r="G208" s="173">
        <v>1</v>
      </c>
      <c r="H208" s="173">
        <v>1</v>
      </c>
      <c r="I208" s="173">
        <v>1</v>
      </c>
      <c r="J208" s="173">
        <v>1</v>
      </c>
      <c r="K208" s="173">
        <v>1</v>
      </c>
      <c r="L208" s="173">
        <v>1</v>
      </c>
      <c r="M208" s="173">
        <v>1</v>
      </c>
      <c r="N208" s="173">
        <v>1</v>
      </c>
      <c r="O208" s="173">
        <v>1</v>
      </c>
      <c r="P208" s="173">
        <v>1</v>
      </c>
      <c r="Q208" s="173">
        <v>1</v>
      </c>
      <c r="R208" s="173">
        <v>1</v>
      </c>
      <c r="S208" s="173">
        <v>1.02</v>
      </c>
      <c r="T208" s="173">
        <v>1</v>
      </c>
      <c r="U208" s="173">
        <v>1</v>
      </c>
      <c r="V208" s="173">
        <v>1</v>
      </c>
      <c r="W208" s="173">
        <v>1</v>
      </c>
      <c r="X208" s="173">
        <v>1</v>
      </c>
      <c r="Y208" s="173">
        <v>1.02</v>
      </c>
      <c r="Z208" s="173">
        <v>1</v>
      </c>
      <c r="AA208" s="173">
        <v>1</v>
      </c>
      <c r="AB208" s="173">
        <v>1</v>
      </c>
      <c r="AC208" s="173">
        <v>1</v>
      </c>
      <c r="AD208" s="173">
        <v>0.98</v>
      </c>
      <c r="AE208" s="173">
        <v>0.98</v>
      </c>
      <c r="AF208" s="173">
        <v>0.98</v>
      </c>
      <c r="AG208" s="173">
        <v>0.98</v>
      </c>
      <c r="AH208" s="173">
        <v>1.05</v>
      </c>
      <c r="AI208" s="173">
        <v>1</v>
      </c>
      <c r="AJ208" s="173">
        <v>1</v>
      </c>
      <c r="AK208" s="173">
        <v>1.02</v>
      </c>
      <c r="AL208">
        <v>1</v>
      </c>
      <c r="AM208">
        <v>1</v>
      </c>
      <c r="AN208">
        <v>1</v>
      </c>
      <c r="AO208">
        <v>1</v>
      </c>
    </row>
    <row r="209" spans="1:41" x14ac:dyDescent="0.25">
      <c r="A209" s="172">
        <v>43009</v>
      </c>
      <c r="B209" s="173">
        <v>1</v>
      </c>
      <c r="C209" s="173">
        <v>1</v>
      </c>
      <c r="D209" s="173">
        <v>1</v>
      </c>
      <c r="E209" s="173">
        <v>1</v>
      </c>
      <c r="F209" s="173">
        <v>1</v>
      </c>
      <c r="G209" s="173">
        <v>1</v>
      </c>
      <c r="H209" s="173">
        <v>1</v>
      </c>
      <c r="I209" s="173">
        <v>1</v>
      </c>
      <c r="J209" s="173">
        <v>1</v>
      </c>
      <c r="K209" s="173">
        <v>1</v>
      </c>
      <c r="L209" s="173">
        <v>1</v>
      </c>
      <c r="M209" s="173">
        <v>1</v>
      </c>
      <c r="N209" s="173">
        <v>1</v>
      </c>
      <c r="O209" s="173">
        <v>1</v>
      </c>
      <c r="P209" s="173">
        <v>1</v>
      </c>
      <c r="Q209" s="173">
        <v>1</v>
      </c>
      <c r="R209" s="173">
        <v>1</v>
      </c>
      <c r="S209" s="173">
        <v>1.02</v>
      </c>
      <c r="T209" s="173">
        <v>1</v>
      </c>
      <c r="U209" s="173">
        <v>1</v>
      </c>
      <c r="V209" s="173">
        <v>1</v>
      </c>
      <c r="W209" s="173">
        <v>1</v>
      </c>
      <c r="X209" s="173">
        <v>1</v>
      </c>
      <c r="Y209" s="173">
        <v>1.02</v>
      </c>
      <c r="Z209" s="173">
        <v>1</v>
      </c>
      <c r="AA209" s="173">
        <v>1</v>
      </c>
      <c r="AB209" s="173">
        <v>1</v>
      </c>
      <c r="AC209" s="173">
        <v>1</v>
      </c>
      <c r="AD209" s="173">
        <v>0.98</v>
      </c>
      <c r="AE209" s="173">
        <v>0.98</v>
      </c>
      <c r="AF209" s="173">
        <v>0.98</v>
      </c>
      <c r="AG209" s="173">
        <v>0.98</v>
      </c>
      <c r="AH209" s="173">
        <v>1.05</v>
      </c>
      <c r="AI209" s="173">
        <v>1</v>
      </c>
      <c r="AJ209" s="173">
        <v>1</v>
      </c>
      <c r="AK209" s="173">
        <v>1.02</v>
      </c>
      <c r="AL209">
        <v>1</v>
      </c>
      <c r="AM209">
        <v>1</v>
      </c>
      <c r="AN209">
        <v>1</v>
      </c>
      <c r="AO209">
        <v>1</v>
      </c>
    </row>
    <row r="210" spans="1:41" x14ac:dyDescent="0.25">
      <c r="A210" s="172">
        <v>43040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1.02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1.1000000000000001</v>
      </c>
      <c r="AG210">
        <v>1.1000000000000001</v>
      </c>
      <c r="AH210">
        <v>1.05</v>
      </c>
      <c r="AI210">
        <v>1</v>
      </c>
      <c r="AJ210">
        <v>1</v>
      </c>
      <c r="AK210">
        <v>1.02</v>
      </c>
      <c r="AL210">
        <v>1</v>
      </c>
      <c r="AM210">
        <v>1</v>
      </c>
      <c r="AN210">
        <v>1</v>
      </c>
      <c r="AO210">
        <v>1</v>
      </c>
    </row>
    <row r="211" spans="1:41" x14ac:dyDescent="0.25">
      <c r="A211" s="172">
        <v>43070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1.02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1.1000000000000001</v>
      </c>
      <c r="AG211">
        <v>1.1000000000000001</v>
      </c>
      <c r="AH211">
        <v>1.05</v>
      </c>
      <c r="AI211">
        <v>1</v>
      </c>
      <c r="AJ211">
        <v>1</v>
      </c>
      <c r="AK211">
        <v>1.02</v>
      </c>
      <c r="AL211">
        <v>1</v>
      </c>
      <c r="AM211">
        <v>1</v>
      </c>
      <c r="AN211">
        <v>1</v>
      </c>
      <c r="AO211">
        <v>1</v>
      </c>
    </row>
    <row r="212" spans="1:41" x14ac:dyDescent="0.25"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1.02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1.1000000000000001</v>
      </c>
      <c r="AG212">
        <v>1.1000000000000001</v>
      </c>
      <c r="AH212">
        <v>1.05</v>
      </c>
      <c r="AI212">
        <v>1</v>
      </c>
      <c r="AJ212">
        <v>1</v>
      </c>
      <c r="AK212">
        <v>1.02</v>
      </c>
      <c r="AL212">
        <v>1</v>
      </c>
      <c r="AM212">
        <v>1</v>
      </c>
      <c r="AN212">
        <v>1</v>
      </c>
      <c r="AO212">
        <v>1</v>
      </c>
    </row>
    <row r="213" spans="1:41" x14ac:dyDescent="0.25"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1.02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1.1000000000000001</v>
      </c>
      <c r="AG213">
        <v>1.1000000000000001</v>
      </c>
      <c r="AH213">
        <v>1.05</v>
      </c>
      <c r="AI213">
        <v>1</v>
      </c>
      <c r="AJ213">
        <v>1</v>
      </c>
      <c r="AK213">
        <v>1.02</v>
      </c>
      <c r="AL213">
        <v>1</v>
      </c>
      <c r="AM213">
        <v>1</v>
      </c>
      <c r="AN213">
        <v>1</v>
      </c>
      <c r="AO213">
        <v>1</v>
      </c>
    </row>
    <row r="214" spans="1:41" x14ac:dyDescent="0.25"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1.02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1.1000000000000001</v>
      </c>
      <c r="AG214">
        <v>1.1000000000000001</v>
      </c>
      <c r="AH214">
        <v>1.05</v>
      </c>
      <c r="AI214">
        <v>1</v>
      </c>
      <c r="AJ214">
        <v>1</v>
      </c>
      <c r="AK214">
        <v>1.02</v>
      </c>
      <c r="AL214">
        <v>1</v>
      </c>
      <c r="AM214">
        <v>1</v>
      </c>
      <c r="AN214">
        <v>1</v>
      </c>
      <c r="AO214">
        <v>1</v>
      </c>
    </row>
    <row r="215" spans="1:41" x14ac:dyDescent="0.25"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1.02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1.02</v>
      </c>
      <c r="Z215">
        <v>1</v>
      </c>
      <c r="AA215">
        <v>1</v>
      </c>
      <c r="AB215">
        <v>1</v>
      </c>
      <c r="AC215">
        <v>1</v>
      </c>
      <c r="AD215">
        <v>0.98</v>
      </c>
      <c r="AE215">
        <v>0.98</v>
      </c>
      <c r="AF215">
        <v>0.98</v>
      </c>
      <c r="AG215">
        <v>0.98</v>
      </c>
      <c r="AH215">
        <v>1.05</v>
      </c>
      <c r="AI215">
        <v>1</v>
      </c>
      <c r="AJ215">
        <v>1</v>
      </c>
      <c r="AK215">
        <v>1.02</v>
      </c>
      <c r="AL215">
        <v>1</v>
      </c>
      <c r="AM215">
        <v>1</v>
      </c>
      <c r="AN215">
        <v>1</v>
      </c>
      <c r="AO215">
        <v>1</v>
      </c>
    </row>
    <row r="216" spans="1:41" x14ac:dyDescent="0.25"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1.02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1.02</v>
      </c>
      <c r="Z216">
        <v>1</v>
      </c>
      <c r="AA216">
        <v>1</v>
      </c>
      <c r="AB216">
        <v>1</v>
      </c>
      <c r="AC216">
        <v>1</v>
      </c>
      <c r="AD216">
        <v>0.98</v>
      </c>
      <c r="AE216">
        <v>0.98</v>
      </c>
      <c r="AF216">
        <v>0.98</v>
      </c>
      <c r="AG216">
        <v>0.98</v>
      </c>
      <c r="AH216">
        <v>1.05</v>
      </c>
      <c r="AI216">
        <v>1</v>
      </c>
      <c r="AJ216">
        <v>1</v>
      </c>
      <c r="AK216">
        <v>1.02</v>
      </c>
      <c r="AL216">
        <v>1</v>
      </c>
      <c r="AM216">
        <v>1</v>
      </c>
      <c r="AN216">
        <v>1</v>
      </c>
      <c r="AO216">
        <v>1</v>
      </c>
    </row>
    <row r="217" spans="1:41" x14ac:dyDescent="0.25"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1.02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1.02</v>
      </c>
      <c r="Z217">
        <v>1</v>
      </c>
      <c r="AA217">
        <v>1</v>
      </c>
      <c r="AB217">
        <v>1</v>
      </c>
      <c r="AC217">
        <v>1</v>
      </c>
      <c r="AD217">
        <v>0.98</v>
      </c>
      <c r="AE217">
        <v>0.98</v>
      </c>
      <c r="AF217">
        <v>0.98</v>
      </c>
      <c r="AG217">
        <v>0.98</v>
      </c>
      <c r="AH217">
        <v>1.05</v>
      </c>
      <c r="AI217">
        <v>1</v>
      </c>
      <c r="AJ217">
        <v>1</v>
      </c>
      <c r="AK217">
        <v>1.02</v>
      </c>
      <c r="AL217">
        <v>1</v>
      </c>
      <c r="AM217">
        <v>1</v>
      </c>
      <c r="AN217">
        <v>1</v>
      </c>
      <c r="AO217">
        <v>1</v>
      </c>
    </row>
    <row r="218" spans="1:41" x14ac:dyDescent="0.25"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1.02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1.02</v>
      </c>
      <c r="Z218">
        <v>1</v>
      </c>
      <c r="AA218">
        <v>1</v>
      </c>
      <c r="AB218">
        <v>1</v>
      </c>
      <c r="AC218">
        <v>1</v>
      </c>
      <c r="AD218">
        <v>0.98</v>
      </c>
      <c r="AE218">
        <v>0.98</v>
      </c>
      <c r="AF218">
        <v>0.98</v>
      </c>
      <c r="AG218">
        <v>0.98</v>
      </c>
      <c r="AH218">
        <v>1.05</v>
      </c>
      <c r="AI218">
        <v>1</v>
      </c>
      <c r="AJ218">
        <v>1</v>
      </c>
      <c r="AK218">
        <v>1.02</v>
      </c>
      <c r="AL218">
        <v>1</v>
      </c>
      <c r="AM218">
        <v>1</v>
      </c>
      <c r="AN218">
        <v>1</v>
      </c>
      <c r="AO218">
        <v>1</v>
      </c>
    </row>
    <row r="219" spans="1:41" x14ac:dyDescent="0.25"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1.02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1.02</v>
      </c>
      <c r="Z219">
        <v>1</v>
      </c>
      <c r="AA219">
        <v>1</v>
      </c>
      <c r="AB219">
        <v>1</v>
      </c>
      <c r="AC219">
        <v>1</v>
      </c>
      <c r="AD219">
        <v>0.98</v>
      </c>
      <c r="AE219">
        <v>0.98</v>
      </c>
      <c r="AF219">
        <v>0.98</v>
      </c>
      <c r="AG219">
        <v>0.98</v>
      </c>
      <c r="AH219">
        <v>1.05</v>
      </c>
      <c r="AI219">
        <v>1</v>
      </c>
      <c r="AJ219">
        <v>1</v>
      </c>
      <c r="AK219">
        <v>1.02</v>
      </c>
      <c r="AL219">
        <v>1</v>
      </c>
      <c r="AM219">
        <v>1</v>
      </c>
      <c r="AN219">
        <v>1</v>
      </c>
      <c r="AO219">
        <v>1</v>
      </c>
    </row>
    <row r="220" spans="1:41" x14ac:dyDescent="0.25"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1.02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1.02</v>
      </c>
      <c r="Z220">
        <v>1</v>
      </c>
      <c r="AA220">
        <v>1</v>
      </c>
      <c r="AB220">
        <v>1</v>
      </c>
      <c r="AC220">
        <v>1</v>
      </c>
      <c r="AD220">
        <v>0.98</v>
      </c>
      <c r="AE220">
        <v>0.98</v>
      </c>
      <c r="AF220">
        <v>0.98</v>
      </c>
      <c r="AG220">
        <v>0.98</v>
      </c>
      <c r="AH220">
        <v>1.05</v>
      </c>
      <c r="AI220">
        <v>1</v>
      </c>
      <c r="AJ220">
        <v>1</v>
      </c>
      <c r="AK220">
        <v>1.02</v>
      </c>
      <c r="AL220">
        <v>1</v>
      </c>
      <c r="AM220">
        <v>1</v>
      </c>
      <c r="AN220">
        <v>1</v>
      </c>
      <c r="AO220">
        <v>1</v>
      </c>
    </row>
    <row r="221" spans="1:41" x14ac:dyDescent="0.25"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1.02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1.02</v>
      </c>
      <c r="Z221">
        <v>1</v>
      </c>
      <c r="AA221">
        <v>1</v>
      </c>
      <c r="AB221">
        <v>1</v>
      </c>
      <c r="AC221">
        <v>1</v>
      </c>
      <c r="AD221">
        <v>0.98</v>
      </c>
      <c r="AE221">
        <v>0.98</v>
      </c>
      <c r="AF221">
        <v>0.98</v>
      </c>
      <c r="AG221">
        <v>0.98</v>
      </c>
      <c r="AH221">
        <v>1.05</v>
      </c>
      <c r="AI221">
        <v>1</v>
      </c>
      <c r="AJ221">
        <v>1</v>
      </c>
      <c r="AK221">
        <v>1.02</v>
      </c>
      <c r="AL221">
        <v>1</v>
      </c>
      <c r="AM221">
        <v>1</v>
      </c>
      <c r="AN221">
        <v>1</v>
      </c>
      <c r="AO221">
        <v>1</v>
      </c>
    </row>
    <row r="222" spans="1:41" x14ac:dyDescent="0.25"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1.02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1.1000000000000001</v>
      </c>
      <c r="AG222">
        <v>1.1000000000000001</v>
      </c>
      <c r="AH222">
        <v>1.05</v>
      </c>
      <c r="AI222">
        <v>1</v>
      </c>
      <c r="AJ222">
        <v>1</v>
      </c>
      <c r="AK222">
        <v>1.02</v>
      </c>
      <c r="AL222">
        <v>1</v>
      </c>
      <c r="AM222">
        <v>1</v>
      </c>
      <c r="AN222">
        <v>1</v>
      </c>
      <c r="AO222">
        <v>1</v>
      </c>
    </row>
    <row r="223" spans="1:41" x14ac:dyDescent="0.25"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1.02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1.1000000000000001</v>
      </c>
      <c r="AG223">
        <v>1.1000000000000001</v>
      </c>
      <c r="AH223">
        <v>1.05</v>
      </c>
      <c r="AI223">
        <v>1</v>
      </c>
      <c r="AJ223">
        <v>1</v>
      </c>
      <c r="AK223">
        <v>1.02</v>
      </c>
      <c r="AL223">
        <v>1</v>
      </c>
      <c r="AM223">
        <v>1</v>
      </c>
      <c r="AN223">
        <v>1</v>
      </c>
      <c r="AO223">
        <v>1</v>
      </c>
    </row>
    <row r="224" spans="1:41" x14ac:dyDescent="0.25"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1.02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1.1000000000000001</v>
      </c>
      <c r="AG224">
        <v>1.1000000000000001</v>
      </c>
      <c r="AH224">
        <v>1.05</v>
      </c>
      <c r="AI224">
        <v>1</v>
      </c>
      <c r="AJ224">
        <v>1</v>
      </c>
      <c r="AK224">
        <v>1.02</v>
      </c>
      <c r="AL224">
        <v>1</v>
      </c>
      <c r="AM224">
        <v>1</v>
      </c>
      <c r="AN224">
        <v>1</v>
      </c>
      <c r="AO224">
        <v>1</v>
      </c>
    </row>
    <row r="225" spans="2:41" x14ac:dyDescent="0.25"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1.02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1.1000000000000001</v>
      </c>
      <c r="AG225">
        <v>1.1000000000000001</v>
      </c>
      <c r="AH225">
        <v>1.05</v>
      </c>
      <c r="AI225">
        <v>1</v>
      </c>
      <c r="AJ225">
        <v>1</v>
      </c>
      <c r="AK225">
        <v>1.02</v>
      </c>
      <c r="AL225">
        <v>1</v>
      </c>
      <c r="AM225">
        <v>1</v>
      </c>
      <c r="AN225">
        <v>1</v>
      </c>
      <c r="AO225">
        <v>1</v>
      </c>
    </row>
    <row r="226" spans="2:41" x14ac:dyDescent="0.25"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1.02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1.1000000000000001</v>
      </c>
      <c r="AG226">
        <v>1.1000000000000001</v>
      </c>
      <c r="AH226">
        <v>1.05</v>
      </c>
      <c r="AI226">
        <v>1</v>
      </c>
      <c r="AJ226">
        <v>1</v>
      </c>
      <c r="AK226">
        <v>1.02</v>
      </c>
      <c r="AL226">
        <v>1</v>
      </c>
      <c r="AM226">
        <v>1</v>
      </c>
      <c r="AN226">
        <v>1</v>
      </c>
      <c r="AO226">
        <v>1</v>
      </c>
    </row>
    <row r="227" spans="2:41" x14ac:dyDescent="0.25"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1.02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1.02</v>
      </c>
      <c r="Z227">
        <v>1</v>
      </c>
      <c r="AA227">
        <v>1</v>
      </c>
      <c r="AB227">
        <v>1</v>
      </c>
      <c r="AC227">
        <v>1</v>
      </c>
      <c r="AD227">
        <v>0.98</v>
      </c>
      <c r="AE227">
        <v>0.98</v>
      </c>
      <c r="AF227">
        <v>0.98</v>
      </c>
      <c r="AG227">
        <v>0.98</v>
      </c>
      <c r="AH227">
        <v>1.05</v>
      </c>
      <c r="AI227">
        <v>1</v>
      </c>
      <c r="AJ227">
        <v>1</v>
      </c>
      <c r="AK227">
        <v>1.02</v>
      </c>
      <c r="AL227">
        <v>1</v>
      </c>
      <c r="AM227">
        <v>1</v>
      </c>
      <c r="AN227">
        <v>1</v>
      </c>
      <c r="AO227">
        <v>1</v>
      </c>
    </row>
    <row r="228" spans="2:41" x14ac:dyDescent="0.25"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1.02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1.02</v>
      </c>
      <c r="Z228">
        <v>1</v>
      </c>
      <c r="AA228">
        <v>1</v>
      </c>
      <c r="AB228">
        <v>1</v>
      </c>
      <c r="AC228">
        <v>1</v>
      </c>
      <c r="AD228">
        <v>0.98</v>
      </c>
      <c r="AE228">
        <v>0.98</v>
      </c>
      <c r="AF228">
        <v>0.98</v>
      </c>
      <c r="AG228">
        <v>0.98</v>
      </c>
      <c r="AH228">
        <v>1.05</v>
      </c>
      <c r="AI228">
        <v>1</v>
      </c>
      <c r="AJ228">
        <v>1</v>
      </c>
      <c r="AK228">
        <v>1.02</v>
      </c>
      <c r="AL228">
        <v>1</v>
      </c>
      <c r="AM228">
        <v>1</v>
      </c>
      <c r="AN228">
        <v>1</v>
      </c>
      <c r="AO228">
        <v>1</v>
      </c>
    </row>
    <row r="229" spans="2:41" x14ac:dyDescent="0.25"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1.02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1.02</v>
      </c>
      <c r="Z229">
        <v>1</v>
      </c>
      <c r="AA229">
        <v>1</v>
      </c>
      <c r="AB229">
        <v>1</v>
      </c>
      <c r="AC229">
        <v>1</v>
      </c>
      <c r="AD229">
        <v>0.98</v>
      </c>
      <c r="AE229">
        <v>0.98</v>
      </c>
      <c r="AF229">
        <v>0.98</v>
      </c>
      <c r="AG229">
        <v>0.98</v>
      </c>
      <c r="AH229">
        <v>1.05</v>
      </c>
      <c r="AI229">
        <v>1</v>
      </c>
      <c r="AJ229">
        <v>1</v>
      </c>
      <c r="AK229">
        <v>1.02</v>
      </c>
      <c r="AL229">
        <v>1</v>
      </c>
      <c r="AM229">
        <v>1</v>
      </c>
      <c r="AN229">
        <v>1</v>
      </c>
      <c r="AO229">
        <v>1</v>
      </c>
    </row>
    <row r="230" spans="2:41" x14ac:dyDescent="0.25"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1.02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1.02</v>
      </c>
      <c r="Z230">
        <v>1</v>
      </c>
      <c r="AA230">
        <v>1</v>
      </c>
      <c r="AB230">
        <v>1</v>
      </c>
      <c r="AC230">
        <v>1</v>
      </c>
      <c r="AD230">
        <v>0.98</v>
      </c>
      <c r="AE230">
        <v>0.98</v>
      </c>
      <c r="AF230">
        <v>0.98</v>
      </c>
      <c r="AG230">
        <v>0.98</v>
      </c>
      <c r="AH230">
        <v>1.05</v>
      </c>
      <c r="AI230">
        <v>1</v>
      </c>
      <c r="AJ230">
        <v>1</v>
      </c>
      <c r="AK230">
        <v>1.02</v>
      </c>
      <c r="AL230">
        <v>1</v>
      </c>
      <c r="AM230">
        <v>1</v>
      </c>
      <c r="AN230">
        <v>1</v>
      </c>
      <c r="AO230">
        <v>1</v>
      </c>
    </row>
    <row r="231" spans="2:41" x14ac:dyDescent="0.25"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1.02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1.02</v>
      </c>
      <c r="Z231">
        <v>1</v>
      </c>
      <c r="AA231">
        <v>1</v>
      </c>
      <c r="AB231">
        <v>1</v>
      </c>
      <c r="AC231">
        <v>1</v>
      </c>
      <c r="AD231">
        <v>0.98</v>
      </c>
      <c r="AE231">
        <v>0.98</v>
      </c>
      <c r="AF231">
        <v>0.98</v>
      </c>
      <c r="AG231">
        <v>0.98</v>
      </c>
      <c r="AH231">
        <v>1.05</v>
      </c>
      <c r="AI231">
        <v>1</v>
      </c>
      <c r="AJ231">
        <v>1</v>
      </c>
      <c r="AK231">
        <v>1.02</v>
      </c>
      <c r="AL231">
        <v>1</v>
      </c>
      <c r="AM231">
        <v>1</v>
      </c>
      <c r="AN231">
        <v>1</v>
      </c>
      <c r="AO231">
        <v>1</v>
      </c>
    </row>
    <row r="232" spans="2:41" x14ac:dyDescent="0.25"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1.02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1.02</v>
      </c>
      <c r="Z232">
        <v>1</v>
      </c>
      <c r="AA232">
        <v>1</v>
      </c>
      <c r="AB232">
        <v>1</v>
      </c>
      <c r="AC232">
        <v>1</v>
      </c>
      <c r="AD232">
        <v>0.98</v>
      </c>
      <c r="AE232">
        <v>0.98</v>
      </c>
      <c r="AF232">
        <v>0.98</v>
      </c>
      <c r="AG232">
        <v>0.98</v>
      </c>
      <c r="AH232">
        <v>1.05</v>
      </c>
      <c r="AI232">
        <v>1</v>
      </c>
      <c r="AJ232">
        <v>1</v>
      </c>
      <c r="AK232">
        <v>1.02</v>
      </c>
      <c r="AL232">
        <v>1</v>
      </c>
      <c r="AM232">
        <v>1</v>
      </c>
      <c r="AN232">
        <v>1</v>
      </c>
      <c r="AO232">
        <v>1</v>
      </c>
    </row>
    <row r="233" spans="2:41" x14ac:dyDescent="0.25"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1.02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1.02</v>
      </c>
      <c r="Z233">
        <v>1</v>
      </c>
      <c r="AA233">
        <v>1</v>
      </c>
      <c r="AB233">
        <v>1</v>
      </c>
      <c r="AC233">
        <v>1</v>
      </c>
      <c r="AD233">
        <v>0.98</v>
      </c>
      <c r="AE233">
        <v>0.98</v>
      </c>
      <c r="AF233">
        <v>0.98</v>
      </c>
      <c r="AG233">
        <v>0.98</v>
      </c>
      <c r="AH233">
        <v>1.05</v>
      </c>
      <c r="AI233">
        <v>1</v>
      </c>
      <c r="AJ233">
        <v>1</v>
      </c>
      <c r="AK233">
        <v>1.02</v>
      </c>
      <c r="AL233">
        <v>1</v>
      </c>
      <c r="AM233">
        <v>1</v>
      </c>
      <c r="AN233">
        <v>1</v>
      </c>
      <c r="AO233">
        <v>1</v>
      </c>
    </row>
    <row r="234" spans="2:41" x14ac:dyDescent="0.25"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1.02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1.1000000000000001</v>
      </c>
      <c r="AG234">
        <v>1.1000000000000001</v>
      </c>
      <c r="AH234">
        <v>1.05</v>
      </c>
      <c r="AI234">
        <v>1</v>
      </c>
      <c r="AJ234">
        <v>1</v>
      </c>
      <c r="AK234">
        <v>1.02</v>
      </c>
      <c r="AL234">
        <v>1</v>
      </c>
      <c r="AM234">
        <v>1</v>
      </c>
      <c r="AN234">
        <v>1</v>
      </c>
      <c r="AO234">
        <v>1</v>
      </c>
    </row>
    <row r="235" spans="2:41" x14ac:dyDescent="0.25"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1.02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1.1000000000000001</v>
      </c>
      <c r="AG235">
        <v>1.1000000000000001</v>
      </c>
      <c r="AH235">
        <v>1.05</v>
      </c>
      <c r="AI235">
        <v>1</v>
      </c>
      <c r="AJ235">
        <v>1</v>
      </c>
      <c r="AK235">
        <v>1.02</v>
      </c>
      <c r="AL235">
        <v>1</v>
      </c>
      <c r="AM235">
        <v>1</v>
      </c>
      <c r="AN235">
        <v>1</v>
      </c>
      <c r="AO235">
        <v>1</v>
      </c>
    </row>
    <row r="236" spans="2:41" x14ac:dyDescent="0.25"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1.02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1.1000000000000001</v>
      </c>
      <c r="AG236">
        <v>1.1000000000000001</v>
      </c>
      <c r="AH236">
        <v>1.05</v>
      </c>
      <c r="AI236">
        <v>1</v>
      </c>
      <c r="AJ236">
        <v>1</v>
      </c>
      <c r="AK236">
        <v>1.02</v>
      </c>
      <c r="AL236">
        <v>1</v>
      </c>
      <c r="AM236">
        <v>1</v>
      </c>
      <c r="AN236">
        <v>1</v>
      </c>
      <c r="AO236">
        <v>1</v>
      </c>
    </row>
    <row r="237" spans="2:41" x14ac:dyDescent="0.25"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1.02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1.1000000000000001</v>
      </c>
      <c r="AG237">
        <v>1.1000000000000001</v>
      </c>
      <c r="AH237">
        <v>1.05</v>
      </c>
      <c r="AI237">
        <v>1</v>
      </c>
      <c r="AJ237">
        <v>1</v>
      </c>
      <c r="AK237">
        <v>1.02</v>
      </c>
      <c r="AL237">
        <v>1</v>
      </c>
      <c r="AM237">
        <v>1</v>
      </c>
      <c r="AN237">
        <v>1</v>
      </c>
      <c r="AO237">
        <v>1</v>
      </c>
    </row>
    <row r="238" spans="2:41" x14ac:dyDescent="0.25"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1.02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1.1000000000000001</v>
      </c>
      <c r="AG238">
        <v>1.1000000000000001</v>
      </c>
      <c r="AH238">
        <v>1.05</v>
      </c>
      <c r="AI238">
        <v>1</v>
      </c>
      <c r="AJ238">
        <v>1</v>
      </c>
      <c r="AK238">
        <v>1.02</v>
      </c>
      <c r="AL238">
        <v>1</v>
      </c>
      <c r="AM238">
        <v>1</v>
      </c>
      <c r="AN238">
        <v>1</v>
      </c>
      <c r="AO238">
        <v>1</v>
      </c>
    </row>
    <row r="239" spans="2:41" x14ac:dyDescent="0.25"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1.02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1.02</v>
      </c>
      <c r="Z239">
        <v>1</v>
      </c>
      <c r="AA239">
        <v>1</v>
      </c>
      <c r="AB239">
        <v>1</v>
      </c>
      <c r="AC239">
        <v>1</v>
      </c>
      <c r="AD239">
        <v>0.98</v>
      </c>
      <c r="AE239">
        <v>0.98</v>
      </c>
      <c r="AF239">
        <v>0.98</v>
      </c>
      <c r="AG239">
        <v>0.98</v>
      </c>
      <c r="AH239">
        <v>1.05</v>
      </c>
      <c r="AI239">
        <v>1</v>
      </c>
      <c r="AJ239">
        <v>1</v>
      </c>
      <c r="AK239">
        <v>1.02</v>
      </c>
      <c r="AL239">
        <v>1</v>
      </c>
      <c r="AM239">
        <v>1</v>
      </c>
      <c r="AN239">
        <v>1</v>
      </c>
      <c r="AO239">
        <v>1</v>
      </c>
    </row>
    <row r="240" spans="2:41" x14ac:dyDescent="0.25"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1.02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1.02</v>
      </c>
      <c r="Z240">
        <v>1</v>
      </c>
      <c r="AA240">
        <v>1</v>
      </c>
      <c r="AB240">
        <v>1</v>
      </c>
      <c r="AC240">
        <v>1</v>
      </c>
      <c r="AD240">
        <v>0.98</v>
      </c>
      <c r="AE240">
        <v>0.98</v>
      </c>
      <c r="AF240">
        <v>0.98</v>
      </c>
      <c r="AG240">
        <v>0.98</v>
      </c>
      <c r="AH240">
        <v>1.05</v>
      </c>
      <c r="AI240">
        <v>1</v>
      </c>
      <c r="AJ240">
        <v>1</v>
      </c>
      <c r="AK240">
        <v>1.02</v>
      </c>
      <c r="AL240">
        <v>1</v>
      </c>
      <c r="AM240">
        <v>1</v>
      </c>
      <c r="AN240">
        <v>1</v>
      </c>
      <c r="AO240">
        <v>1</v>
      </c>
    </row>
    <row r="241" spans="2:41" x14ac:dyDescent="0.25"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1.02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1.02</v>
      </c>
      <c r="Z241">
        <v>1</v>
      </c>
      <c r="AA241">
        <v>1</v>
      </c>
      <c r="AB241">
        <v>1</v>
      </c>
      <c r="AC241">
        <v>1</v>
      </c>
      <c r="AD241">
        <v>0.98</v>
      </c>
      <c r="AE241">
        <v>0.98</v>
      </c>
      <c r="AF241">
        <v>0.98</v>
      </c>
      <c r="AG241">
        <v>0.98</v>
      </c>
      <c r="AH241">
        <v>1.05</v>
      </c>
      <c r="AI241">
        <v>1</v>
      </c>
      <c r="AJ241">
        <v>1</v>
      </c>
      <c r="AK241">
        <v>1.02</v>
      </c>
      <c r="AL241">
        <v>1</v>
      </c>
      <c r="AM241">
        <v>1</v>
      </c>
      <c r="AN241">
        <v>1</v>
      </c>
      <c r="AO241">
        <v>1</v>
      </c>
    </row>
    <row r="242" spans="2:41" x14ac:dyDescent="0.25"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1.02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1.02</v>
      </c>
      <c r="Z242">
        <v>1</v>
      </c>
      <c r="AA242">
        <v>1</v>
      </c>
      <c r="AB242">
        <v>1</v>
      </c>
      <c r="AC242">
        <v>1</v>
      </c>
      <c r="AD242">
        <v>0.98</v>
      </c>
      <c r="AE242">
        <v>0.98</v>
      </c>
      <c r="AF242">
        <v>0.98</v>
      </c>
      <c r="AG242">
        <v>0.98</v>
      </c>
      <c r="AH242">
        <v>1.05</v>
      </c>
      <c r="AI242">
        <v>1</v>
      </c>
      <c r="AJ242">
        <v>1</v>
      </c>
      <c r="AK242">
        <v>1.02</v>
      </c>
      <c r="AL242">
        <v>1</v>
      </c>
      <c r="AM242">
        <v>1</v>
      </c>
      <c r="AN242">
        <v>1</v>
      </c>
      <c r="AO242">
        <v>1</v>
      </c>
    </row>
    <row r="243" spans="2:41" x14ac:dyDescent="0.25"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1.02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1.02</v>
      </c>
      <c r="Z243">
        <v>1</v>
      </c>
      <c r="AA243">
        <v>1</v>
      </c>
      <c r="AB243">
        <v>1</v>
      </c>
      <c r="AC243">
        <v>1</v>
      </c>
      <c r="AD243">
        <v>0.98</v>
      </c>
      <c r="AE243">
        <v>0.98</v>
      </c>
      <c r="AF243">
        <v>0.98</v>
      </c>
      <c r="AG243">
        <v>0.98</v>
      </c>
      <c r="AH243">
        <v>1.05</v>
      </c>
      <c r="AI243">
        <v>1</v>
      </c>
      <c r="AJ243">
        <v>1</v>
      </c>
      <c r="AK243">
        <v>1.02</v>
      </c>
      <c r="AL243">
        <v>1</v>
      </c>
      <c r="AM243">
        <v>1</v>
      </c>
      <c r="AN243">
        <v>1</v>
      </c>
      <c r="AO243">
        <v>1</v>
      </c>
    </row>
    <row r="244" spans="2:41" x14ac:dyDescent="0.25"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1.02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1.02</v>
      </c>
      <c r="Z244">
        <v>1</v>
      </c>
      <c r="AA244">
        <v>1</v>
      </c>
      <c r="AB244">
        <v>1</v>
      </c>
      <c r="AC244">
        <v>1</v>
      </c>
      <c r="AD244">
        <v>0.98</v>
      </c>
      <c r="AE244">
        <v>0.98</v>
      </c>
      <c r="AF244">
        <v>0.98</v>
      </c>
      <c r="AG244">
        <v>0.98</v>
      </c>
      <c r="AH244">
        <v>1.05</v>
      </c>
      <c r="AI244">
        <v>1</v>
      </c>
      <c r="AJ244">
        <v>1</v>
      </c>
      <c r="AK244">
        <v>1.02</v>
      </c>
      <c r="AL244">
        <v>1</v>
      </c>
      <c r="AM244">
        <v>1</v>
      </c>
      <c r="AN244">
        <v>1</v>
      </c>
      <c r="AO244">
        <v>1</v>
      </c>
    </row>
    <row r="245" spans="2:41" x14ac:dyDescent="0.25"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1.02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1.02</v>
      </c>
      <c r="Z245">
        <v>1</v>
      </c>
      <c r="AA245">
        <v>1</v>
      </c>
      <c r="AB245">
        <v>1</v>
      </c>
      <c r="AC245">
        <v>1</v>
      </c>
      <c r="AD245">
        <v>0.98</v>
      </c>
      <c r="AE245">
        <v>0.98</v>
      </c>
      <c r="AF245">
        <v>0.98</v>
      </c>
      <c r="AG245">
        <v>0.98</v>
      </c>
      <c r="AH245">
        <v>1.05</v>
      </c>
      <c r="AI245">
        <v>1</v>
      </c>
      <c r="AJ245">
        <v>1</v>
      </c>
      <c r="AK245">
        <v>1.02</v>
      </c>
      <c r="AL245">
        <v>1</v>
      </c>
      <c r="AM245">
        <v>1</v>
      </c>
      <c r="AN245">
        <v>1</v>
      </c>
      <c r="AO245">
        <v>1</v>
      </c>
    </row>
    <row r="246" spans="2:41" x14ac:dyDescent="0.25"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1.1000000000000001</v>
      </c>
      <c r="AG246">
        <v>1.1000000000000001</v>
      </c>
      <c r="AH246">
        <v>1.05</v>
      </c>
      <c r="AI246">
        <v>1</v>
      </c>
      <c r="AJ246">
        <v>1</v>
      </c>
      <c r="AK246">
        <v>1.02</v>
      </c>
      <c r="AL246">
        <v>1</v>
      </c>
      <c r="AM246">
        <v>1</v>
      </c>
      <c r="AN246">
        <v>1</v>
      </c>
      <c r="AO246">
        <v>1</v>
      </c>
    </row>
    <row r="247" spans="2:41" x14ac:dyDescent="0.25"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1.02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1.1000000000000001</v>
      </c>
      <c r="AG247">
        <v>1.1000000000000001</v>
      </c>
      <c r="AH247">
        <v>1.05</v>
      </c>
      <c r="AI247">
        <v>1</v>
      </c>
      <c r="AJ247">
        <v>1</v>
      </c>
      <c r="AK247">
        <v>1.02</v>
      </c>
      <c r="AL247">
        <v>1</v>
      </c>
      <c r="AM247">
        <v>1</v>
      </c>
      <c r="AN247">
        <v>1</v>
      </c>
      <c r="AO247">
        <v>1</v>
      </c>
    </row>
    <row r="248" spans="2:41" x14ac:dyDescent="0.25"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1.02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1.1000000000000001</v>
      </c>
      <c r="AG248">
        <v>1.1000000000000001</v>
      </c>
      <c r="AH248">
        <v>1.05</v>
      </c>
      <c r="AI248">
        <v>1</v>
      </c>
      <c r="AJ248">
        <v>1</v>
      </c>
      <c r="AK248">
        <v>1.02</v>
      </c>
      <c r="AL248">
        <v>1</v>
      </c>
      <c r="AM248">
        <v>1</v>
      </c>
      <c r="AN248">
        <v>1</v>
      </c>
      <c r="AO248">
        <v>1</v>
      </c>
    </row>
    <row r="249" spans="2:41" x14ac:dyDescent="0.25"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1.02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1.1000000000000001</v>
      </c>
      <c r="AG249">
        <v>1.1000000000000001</v>
      </c>
      <c r="AH249">
        <v>1.05</v>
      </c>
      <c r="AI249">
        <v>1</v>
      </c>
      <c r="AJ249">
        <v>1</v>
      </c>
      <c r="AK249">
        <v>1.02</v>
      </c>
      <c r="AL249">
        <v>1</v>
      </c>
      <c r="AM249">
        <v>1</v>
      </c>
      <c r="AN249">
        <v>1</v>
      </c>
      <c r="AO249">
        <v>1</v>
      </c>
    </row>
    <row r="250" spans="2:41" x14ac:dyDescent="0.25"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1.02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1.1000000000000001</v>
      </c>
      <c r="AG250">
        <v>1.1000000000000001</v>
      </c>
      <c r="AH250">
        <v>1.05</v>
      </c>
      <c r="AI250">
        <v>1</v>
      </c>
      <c r="AJ250">
        <v>1</v>
      </c>
      <c r="AK250">
        <v>1.02</v>
      </c>
      <c r="AL250">
        <v>1</v>
      </c>
      <c r="AM250">
        <v>1</v>
      </c>
      <c r="AN250">
        <v>1</v>
      </c>
      <c r="AO250">
        <v>1</v>
      </c>
    </row>
    <row r="251" spans="2:41" x14ac:dyDescent="0.25"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1.02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1.02</v>
      </c>
      <c r="Z251">
        <v>1</v>
      </c>
      <c r="AA251">
        <v>1</v>
      </c>
      <c r="AB251">
        <v>1</v>
      </c>
      <c r="AC251">
        <v>1</v>
      </c>
      <c r="AD251">
        <v>0.98</v>
      </c>
      <c r="AE251">
        <v>0.98</v>
      </c>
      <c r="AF251">
        <v>0.98</v>
      </c>
      <c r="AG251">
        <v>0.98</v>
      </c>
      <c r="AH251">
        <v>1.05</v>
      </c>
      <c r="AI251">
        <v>1</v>
      </c>
      <c r="AJ251">
        <v>1</v>
      </c>
      <c r="AK251">
        <v>1.02</v>
      </c>
      <c r="AL251">
        <v>1</v>
      </c>
      <c r="AM251">
        <v>1</v>
      </c>
      <c r="AN251">
        <v>1</v>
      </c>
      <c r="AO251">
        <v>1</v>
      </c>
    </row>
    <row r="252" spans="2:41" x14ac:dyDescent="0.25"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1.02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1.02</v>
      </c>
      <c r="Z252">
        <v>1</v>
      </c>
      <c r="AA252">
        <v>1</v>
      </c>
      <c r="AB252">
        <v>1</v>
      </c>
      <c r="AC252">
        <v>1</v>
      </c>
      <c r="AD252">
        <v>0.98</v>
      </c>
      <c r="AE252">
        <v>0.98</v>
      </c>
      <c r="AF252">
        <v>0.98</v>
      </c>
      <c r="AG252">
        <v>0.98</v>
      </c>
      <c r="AH252">
        <v>1.05</v>
      </c>
      <c r="AI252">
        <v>1</v>
      </c>
      <c r="AJ252">
        <v>1</v>
      </c>
      <c r="AK252">
        <v>1.02</v>
      </c>
      <c r="AL252">
        <v>1</v>
      </c>
      <c r="AM252">
        <v>1</v>
      </c>
      <c r="AN252">
        <v>1</v>
      </c>
      <c r="AO252">
        <v>1</v>
      </c>
    </row>
    <row r="253" spans="2:41" x14ac:dyDescent="0.25"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1.02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1.02</v>
      </c>
      <c r="Z253">
        <v>1</v>
      </c>
      <c r="AA253">
        <v>1</v>
      </c>
      <c r="AB253">
        <v>1</v>
      </c>
      <c r="AC253">
        <v>1</v>
      </c>
      <c r="AD253">
        <v>0.98</v>
      </c>
      <c r="AE253">
        <v>0.98</v>
      </c>
      <c r="AF253">
        <v>0.98</v>
      </c>
      <c r="AG253">
        <v>0.98</v>
      </c>
      <c r="AH253">
        <v>1.05</v>
      </c>
      <c r="AI253">
        <v>1</v>
      </c>
      <c r="AJ253">
        <v>1</v>
      </c>
      <c r="AK253">
        <v>1.02</v>
      </c>
      <c r="AL253">
        <v>1</v>
      </c>
      <c r="AM253">
        <v>1</v>
      </c>
      <c r="AN253">
        <v>1</v>
      </c>
      <c r="AO253">
        <v>1</v>
      </c>
    </row>
    <row r="254" spans="2:41" x14ac:dyDescent="0.25"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1.02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1.02</v>
      </c>
      <c r="Z254">
        <v>1</v>
      </c>
      <c r="AA254">
        <v>1</v>
      </c>
      <c r="AB254">
        <v>1</v>
      </c>
      <c r="AC254">
        <v>1</v>
      </c>
      <c r="AD254">
        <v>0.98</v>
      </c>
      <c r="AE254">
        <v>0.98</v>
      </c>
      <c r="AF254">
        <v>0.98</v>
      </c>
      <c r="AG254">
        <v>0.98</v>
      </c>
      <c r="AH254">
        <v>1.05</v>
      </c>
      <c r="AI254">
        <v>1</v>
      </c>
      <c r="AJ254">
        <v>1</v>
      </c>
      <c r="AK254">
        <v>1.02</v>
      </c>
      <c r="AL254">
        <v>1</v>
      </c>
      <c r="AM254">
        <v>1</v>
      </c>
      <c r="AN254">
        <v>1</v>
      </c>
      <c r="AO254">
        <v>1</v>
      </c>
    </row>
    <row r="255" spans="2:41" x14ac:dyDescent="0.25"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1.02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1.02</v>
      </c>
      <c r="Z255">
        <v>1</v>
      </c>
      <c r="AA255">
        <v>1</v>
      </c>
      <c r="AB255">
        <v>1</v>
      </c>
      <c r="AC255">
        <v>1</v>
      </c>
      <c r="AD255">
        <v>0.98</v>
      </c>
      <c r="AE255">
        <v>0.98</v>
      </c>
      <c r="AF255">
        <v>0.98</v>
      </c>
      <c r="AG255">
        <v>0.98</v>
      </c>
      <c r="AH255">
        <v>1.05</v>
      </c>
      <c r="AI255">
        <v>1</v>
      </c>
      <c r="AJ255">
        <v>1</v>
      </c>
      <c r="AK255">
        <v>1.02</v>
      </c>
      <c r="AL255">
        <v>1</v>
      </c>
      <c r="AM255">
        <v>1</v>
      </c>
      <c r="AN255">
        <v>1</v>
      </c>
      <c r="AO255">
        <v>1</v>
      </c>
    </row>
    <row r="256" spans="2:41" x14ac:dyDescent="0.25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1.02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1.02</v>
      </c>
      <c r="Z256">
        <v>1</v>
      </c>
      <c r="AA256">
        <v>1</v>
      </c>
      <c r="AB256">
        <v>1</v>
      </c>
      <c r="AC256">
        <v>1</v>
      </c>
      <c r="AD256">
        <v>0.98</v>
      </c>
      <c r="AE256">
        <v>0.98</v>
      </c>
      <c r="AF256">
        <v>0.98</v>
      </c>
      <c r="AG256">
        <v>0.98</v>
      </c>
      <c r="AH256">
        <v>1.05</v>
      </c>
      <c r="AI256">
        <v>1</v>
      </c>
      <c r="AJ256">
        <v>1</v>
      </c>
      <c r="AK256">
        <v>1.02</v>
      </c>
      <c r="AL256">
        <v>1</v>
      </c>
      <c r="AM256">
        <v>1</v>
      </c>
      <c r="AN256">
        <v>1</v>
      </c>
      <c r="AO256">
        <v>1</v>
      </c>
    </row>
    <row r="257" spans="2:41" x14ac:dyDescent="0.25"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1.02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1.02</v>
      </c>
      <c r="Z257">
        <v>1</v>
      </c>
      <c r="AA257">
        <v>1</v>
      </c>
      <c r="AB257">
        <v>1</v>
      </c>
      <c r="AC257">
        <v>1</v>
      </c>
      <c r="AD257">
        <v>0.98</v>
      </c>
      <c r="AE257">
        <v>0.98</v>
      </c>
      <c r="AF257">
        <v>0.98</v>
      </c>
      <c r="AG257">
        <v>0.98</v>
      </c>
      <c r="AH257">
        <v>1.05</v>
      </c>
      <c r="AI257">
        <v>1</v>
      </c>
      <c r="AJ257">
        <v>1</v>
      </c>
      <c r="AK257">
        <v>1.02</v>
      </c>
      <c r="AL257">
        <v>1</v>
      </c>
      <c r="AM257">
        <v>1</v>
      </c>
      <c r="AN257">
        <v>1</v>
      </c>
      <c r="AO257">
        <v>1</v>
      </c>
    </row>
    <row r="258" spans="2:41" x14ac:dyDescent="0.25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1.02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1.1000000000000001</v>
      </c>
      <c r="AG258">
        <v>1.1000000000000001</v>
      </c>
      <c r="AH258">
        <v>1.05</v>
      </c>
      <c r="AI258">
        <v>1</v>
      </c>
      <c r="AJ258">
        <v>1</v>
      </c>
      <c r="AK258">
        <v>1.02</v>
      </c>
      <c r="AL258">
        <v>1</v>
      </c>
      <c r="AM258">
        <v>1</v>
      </c>
      <c r="AN258">
        <v>1</v>
      </c>
      <c r="AO258">
        <v>1</v>
      </c>
    </row>
    <row r="259" spans="2:41" x14ac:dyDescent="0.25"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1.02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1.1000000000000001</v>
      </c>
      <c r="AG259">
        <v>1.1000000000000001</v>
      </c>
      <c r="AH259">
        <v>1.05</v>
      </c>
      <c r="AI259">
        <v>1</v>
      </c>
      <c r="AJ259">
        <v>1</v>
      </c>
      <c r="AK259">
        <v>1.02</v>
      </c>
      <c r="AL259">
        <v>1</v>
      </c>
      <c r="AM259">
        <v>1</v>
      </c>
      <c r="AN259">
        <v>1</v>
      </c>
      <c r="AO259">
        <v>1</v>
      </c>
    </row>
    <row r="260" spans="2:41" x14ac:dyDescent="0.25"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1.02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1.1000000000000001</v>
      </c>
      <c r="AG260">
        <v>1.1000000000000001</v>
      </c>
      <c r="AH260">
        <v>1.05</v>
      </c>
      <c r="AI260">
        <v>1</v>
      </c>
      <c r="AJ260">
        <v>1</v>
      </c>
      <c r="AK260">
        <v>1.02</v>
      </c>
      <c r="AL260">
        <v>1</v>
      </c>
      <c r="AM260">
        <v>1</v>
      </c>
      <c r="AN260">
        <v>1</v>
      </c>
      <c r="AO260">
        <v>1</v>
      </c>
    </row>
    <row r="261" spans="2:41" x14ac:dyDescent="0.25"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1.02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1.1000000000000001</v>
      </c>
      <c r="AG261">
        <v>1.1000000000000001</v>
      </c>
      <c r="AH261">
        <v>1.05</v>
      </c>
      <c r="AI261">
        <v>1</v>
      </c>
      <c r="AJ261">
        <v>1</v>
      </c>
      <c r="AK261">
        <v>1.02</v>
      </c>
      <c r="AL261">
        <v>1</v>
      </c>
      <c r="AM261">
        <v>1</v>
      </c>
      <c r="AN261">
        <v>1</v>
      </c>
      <c r="AO261">
        <v>1</v>
      </c>
    </row>
    <row r="262" spans="2:41" x14ac:dyDescent="0.25"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1.02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1.1000000000000001</v>
      </c>
      <c r="AG262">
        <v>1.1000000000000001</v>
      </c>
      <c r="AH262">
        <v>1.05</v>
      </c>
      <c r="AI262">
        <v>1</v>
      </c>
      <c r="AJ262">
        <v>1</v>
      </c>
      <c r="AK262">
        <v>1.02</v>
      </c>
      <c r="AL262">
        <v>1</v>
      </c>
      <c r="AM262">
        <v>1</v>
      </c>
      <c r="AN262">
        <v>1</v>
      </c>
      <c r="AO262">
        <v>1</v>
      </c>
    </row>
    <row r="263" spans="2:41" x14ac:dyDescent="0.25"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1.02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1.02</v>
      </c>
      <c r="Z263">
        <v>1</v>
      </c>
      <c r="AA263">
        <v>1</v>
      </c>
      <c r="AB263">
        <v>1</v>
      </c>
      <c r="AC263">
        <v>1</v>
      </c>
      <c r="AD263">
        <v>0.98</v>
      </c>
      <c r="AE263">
        <v>0.98</v>
      </c>
      <c r="AF263">
        <v>0.98</v>
      </c>
      <c r="AG263">
        <v>0.98</v>
      </c>
      <c r="AH263">
        <v>1.05</v>
      </c>
      <c r="AI263">
        <v>1</v>
      </c>
      <c r="AJ263">
        <v>1</v>
      </c>
      <c r="AK263">
        <v>1.02</v>
      </c>
      <c r="AL263">
        <v>1</v>
      </c>
      <c r="AM263">
        <v>1</v>
      </c>
      <c r="AN263">
        <v>1</v>
      </c>
      <c r="AO263">
        <v>1</v>
      </c>
    </row>
    <row r="264" spans="2:41" x14ac:dyDescent="0.25"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1.02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1.02</v>
      </c>
      <c r="Z264">
        <v>1</v>
      </c>
      <c r="AA264">
        <v>1</v>
      </c>
      <c r="AB264">
        <v>1</v>
      </c>
      <c r="AC264">
        <v>1</v>
      </c>
      <c r="AD264">
        <v>0.98</v>
      </c>
      <c r="AE264">
        <v>0.98</v>
      </c>
      <c r="AF264">
        <v>0.98</v>
      </c>
      <c r="AG264">
        <v>0.98</v>
      </c>
      <c r="AH264">
        <v>1.05</v>
      </c>
      <c r="AI264">
        <v>1</v>
      </c>
      <c r="AJ264">
        <v>1</v>
      </c>
      <c r="AK264">
        <v>1.02</v>
      </c>
      <c r="AL264">
        <v>1</v>
      </c>
      <c r="AM264">
        <v>1</v>
      </c>
      <c r="AN264">
        <v>1</v>
      </c>
      <c r="AO264">
        <v>1</v>
      </c>
    </row>
    <row r="265" spans="2:41" x14ac:dyDescent="0.25"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1.02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1.02</v>
      </c>
      <c r="Z265">
        <v>1</v>
      </c>
      <c r="AA265">
        <v>1</v>
      </c>
      <c r="AB265">
        <v>1</v>
      </c>
      <c r="AC265">
        <v>1</v>
      </c>
      <c r="AD265">
        <v>0.98</v>
      </c>
      <c r="AE265">
        <v>0.98</v>
      </c>
      <c r="AF265">
        <v>0.98</v>
      </c>
      <c r="AG265">
        <v>0.98</v>
      </c>
      <c r="AH265">
        <v>1.05</v>
      </c>
      <c r="AI265">
        <v>1</v>
      </c>
      <c r="AJ265">
        <v>1</v>
      </c>
      <c r="AK265">
        <v>1.02</v>
      </c>
      <c r="AL265">
        <v>1</v>
      </c>
      <c r="AM265">
        <v>1</v>
      </c>
      <c r="AN265">
        <v>1</v>
      </c>
      <c r="AO265">
        <v>1</v>
      </c>
    </row>
    <row r="266" spans="2:41" x14ac:dyDescent="0.25"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1.02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1.02</v>
      </c>
      <c r="Z266">
        <v>1</v>
      </c>
      <c r="AA266">
        <v>1</v>
      </c>
      <c r="AB266">
        <v>1</v>
      </c>
      <c r="AC266">
        <v>1</v>
      </c>
      <c r="AD266">
        <v>0.98</v>
      </c>
      <c r="AE266">
        <v>0.98</v>
      </c>
      <c r="AF266">
        <v>0.98</v>
      </c>
      <c r="AG266">
        <v>0.98</v>
      </c>
      <c r="AH266">
        <v>1.05</v>
      </c>
      <c r="AI266">
        <v>1</v>
      </c>
      <c r="AJ266">
        <v>1</v>
      </c>
      <c r="AK266">
        <v>1.02</v>
      </c>
      <c r="AL266">
        <v>1</v>
      </c>
      <c r="AM266">
        <v>1</v>
      </c>
      <c r="AN266">
        <v>1</v>
      </c>
      <c r="AO266">
        <v>1</v>
      </c>
    </row>
    <row r="267" spans="2:41" x14ac:dyDescent="0.25"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1.02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1.02</v>
      </c>
      <c r="Z267">
        <v>1</v>
      </c>
      <c r="AA267">
        <v>1</v>
      </c>
      <c r="AB267">
        <v>1</v>
      </c>
      <c r="AC267">
        <v>1</v>
      </c>
      <c r="AD267">
        <v>0.98</v>
      </c>
      <c r="AE267">
        <v>0.98</v>
      </c>
      <c r="AF267">
        <v>0.98</v>
      </c>
      <c r="AG267">
        <v>0.98</v>
      </c>
      <c r="AH267">
        <v>1.05</v>
      </c>
      <c r="AI267">
        <v>1</v>
      </c>
      <c r="AJ267">
        <v>1</v>
      </c>
      <c r="AK267">
        <v>1.02</v>
      </c>
      <c r="AL267">
        <v>1</v>
      </c>
      <c r="AM267">
        <v>1</v>
      </c>
      <c r="AN267">
        <v>1</v>
      </c>
      <c r="AO267">
        <v>1</v>
      </c>
    </row>
    <row r="268" spans="2:41" x14ac:dyDescent="0.25"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1.02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1.02</v>
      </c>
      <c r="Z268">
        <v>1</v>
      </c>
      <c r="AA268">
        <v>1</v>
      </c>
      <c r="AB268">
        <v>1</v>
      </c>
      <c r="AC268">
        <v>1</v>
      </c>
      <c r="AD268">
        <v>0.98</v>
      </c>
      <c r="AE268">
        <v>0.98</v>
      </c>
      <c r="AF268">
        <v>0.98</v>
      </c>
      <c r="AG268">
        <v>0.98</v>
      </c>
      <c r="AH268">
        <v>1.05</v>
      </c>
      <c r="AI268">
        <v>1</v>
      </c>
      <c r="AJ268">
        <v>1</v>
      </c>
      <c r="AK268">
        <v>1.02</v>
      </c>
      <c r="AL268">
        <v>1</v>
      </c>
      <c r="AM268">
        <v>1</v>
      </c>
      <c r="AN268">
        <v>1</v>
      </c>
      <c r="AO268">
        <v>1</v>
      </c>
    </row>
    <row r="269" spans="2:41" x14ac:dyDescent="0.25"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1.02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1.02</v>
      </c>
      <c r="Z269">
        <v>1</v>
      </c>
      <c r="AA269">
        <v>1</v>
      </c>
      <c r="AB269">
        <v>1</v>
      </c>
      <c r="AC269">
        <v>1</v>
      </c>
      <c r="AD269">
        <v>0.98</v>
      </c>
      <c r="AE269">
        <v>0.98</v>
      </c>
      <c r="AF269">
        <v>0.98</v>
      </c>
      <c r="AG269">
        <v>0.98</v>
      </c>
      <c r="AH269">
        <v>1.05</v>
      </c>
      <c r="AI269">
        <v>1</v>
      </c>
      <c r="AJ269">
        <v>1</v>
      </c>
      <c r="AK269">
        <v>1.02</v>
      </c>
      <c r="AL269">
        <v>1</v>
      </c>
      <c r="AM269">
        <v>1</v>
      </c>
      <c r="AN269">
        <v>1</v>
      </c>
      <c r="AO269">
        <v>1</v>
      </c>
    </row>
    <row r="270" spans="2:41" x14ac:dyDescent="0.25"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1.02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1.1000000000000001</v>
      </c>
      <c r="AG270">
        <v>1.1000000000000001</v>
      </c>
      <c r="AH270">
        <v>1.05</v>
      </c>
      <c r="AI270">
        <v>1</v>
      </c>
      <c r="AJ270">
        <v>1</v>
      </c>
      <c r="AK270">
        <v>1.02</v>
      </c>
      <c r="AL270">
        <v>1</v>
      </c>
      <c r="AM270">
        <v>1</v>
      </c>
      <c r="AN270">
        <v>1</v>
      </c>
      <c r="AO270">
        <v>1</v>
      </c>
    </row>
    <row r="271" spans="2:41" x14ac:dyDescent="0.25"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1.02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1.1000000000000001</v>
      </c>
      <c r="AG271">
        <v>1.1000000000000001</v>
      </c>
      <c r="AH271">
        <v>1.05</v>
      </c>
      <c r="AI271">
        <v>1</v>
      </c>
      <c r="AJ271">
        <v>1</v>
      </c>
      <c r="AK271">
        <v>1.02</v>
      </c>
      <c r="AL271">
        <v>1</v>
      </c>
      <c r="AM271">
        <v>1</v>
      </c>
      <c r="AN271">
        <v>1</v>
      </c>
      <c r="AO271">
        <v>1</v>
      </c>
    </row>
    <row r="272" spans="2:41" x14ac:dyDescent="0.25"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1.02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1.1000000000000001</v>
      </c>
      <c r="AG272">
        <v>1.1000000000000001</v>
      </c>
      <c r="AH272">
        <v>1.05</v>
      </c>
      <c r="AI272">
        <v>1</v>
      </c>
      <c r="AJ272">
        <v>1</v>
      </c>
      <c r="AK272">
        <v>1.02</v>
      </c>
      <c r="AL272">
        <v>1</v>
      </c>
      <c r="AM272">
        <v>1</v>
      </c>
      <c r="AN272">
        <v>1</v>
      </c>
      <c r="AO272">
        <v>1</v>
      </c>
    </row>
    <row r="273" spans="2:41" x14ac:dyDescent="0.25"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1.02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1.1000000000000001</v>
      </c>
      <c r="AG273">
        <v>1.1000000000000001</v>
      </c>
      <c r="AH273">
        <v>1.05</v>
      </c>
      <c r="AI273">
        <v>1</v>
      </c>
      <c r="AJ273">
        <v>1</v>
      </c>
      <c r="AK273">
        <v>1.02</v>
      </c>
      <c r="AL273">
        <v>1</v>
      </c>
      <c r="AM273">
        <v>1</v>
      </c>
      <c r="AN273">
        <v>1</v>
      </c>
      <c r="AO273">
        <v>1</v>
      </c>
    </row>
    <row r="274" spans="2:41" x14ac:dyDescent="0.25"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1.02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1.1000000000000001</v>
      </c>
      <c r="AG274">
        <v>1.1000000000000001</v>
      </c>
      <c r="AH274">
        <v>1.05</v>
      </c>
      <c r="AI274">
        <v>1</v>
      </c>
      <c r="AJ274">
        <v>1</v>
      </c>
      <c r="AK274">
        <v>1.02</v>
      </c>
      <c r="AL274">
        <v>1</v>
      </c>
      <c r="AM274">
        <v>1</v>
      </c>
      <c r="AN274">
        <v>1</v>
      </c>
      <c r="AO274">
        <v>1</v>
      </c>
    </row>
    <row r="275" spans="2:41" x14ac:dyDescent="0.25"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1.02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1.02</v>
      </c>
      <c r="Z275">
        <v>1</v>
      </c>
      <c r="AA275">
        <v>1</v>
      </c>
      <c r="AB275">
        <v>1</v>
      </c>
      <c r="AC275">
        <v>1</v>
      </c>
      <c r="AD275">
        <v>0.98</v>
      </c>
      <c r="AE275">
        <v>0.98</v>
      </c>
      <c r="AF275">
        <v>0.98</v>
      </c>
      <c r="AG275">
        <v>0.98</v>
      </c>
      <c r="AH275">
        <v>1.05</v>
      </c>
      <c r="AI275">
        <v>1</v>
      </c>
      <c r="AJ275">
        <v>1</v>
      </c>
      <c r="AK275">
        <v>1.02</v>
      </c>
      <c r="AL275">
        <v>1</v>
      </c>
      <c r="AM275">
        <v>1</v>
      </c>
      <c r="AN275">
        <v>1</v>
      </c>
      <c r="AO275">
        <v>1</v>
      </c>
    </row>
    <row r="276" spans="2:41" x14ac:dyDescent="0.25"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1.02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1.02</v>
      </c>
      <c r="Z276">
        <v>1</v>
      </c>
      <c r="AA276">
        <v>1</v>
      </c>
      <c r="AB276">
        <v>1</v>
      </c>
      <c r="AC276">
        <v>1</v>
      </c>
      <c r="AD276">
        <v>0.98</v>
      </c>
      <c r="AE276">
        <v>0.98</v>
      </c>
      <c r="AF276">
        <v>0.98</v>
      </c>
      <c r="AG276">
        <v>0.98</v>
      </c>
      <c r="AH276">
        <v>1.05</v>
      </c>
      <c r="AI276">
        <v>1</v>
      </c>
      <c r="AJ276">
        <v>1</v>
      </c>
      <c r="AK276">
        <v>1.02</v>
      </c>
      <c r="AL276">
        <v>1</v>
      </c>
      <c r="AM276">
        <v>1</v>
      </c>
      <c r="AN276">
        <v>1</v>
      </c>
      <c r="AO276">
        <v>1</v>
      </c>
    </row>
    <row r="277" spans="2:41" x14ac:dyDescent="0.25"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1.02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1.02</v>
      </c>
      <c r="Z277">
        <v>1</v>
      </c>
      <c r="AA277">
        <v>1</v>
      </c>
      <c r="AB277">
        <v>1</v>
      </c>
      <c r="AC277">
        <v>1</v>
      </c>
      <c r="AD277">
        <v>0.98</v>
      </c>
      <c r="AE277">
        <v>0.98</v>
      </c>
      <c r="AF277">
        <v>0.98</v>
      </c>
      <c r="AG277">
        <v>0.98</v>
      </c>
      <c r="AH277">
        <v>1.05</v>
      </c>
      <c r="AI277">
        <v>1</v>
      </c>
      <c r="AJ277">
        <v>1</v>
      </c>
      <c r="AK277">
        <v>1.02</v>
      </c>
      <c r="AL277">
        <v>1</v>
      </c>
      <c r="AM277">
        <v>1</v>
      </c>
      <c r="AN277">
        <v>1</v>
      </c>
      <c r="AO277">
        <v>1</v>
      </c>
    </row>
    <row r="278" spans="2:41" x14ac:dyDescent="0.25"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1.02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1.02</v>
      </c>
      <c r="Z278">
        <v>1</v>
      </c>
      <c r="AA278">
        <v>1</v>
      </c>
      <c r="AB278">
        <v>1</v>
      </c>
      <c r="AC278">
        <v>1</v>
      </c>
      <c r="AD278">
        <v>0.98</v>
      </c>
      <c r="AE278">
        <v>0.98</v>
      </c>
      <c r="AF278">
        <v>0.98</v>
      </c>
      <c r="AG278">
        <v>0.98</v>
      </c>
      <c r="AH278">
        <v>1.05</v>
      </c>
      <c r="AI278">
        <v>1</v>
      </c>
      <c r="AJ278">
        <v>1</v>
      </c>
      <c r="AK278">
        <v>1.02</v>
      </c>
      <c r="AL278">
        <v>1</v>
      </c>
      <c r="AM278">
        <v>1</v>
      </c>
      <c r="AN278">
        <v>1</v>
      </c>
      <c r="AO278">
        <v>1</v>
      </c>
    </row>
    <row r="279" spans="2:41" x14ac:dyDescent="0.25"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1.02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1.02</v>
      </c>
      <c r="Z279">
        <v>1</v>
      </c>
      <c r="AA279">
        <v>1</v>
      </c>
      <c r="AB279">
        <v>1</v>
      </c>
      <c r="AC279">
        <v>1</v>
      </c>
      <c r="AD279">
        <v>0.98</v>
      </c>
      <c r="AE279">
        <v>0.98</v>
      </c>
      <c r="AF279">
        <v>0.98</v>
      </c>
      <c r="AG279">
        <v>0.98</v>
      </c>
      <c r="AH279">
        <v>1.05</v>
      </c>
      <c r="AI279">
        <v>1</v>
      </c>
      <c r="AJ279">
        <v>1</v>
      </c>
      <c r="AK279">
        <v>1.02</v>
      </c>
      <c r="AL279">
        <v>1</v>
      </c>
      <c r="AM279">
        <v>1</v>
      </c>
      <c r="AN279">
        <v>1</v>
      </c>
      <c r="AO279">
        <v>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0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RowHeight="13.2" x14ac:dyDescent="0.25"/>
  <cols>
    <col min="1" max="1" width="9.109375" style="176" customWidth="1"/>
    <col min="2" max="8" width="15.6640625" style="177" customWidth="1"/>
    <col min="9" max="10" width="9.109375" style="54" customWidth="1"/>
  </cols>
  <sheetData>
    <row r="1" spans="1:14" ht="13.8" x14ac:dyDescent="0.25">
      <c r="A1" s="176" t="s">
        <v>7</v>
      </c>
      <c r="B1" s="238" t="s">
        <v>84</v>
      </c>
      <c r="C1" s="239" t="s">
        <v>95</v>
      </c>
      <c r="D1" s="240" t="s">
        <v>70</v>
      </c>
      <c r="E1" s="240" t="s">
        <v>100</v>
      </c>
      <c r="F1" s="240" t="s">
        <v>99</v>
      </c>
      <c r="G1" s="240" t="s">
        <v>76</v>
      </c>
      <c r="H1" s="240" t="s">
        <v>78</v>
      </c>
      <c r="I1" s="240" t="s">
        <v>94</v>
      </c>
      <c r="J1" s="240" t="s">
        <v>66</v>
      </c>
      <c r="K1" s="240" t="s">
        <v>102</v>
      </c>
      <c r="L1" s="241" t="s">
        <v>183</v>
      </c>
      <c r="M1" s="241" t="s">
        <v>74</v>
      </c>
      <c r="N1" s="242" t="s">
        <v>79</v>
      </c>
    </row>
    <row r="2" spans="1:14" x14ac:dyDescent="0.25">
      <c r="B2" s="178">
        <v>2</v>
      </c>
      <c r="C2" s="178">
        <f>B2+1</f>
        <v>3</v>
      </c>
      <c r="D2" s="178">
        <f t="shared" ref="D2:N2" si="0">C2+1</f>
        <v>4</v>
      </c>
      <c r="E2" s="178">
        <f t="shared" si="0"/>
        <v>5</v>
      </c>
      <c r="F2" s="178">
        <f t="shared" si="0"/>
        <v>6</v>
      </c>
      <c r="G2" s="178">
        <f t="shared" si="0"/>
        <v>7</v>
      </c>
      <c r="H2" s="178">
        <f t="shared" si="0"/>
        <v>8</v>
      </c>
      <c r="I2" s="178">
        <f t="shared" si="0"/>
        <v>9</v>
      </c>
      <c r="J2" s="178">
        <f t="shared" si="0"/>
        <v>10</v>
      </c>
      <c r="K2" s="178">
        <f t="shared" si="0"/>
        <v>11</v>
      </c>
      <c r="L2" s="178">
        <f t="shared" si="0"/>
        <v>12</v>
      </c>
      <c r="M2" s="178">
        <f t="shared" si="0"/>
        <v>13</v>
      </c>
      <c r="N2" s="178">
        <f t="shared" si="0"/>
        <v>14</v>
      </c>
    </row>
    <row r="3" spans="1:14" x14ac:dyDescent="0.25">
      <c r="A3" s="176">
        <v>36770</v>
      </c>
      <c r="B3" s="177">
        <v>0.99830915684013177</v>
      </c>
      <c r="C3" s="177">
        <v>0.99830915684013177</v>
      </c>
      <c r="D3" s="177">
        <v>0.995</v>
      </c>
      <c r="E3" s="177">
        <v>0.84</v>
      </c>
      <c r="F3" s="177">
        <v>0.84</v>
      </c>
      <c r="G3" s="177">
        <v>0.99407144019191562</v>
      </c>
      <c r="H3" s="177">
        <v>0.995</v>
      </c>
      <c r="I3" s="54">
        <v>0.99250000000000005</v>
      </c>
      <c r="J3" s="54">
        <v>0.99750000000000005</v>
      </c>
      <c r="K3" s="54">
        <v>0.83</v>
      </c>
      <c r="L3">
        <v>0.99250000000000005</v>
      </c>
      <c r="M3">
        <v>1.0049999999999999</v>
      </c>
      <c r="N3">
        <v>0.99</v>
      </c>
    </row>
    <row r="4" spans="1:14" x14ac:dyDescent="0.25">
      <c r="A4" s="176">
        <v>36800</v>
      </c>
      <c r="B4" s="177">
        <v>0.99830915684013177</v>
      </c>
      <c r="C4" s="177">
        <v>0.99830915684013177</v>
      </c>
      <c r="D4" s="177">
        <v>0.995</v>
      </c>
      <c r="E4" s="177">
        <v>0.84</v>
      </c>
      <c r="F4" s="177">
        <v>0.84</v>
      </c>
      <c r="G4" s="177">
        <v>0.99407144019191562</v>
      </c>
      <c r="H4" s="177">
        <v>0.995</v>
      </c>
      <c r="I4" s="54">
        <v>0.99250000000000005</v>
      </c>
      <c r="J4" s="54">
        <v>0.99750000000000005</v>
      </c>
      <c r="K4" s="54">
        <v>0.73</v>
      </c>
      <c r="L4">
        <v>0.99250000000000005</v>
      </c>
      <c r="M4">
        <v>1.0049999999999999</v>
      </c>
      <c r="N4">
        <v>0.99</v>
      </c>
    </row>
    <row r="5" spans="1:14" x14ac:dyDescent="0.25">
      <c r="A5" s="176">
        <v>36831</v>
      </c>
      <c r="B5" s="177">
        <v>0.98497430320438317</v>
      </c>
      <c r="C5" s="177">
        <v>0.98497430320438317</v>
      </c>
      <c r="D5" s="177">
        <v>0.995</v>
      </c>
      <c r="E5" s="177">
        <v>0.93</v>
      </c>
      <c r="F5" s="177">
        <v>0.93</v>
      </c>
      <c r="G5" s="177">
        <v>0.997</v>
      </c>
      <c r="H5" s="177">
        <v>0.99</v>
      </c>
      <c r="I5" s="54">
        <v>0.87</v>
      </c>
      <c r="J5" s="54">
        <v>0.99750000000000005</v>
      </c>
      <c r="K5" s="54">
        <v>0.75</v>
      </c>
      <c r="L5">
        <v>0.99</v>
      </c>
      <c r="M5">
        <v>0.995</v>
      </c>
      <c r="N5">
        <v>0.995</v>
      </c>
    </row>
    <row r="6" spans="1:14" x14ac:dyDescent="0.25">
      <c r="A6" s="176">
        <v>36861</v>
      </c>
      <c r="B6" s="177">
        <v>0.98497430320438317</v>
      </c>
      <c r="C6" s="177">
        <v>0.98497430320438317</v>
      </c>
      <c r="D6" s="177">
        <v>0.995</v>
      </c>
      <c r="E6" s="177">
        <v>0.93</v>
      </c>
      <c r="F6" s="177">
        <v>0.93</v>
      </c>
      <c r="G6" s="177">
        <v>0.997</v>
      </c>
      <c r="H6" s="177">
        <v>0.99</v>
      </c>
      <c r="I6" s="54">
        <v>0.81</v>
      </c>
      <c r="J6" s="54">
        <v>0.99750000000000005</v>
      </c>
      <c r="K6" s="54">
        <v>0.75</v>
      </c>
      <c r="L6">
        <v>0.99</v>
      </c>
      <c r="M6">
        <v>0.995</v>
      </c>
      <c r="N6">
        <v>0.995</v>
      </c>
    </row>
    <row r="7" spans="1:14" x14ac:dyDescent="0.25">
      <c r="A7" s="176">
        <v>36892</v>
      </c>
      <c r="B7" s="177">
        <v>0.98497430320438317</v>
      </c>
      <c r="C7" s="177">
        <v>0.98497430320438317</v>
      </c>
      <c r="D7" s="177">
        <v>0.995</v>
      </c>
      <c r="E7" s="177">
        <v>0.93</v>
      </c>
      <c r="F7" s="177">
        <v>0.93</v>
      </c>
      <c r="G7" s="177">
        <v>0.997</v>
      </c>
      <c r="H7" s="177">
        <v>0.99</v>
      </c>
      <c r="I7" s="54">
        <v>0.81</v>
      </c>
      <c r="J7" s="54">
        <v>0.99750000000000005</v>
      </c>
      <c r="K7" s="54">
        <v>0.75</v>
      </c>
      <c r="L7">
        <v>0.99</v>
      </c>
      <c r="M7">
        <v>0.995</v>
      </c>
      <c r="N7">
        <v>0.995</v>
      </c>
    </row>
    <row r="8" spans="1:14" x14ac:dyDescent="0.25">
      <c r="A8" s="176">
        <v>36923</v>
      </c>
      <c r="B8" s="177">
        <v>0.98497430320438317</v>
      </c>
      <c r="C8" s="177">
        <v>0.98497430320438317</v>
      </c>
      <c r="D8" s="177">
        <v>0.995</v>
      </c>
      <c r="E8" s="177">
        <v>0.93</v>
      </c>
      <c r="F8" s="177">
        <v>0.93</v>
      </c>
      <c r="G8" s="177">
        <v>0.997</v>
      </c>
      <c r="H8" s="177">
        <v>0.99</v>
      </c>
      <c r="I8" s="54">
        <v>0.81</v>
      </c>
      <c r="J8" s="54">
        <v>0.99750000000000005</v>
      </c>
      <c r="K8" s="54">
        <v>0.75</v>
      </c>
      <c r="L8">
        <v>0.99</v>
      </c>
      <c r="M8">
        <v>0.995</v>
      </c>
      <c r="N8">
        <v>0.995</v>
      </c>
    </row>
    <row r="9" spans="1:14" x14ac:dyDescent="0.25">
      <c r="A9" s="176">
        <v>36951</v>
      </c>
      <c r="B9" s="177">
        <v>0.98497430320438317</v>
      </c>
      <c r="C9" s="177">
        <v>0.98497430320438317</v>
      </c>
      <c r="D9" s="177">
        <v>0.995</v>
      </c>
      <c r="E9" s="177">
        <v>0.93</v>
      </c>
      <c r="F9" s="177">
        <v>0.93</v>
      </c>
      <c r="G9" s="177">
        <v>0.997</v>
      </c>
      <c r="H9" s="177">
        <v>0.99</v>
      </c>
      <c r="I9" s="54">
        <v>0.81</v>
      </c>
      <c r="J9" s="54">
        <v>0.99750000000000005</v>
      </c>
      <c r="K9" s="54">
        <v>0.75</v>
      </c>
      <c r="L9">
        <v>0.99</v>
      </c>
      <c r="M9">
        <v>0.995</v>
      </c>
      <c r="N9">
        <v>0.995</v>
      </c>
    </row>
    <row r="10" spans="1:14" x14ac:dyDescent="0.25">
      <c r="A10" s="176">
        <v>36982</v>
      </c>
      <c r="B10" s="177">
        <v>0.99830915684013177</v>
      </c>
      <c r="C10" s="177">
        <v>0.99830915684013177</v>
      </c>
      <c r="D10" s="177">
        <v>0.995</v>
      </c>
      <c r="E10" s="177">
        <v>0.96</v>
      </c>
      <c r="F10" s="177">
        <v>0.96</v>
      </c>
      <c r="G10" s="177">
        <v>0.99407144019191562</v>
      </c>
      <c r="H10" s="177">
        <v>0.99</v>
      </c>
      <c r="I10" s="54">
        <v>0.9738</v>
      </c>
      <c r="J10" s="54">
        <v>0.995</v>
      </c>
      <c r="K10" s="54">
        <v>0.89</v>
      </c>
      <c r="L10">
        <v>0.99</v>
      </c>
      <c r="M10">
        <v>1.0049999999999999</v>
      </c>
      <c r="N10">
        <v>0.99</v>
      </c>
    </row>
    <row r="11" spans="1:14" x14ac:dyDescent="0.25">
      <c r="A11" s="176">
        <v>37012</v>
      </c>
      <c r="B11" s="177">
        <v>0.99830915684013177</v>
      </c>
      <c r="C11" s="177">
        <v>0.99830915684013177</v>
      </c>
      <c r="D11" s="177">
        <v>0.995</v>
      </c>
      <c r="E11" s="177">
        <v>0.96</v>
      </c>
      <c r="F11" s="177">
        <v>0.96</v>
      </c>
      <c r="G11" s="177">
        <v>0.99407144019191562</v>
      </c>
      <c r="H11" s="177">
        <v>0.99</v>
      </c>
      <c r="I11" s="54">
        <v>0.9738</v>
      </c>
      <c r="J11" s="54">
        <v>0.995</v>
      </c>
      <c r="K11" s="54">
        <v>0.89</v>
      </c>
      <c r="L11">
        <v>0.99</v>
      </c>
      <c r="M11">
        <v>1.0049999999999999</v>
      </c>
      <c r="N11">
        <v>0.99</v>
      </c>
    </row>
    <row r="12" spans="1:14" x14ac:dyDescent="0.25">
      <c r="A12" s="176">
        <v>37043</v>
      </c>
      <c r="B12" s="177">
        <v>0.99830915684013177</v>
      </c>
      <c r="C12" s="177">
        <v>0.99830915684013177</v>
      </c>
      <c r="D12" s="177">
        <v>0.995</v>
      </c>
      <c r="E12" s="177">
        <v>0.96</v>
      </c>
      <c r="F12" s="177">
        <v>0.96</v>
      </c>
      <c r="G12" s="177">
        <v>0.99407144019191562</v>
      </c>
      <c r="H12" s="177">
        <v>0.99</v>
      </c>
      <c r="I12" s="54">
        <v>0.9738</v>
      </c>
      <c r="J12" s="54">
        <v>0.995</v>
      </c>
      <c r="K12" s="54">
        <v>0.89</v>
      </c>
      <c r="L12">
        <v>0.99</v>
      </c>
      <c r="M12">
        <v>1.0049999999999999</v>
      </c>
      <c r="N12">
        <v>0.99</v>
      </c>
    </row>
    <row r="13" spans="1:14" x14ac:dyDescent="0.25">
      <c r="A13" s="176">
        <v>37073</v>
      </c>
      <c r="B13" s="177">
        <v>0.99830915684013177</v>
      </c>
      <c r="C13" s="177">
        <v>0.99830915684013177</v>
      </c>
      <c r="D13" s="177">
        <v>0.995</v>
      </c>
      <c r="E13" s="177">
        <v>0.96</v>
      </c>
      <c r="F13" s="177">
        <v>0.96</v>
      </c>
      <c r="G13" s="177">
        <v>0.99407144019191562</v>
      </c>
      <c r="H13" s="177">
        <v>0.99</v>
      </c>
      <c r="I13" s="54">
        <v>0.9738</v>
      </c>
      <c r="J13" s="54">
        <v>0.995</v>
      </c>
      <c r="K13" s="54">
        <v>0.89</v>
      </c>
      <c r="L13">
        <v>0.99</v>
      </c>
      <c r="M13">
        <v>1.0049999999999999</v>
      </c>
      <c r="N13">
        <v>0.99</v>
      </c>
    </row>
    <row r="14" spans="1:14" x14ac:dyDescent="0.25">
      <c r="A14" s="176">
        <v>37104</v>
      </c>
      <c r="B14" s="177">
        <v>0.99830915684013177</v>
      </c>
      <c r="C14" s="177">
        <v>0.99830915684013177</v>
      </c>
      <c r="D14" s="177">
        <v>0.995</v>
      </c>
      <c r="E14" s="177">
        <v>0.96</v>
      </c>
      <c r="F14" s="177">
        <v>0.96</v>
      </c>
      <c r="G14" s="177">
        <v>0.99407144019191562</v>
      </c>
      <c r="H14" s="177">
        <v>0.99</v>
      </c>
      <c r="I14" s="54">
        <v>0.9738</v>
      </c>
      <c r="J14" s="54">
        <v>0.995</v>
      </c>
      <c r="K14" s="54">
        <v>0.89</v>
      </c>
      <c r="L14">
        <v>0.99</v>
      </c>
      <c r="M14">
        <v>1.0049999999999999</v>
      </c>
      <c r="N14">
        <v>0.99</v>
      </c>
    </row>
    <row r="15" spans="1:14" x14ac:dyDescent="0.25">
      <c r="A15" s="176">
        <v>37135</v>
      </c>
      <c r="B15" s="177">
        <v>0.99830915684013177</v>
      </c>
      <c r="C15" s="177">
        <v>0.99830915684013177</v>
      </c>
      <c r="D15" s="177">
        <v>0.995</v>
      </c>
      <c r="E15" s="177">
        <v>0.96</v>
      </c>
      <c r="F15" s="177">
        <v>0.96</v>
      </c>
      <c r="G15" s="177">
        <v>0.99407144019191562</v>
      </c>
      <c r="H15" s="177">
        <v>0.99</v>
      </c>
      <c r="I15" s="54">
        <v>0.9738</v>
      </c>
      <c r="J15" s="54">
        <v>0.995</v>
      </c>
      <c r="K15" s="54">
        <v>0.89</v>
      </c>
      <c r="L15">
        <v>0.99</v>
      </c>
      <c r="M15">
        <v>1.0049999999999999</v>
      </c>
      <c r="N15">
        <v>0.99</v>
      </c>
    </row>
    <row r="16" spans="1:14" x14ac:dyDescent="0.25">
      <c r="A16" s="176">
        <v>37165</v>
      </c>
      <c r="B16" s="177">
        <v>0.99830915684013177</v>
      </c>
      <c r="C16" s="177">
        <v>0.99830915684013177</v>
      </c>
      <c r="D16" s="177">
        <v>0.995</v>
      </c>
      <c r="E16" s="177">
        <v>0.96</v>
      </c>
      <c r="F16" s="177">
        <v>0.96</v>
      </c>
      <c r="G16" s="177">
        <v>0.99407144019191562</v>
      </c>
      <c r="H16" s="177">
        <v>0.99</v>
      </c>
      <c r="I16" s="54">
        <v>0.9738</v>
      </c>
      <c r="J16" s="54">
        <v>0.995</v>
      </c>
      <c r="K16" s="54">
        <v>0.89</v>
      </c>
      <c r="L16">
        <v>0.99</v>
      </c>
      <c r="M16">
        <v>1.0049999999999999</v>
      </c>
      <c r="N16">
        <v>0.99</v>
      </c>
    </row>
    <row r="17" spans="1:14" x14ac:dyDescent="0.25">
      <c r="A17" s="176">
        <v>37196</v>
      </c>
      <c r="B17" s="177">
        <v>0.98497430320438317</v>
      </c>
      <c r="C17" s="177">
        <v>0.98497430320438317</v>
      </c>
      <c r="D17" s="177">
        <v>0.995</v>
      </c>
      <c r="E17" s="177">
        <v>0.96</v>
      </c>
      <c r="F17" s="177">
        <v>0.96</v>
      </c>
      <c r="G17" s="177">
        <v>0.98410764751845092</v>
      </c>
      <c r="H17" s="177">
        <v>0.99</v>
      </c>
      <c r="I17" s="54">
        <v>0.95</v>
      </c>
      <c r="J17" s="54">
        <v>0.995</v>
      </c>
      <c r="K17" s="54">
        <v>0.98</v>
      </c>
      <c r="L17">
        <v>0.99</v>
      </c>
      <c r="M17">
        <v>1.0049999999999999</v>
      </c>
      <c r="N17">
        <v>0.99</v>
      </c>
    </row>
    <row r="18" spans="1:14" x14ac:dyDescent="0.25">
      <c r="A18" s="176">
        <v>37226</v>
      </c>
      <c r="B18" s="177">
        <v>0.98497430320438317</v>
      </c>
      <c r="C18" s="177">
        <v>0.98497430320438317</v>
      </c>
      <c r="D18" s="177">
        <v>0.995</v>
      </c>
      <c r="E18" s="177">
        <v>0.96</v>
      </c>
      <c r="F18" s="177">
        <v>0.96</v>
      </c>
      <c r="G18" s="177">
        <v>0.98410764751845092</v>
      </c>
      <c r="H18" s="177">
        <v>0.99</v>
      </c>
      <c r="I18" s="54">
        <v>0.95</v>
      </c>
      <c r="J18" s="54">
        <v>0.995</v>
      </c>
      <c r="K18" s="54">
        <v>0.98</v>
      </c>
      <c r="L18">
        <v>0.99</v>
      </c>
      <c r="M18">
        <v>1.0049999999999999</v>
      </c>
      <c r="N18">
        <v>0.99</v>
      </c>
    </row>
    <row r="19" spans="1:14" x14ac:dyDescent="0.25">
      <c r="A19" s="176">
        <v>37257</v>
      </c>
      <c r="B19" s="177">
        <v>0.98497430320438317</v>
      </c>
      <c r="C19" s="177">
        <v>0.98497430320438317</v>
      </c>
      <c r="D19" s="177">
        <v>0.995</v>
      </c>
      <c r="E19" s="177">
        <v>0.96</v>
      </c>
      <c r="F19" s="177">
        <v>0.96</v>
      </c>
      <c r="G19" s="177">
        <v>0.98410764751845092</v>
      </c>
      <c r="H19" s="177">
        <v>0.99</v>
      </c>
      <c r="I19" s="54">
        <v>0.95</v>
      </c>
      <c r="J19" s="54">
        <v>0.995</v>
      </c>
      <c r="K19" s="54">
        <v>0.98</v>
      </c>
      <c r="L19">
        <v>0.99</v>
      </c>
      <c r="M19">
        <v>1.0049999999999999</v>
      </c>
      <c r="N19">
        <v>0.99</v>
      </c>
    </row>
    <row r="20" spans="1:14" x14ac:dyDescent="0.25">
      <c r="A20" s="176">
        <v>37288</v>
      </c>
      <c r="B20" s="177">
        <v>0.98497430320438317</v>
      </c>
      <c r="C20" s="177">
        <v>0.98497430320438317</v>
      </c>
      <c r="D20" s="177">
        <v>0.995</v>
      </c>
      <c r="E20" s="177">
        <v>0.96</v>
      </c>
      <c r="F20" s="177">
        <v>0.96</v>
      </c>
      <c r="G20" s="177">
        <v>0.98410764751845092</v>
      </c>
      <c r="H20" s="177">
        <v>0.99</v>
      </c>
      <c r="I20" s="54">
        <v>0.95</v>
      </c>
      <c r="J20" s="54">
        <v>0.995</v>
      </c>
      <c r="K20" s="54">
        <v>0.98</v>
      </c>
      <c r="L20">
        <v>0.99</v>
      </c>
      <c r="M20">
        <v>1.0049999999999999</v>
      </c>
      <c r="N20">
        <v>0.99</v>
      </c>
    </row>
    <row r="21" spans="1:14" x14ac:dyDescent="0.25">
      <c r="A21" s="176">
        <v>37316</v>
      </c>
      <c r="B21" s="177">
        <v>0.98497430320438317</v>
      </c>
      <c r="C21" s="177">
        <v>0.98497430320438317</v>
      </c>
      <c r="D21" s="177">
        <v>0.995</v>
      </c>
      <c r="E21" s="177">
        <v>0.96</v>
      </c>
      <c r="F21" s="177">
        <v>0.96</v>
      </c>
      <c r="G21" s="177">
        <v>0.98410764751845092</v>
      </c>
      <c r="H21" s="177">
        <v>0.99</v>
      </c>
      <c r="I21" s="54">
        <v>0.95</v>
      </c>
      <c r="J21" s="54">
        <v>0.995</v>
      </c>
      <c r="K21" s="54">
        <v>0.98</v>
      </c>
      <c r="L21">
        <v>0.99</v>
      </c>
      <c r="M21">
        <v>1.0049999999999999</v>
      </c>
      <c r="N21">
        <v>0.99</v>
      </c>
    </row>
    <row r="22" spans="1:14" x14ac:dyDescent="0.25">
      <c r="A22" s="176">
        <v>37347</v>
      </c>
      <c r="B22" s="177">
        <v>0.99830915684013177</v>
      </c>
      <c r="C22" s="177">
        <v>0.99830915684013177</v>
      </c>
      <c r="D22" s="177">
        <v>0.995</v>
      </c>
      <c r="E22" s="177">
        <v>0.96</v>
      </c>
      <c r="F22" s="177">
        <v>0.96</v>
      </c>
      <c r="G22" s="177">
        <v>0.99407144019191562</v>
      </c>
      <c r="H22" s="177">
        <v>0.99</v>
      </c>
      <c r="I22" s="54">
        <v>0.98042074975743199</v>
      </c>
      <c r="J22" s="54">
        <v>0.995</v>
      </c>
      <c r="K22" s="54">
        <v>0.98</v>
      </c>
      <c r="L22">
        <v>0.99</v>
      </c>
      <c r="M22">
        <v>1.0049999999999999</v>
      </c>
      <c r="N22">
        <v>0.99</v>
      </c>
    </row>
    <row r="23" spans="1:14" x14ac:dyDescent="0.25">
      <c r="A23" s="176">
        <v>37377</v>
      </c>
      <c r="B23" s="177">
        <v>0.99830915684013177</v>
      </c>
      <c r="C23" s="177">
        <v>0.99830915684013177</v>
      </c>
      <c r="D23" s="177">
        <v>0.995</v>
      </c>
      <c r="E23" s="177">
        <v>0.96</v>
      </c>
      <c r="F23" s="177">
        <v>0.96</v>
      </c>
      <c r="G23" s="177">
        <v>0.99407144019191562</v>
      </c>
      <c r="H23" s="177">
        <v>0.99</v>
      </c>
      <c r="I23" s="54">
        <v>0.98042074975743199</v>
      </c>
      <c r="J23" s="54">
        <v>0.995</v>
      </c>
      <c r="K23" s="54">
        <v>0.98</v>
      </c>
      <c r="L23">
        <v>0.99</v>
      </c>
      <c r="M23">
        <v>1.0049999999999999</v>
      </c>
      <c r="N23">
        <v>0.99</v>
      </c>
    </row>
    <row r="24" spans="1:14" x14ac:dyDescent="0.25">
      <c r="A24" s="176">
        <v>37408</v>
      </c>
      <c r="B24" s="177">
        <v>0.99830915684013177</v>
      </c>
      <c r="C24" s="177">
        <v>0.99830915684013177</v>
      </c>
      <c r="D24" s="177">
        <v>0.995</v>
      </c>
      <c r="E24" s="177">
        <v>0.96</v>
      </c>
      <c r="F24" s="177">
        <v>0.96</v>
      </c>
      <c r="G24" s="177">
        <v>0.99407144019191562</v>
      </c>
      <c r="H24" s="177">
        <v>0.99</v>
      </c>
      <c r="I24" s="54">
        <v>0.98042074975743199</v>
      </c>
      <c r="J24" s="54">
        <v>0.995</v>
      </c>
      <c r="K24" s="54">
        <v>0.98</v>
      </c>
      <c r="L24">
        <v>0.99</v>
      </c>
      <c r="M24">
        <v>1.0049999999999999</v>
      </c>
      <c r="N24">
        <v>0.99</v>
      </c>
    </row>
    <row r="25" spans="1:14" x14ac:dyDescent="0.25">
      <c r="A25" s="176">
        <v>37438</v>
      </c>
      <c r="B25" s="177">
        <v>0.99830915684013177</v>
      </c>
      <c r="C25" s="177">
        <v>0.99830915684013177</v>
      </c>
      <c r="D25" s="177">
        <v>0.995</v>
      </c>
      <c r="E25" s="177">
        <v>0.96</v>
      </c>
      <c r="F25" s="177">
        <v>0.96</v>
      </c>
      <c r="G25" s="177">
        <v>0.99407144019191562</v>
      </c>
      <c r="H25" s="177">
        <v>0.99</v>
      </c>
      <c r="I25" s="54">
        <v>0.98042074975743199</v>
      </c>
      <c r="J25" s="54">
        <v>0.995</v>
      </c>
      <c r="K25" s="54">
        <v>0.98</v>
      </c>
      <c r="L25">
        <v>0.99</v>
      </c>
      <c r="M25">
        <v>1.0049999999999999</v>
      </c>
      <c r="N25">
        <v>0.99</v>
      </c>
    </row>
    <row r="26" spans="1:14" x14ac:dyDescent="0.25">
      <c r="A26" s="176">
        <v>37469</v>
      </c>
      <c r="B26" s="177">
        <v>0.99830915684013177</v>
      </c>
      <c r="C26" s="177">
        <v>0.99830915684013177</v>
      </c>
      <c r="D26" s="177">
        <v>0.995</v>
      </c>
      <c r="E26" s="177">
        <v>0.96</v>
      </c>
      <c r="F26" s="177">
        <v>0.96</v>
      </c>
      <c r="G26" s="177">
        <v>0.99407144019191562</v>
      </c>
      <c r="H26" s="177">
        <v>0.99</v>
      </c>
      <c r="I26" s="54">
        <v>0.98042074975743199</v>
      </c>
      <c r="J26" s="54">
        <v>0.995</v>
      </c>
      <c r="K26" s="54">
        <v>0.98</v>
      </c>
      <c r="L26">
        <v>0.99</v>
      </c>
      <c r="M26">
        <v>1.0049999999999999</v>
      </c>
      <c r="N26">
        <v>0.99</v>
      </c>
    </row>
    <row r="27" spans="1:14" x14ac:dyDescent="0.25">
      <c r="A27" s="176">
        <v>37500</v>
      </c>
      <c r="B27" s="177">
        <v>0.99830915684013177</v>
      </c>
      <c r="C27" s="177">
        <v>0.99830915684013177</v>
      </c>
      <c r="D27" s="177">
        <v>0.995</v>
      </c>
      <c r="E27" s="177">
        <v>0.96</v>
      </c>
      <c r="F27" s="177">
        <v>0.96</v>
      </c>
      <c r="G27" s="177">
        <v>0.99407144019191562</v>
      </c>
      <c r="H27" s="177">
        <v>0.99</v>
      </c>
      <c r="I27" s="54">
        <v>0.98042074975743199</v>
      </c>
      <c r="J27" s="54">
        <v>0.995</v>
      </c>
      <c r="K27" s="54">
        <v>0.98</v>
      </c>
      <c r="L27">
        <v>0.99</v>
      </c>
      <c r="M27">
        <v>1.0049999999999999</v>
      </c>
      <c r="N27">
        <v>0.99</v>
      </c>
    </row>
    <row r="28" spans="1:14" x14ac:dyDescent="0.25">
      <c r="A28" s="176">
        <v>37530</v>
      </c>
      <c r="B28" s="177">
        <v>0.99830915684013177</v>
      </c>
      <c r="C28" s="177">
        <v>0.99830915684013177</v>
      </c>
      <c r="D28" s="177">
        <v>0.995</v>
      </c>
      <c r="E28" s="177">
        <v>0.96</v>
      </c>
      <c r="F28" s="177">
        <v>0.96</v>
      </c>
      <c r="G28" s="177">
        <v>0.99407144019191562</v>
      </c>
      <c r="H28" s="177">
        <v>0.99</v>
      </c>
      <c r="I28" s="54">
        <v>0.98042074975743199</v>
      </c>
      <c r="J28" s="54">
        <v>0.995</v>
      </c>
      <c r="K28" s="54">
        <v>0.98</v>
      </c>
      <c r="L28">
        <v>0.99</v>
      </c>
      <c r="M28">
        <v>1.0049999999999999</v>
      </c>
      <c r="N28">
        <v>0.99</v>
      </c>
    </row>
    <row r="29" spans="1:14" x14ac:dyDescent="0.25">
      <c r="A29" s="176">
        <v>37561</v>
      </c>
      <c r="B29" s="177">
        <v>0.98497430320438317</v>
      </c>
      <c r="C29" s="177">
        <v>0.98497430320438317</v>
      </c>
      <c r="D29" s="177">
        <v>0.995</v>
      </c>
      <c r="E29" s="177">
        <v>0.96</v>
      </c>
      <c r="F29" s="177">
        <v>0.96</v>
      </c>
      <c r="G29" s="177">
        <v>0.98410764751845092</v>
      </c>
      <c r="H29" s="177">
        <v>0.99</v>
      </c>
      <c r="I29" s="54">
        <v>0.90577586047143255</v>
      </c>
      <c r="J29" s="54">
        <v>0.995</v>
      </c>
      <c r="K29" s="54">
        <v>0.98</v>
      </c>
      <c r="L29">
        <v>0.99</v>
      </c>
      <c r="M29">
        <v>1.0049999999999999</v>
      </c>
      <c r="N29">
        <v>0.99</v>
      </c>
    </row>
    <row r="30" spans="1:14" x14ac:dyDescent="0.25">
      <c r="A30" s="176">
        <v>37591</v>
      </c>
      <c r="B30" s="177">
        <v>0.98497430320438317</v>
      </c>
      <c r="C30" s="177">
        <v>0.98497430320438317</v>
      </c>
      <c r="D30" s="177">
        <v>0.995</v>
      </c>
      <c r="E30" s="177">
        <v>0.96</v>
      </c>
      <c r="F30" s="177">
        <v>0.96</v>
      </c>
      <c r="G30" s="177">
        <v>0.98410764751845092</v>
      </c>
      <c r="H30" s="177">
        <v>0.99</v>
      </c>
      <c r="I30" s="54">
        <v>0.90577586047143255</v>
      </c>
      <c r="J30" s="54">
        <v>0.995</v>
      </c>
      <c r="K30" s="54">
        <v>0.98</v>
      </c>
      <c r="L30">
        <v>0.99</v>
      </c>
      <c r="M30">
        <v>1.0049999999999999</v>
      </c>
      <c r="N30">
        <v>0.99</v>
      </c>
    </row>
    <row r="31" spans="1:14" x14ac:dyDescent="0.25">
      <c r="A31" s="176">
        <v>37622</v>
      </c>
      <c r="B31" s="177">
        <v>0.98497430320438317</v>
      </c>
      <c r="C31" s="177">
        <v>0.98497430320438317</v>
      </c>
      <c r="D31" s="177">
        <v>0.995</v>
      </c>
      <c r="E31" s="177">
        <v>0.96</v>
      </c>
      <c r="F31" s="177">
        <v>0.96</v>
      </c>
      <c r="G31" s="177">
        <v>0.98410764751845092</v>
      </c>
      <c r="H31" s="177">
        <v>0.99</v>
      </c>
      <c r="I31" s="54">
        <v>0.90577586047143255</v>
      </c>
      <c r="J31" s="54">
        <v>0.995</v>
      </c>
      <c r="K31" s="54">
        <v>0.98</v>
      </c>
      <c r="L31">
        <v>0.99</v>
      </c>
      <c r="M31">
        <v>1.0049999999999999</v>
      </c>
      <c r="N31">
        <v>0.99</v>
      </c>
    </row>
    <row r="32" spans="1:14" x14ac:dyDescent="0.25">
      <c r="A32" s="176">
        <v>37653</v>
      </c>
      <c r="B32" s="177">
        <v>0.98497430320438317</v>
      </c>
      <c r="C32" s="177">
        <v>0.98497430320438317</v>
      </c>
      <c r="D32" s="177">
        <v>0.995</v>
      </c>
      <c r="E32" s="177">
        <v>0.96</v>
      </c>
      <c r="F32" s="177">
        <v>0.96</v>
      </c>
      <c r="G32" s="177">
        <v>0.98410764751845092</v>
      </c>
      <c r="H32" s="177">
        <v>0.99</v>
      </c>
      <c r="I32" s="54">
        <v>0.90577586047143255</v>
      </c>
      <c r="J32" s="54">
        <v>0.995</v>
      </c>
      <c r="K32" s="54">
        <v>0.98</v>
      </c>
      <c r="L32">
        <v>0.99</v>
      </c>
      <c r="M32">
        <v>1.0049999999999999</v>
      </c>
      <c r="N32">
        <v>0.99</v>
      </c>
    </row>
    <row r="33" spans="1:14" x14ac:dyDescent="0.25">
      <c r="A33" s="176">
        <v>37681</v>
      </c>
      <c r="B33" s="177">
        <v>0.98497430320438317</v>
      </c>
      <c r="C33" s="177">
        <v>0.98497430320438317</v>
      </c>
      <c r="D33" s="177">
        <v>0.995</v>
      </c>
      <c r="E33" s="177">
        <v>0.96</v>
      </c>
      <c r="F33" s="177">
        <v>0.96</v>
      </c>
      <c r="G33" s="177">
        <v>0.98410764751845092</v>
      </c>
      <c r="H33" s="177">
        <v>0.99</v>
      </c>
      <c r="I33" s="54">
        <v>0.90577586047143255</v>
      </c>
      <c r="J33" s="54">
        <v>0.995</v>
      </c>
      <c r="K33" s="54">
        <v>0.98</v>
      </c>
      <c r="L33">
        <v>0.99</v>
      </c>
      <c r="M33">
        <v>1.0049999999999999</v>
      </c>
      <c r="N33">
        <v>0.99</v>
      </c>
    </row>
    <row r="34" spans="1:14" x14ac:dyDescent="0.25">
      <c r="A34" s="176">
        <v>37712</v>
      </c>
      <c r="B34" s="177">
        <v>0.99830915684013177</v>
      </c>
      <c r="C34" s="177">
        <v>0.99830915684013177</v>
      </c>
      <c r="D34" s="177">
        <v>0.995</v>
      </c>
      <c r="E34" s="177">
        <v>0.96</v>
      </c>
      <c r="F34" s="177">
        <v>0.96</v>
      </c>
      <c r="G34" s="177">
        <v>0.99407144019191562</v>
      </c>
      <c r="H34" s="177">
        <v>0.99</v>
      </c>
      <c r="I34" s="54">
        <v>0.98042074975743199</v>
      </c>
      <c r="J34" s="54">
        <v>0.995</v>
      </c>
      <c r="K34" s="54">
        <v>0.98</v>
      </c>
      <c r="L34">
        <v>0.99</v>
      </c>
      <c r="M34">
        <v>1.0049999999999999</v>
      </c>
      <c r="N34">
        <v>0.99</v>
      </c>
    </row>
    <row r="35" spans="1:14" x14ac:dyDescent="0.25">
      <c r="A35" s="176">
        <v>37742</v>
      </c>
      <c r="B35" s="177">
        <v>0.99830915684013177</v>
      </c>
      <c r="C35" s="177">
        <v>0.99830915684013177</v>
      </c>
      <c r="D35" s="177">
        <v>0.995</v>
      </c>
      <c r="E35" s="177">
        <v>0.96</v>
      </c>
      <c r="F35" s="177">
        <v>0.96</v>
      </c>
      <c r="G35" s="177">
        <v>0.99407144019191562</v>
      </c>
      <c r="H35" s="177">
        <v>0.99</v>
      </c>
      <c r="I35" s="54">
        <v>0.98042074975743199</v>
      </c>
      <c r="J35" s="54">
        <v>0.995</v>
      </c>
      <c r="K35" s="54">
        <v>0.98</v>
      </c>
      <c r="L35">
        <v>0.99</v>
      </c>
      <c r="M35">
        <v>1.0049999999999999</v>
      </c>
      <c r="N35">
        <v>0.99</v>
      </c>
    </row>
    <row r="36" spans="1:14" x14ac:dyDescent="0.25">
      <c r="A36" s="176">
        <v>37773</v>
      </c>
      <c r="B36" s="177">
        <v>0.99830915684013177</v>
      </c>
      <c r="C36" s="177">
        <v>0.99830915684013177</v>
      </c>
      <c r="D36" s="177">
        <v>0.995</v>
      </c>
      <c r="E36" s="177">
        <v>0.96</v>
      </c>
      <c r="F36" s="177">
        <v>0.96</v>
      </c>
      <c r="G36" s="177">
        <v>0.99407144019191562</v>
      </c>
      <c r="H36" s="177">
        <v>0.99</v>
      </c>
      <c r="I36" s="54">
        <v>0.98042074975743199</v>
      </c>
      <c r="J36" s="54">
        <v>0.995</v>
      </c>
      <c r="K36" s="54">
        <v>0.98</v>
      </c>
      <c r="L36">
        <v>0.99</v>
      </c>
      <c r="M36">
        <v>1.0049999999999999</v>
      </c>
      <c r="N36">
        <v>0.99</v>
      </c>
    </row>
    <row r="37" spans="1:14" x14ac:dyDescent="0.25">
      <c r="A37" s="176">
        <v>37803</v>
      </c>
      <c r="B37" s="177">
        <v>0.99830915684013177</v>
      </c>
      <c r="C37" s="177">
        <v>0.99830915684013177</v>
      </c>
      <c r="D37" s="177">
        <v>0.995</v>
      </c>
      <c r="E37" s="177">
        <v>0.96</v>
      </c>
      <c r="F37" s="177">
        <v>0.96</v>
      </c>
      <c r="G37" s="177">
        <v>0.99407144019191562</v>
      </c>
      <c r="H37" s="177">
        <v>0.99</v>
      </c>
      <c r="I37" s="54">
        <v>0.98042074975743199</v>
      </c>
      <c r="J37" s="54">
        <v>0.995</v>
      </c>
      <c r="K37" s="54">
        <v>0.98</v>
      </c>
      <c r="L37">
        <v>0.99</v>
      </c>
      <c r="M37">
        <v>1.0049999999999999</v>
      </c>
      <c r="N37">
        <v>0.99</v>
      </c>
    </row>
    <row r="38" spans="1:14" x14ac:dyDescent="0.25">
      <c r="A38" s="176">
        <v>37834</v>
      </c>
      <c r="B38" s="177">
        <v>0.99830915684013177</v>
      </c>
      <c r="C38" s="177">
        <v>0.99830915684013177</v>
      </c>
      <c r="D38" s="177">
        <v>0.995</v>
      </c>
      <c r="E38" s="177">
        <v>0.96</v>
      </c>
      <c r="F38" s="177">
        <v>0.96</v>
      </c>
      <c r="G38" s="177">
        <v>0.99407144019191562</v>
      </c>
      <c r="H38" s="177">
        <v>0.99</v>
      </c>
      <c r="I38" s="54">
        <v>0.98042074975743199</v>
      </c>
      <c r="J38" s="54">
        <v>0.995</v>
      </c>
      <c r="K38" s="54">
        <v>0.98</v>
      </c>
      <c r="L38">
        <v>0.99</v>
      </c>
      <c r="M38">
        <v>1.0049999999999999</v>
      </c>
      <c r="N38">
        <v>0.99</v>
      </c>
    </row>
    <row r="39" spans="1:14" x14ac:dyDescent="0.25">
      <c r="A39" s="176">
        <v>37865</v>
      </c>
      <c r="B39" s="177">
        <v>0.99830915684013177</v>
      </c>
      <c r="C39" s="177">
        <v>0.99830915684013177</v>
      </c>
      <c r="D39" s="177">
        <v>0.995</v>
      </c>
      <c r="E39" s="177">
        <v>0.96</v>
      </c>
      <c r="F39" s="177">
        <v>0.96</v>
      </c>
      <c r="G39" s="177">
        <v>0.99407144019191562</v>
      </c>
      <c r="H39" s="177">
        <v>0.99</v>
      </c>
      <c r="I39" s="54">
        <v>0.98042074975743199</v>
      </c>
      <c r="J39" s="54">
        <v>0.995</v>
      </c>
      <c r="K39" s="54">
        <v>0.98</v>
      </c>
      <c r="L39">
        <v>0.99</v>
      </c>
      <c r="M39">
        <v>1.0049999999999999</v>
      </c>
      <c r="N39">
        <v>0.99</v>
      </c>
    </row>
    <row r="40" spans="1:14" x14ac:dyDescent="0.25">
      <c r="A40" s="176">
        <v>37895</v>
      </c>
      <c r="B40" s="177">
        <v>0.99830915684013177</v>
      </c>
      <c r="C40" s="177">
        <v>0.99830915684013177</v>
      </c>
      <c r="D40" s="177">
        <v>0.995</v>
      </c>
      <c r="E40" s="177">
        <v>0.96</v>
      </c>
      <c r="F40" s="177">
        <v>0.96</v>
      </c>
      <c r="G40" s="177">
        <v>0.99407144019191562</v>
      </c>
      <c r="H40" s="177">
        <v>0.99</v>
      </c>
      <c r="I40" s="54">
        <v>0.98042074975743199</v>
      </c>
      <c r="J40" s="54">
        <v>0.995</v>
      </c>
      <c r="K40" s="54">
        <v>0.98</v>
      </c>
      <c r="L40">
        <v>0.99</v>
      </c>
      <c r="M40">
        <v>1.0049999999999999</v>
      </c>
      <c r="N40">
        <v>0.99</v>
      </c>
    </row>
    <row r="41" spans="1:14" x14ac:dyDescent="0.25">
      <c r="A41" s="176">
        <v>37926</v>
      </c>
      <c r="B41" s="177">
        <v>0.98497430320438317</v>
      </c>
      <c r="C41" s="177">
        <v>0.98497430320438317</v>
      </c>
      <c r="D41" s="177">
        <v>0.995</v>
      </c>
      <c r="E41" s="177">
        <v>0.96</v>
      </c>
      <c r="F41" s="177">
        <v>0.96</v>
      </c>
      <c r="G41" s="177">
        <v>0.98410764751845092</v>
      </c>
      <c r="H41" s="177">
        <v>0.99</v>
      </c>
      <c r="I41" s="54">
        <v>0.90577586047143255</v>
      </c>
      <c r="J41" s="54">
        <v>0.995</v>
      </c>
      <c r="K41" s="54">
        <v>0.98</v>
      </c>
      <c r="L41">
        <v>0.99</v>
      </c>
      <c r="M41">
        <v>1.0049999999999999</v>
      </c>
      <c r="N41">
        <v>0.99</v>
      </c>
    </row>
    <row r="42" spans="1:14" x14ac:dyDescent="0.25">
      <c r="A42" s="176">
        <v>37956</v>
      </c>
      <c r="B42" s="177">
        <v>0.98497430320438317</v>
      </c>
      <c r="C42" s="177">
        <v>0.98497430320438317</v>
      </c>
      <c r="D42" s="177">
        <v>0.995</v>
      </c>
      <c r="E42" s="177">
        <v>0.96</v>
      </c>
      <c r="F42" s="177">
        <v>0.96</v>
      </c>
      <c r="G42" s="177">
        <v>0.98410764751845092</v>
      </c>
      <c r="H42" s="177">
        <v>0.99</v>
      </c>
      <c r="I42" s="54">
        <v>0.90577586047143255</v>
      </c>
      <c r="J42" s="54">
        <v>0.995</v>
      </c>
      <c r="K42" s="54">
        <v>0.98</v>
      </c>
      <c r="L42">
        <v>0.99</v>
      </c>
      <c r="M42">
        <v>1.0049999999999999</v>
      </c>
      <c r="N42">
        <v>0.99</v>
      </c>
    </row>
    <row r="43" spans="1:14" x14ac:dyDescent="0.25">
      <c r="A43" s="176">
        <v>37987</v>
      </c>
      <c r="B43" s="177">
        <v>0.98497430320438317</v>
      </c>
      <c r="C43" s="177">
        <v>0.98497430320438317</v>
      </c>
      <c r="D43" s="177">
        <v>0.995</v>
      </c>
      <c r="E43" s="177">
        <v>0.96</v>
      </c>
      <c r="F43" s="177">
        <v>0.96</v>
      </c>
      <c r="G43" s="177">
        <v>0.98410764751845092</v>
      </c>
      <c r="H43" s="177">
        <v>0.99</v>
      </c>
      <c r="I43" s="54">
        <v>0.90577586047143255</v>
      </c>
      <c r="J43" s="54">
        <v>0.995</v>
      </c>
      <c r="K43" s="54">
        <v>0.98</v>
      </c>
      <c r="L43">
        <v>0.99</v>
      </c>
      <c r="M43">
        <v>1.0049999999999999</v>
      </c>
      <c r="N43">
        <v>0.99</v>
      </c>
    </row>
    <row r="44" spans="1:14" x14ac:dyDescent="0.25">
      <c r="A44" s="176">
        <v>38018</v>
      </c>
      <c r="B44" s="177">
        <v>0.98497430320438317</v>
      </c>
      <c r="C44" s="177">
        <v>0.98497430320438317</v>
      </c>
      <c r="D44" s="177">
        <v>0.995</v>
      </c>
      <c r="E44" s="177">
        <v>0.96</v>
      </c>
      <c r="F44" s="177">
        <v>0.96</v>
      </c>
      <c r="G44" s="177">
        <v>0.98410764751845092</v>
      </c>
      <c r="H44" s="177">
        <v>0.99</v>
      </c>
      <c r="I44" s="54">
        <v>0.90577586047143255</v>
      </c>
      <c r="J44" s="54">
        <v>0.995</v>
      </c>
      <c r="K44" s="54">
        <v>0.98</v>
      </c>
      <c r="L44">
        <v>0.99</v>
      </c>
      <c r="M44">
        <v>1.0049999999999999</v>
      </c>
      <c r="N44">
        <v>0.99</v>
      </c>
    </row>
    <row r="45" spans="1:14" x14ac:dyDescent="0.25">
      <c r="A45" s="176">
        <v>38047</v>
      </c>
      <c r="B45" s="177">
        <v>0.98497430320438317</v>
      </c>
      <c r="C45" s="177">
        <v>0.98497430320438317</v>
      </c>
      <c r="D45" s="177">
        <v>0.995</v>
      </c>
      <c r="E45" s="177">
        <v>0.96</v>
      </c>
      <c r="F45" s="177">
        <v>0.96</v>
      </c>
      <c r="G45" s="177">
        <v>0.98410764751845092</v>
      </c>
      <c r="H45" s="177">
        <v>0.99</v>
      </c>
      <c r="I45" s="54">
        <v>0.90577586047143255</v>
      </c>
      <c r="J45" s="54">
        <v>0.995</v>
      </c>
      <c r="K45" s="54">
        <v>0.98</v>
      </c>
      <c r="L45">
        <v>0.99</v>
      </c>
      <c r="M45">
        <v>1.0049999999999999</v>
      </c>
      <c r="N45">
        <v>0.99</v>
      </c>
    </row>
    <row r="46" spans="1:14" x14ac:dyDescent="0.25">
      <c r="A46" s="176">
        <v>38078</v>
      </c>
      <c r="B46" s="177">
        <v>0.99830915684013177</v>
      </c>
      <c r="C46" s="177">
        <v>0.99830915684013177</v>
      </c>
      <c r="D46" s="177">
        <v>0.995</v>
      </c>
      <c r="E46" s="177">
        <v>0.96</v>
      </c>
      <c r="F46" s="177">
        <v>0.96</v>
      </c>
      <c r="G46" s="177">
        <v>0.99407144019191562</v>
      </c>
      <c r="H46" s="177">
        <v>0.99</v>
      </c>
      <c r="I46" s="54">
        <v>0.98042074975743199</v>
      </c>
      <c r="J46" s="54">
        <v>0.995</v>
      </c>
      <c r="K46" s="54">
        <v>0.98</v>
      </c>
      <c r="L46">
        <v>0.99</v>
      </c>
      <c r="M46">
        <v>1.0049999999999999</v>
      </c>
      <c r="N46">
        <v>0.99</v>
      </c>
    </row>
    <row r="47" spans="1:14" x14ac:dyDescent="0.25">
      <c r="A47" s="176">
        <v>38108</v>
      </c>
      <c r="B47" s="177">
        <v>0.99830915684013177</v>
      </c>
      <c r="C47" s="177">
        <v>0.99830915684013177</v>
      </c>
      <c r="D47" s="177">
        <v>0.995</v>
      </c>
      <c r="E47" s="177">
        <v>0.96</v>
      </c>
      <c r="F47" s="177">
        <v>0.96</v>
      </c>
      <c r="G47" s="177">
        <v>0.99407144019191562</v>
      </c>
      <c r="H47" s="177">
        <v>0.99</v>
      </c>
      <c r="I47" s="54">
        <v>0.98042074975743199</v>
      </c>
      <c r="J47" s="54">
        <v>0.995</v>
      </c>
      <c r="K47" s="54">
        <v>0.98</v>
      </c>
      <c r="L47">
        <v>0.99</v>
      </c>
      <c r="M47">
        <v>1.0049999999999999</v>
      </c>
      <c r="N47">
        <v>0.99</v>
      </c>
    </row>
    <row r="48" spans="1:14" x14ac:dyDescent="0.25">
      <c r="A48" s="176">
        <v>38139</v>
      </c>
      <c r="B48" s="177">
        <v>0.99830915684013177</v>
      </c>
      <c r="C48" s="177">
        <v>0.99830915684013177</v>
      </c>
      <c r="D48" s="177">
        <v>0.995</v>
      </c>
      <c r="E48" s="177">
        <v>0.96</v>
      </c>
      <c r="F48" s="177">
        <v>0.96</v>
      </c>
      <c r="G48" s="177">
        <v>0.99407144019191562</v>
      </c>
      <c r="H48" s="177">
        <v>0.99</v>
      </c>
      <c r="I48" s="54">
        <v>0.98042074975743199</v>
      </c>
      <c r="J48" s="54">
        <v>0.995</v>
      </c>
      <c r="K48" s="54">
        <v>0.98</v>
      </c>
      <c r="L48">
        <v>0.99</v>
      </c>
      <c r="M48">
        <v>1.0049999999999999</v>
      </c>
      <c r="N48">
        <v>0.99</v>
      </c>
    </row>
    <row r="49" spans="1:14" x14ac:dyDescent="0.25">
      <c r="A49" s="176">
        <v>38169</v>
      </c>
      <c r="B49" s="177">
        <v>0.99830915684013177</v>
      </c>
      <c r="C49" s="177">
        <v>0.99830915684013177</v>
      </c>
      <c r="D49" s="177">
        <v>0.995</v>
      </c>
      <c r="E49" s="177">
        <v>0.96</v>
      </c>
      <c r="F49" s="177">
        <v>0.96</v>
      </c>
      <c r="G49" s="177">
        <v>0.99407144019191562</v>
      </c>
      <c r="H49" s="177">
        <v>0.99</v>
      </c>
      <c r="I49" s="54">
        <v>0.98042074975743199</v>
      </c>
      <c r="J49" s="54">
        <v>0.995</v>
      </c>
      <c r="K49" s="54">
        <v>0.98</v>
      </c>
      <c r="L49">
        <v>0.99</v>
      </c>
      <c r="M49">
        <v>1.0049999999999999</v>
      </c>
      <c r="N49">
        <v>0.99</v>
      </c>
    </row>
    <row r="50" spans="1:14" x14ac:dyDescent="0.25">
      <c r="A50" s="176">
        <v>38200</v>
      </c>
      <c r="B50" s="177">
        <v>0.99830915684013177</v>
      </c>
      <c r="C50" s="177">
        <v>0.99830915684013177</v>
      </c>
      <c r="D50" s="177">
        <v>0.995</v>
      </c>
      <c r="E50" s="177">
        <v>0.96</v>
      </c>
      <c r="F50" s="177">
        <v>0.96</v>
      </c>
      <c r="G50" s="177">
        <v>0.99407144019191562</v>
      </c>
      <c r="H50" s="177">
        <v>0.99</v>
      </c>
      <c r="I50" s="54">
        <v>0.98042074975743199</v>
      </c>
      <c r="J50" s="54">
        <v>0.995</v>
      </c>
      <c r="K50" s="54">
        <v>0.98</v>
      </c>
      <c r="L50">
        <v>0.99</v>
      </c>
      <c r="M50">
        <v>1.0049999999999999</v>
      </c>
      <c r="N50">
        <v>0.99</v>
      </c>
    </row>
    <row r="51" spans="1:14" x14ac:dyDescent="0.25">
      <c r="A51" s="176">
        <v>38231</v>
      </c>
      <c r="B51" s="177">
        <v>0.99830915684013177</v>
      </c>
      <c r="C51" s="177">
        <v>0.99830915684013177</v>
      </c>
      <c r="D51" s="177">
        <v>0.995</v>
      </c>
      <c r="E51" s="177">
        <v>0.96</v>
      </c>
      <c r="F51" s="177">
        <v>0.96</v>
      </c>
      <c r="G51" s="177">
        <v>0.99407144019191562</v>
      </c>
      <c r="H51" s="177">
        <v>0.99</v>
      </c>
      <c r="I51" s="54">
        <v>0.98042074975743199</v>
      </c>
      <c r="J51" s="54">
        <v>0.995</v>
      </c>
      <c r="K51" s="54">
        <v>0.98</v>
      </c>
      <c r="L51">
        <v>0.99</v>
      </c>
      <c r="M51">
        <v>1.0049999999999999</v>
      </c>
      <c r="N51">
        <v>0.99</v>
      </c>
    </row>
    <row r="52" spans="1:14" x14ac:dyDescent="0.25">
      <c r="A52" s="176">
        <v>38261</v>
      </c>
      <c r="B52" s="177">
        <v>0.99830915684013177</v>
      </c>
      <c r="C52" s="177">
        <v>0.99830915684013177</v>
      </c>
      <c r="D52" s="177">
        <v>0.995</v>
      </c>
      <c r="E52" s="177">
        <v>0.96</v>
      </c>
      <c r="F52" s="177">
        <v>0.96</v>
      </c>
      <c r="G52" s="177">
        <v>0.99407144019191562</v>
      </c>
      <c r="H52" s="177">
        <v>0.99</v>
      </c>
      <c r="I52" s="54">
        <v>0.98042074975743199</v>
      </c>
      <c r="J52" s="54">
        <v>0.995</v>
      </c>
      <c r="K52" s="54">
        <v>0.98</v>
      </c>
      <c r="L52">
        <v>0.99</v>
      </c>
      <c r="M52">
        <v>1.0049999999999999</v>
      </c>
      <c r="N52">
        <v>0.99</v>
      </c>
    </row>
    <row r="53" spans="1:14" x14ac:dyDescent="0.25">
      <c r="A53" s="176">
        <v>38292</v>
      </c>
      <c r="B53" s="177">
        <v>0.98497430320438317</v>
      </c>
      <c r="C53" s="177">
        <v>0.98497430320438317</v>
      </c>
      <c r="D53" s="177">
        <v>0.995</v>
      </c>
      <c r="E53" s="177">
        <v>0.96</v>
      </c>
      <c r="F53" s="177">
        <v>0.96</v>
      </c>
      <c r="G53" s="177">
        <v>0.98410764751845092</v>
      </c>
      <c r="H53" s="177">
        <v>0.99</v>
      </c>
      <c r="I53" s="54">
        <v>0.90577586047143255</v>
      </c>
      <c r="J53" s="54">
        <v>0.995</v>
      </c>
      <c r="K53" s="54">
        <v>0.98</v>
      </c>
      <c r="L53">
        <v>0.99</v>
      </c>
      <c r="M53">
        <v>1.0049999999999999</v>
      </c>
      <c r="N53">
        <v>0.99</v>
      </c>
    </row>
    <row r="54" spans="1:14" x14ac:dyDescent="0.25">
      <c r="A54" s="176">
        <v>38322</v>
      </c>
      <c r="B54" s="177">
        <v>0.98497430320438317</v>
      </c>
      <c r="C54" s="177">
        <v>0.98497430320438317</v>
      </c>
      <c r="D54" s="177">
        <v>0.995</v>
      </c>
      <c r="E54" s="177">
        <v>0.96</v>
      </c>
      <c r="F54" s="177">
        <v>0.96</v>
      </c>
      <c r="G54" s="177">
        <v>0.98410764751845092</v>
      </c>
      <c r="H54" s="177">
        <v>0.99</v>
      </c>
      <c r="I54" s="54">
        <v>0.90577586047143255</v>
      </c>
      <c r="J54" s="54">
        <v>0.995</v>
      </c>
      <c r="K54" s="54">
        <v>0.98</v>
      </c>
      <c r="L54">
        <v>0.99</v>
      </c>
      <c r="M54">
        <v>1.0049999999999999</v>
      </c>
      <c r="N54">
        <v>0.99</v>
      </c>
    </row>
    <row r="55" spans="1:14" x14ac:dyDescent="0.25">
      <c r="A55" s="176">
        <v>38353</v>
      </c>
      <c r="B55" s="177">
        <v>0.98497430320438317</v>
      </c>
      <c r="C55" s="177">
        <v>0.98497430320438317</v>
      </c>
      <c r="D55" s="177">
        <v>0.995</v>
      </c>
      <c r="E55" s="177">
        <v>0.96</v>
      </c>
      <c r="F55" s="177">
        <v>0.96</v>
      </c>
      <c r="G55" s="177">
        <v>0.98410764751845092</v>
      </c>
      <c r="H55" s="177">
        <v>0.99</v>
      </c>
      <c r="I55" s="54">
        <v>0.90577586047143255</v>
      </c>
      <c r="J55" s="54">
        <v>0.995</v>
      </c>
      <c r="K55" s="54">
        <v>0.98</v>
      </c>
      <c r="L55">
        <v>0.99</v>
      </c>
      <c r="M55">
        <v>1.0049999999999999</v>
      </c>
      <c r="N55">
        <v>0.99</v>
      </c>
    </row>
    <row r="56" spans="1:14" x14ac:dyDescent="0.25">
      <c r="A56" s="176">
        <v>38384</v>
      </c>
      <c r="B56" s="177">
        <v>0.98497430320438317</v>
      </c>
      <c r="C56" s="177">
        <v>0.98497430320438317</v>
      </c>
      <c r="D56" s="177">
        <v>0.995</v>
      </c>
      <c r="E56" s="177">
        <v>0.96</v>
      </c>
      <c r="F56" s="177">
        <v>0.96</v>
      </c>
      <c r="G56" s="177">
        <v>0.98410764751845092</v>
      </c>
      <c r="H56" s="177">
        <v>0.99</v>
      </c>
      <c r="I56" s="54">
        <v>0.90577586047143255</v>
      </c>
      <c r="J56" s="54">
        <v>0.995</v>
      </c>
      <c r="K56" s="54">
        <v>0.98</v>
      </c>
      <c r="L56">
        <v>0.99</v>
      </c>
      <c r="M56">
        <v>1.0049999999999999</v>
      </c>
      <c r="N56">
        <v>0.99</v>
      </c>
    </row>
    <row r="57" spans="1:14" x14ac:dyDescent="0.25">
      <c r="A57" s="176">
        <v>38412</v>
      </c>
      <c r="B57" s="177">
        <v>0.98497430320438317</v>
      </c>
      <c r="C57" s="177">
        <v>0.98497430320438317</v>
      </c>
      <c r="D57" s="177">
        <v>0.995</v>
      </c>
      <c r="E57" s="177">
        <v>0.96</v>
      </c>
      <c r="F57" s="177">
        <v>0.96</v>
      </c>
      <c r="G57" s="177">
        <v>0.98410764751845092</v>
      </c>
      <c r="H57" s="177">
        <v>0.99</v>
      </c>
      <c r="I57" s="54">
        <v>0.90577586047143255</v>
      </c>
      <c r="J57" s="54">
        <v>0.995</v>
      </c>
      <c r="K57" s="54">
        <v>0.98</v>
      </c>
      <c r="L57">
        <v>0.99</v>
      </c>
      <c r="M57">
        <v>1.0049999999999999</v>
      </c>
      <c r="N57">
        <v>0.99</v>
      </c>
    </row>
    <row r="58" spans="1:14" x14ac:dyDescent="0.25">
      <c r="A58" s="176">
        <v>38443</v>
      </c>
      <c r="B58" s="177">
        <v>0.99830915684013177</v>
      </c>
      <c r="C58" s="177">
        <v>0.99830915684013177</v>
      </c>
      <c r="D58" s="177">
        <v>0.995</v>
      </c>
      <c r="E58" s="177">
        <v>0.96</v>
      </c>
      <c r="F58" s="177">
        <v>0.96</v>
      </c>
      <c r="G58" s="177">
        <v>0.99407144019191562</v>
      </c>
      <c r="H58" s="177">
        <v>0.99</v>
      </c>
      <c r="I58" s="54">
        <v>0.98042074975743199</v>
      </c>
      <c r="J58" s="54">
        <v>0.995</v>
      </c>
      <c r="K58" s="54">
        <v>0.98</v>
      </c>
      <c r="L58">
        <v>0.99</v>
      </c>
      <c r="M58">
        <v>1.0049999999999999</v>
      </c>
      <c r="N58">
        <v>0.99</v>
      </c>
    </row>
    <row r="59" spans="1:14" x14ac:dyDescent="0.25">
      <c r="A59" s="176">
        <v>38473</v>
      </c>
      <c r="B59" s="177">
        <v>0.99830915684013177</v>
      </c>
      <c r="C59" s="177">
        <v>0.99830915684013177</v>
      </c>
      <c r="D59" s="177">
        <v>0.995</v>
      </c>
      <c r="E59" s="177">
        <v>0.96</v>
      </c>
      <c r="F59" s="177">
        <v>0.96</v>
      </c>
      <c r="G59" s="177">
        <v>0.99407144019191562</v>
      </c>
      <c r="H59" s="177">
        <v>0.99</v>
      </c>
      <c r="I59" s="54">
        <v>0.98042074975743199</v>
      </c>
      <c r="J59" s="54">
        <v>0.995</v>
      </c>
      <c r="K59" s="54">
        <v>0.98</v>
      </c>
      <c r="L59">
        <v>0.99</v>
      </c>
      <c r="M59">
        <v>1.0049999999999999</v>
      </c>
      <c r="N59">
        <v>0.99</v>
      </c>
    </row>
    <row r="60" spans="1:14" x14ac:dyDescent="0.25">
      <c r="A60" s="176">
        <v>38504</v>
      </c>
      <c r="B60" s="177">
        <v>0.99830915684013177</v>
      </c>
      <c r="C60" s="177">
        <v>0.99830915684013177</v>
      </c>
      <c r="D60" s="177">
        <v>0.995</v>
      </c>
      <c r="E60" s="177">
        <v>0.96</v>
      </c>
      <c r="F60" s="177">
        <v>0.96</v>
      </c>
      <c r="G60" s="177">
        <v>0.99407144019191562</v>
      </c>
      <c r="H60" s="177">
        <v>0.99</v>
      </c>
      <c r="I60" s="54">
        <v>0.98042074975743199</v>
      </c>
      <c r="J60" s="54">
        <v>0.995</v>
      </c>
      <c r="K60" s="54">
        <v>0.98</v>
      </c>
      <c r="L60">
        <v>0.99</v>
      </c>
      <c r="M60">
        <v>1.0049999999999999</v>
      </c>
      <c r="N60">
        <v>0.99</v>
      </c>
    </row>
    <row r="61" spans="1:14" x14ac:dyDescent="0.25">
      <c r="A61" s="176">
        <v>38534</v>
      </c>
      <c r="B61" s="177">
        <v>0.99830915684013177</v>
      </c>
      <c r="C61" s="177">
        <v>0.99830915684013177</v>
      </c>
      <c r="D61" s="177">
        <v>0.995</v>
      </c>
      <c r="E61" s="177">
        <v>0.96</v>
      </c>
      <c r="F61" s="177">
        <v>0.96</v>
      </c>
      <c r="G61" s="177">
        <v>0.99407144019191562</v>
      </c>
      <c r="H61" s="177">
        <v>0.99</v>
      </c>
      <c r="I61" s="54">
        <v>0.98042074975743199</v>
      </c>
      <c r="J61" s="54">
        <v>0.995</v>
      </c>
      <c r="K61" s="54">
        <v>0.98</v>
      </c>
      <c r="L61">
        <v>0.99</v>
      </c>
      <c r="M61">
        <v>1.0049999999999999</v>
      </c>
      <c r="N61">
        <v>0.99</v>
      </c>
    </row>
    <row r="62" spans="1:14" x14ac:dyDescent="0.25">
      <c r="A62" s="176">
        <v>38565</v>
      </c>
      <c r="B62" s="177">
        <v>0.99830915684013177</v>
      </c>
      <c r="C62" s="177">
        <v>0.99830915684013177</v>
      </c>
      <c r="D62" s="177">
        <v>0.995</v>
      </c>
      <c r="E62" s="177">
        <v>0.96</v>
      </c>
      <c r="F62" s="177">
        <v>0.96</v>
      </c>
      <c r="G62" s="177">
        <v>0.99407144019191562</v>
      </c>
      <c r="H62" s="177">
        <v>0.99</v>
      </c>
      <c r="I62" s="54">
        <v>0.98042074975743199</v>
      </c>
      <c r="J62" s="54">
        <v>0.995</v>
      </c>
      <c r="K62" s="54">
        <v>0.98</v>
      </c>
      <c r="L62">
        <v>0.99</v>
      </c>
      <c r="M62">
        <v>1.0049999999999999</v>
      </c>
      <c r="N62">
        <v>0.99</v>
      </c>
    </row>
    <row r="63" spans="1:14" x14ac:dyDescent="0.25">
      <c r="A63" s="176">
        <v>38596</v>
      </c>
      <c r="B63" s="177">
        <v>0.99830915684013177</v>
      </c>
      <c r="C63" s="177">
        <v>0.99830915684013177</v>
      </c>
      <c r="D63" s="177">
        <v>0.995</v>
      </c>
      <c r="E63" s="177">
        <v>0.96</v>
      </c>
      <c r="F63" s="177">
        <v>0.96</v>
      </c>
      <c r="G63" s="177">
        <v>0.99407144019191562</v>
      </c>
      <c r="H63" s="177">
        <v>0.99</v>
      </c>
      <c r="I63" s="54">
        <v>0.98042074975743199</v>
      </c>
      <c r="J63" s="54">
        <v>0.995</v>
      </c>
      <c r="K63" s="54">
        <v>0.98</v>
      </c>
      <c r="L63">
        <v>0.99</v>
      </c>
      <c r="M63">
        <v>1.0049999999999999</v>
      </c>
      <c r="N63">
        <v>0.99</v>
      </c>
    </row>
    <row r="64" spans="1:14" x14ac:dyDescent="0.25">
      <c r="A64" s="176">
        <v>38626</v>
      </c>
      <c r="B64" s="177">
        <v>0.99830915684013177</v>
      </c>
      <c r="C64" s="177">
        <v>0.99830915684013177</v>
      </c>
      <c r="D64" s="177">
        <v>0.995</v>
      </c>
      <c r="E64" s="177">
        <v>0.96</v>
      </c>
      <c r="F64" s="177">
        <v>0.96</v>
      </c>
      <c r="G64" s="177">
        <v>0.99407144019191562</v>
      </c>
      <c r="H64" s="177">
        <v>0.99</v>
      </c>
      <c r="I64" s="54">
        <v>0.98042074975743199</v>
      </c>
      <c r="J64" s="54">
        <v>0.995</v>
      </c>
      <c r="K64" s="54">
        <v>0.98</v>
      </c>
      <c r="L64">
        <v>0.99</v>
      </c>
      <c r="M64">
        <v>1.0049999999999999</v>
      </c>
      <c r="N64">
        <v>0.99</v>
      </c>
    </row>
    <row r="65" spans="1:14" x14ac:dyDescent="0.25">
      <c r="A65" s="176">
        <v>38657</v>
      </c>
      <c r="B65" s="177">
        <v>0.98497430320438317</v>
      </c>
      <c r="C65" s="177">
        <v>0.98497430320438317</v>
      </c>
      <c r="D65" s="177">
        <v>0.995</v>
      </c>
      <c r="E65" s="177">
        <v>0.96</v>
      </c>
      <c r="F65" s="177">
        <v>0.96</v>
      </c>
      <c r="G65" s="177">
        <v>0.98410764751845092</v>
      </c>
      <c r="H65" s="177">
        <v>0.99</v>
      </c>
      <c r="I65" s="54">
        <v>0.90577586047143255</v>
      </c>
      <c r="J65" s="54">
        <v>0.995</v>
      </c>
      <c r="K65" s="54">
        <v>0.98</v>
      </c>
      <c r="L65">
        <v>0.99</v>
      </c>
      <c r="M65">
        <v>1.0049999999999999</v>
      </c>
      <c r="N65">
        <v>0.99</v>
      </c>
    </row>
    <row r="66" spans="1:14" x14ac:dyDescent="0.25">
      <c r="A66" s="176">
        <v>38687</v>
      </c>
      <c r="B66" s="177">
        <v>0.98497430320438317</v>
      </c>
      <c r="C66" s="177">
        <v>0.98497430320438317</v>
      </c>
      <c r="D66" s="177">
        <v>0.995</v>
      </c>
      <c r="E66" s="177">
        <v>0.96</v>
      </c>
      <c r="F66" s="177">
        <v>0.96</v>
      </c>
      <c r="G66" s="177">
        <v>0.98410764751845092</v>
      </c>
      <c r="H66" s="177">
        <v>0.99</v>
      </c>
      <c r="I66" s="54">
        <v>0.90577586047143255</v>
      </c>
      <c r="J66" s="54">
        <v>0.995</v>
      </c>
      <c r="K66" s="54">
        <v>0.98</v>
      </c>
      <c r="L66">
        <v>0.99</v>
      </c>
      <c r="M66">
        <v>1.0049999999999999</v>
      </c>
      <c r="N66">
        <v>0.99</v>
      </c>
    </row>
    <row r="67" spans="1:14" x14ac:dyDescent="0.25">
      <c r="A67" s="176">
        <v>38718</v>
      </c>
      <c r="B67" s="177">
        <v>0.98497430320438317</v>
      </c>
      <c r="C67" s="177">
        <v>0.98497430320438317</v>
      </c>
      <c r="D67" s="177">
        <v>0.995</v>
      </c>
      <c r="E67" s="177">
        <v>0.96</v>
      </c>
      <c r="F67" s="177">
        <v>0.96</v>
      </c>
      <c r="G67" s="177">
        <v>0.98410764751845092</v>
      </c>
      <c r="H67" s="177">
        <v>0.99</v>
      </c>
      <c r="I67" s="54">
        <v>0.90577586047143255</v>
      </c>
      <c r="J67" s="54">
        <v>0.995</v>
      </c>
      <c r="K67" s="54">
        <v>0.98</v>
      </c>
      <c r="L67">
        <v>0.99</v>
      </c>
      <c r="M67">
        <v>1.0049999999999999</v>
      </c>
      <c r="N67">
        <v>0.99</v>
      </c>
    </row>
    <row r="68" spans="1:14" x14ac:dyDescent="0.25">
      <c r="A68" s="176">
        <v>38749</v>
      </c>
      <c r="B68" s="177">
        <v>0.98497430320438317</v>
      </c>
      <c r="C68" s="177">
        <v>0.98497430320438317</v>
      </c>
      <c r="D68" s="177">
        <v>0.995</v>
      </c>
      <c r="E68" s="177">
        <v>0.96</v>
      </c>
      <c r="F68" s="177">
        <v>0.96</v>
      </c>
      <c r="G68" s="177">
        <v>0.98410764751845092</v>
      </c>
      <c r="H68" s="177">
        <v>0.99</v>
      </c>
      <c r="I68" s="54">
        <v>0.90577586047143255</v>
      </c>
      <c r="J68" s="54">
        <v>0.995</v>
      </c>
      <c r="K68" s="54">
        <v>0.98</v>
      </c>
      <c r="L68">
        <v>0.99</v>
      </c>
      <c r="M68">
        <v>1.0049999999999999</v>
      </c>
      <c r="N68">
        <v>0.99</v>
      </c>
    </row>
    <row r="69" spans="1:14" x14ac:dyDescent="0.25">
      <c r="A69" s="176">
        <v>38777</v>
      </c>
      <c r="B69" s="177">
        <v>0.98497430320438317</v>
      </c>
      <c r="C69" s="177">
        <v>0.98497430320438317</v>
      </c>
      <c r="D69" s="177">
        <v>0.995</v>
      </c>
      <c r="E69" s="177">
        <v>0.96</v>
      </c>
      <c r="F69" s="177">
        <v>0.96</v>
      </c>
      <c r="G69" s="177">
        <v>0.98410764751845092</v>
      </c>
      <c r="H69" s="177">
        <v>0.99</v>
      </c>
      <c r="I69" s="54">
        <v>0.90577586047143255</v>
      </c>
      <c r="J69" s="54">
        <v>0.995</v>
      </c>
      <c r="K69" s="54">
        <v>0.98</v>
      </c>
      <c r="L69">
        <v>0.99</v>
      </c>
      <c r="M69">
        <v>1.0049999999999999</v>
      </c>
      <c r="N69">
        <v>0.99</v>
      </c>
    </row>
    <row r="70" spans="1:14" x14ac:dyDescent="0.25">
      <c r="A70" s="176">
        <v>38808</v>
      </c>
      <c r="B70" s="177">
        <v>0.99830915684013177</v>
      </c>
      <c r="C70" s="177">
        <v>0.99830915684013177</v>
      </c>
      <c r="D70" s="177">
        <v>0.995</v>
      </c>
      <c r="E70" s="177">
        <v>0.96</v>
      </c>
      <c r="F70" s="177">
        <v>0.96</v>
      </c>
      <c r="G70" s="177">
        <v>0.99407144019191562</v>
      </c>
      <c r="H70" s="177">
        <v>0.99</v>
      </c>
      <c r="I70" s="54">
        <v>0.98042074975743199</v>
      </c>
      <c r="J70" s="54">
        <v>0.995</v>
      </c>
      <c r="K70" s="54">
        <v>0.98</v>
      </c>
      <c r="L70">
        <v>0.99</v>
      </c>
      <c r="M70">
        <v>1.0049999999999999</v>
      </c>
      <c r="N70">
        <v>0.99</v>
      </c>
    </row>
    <row r="71" spans="1:14" x14ac:dyDescent="0.25">
      <c r="A71" s="176">
        <v>38838</v>
      </c>
      <c r="B71" s="177">
        <v>0.99830915684013177</v>
      </c>
      <c r="C71" s="177">
        <v>0.99830915684013177</v>
      </c>
      <c r="D71" s="177">
        <v>0.995</v>
      </c>
      <c r="E71" s="177">
        <v>0.96</v>
      </c>
      <c r="F71" s="177">
        <v>0.96</v>
      </c>
      <c r="G71" s="177">
        <v>0.99407144019191562</v>
      </c>
      <c r="H71" s="177">
        <v>0.99</v>
      </c>
      <c r="I71" s="54">
        <v>0.98042074975743199</v>
      </c>
      <c r="J71" s="54">
        <v>0.995</v>
      </c>
      <c r="K71" s="54">
        <v>0.98</v>
      </c>
      <c r="L71">
        <v>0.99</v>
      </c>
      <c r="M71">
        <v>1.0049999999999999</v>
      </c>
      <c r="N71">
        <v>0.99</v>
      </c>
    </row>
    <row r="72" spans="1:14" x14ac:dyDescent="0.25">
      <c r="A72" s="176">
        <v>38869</v>
      </c>
      <c r="B72" s="177">
        <v>0.99830915684013177</v>
      </c>
      <c r="C72" s="177">
        <v>0.99830915684013177</v>
      </c>
      <c r="D72" s="177">
        <v>0.995</v>
      </c>
      <c r="E72" s="177">
        <v>0.96</v>
      </c>
      <c r="F72" s="177">
        <v>0.96</v>
      </c>
      <c r="G72" s="177">
        <v>0.99407144019191562</v>
      </c>
      <c r="H72" s="177">
        <v>0.99</v>
      </c>
      <c r="I72" s="54">
        <v>0.98042074975743199</v>
      </c>
      <c r="J72" s="54">
        <v>0.995</v>
      </c>
      <c r="K72" s="54">
        <v>0.98</v>
      </c>
      <c r="L72">
        <v>0.99</v>
      </c>
      <c r="M72">
        <v>1.0049999999999999</v>
      </c>
      <c r="N72">
        <v>0.99</v>
      </c>
    </row>
    <row r="73" spans="1:14" x14ac:dyDescent="0.25">
      <c r="A73" s="176">
        <v>38899</v>
      </c>
      <c r="B73" s="177">
        <v>0.99830915684013177</v>
      </c>
      <c r="C73" s="177">
        <v>0.99830915684013177</v>
      </c>
      <c r="D73" s="177">
        <v>0.995</v>
      </c>
      <c r="E73" s="177">
        <v>0.96</v>
      </c>
      <c r="F73" s="177">
        <v>0.96</v>
      </c>
      <c r="G73" s="177">
        <v>0.99407144019191562</v>
      </c>
      <c r="H73" s="177">
        <v>0.99</v>
      </c>
      <c r="I73" s="54">
        <v>0.98042074975743199</v>
      </c>
      <c r="J73" s="54">
        <v>0.995</v>
      </c>
      <c r="K73" s="54">
        <v>0.98</v>
      </c>
      <c r="L73">
        <v>0.99</v>
      </c>
      <c r="M73">
        <v>1.0049999999999999</v>
      </c>
      <c r="N73">
        <v>0.99</v>
      </c>
    </row>
    <row r="74" spans="1:14" x14ac:dyDescent="0.25">
      <c r="A74" s="176">
        <v>38930</v>
      </c>
      <c r="B74" s="177">
        <v>0.99830915684013177</v>
      </c>
      <c r="C74" s="177">
        <v>0.99830915684013177</v>
      </c>
      <c r="D74" s="177">
        <v>0.995</v>
      </c>
      <c r="E74" s="177">
        <v>0.96</v>
      </c>
      <c r="F74" s="177">
        <v>0.96</v>
      </c>
      <c r="G74" s="177">
        <v>0.99407144019191562</v>
      </c>
      <c r="H74" s="177">
        <v>0.99</v>
      </c>
      <c r="I74" s="54">
        <v>0.98042074975743199</v>
      </c>
      <c r="J74" s="54">
        <v>0.995</v>
      </c>
      <c r="K74" s="54">
        <v>0.98</v>
      </c>
      <c r="L74">
        <v>0.99</v>
      </c>
      <c r="M74">
        <v>1.0049999999999999</v>
      </c>
      <c r="N74">
        <v>0.99</v>
      </c>
    </row>
    <row r="75" spans="1:14" x14ac:dyDescent="0.25">
      <c r="A75" s="176">
        <v>38961</v>
      </c>
      <c r="B75" s="177">
        <v>0.99830915684013177</v>
      </c>
      <c r="C75" s="177">
        <v>0.99830915684013177</v>
      </c>
      <c r="D75" s="177">
        <v>0.995</v>
      </c>
      <c r="E75" s="177">
        <v>0.96</v>
      </c>
      <c r="F75" s="177">
        <v>0.96</v>
      </c>
      <c r="G75" s="177">
        <v>0.99407144019191562</v>
      </c>
      <c r="H75" s="177">
        <v>0.99</v>
      </c>
      <c r="I75" s="54">
        <v>0.98042074975743199</v>
      </c>
      <c r="J75" s="54">
        <v>0.995</v>
      </c>
      <c r="K75" s="54">
        <v>0.98</v>
      </c>
      <c r="L75">
        <v>0.99</v>
      </c>
      <c r="M75">
        <v>1.0049999999999999</v>
      </c>
      <c r="N75">
        <v>0.99</v>
      </c>
    </row>
    <row r="76" spans="1:14" x14ac:dyDescent="0.25">
      <c r="A76" s="176">
        <v>38991</v>
      </c>
      <c r="B76" s="177">
        <v>0.99830915684013177</v>
      </c>
      <c r="C76" s="177">
        <v>0.99830915684013177</v>
      </c>
      <c r="D76" s="177">
        <v>0.995</v>
      </c>
      <c r="E76" s="177">
        <v>0.96</v>
      </c>
      <c r="F76" s="177">
        <v>0.96</v>
      </c>
      <c r="G76" s="177">
        <v>0.99407144019191562</v>
      </c>
      <c r="H76" s="177">
        <v>0.99</v>
      </c>
      <c r="I76" s="54">
        <v>0.98042074975743199</v>
      </c>
      <c r="J76" s="54">
        <v>0.995</v>
      </c>
      <c r="K76" s="54">
        <v>0.98</v>
      </c>
      <c r="L76">
        <v>0.99</v>
      </c>
      <c r="M76">
        <v>1.0049999999999999</v>
      </c>
      <c r="N76">
        <v>0.99</v>
      </c>
    </row>
    <row r="77" spans="1:14" x14ac:dyDescent="0.25">
      <c r="A77" s="176">
        <v>39022</v>
      </c>
      <c r="B77" s="177">
        <v>0.98497430320438317</v>
      </c>
      <c r="C77" s="177">
        <v>0.98497430320438317</v>
      </c>
      <c r="D77" s="177">
        <v>0.995</v>
      </c>
      <c r="E77" s="177">
        <v>0.96</v>
      </c>
      <c r="F77" s="177">
        <v>0.96</v>
      </c>
      <c r="G77" s="177">
        <v>0.98410764751845092</v>
      </c>
      <c r="H77" s="177">
        <v>0.99</v>
      </c>
      <c r="I77" s="54">
        <v>0.90577586047143255</v>
      </c>
      <c r="J77" s="54">
        <v>0.995</v>
      </c>
      <c r="K77" s="54">
        <v>0.98</v>
      </c>
      <c r="L77">
        <v>0.99</v>
      </c>
      <c r="M77">
        <v>1.0049999999999999</v>
      </c>
      <c r="N77">
        <v>0.99</v>
      </c>
    </row>
    <row r="78" spans="1:14" x14ac:dyDescent="0.25">
      <c r="A78" s="176">
        <v>39052</v>
      </c>
      <c r="B78" s="177">
        <v>0.98497430320438317</v>
      </c>
      <c r="C78" s="177">
        <v>0.98497430320438317</v>
      </c>
      <c r="D78" s="177">
        <v>0.995</v>
      </c>
      <c r="E78" s="177">
        <v>0.96</v>
      </c>
      <c r="F78" s="177">
        <v>0.96</v>
      </c>
      <c r="G78" s="177">
        <v>0.98410764751845092</v>
      </c>
      <c r="H78" s="177">
        <v>0.99</v>
      </c>
      <c r="I78" s="54">
        <v>0.90577586047143255</v>
      </c>
      <c r="J78" s="54">
        <v>0.995</v>
      </c>
      <c r="K78" s="54">
        <v>0.98</v>
      </c>
      <c r="L78">
        <v>0.99</v>
      </c>
      <c r="M78">
        <v>1.0049999999999999</v>
      </c>
      <c r="N78">
        <v>0.99</v>
      </c>
    </row>
    <row r="79" spans="1:14" x14ac:dyDescent="0.25">
      <c r="A79" s="176">
        <v>39083</v>
      </c>
      <c r="B79" s="177">
        <v>0.98497430320438317</v>
      </c>
      <c r="C79" s="177">
        <v>0.98497430320438317</v>
      </c>
      <c r="D79" s="177">
        <v>0.995</v>
      </c>
      <c r="E79" s="177">
        <v>0.96</v>
      </c>
      <c r="F79" s="177">
        <v>0.96</v>
      </c>
      <c r="G79" s="177">
        <v>0.98410764751845092</v>
      </c>
      <c r="H79" s="177">
        <v>0.99</v>
      </c>
      <c r="I79" s="54">
        <v>0.90577586047143255</v>
      </c>
      <c r="J79" s="54">
        <v>0.995</v>
      </c>
      <c r="K79" s="54">
        <v>0.98</v>
      </c>
      <c r="L79">
        <v>0.99</v>
      </c>
      <c r="M79">
        <v>1.0049999999999999</v>
      </c>
      <c r="N79">
        <v>0.99</v>
      </c>
    </row>
    <row r="80" spans="1:14" x14ac:dyDescent="0.25">
      <c r="A80" s="176">
        <v>39114</v>
      </c>
      <c r="B80" s="177">
        <v>0.98497430320438317</v>
      </c>
      <c r="C80" s="177">
        <v>0.98497430320438317</v>
      </c>
      <c r="D80" s="177">
        <v>0.995</v>
      </c>
      <c r="E80" s="177">
        <v>0.96</v>
      </c>
      <c r="F80" s="177">
        <v>0.96</v>
      </c>
      <c r="G80" s="177">
        <v>0.98410764751845092</v>
      </c>
      <c r="H80" s="177">
        <v>0.99</v>
      </c>
      <c r="I80" s="54">
        <v>0.90577586047143255</v>
      </c>
      <c r="J80" s="54">
        <v>0.995</v>
      </c>
      <c r="K80" s="54">
        <v>0.98</v>
      </c>
      <c r="L80">
        <v>0.99</v>
      </c>
      <c r="M80">
        <v>1.0049999999999999</v>
      </c>
      <c r="N80">
        <v>0.99</v>
      </c>
    </row>
    <row r="81" spans="1:14" x14ac:dyDescent="0.25">
      <c r="A81" s="176">
        <v>39142</v>
      </c>
      <c r="B81" s="177">
        <v>0.98497430320438317</v>
      </c>
      <c r="C81" s="177">
        <v>0.98497430320438317</v>
      </c>
      <c r="D81" s="177">
        <v>0.995</v>
      </c>
      <c r="E81" s="177">
        <v>0.96</v>
      </c>
      <c r="F81" s="177">
        <v>0.96</v>
      </c>
      <c r="G81" s="177">
        <v>0.98410764751845092</v>
      </c>
      <c r="H81" s="177">
        <v>0.99</v>
      </c>
      <c r="I81" s="54">
        <v>0.90577586047143255</v>
      </c>
      <c r="J81" s="54">
        <v>0.995</v>
      </c>
      <c r="K81" s="54">
        <v>0.98</v>
      </c>
      <c r="L81">
        <v>0.99</v>
      </c>
      <c r="M81">
        <v>1.0049999999999999</v>
      </c>
      <c r="N81">
        <v>0.99</v>
      </c>
    </row>
    <row r="82" spans="1:14" x14ac:dyDescent="0.25">
      <c r="A82" s="176">
        <v>39173</v>
      </c>
      <c r="B82" s="177">
        <v>0.93059999999999998</v>
      </c>
      <c r="C82" s="177">
        <v>0.93059999999999998</v>
      </c>
      <c r="D82" s="177">
        <v>0.995</v>
      </c>
      <c r="E82" s="177">
        <v>0.96</v>
      </c>
      <c r="F82" s="177">
        <v>0.96</v>
      </c>
      <c r="G82" s="177">
        <v>0.93059999999999998</v>
      </c>
      <c r="H82" s="177">
        <v>0.99</v>
      </c>
      <c r="I82" s="54">
        <v>0.93059999999999998</v>
      </c>
      <c r="J82" s="54">
        <v>0.995</v>
      </c>
      <c r="K82" s="54">
        <v>0.98</v>
      </c>
      <c r="L82">
        <v>0.99</v>
      </c>
      <c r="M82">
        <v>1.0049999999999999</v>
      </c>
      <c r="N82">
        <v>0.99</v>
      </c>
    </row>
    <row r="83" spans="1:14" x14ac:dyDescent="0.25">
      <c r="A83" s="176">
        <v>39203</v>
      </c>
      <c r="B83" s="177">
        <v>0.93059999999999998</v>
      </c>
      <c r="C83" s="177">
        <v>0.93059999999999998</v>
      </c>
      <c r="D83" s="177">
        <v>0.995</v>
      </c>
      <c r="E83" s="177">
        <v>0.96</v>
      </c>
      <c r="F83" s="177">
        <v>0.96</v>
      </c>
      <c r="G83" s="177">
        <v>0.93059999999999998</v>
      </c>
      <c r="H83" s="177">
        <v>0.99</v>
      </c>
      <c r="I83" s="54">
        <v>0.93059999999999998</v>
      </c>
      <c r="J83" s="54">
        <v>0.995</v>
      </c>
      <c r="K83" s="54">
        <v>0.98</v>
      </c>
      <c r="L83">
        <v>0.99</v>
      </c>
      <c r="M83">
        <v>1.0049999999999999</v>
      </c>
      <c r="N83">
        <v>0.99</v>
      </c>
    </row>
    <row r="84" spans="1:14" x14ac:dyDescent="0.25">
      <c r="A84" s="176">
        <v>39234</v>
      </c>
      <c r="B84" s="177">
        <v>0.93059999999999998</v>
      </c>
      <c r="C84" s="177">
        <v>0.93059999999999998</v>
      </c>
      <c r="D84" s="177">
        <v>0.995</v>
      </c>
      <c r="E84" s="177">
        <v>0.96</v>
      </c>
      <c r="F84" s="177">
        <v>0.96</v>
      </c>
      <c r="G84" s="177">
        <v>0.93059999999999998</v>
      </c>
      <c r="H84" s="177">
        <v>0.99</v>
      </c>
      <c r="I84" s="54">
        <v>0.93059999999999998</v>
      </c>
      <c r="J84" s="54">
        <v>0.995</v>
      </c>
      <c r="K84" s="54">
        <v>0.98</v>
      </c>
      <c r="L84">
        <v>0.99</v>
      </c>
      <c r="M84">
        <v>1.0049999999999999</v>
      </c>
      <c r="N84">
        <v>0.99</v>
      </c>
    </row>
    <row r="85" spans="1:14" x14ac:dyDescent="0.25">
      <c r="A85" s="176">
        <v>39264</v>
      </c>
      <c r="B85" s="177">
        <v>0.93059999999999998</v>
      </c>
      <c r="C85" s="177">
        <v>0.93059999999999998</v>
      </c>
      <c r="D85" s="177">
        <v>0.995</v>
      </c>
      <c r="E85" s="177">
        <v>0.96</v>
      </c>
      <c r="F85" s="177">
        <v>0.96</v>
      </c>
      <c r="G85" s="177">
        <v>0.93059999999999998</v>
      </c>
      <c r="H85" s="177">
        <v>0.99</v>
      </c>
      <c r="I85" s="54">
        <v>0.93059999999999998</v>
      </c>
      <c r="J85" s="54">
        <v>0.995</v>
      </c>
      <c r="K85" s="54">
        <v>0.98</v>
      </c>
      <c r="L85">
        <v>0.99</v>
      </c>
      <c r="M85">
        <v>1.0049999999999999</v>
      </c>
      <c r="N85">
        <v>0.99</v>
      </c>
    </row>
    <row r="86" spans="1:14" x14ac:dyDescent="0.25">
      <c r="A86" s="176">
        <v>39295</v>
      </c>
      <c r="B86" s="177">
        <v>0.93059999999999998</v>
      </c>
      <c r="C86" s="177">
        <v>0.93059999999999998</v>
      </c>
      <c r="D86" s="177">
        <v>0.995</v>
      </c>
      <c r="E86" s="177">
        <v>0.96</v>
      </c>
      <c r="F86" s="177">
        <v>0.96</v>
      </c>
      <c r="G86" s="177">
        <v>0.93059999999999998</v>
      </c>
      <c r="H86" s="177">
        <v>0.99</v>
      </c>
      <c r="I86" s="54">
        <v>0.93059999999999998</v>
      </c>
      <c r="J86" s="54">
        <v>0.995</v>
      </c>
      <c r="K86" s="54">
        <v>0.98</v>
      </c>
      <c r="L86">
        <v>0.99</v>
      </c>
      <c r="M86">
        <v>1.0049999999999999</v>
      </c>
      <c r="N86">
        <v>0.99</v>
      </c>
    </row>
    <row r="87" spans="1:14" x14ac:dyDescent="0.25">
      <c r="A87" s="176">
        <v>39326</v>
      </c>
      <c r="B87" s="177">
        <v>0.93059999999999998</v>
      </c>
      <c r="C87" s="177">
        <v>0.93059999999999998</v>
      </c>
      <c r="D87" s="177">
        <v>0.995</v>
      </c>
      <c r="E87" s="177">
        <v>0.96</v>
      </c>
      <c r="F87" s="177">
        <v>0.96</v>
      </c>
      <c r="G87" s="177">
        <v>0.93059999999999998</v>
      </c>
      <c r="H87" s="177">
        <v>0.99</v>
      </c>
      <c r="I87" s="54">
        <v>0.93059999999999998</v>
      </c>
      <c r="J87" s="54">
        <v>0.995</v>
      </c>
      <c r="K87" s="54">
        <v>0.98</v>
      </c>
      <c r="L87">
        <v>0.99</v>
      </c>
      <c r="M87">
        <v>1.0049999999999999</v>
      </c>
      <c r="N87">
        <v>0.99</v>
      </c>
    </row>
    <row r="88" spans="1:14" x14ac:dyDescent="0.25">
      <c r="A88" s="176">
        <v>39356</v>
      </c>
      <c r="B88" s="177">
        <v>0.93059999999999998</v>
      </c>
      <c r="C88" s="177">
        <v>0.93059999999999998</v>
      </c>
      <c r="D88" s="177">
        <v>0.995</v>
      </c>
      <c r="E88" s="177">
        <v>0.96</v>
      </c>
      <c r="F88" s="177">
        <v>0.96</v>
      </c>
      <c r="G88" s="177">
        <v>0.93059999999999998</v>
      </c>
      <c r="H88" s="177">
        <v>0.99</v>
      </c>
      <c r="I88" s="54">
        <v>0.93059999999999998</v>
      </c>
      <c r="J88" s="54">
        <v>0.995</v>
      </c>
      <c r="K88" s="54">
        <v>0.98</v>
      </c>
      <c r="L88">
        <v>0.99</v>
      </c>
      <c r="M88">
        <v>1.0049999999999999</v>
      </c>
      <c r="N88">
        <v>0.99</v>
      </c>
    </row>
    <row r="89" spans="1:14" x14ac:dyDescent="0.25">
      <c r="A89" s="176">
        <v>39387</v>
      </c>
      <c r="B89" s="177">
        <v>0.93059999999999998</v>
      </c>
      <c r="C89" s="177">
        <v>0.93059999999999998</v>
      </c>
      <c r="D89" s="177">
        <v>0.995</v>
      </c>
      <c r="E89" s="177">
        <v>0.96</v>
      </c>
      <c r="F89" s="177">
        <v>0.96</v>
      </c>
      <c r="G89" s="177">
        <v>0.93059999999999998</v>
      </c>
      <c r="H89" s="177">
        <v>0.99</v>
      </c>
      <c r="I89" s="54">
        <v>0.93059999999999998</v>
      </c>
      <c r="J89" s="54">
        <v>0.995</v>
      </c>
      <c r="K89" s="54">
        <v>0.98</v>
      </c>
      <c r="L89">
        <v>0.99</v>
      </c>
      <c r="M89">
        <v>1.0049999999999999</v>
      </c>
      <c r="N89">
        <v>0.99</v>
      </c>
    </row>
    <row r="90" spans="1:14" x14ac:dyDescent="0.25">
      <c r="A90" s="176">
        <v>39417</v>
      </c>
      <c r="B90" s="177">
        <v>0.93059999999999998</v>
      </c>
      <c r="C90" s="177">
        <v>0.93059999999999998</v>
      </c>
      <c r="D90" s="177">
        <v>0.995</v>
      </c>
      <c r="E90" s="177">
        <v>0.96</v>
      </c>
      <c r="F90" s="177">
        <v>0.96</v>
      </c>
      <c r="G90" s="177">
        <v>0.93059999999999998</v>
      </c>
      <c r="H90" s="177">
        <v>0.99</v>
      </c>
      <c r="I90" s="54">
        <v>0.93059999999999998</v>
      </c>
      <c r="J90" s="54">
        <v>0.995</v>
      </c>
      <c r="K90" s="54">
        <v>0.98</v>
      </c>
      <c r="L90">
        <v>0.99</v>
      </c>
      <c r="M90">
        <v>1.0049999999999999</v>
      </c>
      <c r="N90">
        <v>0.99</v>
      </c>
    </row>
    <row r="91" spans="1:14" x14ac:dyDescent="0.25">
      <c r="A91" s="176">
        <v>39448</v>
      </c>
      <c r="B91" s="177">
        <v>0.93059999999999998</v>
      </c>
      <c r="C91" s="177">
        <v>0.93059999999999998</v>
      </c>
      <c r="D91" s="177">
        <v>0.995</v>
      </c>
      <c r="E91" s="177">
        <v>0.96</v>
      </c>
      <c r="F91" s="177">
        <v>0.96</v>
      </c>
      <c r="G91" s="177">
        <v>0.93059999999999998</v>
      </c>
      <c r="H91" s="177">
        <v>0.99</v>
      </c>
      <c r="I91" s="54">
        <v>0.93059999999999998</v>
      </c>
      <c r="J91" s="54">
        <v>0.995</v>
      </c>
      <c r="K91" s="54">
        <v>0.98</v>
      </c>
      <c r="L91">
        <v>0.99</v>
      </c>
      <c r="M91">
        <v>1.0049999999999999</v>
      </c>
      <c r="N91">
        <v>0.99</v>
      </c>
    </row>
    <row r="92" spans="1:14" x14ac:dyDescent="0.25">
      <c r="A92" s="176">
        <v>39479</v>
      </c>
      <c r="B92" s="177">
        <v>0.93059999999999998</v>
      </c>
      <c r="C92" s="177">
        <v>0.93059999999999998</v>
      </c>
      <c r="D92" s="177">
        <v>0.995</v>
      </c>
      <c r="E92" s="177">
        <v>0.96</v>
      </c>
      <c r="F92" s="177">
        <v>0.96</v>
      </c>
      <c r="G92" s="177">
        <v>0.93059999999999998</v>
      </c>
      <c r="H92" s="177">
        <v>0.99</v>
      </c>
      <c r="I92" s="54">
        <v>0.93059999999999998</v>
      </c>
      <c r="J92" s="54">
        <v>0.995</v>
      </c>
      <c r="K92" s="54">
        <v>0.98</v>
      </c>
      <c r="L92">
        <v>0.99</v>
      </c>
      <c r="M92">
        <v>1.0049999999999999</v>
      </c>
      <c r="N92">
        <v>0.99</v>
      </c>
    </row>
    <row r="93" spans="1:14" x14ac:dyDescent="0.25">
      <c r="A93" s="176">
        <v>39508</v>
      </c>
      <c r="B93" s="177">
        <v>0.93059999999999998</v>
      </c>
      <c r="C93" s="177">
        <v>0.93059999999999998</v>
      </c>
      <c r="D93" s="177">
        <v>0.995</v>
      </c>
      <c r="E93" s="177">
        <v>0.96</v>
      </c>
      <c r="F93" s="177">
        <v>0.96</v>
      </c>
      <c r="G93" s="177">
        <v>0.93059999999999998</v>
      </c>
      <c r="H93" s="177">
        <v>0.99</v>
      </c>
      <c r="I93" s="54">
        <v>0.93059999999999998</v>
      </c>
      <c r="J93" s="54">
        <v>0.995</v>
      </c>
      <c r="K93" s="54">
        <v>0.98</v>
      </c>
      <c r="L93">
        <v>0.99</v>
      </c>
      <c r="M93">
        <v>1.0049999999999999</v>
      </c>
      <c r="N93">
        <v>0.99</v>
      </c>
    </row>
    <row r="94" spans="1:14" x14ac:dyDescent="0.25">
      <c r="A94" s="176">
        <v>39539</v>
      </c>
      <c r="B94" s="177">
        <v>0.93059999999999998</v>
      </c>
      <c r="C94" s="177">
        <v>0.93059999999999998</v>
      </c>
      <c r="D94" s="177">
        <v>0.995</v>
      </c>
      <c r="E94" s="177">
        <v>0.96</v>
      </c>
      <c r="F94" s="177">
        <v>0.96</v>
      </c>
      <c r="G94" s="177">
        <v>0.93059999999999998</v>
      </c>
      <c r="H94" s="177">
        <v>0.99</v>
      </c>
      <c r="I94" s="54">
        <v>0.93059999999999998</v>
      </c>
      <c r="J94" s="54">
        <v>0.995</v>
      </c>
      <c r="K94" s="54">
        <v>0.98</v>
      </c>
      <c r="L94">
        <v>0.99</v>
      </c>
      <c r="M94">
        <v>1.0049999999999999</v>
      </c>
      <c r="N94">
        <v>0.99</v>
      </c>
    </row>
    <row r="95" spans="1:14" x14ac:dyDescent="0.25">
      <c r="A95" s="176">
        <v>39569</v>
      </c>
      <c r="B95" s="177">
        <v>0.93059999999999998</v>
      </c>
      <c r="C95" s="177">
        <v>0.93059999999999998</v>
      </c>
      <c r="D95" s="177">
        <v>0.995</v>
      </c>
      <c r="E95" s="177">
        <v>0.96</v>
      </c>
      <c r="F95" s="177">
        <v>0.96</v>
      </c>
      <c r="G95" s="177">
        <v>0.93059999999999998</v>
      </c>
      <c r="H95" s="177">
        <v>0.99</v>
      </c>
      <c r="I95" s="54">
        <v>0.93059999999999998</v>
      </c>
      <c r="J95" s="54">
        <v>0.995</v>
      </c>
      <c r="K95" s="54">
        <v>0.98</v>
      </c>
      <c r="L95">
        <v>0.99</v>
      </c>
      <c r="M95">
        <v>1.0049999999999999</v>
      </c>
      <c r="N95">
        <v>0.99</v>
      </c>
    </row>
    <row r="96" spans="1:14" x14ac:dyDescent="0.25">
      <c r="A96" s="176">
        <v>39600</v>
      </c>
      <c r="B96" s="177">
        <v>0.93059999999999998</v>
      </c>
      <c r="C96" s="177">
        <v>0.93059999999999998</v>
      </c>
      <c r="D96" s="177">
        <v>0.995</v>
      </c>
      <c r="E96" s="177">
        <v>0.96</v>
      </c>
      <c r="F96" s="177">
        <v>0.96</v>
      </c>
      <c r="G96" s="177">
        <v>0.93059999999999998</v>
      </c>
      <c r="H96" s="177">
        <v>0.99</v>
      </c>
      <c r="I96" s="54">
        <v>0.93059999999999998</v>
      </c>
      <c r="J96" s="54">
        <v>0.995</v>
      </c>
      <c r="K96" s="54">
        <v>0.98</v>
      </c>
      <c r="L96">
        <v>0.99</v>
      </c>
      <c r="M96">
        <v>1.0049999999999999</v>
      </c>
      <c r="N96">
        <v>0.99</v>
      </c>
    </row>
    <row r="97" spans="1:14" x14ac:dyDescent="0.25">
      <c r="A97" s="176">
        <v>39630</v>
      </c>
      <c r="B97" s="177">
        <v>0.93059999999999998</v>
      </c>
      <c r="C97" s="177">
        <v>0.93059999999999998</v>
      </c>
      <c r="D97" s="177">
        <v>0.995</v>
      </c>
      <c r="E97" s="177">
        <v>0.96</v>
      </c>
      <c r="F97" s="177">
        <v>0.96</v>
      </c>
      <c r="G97" s="177">
        <v>0.93059999999999998</v>
      </c>
      <c r="H97" s="177">
        <v>0.99</v>
      </c>
      <c r="I97" s="54">
        <v>0.93059999999999998</v>
      </c>
      <c r="J97" s="54">
        <v>0.995</v>
      </c>
      <c r="K97" s="54">
        <v>0.98</v>
      </c>
      <c r="L97">
        <v>0.99</v>
      </c>
      <c r="M97">
        <v>1.0049999999999999</v>
      </c>
      <c r="N97">
        <v>0.99</v>
      </c>
    </row>
    <row r="98" spans="1:14" x14ac:dyDescent="0.25">
      <c r="A98" s="176">
        <v>39661</v>
      </c>
      <c r="B98" s="177">
        <v>0.93059999999999998</v>
      </c>
      <c r="C98" s="177">
        <v>0.93059999999999998</v>
      </c>
      <c r="D98" s="177">
        <v>0.995</v>
      </c>
      <c r="E98" s="177">
        <v>0.96</v>
      </c>
      <c r="F98" s="177">
        <v>0.96</v>
      </c>
      <c r="G98" s="177">
        <v>0.93059999999999998</v>
      </c>
      <c r="H98" s="177">
        <v>0.99</v>
      </c>
      <c r="I98" s="54">
        <v>0.93059999999999998</v>
      </c>
      <c r="J98" s="54">
        <v>0.995</v>
      </c>
      <c r="K98" s="54">
        <v>0.98</v>
      </c>
      <c r="L98">
        <v>0.99</v>
      </c>
      <c r="M98">
        <v>1.0049999999999999</v>
      </c>
      <c r="N98">
        <v>0.99</v>
      </c>
    </row>
    <row r="99" spans="1:14" x14ac:dyDescent="0.25">
      <c r="A99" s="176">
        <v>39692</v>
      </c>
      <c r="B99" s="177">
        <v>0.93059999999999998</v>
      </c>
      <c r="C99" s="177">
        <v>0.93059999999999998</v>
      </c>
      <c r="D99" s="177">
        <v>0.995</v>
      </c>
      <c r="E99" s="177">
        <v>0.96</v>
      </c>
      <c r="F99" s="177">
        <v>0.96</v>
      </c>
      <c r="G99" s="177">
        <v>0.93059999999999998</v>
      </c>
      <c r="H99" s="177">
        <v>0.99</v>
      </c>
      <c r="I99" s="54">
        <v>0.93059999999999998</v>
      </c>
      <c r="J99" s="54">
        <v>0.995</v>
      </c>
      <c r="K99" s="54">
        <v>0.98</v>
      </c>
      <c r="L99">
        <v>0.99</v>
      </c>
      <c r="M99">
        <v>1.0049999999999999</v>
      </c>
      <c r="N99">
        <v>0.99</v>
      </c>
    </row>
    <row r="100" spans="1:14" x14ac:dyDescent="0.25">
      <c r="A100" s="176">
        <v>39722</v>
      </c>
      <c r="B100" s="177">
        <v>0.93059999999999998</v>
      </c>
      <c r="C100" s="177">
        <v>0.93059999999999998</v>
      </c>
      <c r="D100" s="177">
        <v>0.995</v>
      </c>
      <c r="E100" s="177">
        <v>0.96</v>
      </c>
      <c r="F100" s="177">
        <v>0.96</v>
      </c>
      <c r="G100" s="177">
        <v>0.93059999999999998</v>
      </c>
      <c r="H100" s="177">
        <v>0.99</v>
      </c>
      <c r="I100" s="54">
        <v>0.93059999999999998</v>
      </c>
      <c r="J100" s="54">
        <v>0.995</v>
      </c>
      <c r="K100" s="54">
        <v>0.98</v>
      </c>
      <c r="L100">
        <v>0.99</v>
      </c>
      <c r="M100">
        <v>1.0049999999999999</v>
      </c>
      <c r="N100">
        <v>0.99</v>
      </c>
    </row>
    <row r="101" spans="1:14" x14ac:dyDescent="0.25">
      <c r="A101" s="176">
        <v>39753</v>
      </c>
      <c r="B101" s="177">
        <v>0.93059999999999998</v>
      </c>
      <c r="C101" s="177">
        <v>0.93059999999999998</v>
      </c>
      <c r="D101" s="177">
        <v>0.995</v>
      </c>
      <c r="E101" s="177">
        <v>0.96</v>
      </c>
      <c r="F101" s="177">
        <v>0.96</v>
      </c>
      <c r="G101" s="177">
        <v>0.93059999999999998</v>
      </c>
      <c r="H101" s="177">
        <v>0.99</v>
      </c>
      <c r="I101" s="54">
        <v>0.93059999999999998</v>
      </c>
      <c r="J101" s="54">
        <v>0.995</v>
      </c>
      <c r="K101" s="54">
        <v>0.98</v>
      </c>
      <c r="L101">
        <v>0.99</v>
      </c>
      <c r="M101">
        <v>1.0049999999999999</v>
      </c>
      <c r="N101">
        <v>0.99</v>
      </c>
    </row>
    <row r="102" spans="1:14" x14ac:dyDescent="0.25">
      <c r="A102" s="176">
        <v>39783</v>
      </c>
      <c r="B102" s="177">
        <v>0.93059999999999998</v>
      </c>
      <c r="C102" s="177">
        <v>0.93059999999999998</v>
      </c>
      <c r="D102" s="177">
        <v>0.995</v>
      </c>
      <c r="E102" s="177">
        <v>0.96</v>
      </c>
      <c r="F102" s="177">
        <v>0.96</v>
      </c>
      <c r="G102" s="177">
        <v>0.93059999999999998</v>
      </c>
      <c r="H102" s="177">
        <v>0.99</v>
      </c>
      <c r="I102" s="54">
        <v>0.93059999999999998</v>
      </c>
      <c r="J102" s="54">
        <v>0.995</v>
      </c>
      <c r="K102" s="54">
        <v>0.98</v>
      </c>
      <c r="L102">
        <v>0.99</v>
      </c>
      <c r="M102">
        <v>1.0049999999999999</v>
      </c>
      <c r="N102">
        <v>0.99</v>
      </c>
    </row>
    <row r="103" spans="1:14" x14ac:dyDescent="0.25">
      <c r="A103" s="176">
        <v>39814</v>
      </c>
      <c r="B103" s="177">
        <v>0.93059999999999998</v>
      </c>
      <c r="C103" s="177">
        <v>0.93059999999999998</v>
      </c>
      <c r="D103" s="177">
        <v>0.995</v>
      </c>
      <c r="E103" s="177">
        <v>0.96</v>
      </c>
      <c r="F103" s="177">
        <v>0.96</v>
      </c>
      <c r="G103" s="177">
        <v>0.93059999999999998</v>
      </c>
      <c r="H103" s="177">
        <v>0.99</v>
      </c>
      <c r="I103" s="54">
        <v>0.93059999999999998</v>
      </c>
      <c r="J103" s="54">
        <v>0.995</v>
      </c>
      <c r="K103" s="54">
        <v>0.98</v>
      </c>
      <c r="L103">
        <v>0.99</v>
      </c>
      <c r="M103">
        <v>1.0049999999999999</v>
      </c>
      <c r="N103">
        <v>0.99</v>
      </c>
    </row>
    <row r="104" spans="1:14" x14ac:dyDescent="0.25">
      <c r="A104" s="176">
        <v>39845</v>
      </c>
      <c r="B104" s="177">
        <v>0.93059999999999998</v>
      </c>
      <c r="C104" s="177">
        <v>0.93059999999999998</v>
      </c>
      <c r="D104" s="177">
        <v>0.995</v>
      </c>
      <c r="E104" s="177">
        <v>0.96</v>
      </c>
      <c r="F104" s="177">
        <v>0.96</v>
      </c>
      <c r="G104" s="177">
        <v>0.93059999999999998</v>
      </c>
      <c r="H104" s="177">
        <v>0.99</v>
      </c>
      <c r="I104" s="54">
        <v>0.93059999999999998</v>
      </c>
      <c r="J104" s="54">
        <v>0.995</v>
      </c>
      <c r="K104" s="54">
        <v>0.98</v>
      </c>
      <c r="L104">
        <v>0.99</v>
      </c>
      <c r="M104">
        <v>1.0049999999999999</v>
      </c>
      <c r="N104">
        <v>0.99</v>
      </c>
    </row>
    <row r="105" spans="1:14" x14ac:dyDescent="0.25">
      <c r="A105" s="176">
        <v>39873</v>
      </c>
      <c r="B105" s="177">
        <v>0.93059999999999998</v>
      </c>
      <c r="C105" s="177">
        <v>0.93059999999999998</v>
      </c>
      <c r="D105" s="177">
        <v>0.995</v>
      </c>
      <c r="E105" s="177">
        <v>0.96</v>
      </c>
      <c r="F105" s="177">
        <v>0.96</v>
      </c>
      <c r="G105" s="177">
        <v>0.93059999999999998</v>
      </c>
      <c r="H105" s="177">
        <v>0.99</v>
      </c>
      <c r="I105" s="54">
        <v>0.93059999999999998</v>
      </c>
      <c r="J105" s="54">
        <v>0.995</v>
      </c>
      <c r="K105" s="54">
        <v>0.98</v>
      </c>
      <c r="L105">
        <v>0.99</v>
      </c>
      <c r="M105">
        <v>1.0049999999999999</v>
      </c>
      <c r="N105">
        <v>0.99</v>
      </c>
    </row>
    <row r="106" spans="1:14" x14ac:dyDescent="0.25">
      <c r="A106" s="176">
        <v>39904</v>
      </c>
      <c r="B106" s="177">
        <v>0.93059999999999998</v>
      </c>
      <c r="C106" s="177">
        <v>0.93059999999999998</v>
      </c>
      <c r="D106" s="177">
        <v>0.995</v>
      </c>
      <c r="E106" s="177">
        <v>0.96</v>
      </c>
      <c r="F106" s="177">
        <v>0.96</v>
      </c>
      <c r="G106" s="177">
        <v>0.93059999999999998</v>
      </c>
      <c r="H106" s="177">
        <v>0.99</v>
      </c>
      <c r="I106" s="54">
        <v>0.93059999999999998</v>
      </c>
      <c r="J106" s="54">
        <v>0.995</v>
      </c>
      <c r="K106" s="54">
        <v>0.98</v>
      </c>
      <c r="L106">
        <v>0.99</v>
      </c>
      <c r="M106">
        <v>1.0049999999999999</v>
      </c>
      <c r="N106">
        <v>0.99</v>
      </c>
    </row>
    <row r="107" spans="1:14" x14ac:dyDescent="0.25">
      <c r="A107" s="176">
        <v>39934</v>
      </c>
      <c r="B107" s="177">
        <v>0.93059999999999998</v>
      </c>
      <c r="C107" s="177">
        <v>0.93059999999999998</v>
      </c>
      <c r="D107" s="177">
        <v>0.995</v>
      </c>
      <c r="E107" s="177">
        <v>0.96</v>
      </c>
      <c r="F107" s="177">
        <v>0.96</v>
      </c>
      <c r="G107" s="177">
        <v>0.93059999999999998</v>
      </c>
      <c r="H107" s="177">
        <v>0.99</v>
      </c>
      <c r="I107" s="54">
        <v>0.93059999999999998</v>
      </c>
      <c r="J107" s="54">
        <v>0.995</v>
      </c>
      <c r="K107" s="54">
        <v>0.98</v>
      </c>
      <c r="L107">
        <v>0.99</v>
      </c>
      <c r="M107">
        <v>1.0049999999999999</v>
      </c>
      <c r="N107">
        <v>0.99</v>
      </c>
    </row>
    <row r="108" spans="1:14" x14ac:dyDescent="0.25">
      <c r="A108" s="176">
        <v>39965</v>
      </c>
      <c r="B108" s="177">
        <v>0.93059999999999998</v>
      </c>
      <c r="C108" s="177">
        <v>0.93059999999999998</v>
      </c>
      <c r="D108" s="177">
        <v>0.995</v>
      </c>
      <c r="E108" s="177">
        <v>0.96</v>
      </c>
      <c r="F108" s="177">
        <v>0.96</v>
      </c>
      <c r="G108" s="177">
        <v>0.93059999999999998</v>
      </c>
      <c r="H108" s="177">
        <v>0.99</v>
      </c>
      <c r="I108" s="54">
        <v>0.93059999999999998</v>
      </c>
      <c r="J108" s="54">
        <v>0.995</v>
      </c>
      <c r="K108" s="54">
        <v>0.98</v>
      </c>
      <c r="L108">
        <v>0.99</v>
      </c>
      <c r="M108">
        <v>1.0049999999999999</v>
      </c>
      <c r="N108">
        <v>0.99</v>
      </c>
    </row>
    <row r="109" spans="1:14" x14ac:dyDescent="0.25">
      <c r="A109" s="176">
        <v>39995</v>
      </c>
      <c r="B109" s="177">
        <v>0.93059999999999998</v>
      </c>
      <c r="C109" s="177">
        <v>0.93059999999999998</v>
      </c>
      <c r="D109" s="177">
        <v>0.995</v>
      </c>
      <c r="E109" s="177">
        <v>0.96</v>
      </c>
      <c r="F109" s="177">
        <v>0.96</v>
      </c>
      <c r="G109" s="177">
        <v>0.93059999999999998</v>
      </c>
      <c r="H109" s="177">
        <v>0.99</v>
      </c>
      <c r="I109" s="54">
        <v>0.93059999999999998</v>
      </c>
      <c r="J109" s="54">
        <v>0.995</v>
      </c>
      <c r="K109" s="54">
        <v>0.98</v>
      </c>
      <c r="L109">
        <v>0.99</v>
      </c>
      <c r="M109">
        <v>1.0049999999999999</v>
      </c>
      <c r="N109">
        <v>0.99</v>
      </c>
    </row>
    <row r="110" spans="1:14" x14ac:dyDescent="0.25">
      <c r="A110" s="176">
        <v>40026</v>
      </c>
      <c r="B110" s="177">
        <v>0.93059999999999998</v>
      </c>
      <c r="C110" s="177">
        <v>0.93059999999999998</v>
      </c>
      <c r="D110" s="177">
        <v>0.995</v>
      </c>
      <c r="E110" s="177">
        <v>0.96</v>
      </c>
      <c r="F110" s="177">
        <v>0.96</v>
      </c>
      <c r="G110" s="177">
        <v>0.93059999999999998</v>
      </c>
      <c r="H110" s="177">
        <v>0.99</v>
      </c>
      <c r="I110" s="54">
        <v>0.93059999999999998</v>
      </c>
      <c r="J110" s="54">
        <v>0.995</v>
      </c>
      <c r="K110" s="54">
        <v>0.98</v>
      </c>
      <c r="L110">
        <v>0.99</v>
      </c>
      <c r="M110">
        <v>1.0049999999999999</v>
      </c>
      <c r="N110">
        <v>0.99</v>
      </c>
    </row>
    <row r="111" spans="1:14" x14ac:dyDescent="0.25">
      <c r="A111" s="176">
        <v>40057</v>
      </c>
      <c r="B111" s="177">
        <v>0.93059999999999998</v>
      </c>
      <c r="C111" s="177">
        <v>0.93059999999999998</v>
      </c>
      <c r="D111" s="177">
        <v>0.995</v>
      </c>
      <c r="E111" s="177">
        <v>0.96</v>
      </c>
      <c r="F111" s="177">
        <v>0.96</v>
      </c>
      <c r="G111" s="177">
        <v>0.93059999999999998</v>
      </c>
      <c r="H111" s="177">
        <v>0.99</v>
      </c>
      <c r="I111" s="54">
        <v>0.93059999999999998</v>
      </c>
      <c r="J111" s="54">
        <v>0.995</v>
      </c>
      <c r="K111" s="54">
        <v>0.98</v>
      </c>
      <c r="L111">
        <v>0.99</v>
      </c>
      <c r="M111">
        <v>1.0049999999999999</v>
      </c>
      <c r="N111">
        <v>0.99</v>
      </c>
    </row>
    <row r="112" spans="1:14" x14ac:dyDescent="0.25">
      <c r="A112" s="176">
        <v>40087</v>
      </c>
      <c r="B112" s="177">
        <v>0.93059999999999998</v>
      </c>
      <c r="C112" s="177">
        <v>0.93059999999999998</v>
      </c>
      <c r="D112" s="177">
        <v>0.995</v>
      </c>
      <c r="E112" s="177">
        <v>0.96</v>
      </c>
      <c r="F112" s="177">
        <v>0.96</v>
      </c>
      <c r="G112" s="177">
        <v>0.93059999999999998</v>
      </c>
      <c r="H112" s="177">
        <v>0.99</v>
      </c>
      <c r="I112" s="54">
        <v>0.93059999999999998</v>
      </c>
      <c r="J112" s="54">
        <v>0.995</v>
      </c>
      <c r="K112" s="54">
        <v>0.98</v>
      </c>
      <c r="L112">
        <v>0.99</v>
      </c>
      <c r="M112">
        <v>1.0049999999999999</v>
      </c>
      <c r="N112">
        <v>0.99</v>
      </c>
    </row>
    <row r="113" spans="1:14" x14ac:dyDescent="0.25">
      <c r="A113" s="176">
        <v>40118</v>
      </c>
      <c r="B113" s="177">
        <v>0.93059999999999998</v>
      </c>
      <c r="C113" s="177">
        <v>0.93059999999999998</v>
      </c>
      <c r="D113" s="177">
        <v>0.995</v>
      </c>
      <c r="E113" s="177">
        <v>0.96</v>
      </c>
      <c r="F113" s="177">
        <v>0.96</v>
      </c>
      <c r="G113" s="177">
        <v>0.93059999999999998</v>
      </c>
      <c r="H113" s="177">
        <v>0.99</v>
      </c>
      <c r="I113" s="54">
        <v>0.93059999999999998</v>
      </c>
      <c r="J113" s="54">
        <v>0.995</v>
      </c>
      <c r="K113" s="54">
        <v>0.98</v>
      </c>
      <c r="L113">
        <v>0.99</v>
      </c>
      <c r="M113">
        <v>1.0049999999999999</v>
      </c>
      <c r="N113">
        <v>0.99</v>
      </c>
    </row>
    <row r="114" spans="1:14" x14ac:dyDescent="0.25">
      <c r="A114" s="176">
        <v>40148</v>
      </c>
      <c r="B114" s="177">
        <v>0.93059999999999998</v>
      </c>
      <c r="C114" s="177">
        <v>0.93059999999999998</v>
      </c>
      <c r="D114" s="177">
        <v>0.995</v>
      </c>
      <c r="E114" s="177">
        <v>0.96</v>
      </c>
      <c r="F114" s="177">
        <v>0.96</v>
      </c>
      <c r="G114" s="177">
        <v>0.93059999999999998</v>
      </c>
      <c r="H114" s="177">
        <v>0.99</v>
      </c>
      <c r="I114" s="54">
        <v>0.93059999999999998</v>
      </c>
      <c r="J114" s="54">
        <v>0.995</v>
      </c>
      <c r="K114" s="54">
        <v>0.98</v>
      </c>
      <c r="L114">
        <v>0.99</v>
      </c>
      <c r="M114">
        <v>1.0049999999999999</v>
      </c>
      <c r="N114">
        <v>0.99</v>
      </c>
    </row>
    <row r="115" spans="1:14" x14ac:dyDescent="0.25">
      <c r="A115" s="176">
        <v>40179</v>
      </c>
      <c r="B115" s="177">
        <v>0.93059999999999998</v>
      </c>
      <c r="C115" s="177">
        <v>0.93059999999999998</v>
      </c>
      <c r="D115" s="177">
        <v>0.995</v>
      </c>
      <c r="E115" s="177">
        <v>0.96</v>
      </c>
      <c r="F115" s="177">
        <v>0.96</v>
      </c>
      <c r="G115" s="177">
        <v>0.93059999999999998</v>
      </c>
      <c r="H115" s="177">
        <v>0.99</v>
      </c>
      <c r="I115" s="54">
        <v>0.93059999999999998</v>
      </c>
      <c r="J115" s="54">
        <v>0.995</v>
      </c>
      <c r="K115" s="54">
        <v>0.98</v>
      </c>
      <c r="L115">
        <v>0.99</v>
      </c>
      <c r="M115">
        <v>1.0049999999999999</v>
      </c>
      <c r="N115">
        <v>0.99</v>
      </c>
    </row>
    <row r="116" spans="1:14" x14ac:dyDescent="0.25">
      <c r="A116" s="176">
        <v>40210</v>
      </c>
      <c r="B116" s="177">
        <v>0.93059999999999998</v>
      </c>
      <c r="C116" s="177">
        <v>0.93059999999999998</v>
      </c>
      <c r="D116" s="177">
        <v>0.995</v>
      </c>
      <c r="E116" s="177">
        <v>0.96</v>
      </c>
      <c r="F116" s="177">
        <v>0.96</v>
      </c>
      <c r="G116" s="177">
        <v>0.93059999999999998</v>
      </c>
      <c r="H116" s="177">
        <v>0.99</v>
      </c>
      <c r="I116" s="54">
        <v>0.93059999999999998</v>
      </c>
      <c r="J116" s="54">
        <v>0.995</v>
      </c>
      <c r="K116" s="54">
        <v>0.98</v>
      </c>
      <c r="L116">
        <v>0.99</v>
      </c>
      <c r="M116">
        <v>1.0049999999999999</v>
      </c>
      <c r="N116">
        <v>0.99</v>
      </c>
    </row>
    <row r="117" spans="1:14" x14ac:dyDescent="0.25">
      <c r="A117" s="176">
        <v>40238</v>
      </c>
      <c r="B117" s="177">
        <v>0.93059999999999998</v>
      </c>
      <c r="C117" s="177">
        <v>0.93059999999999998</v>
      </c>
      <c r="D117" s="177">
        <v>0.995</v>
      </c>
      <c r="E117" s="177">
        <v>0.96</v>
      </c>
      <c r="F117" s="177">
        <v>0.96</v>
      </c>
      <c r="G117" s="177">
        <v>0.93059999999999998</v>
      </c>
      <c r="H117" s="177">
        <v>0.99</v>
      </c>
      <c r="I117" s="54">
        <v>0.93059999999999998</v>
      </c>
      <c r="J117" s="54">
        <v>0.995</v>
      </c>
      <c r="K117" s="54">
        <v>0.98</v>
      </c>
      <c r="L117">
        <v>0.99</v>
      </c>
      <c r="M117">
        <v>1.0049999999999999</v>
      </c>
      <c r="N117">
        <v>0.99</v>
      </c>
    </row>
    <row r="118" spans="1:14" x14ac:dyDescent="0.25">
      <c r="A118" s="176">
        <v>40269</v>
      </c>
      <c r="B118" s="177">
        <v>0.93059999999999998</v>
      </c>
      <c r="C118" s="177">
        <v>0.93059999999999998</v>
      </c>
      <c r="D118" s="177">
        <v>0.995</v>
      </c>
      <c r="E118" s="177">
        <v>0.96</v>
      </c>
      <c r="F118" s="177">
        <v>0.96</v>
      </c>
      <c r="G118" s="177">
        <v>0.93059999999999998</v>
      </c>
      <c r="H118" s="177">
        <v>0.99</v>
      </c>
      <c r="I118" s="54">
        <v>0.93059999999999998</v>
      </c>
      <c r="J118" s="54">
        <v>0.995</v>
      </c>
      <c r="K118" s="54">
        <v>0.98</v>
      </c>
      <c r="L118">
        <v>0.99</v>
      </c>
      <c r="M118">
        <v>1.0049999999999999</v>
      </c>
      <c r="N118">
        <v>0.99</v>
      </c>
    </row>
    <row r="119" spans="1:14" x14ac:dyDescent="0.25">
      <c r="A119" s="176">
        <v>40299</v>
      </c>
      <c r="B119" s="177">
        <v>0.93059999999999998</v>
      </c>
      <c r="C119" s="177">
        <v>0.93059999999999998</v>
      </c>
      <c r="D119" s="177">
        <v>0.995</v>
      </c>
      <c r="E119" s="177">
        <v>0.96</v>
      </c>
      <c r="F119" s="177">
        <v>0.96</v>
      </c>
      <c r="G119" s="177">
        <v>0.93059999999999998</v>
      </c>
      <c r="H119" s="177">
        <v>0.99</v>
      </c>
      <c r="I119" s="54">
        <v>0.93059999999999998</v>
      </c>
      <c r="J119" s="54">
        <v>0.995</v>
      </c>
      <c r="K119" s="54">
        <v>0.98</v>
      </c>
      <c r="L119">
        <v>0.99</v>
      </c>
      <c r="M119">
        <v>1.0049999999999999</v>
      </c>
      <c r="N119">
        <v>0.99</v>
      </c>
    </row>
    <row r="120" spans="1:14" x14ac:dyDescent="0.25">
      <c r="A120" s="176">
        <v>40330</v>
      </c>
      <c r="B120" s="177">
        <v>0.93059999999999998</v>
      </c>
      <c r="C120" s="177">
        <v>0.93059999999999998</v>
      </c>
      <c r="D120" s="177">
        <v>0.995</v>
      </c>
      <c r="E120" s="177">
        <v>0.96</v>
      </c>
      <c r="F120" s="177">
        <v>0.96</v>
      </c>
      <c r="G120" s="177">
        <v>0.93059999999999998</v>
      </c>
      <c r="H120" s="177">
        <v>0.99</v>
      </c>
      <c r="I120" s="54">
        <v>0.93059999999999998</v>
      </c>
      <c r="J120" s="54">
        <v>0.995</v>
      </c>
      <c r="K120" s="54">
        <v>0.98</v>
      </c>
      <c r="L120">
        <v>0.99</v>
      </c>
      <c r="M120">
        <v>1.0049999999999999</v>
      </c>
      <c r="N120">
        <v>0.99</v>
      </c>
    </row>
    <row r="121" spans="1:14" x14ac:dyDescent="0.25">
      <c r="A121" s="176">
        <v>40360</v>
      </c>
      <c r="B121" s="177">
        <v>0.93059999999999998</v>
      </c>
      <c r="C121" s="177">
        <v>0.93059999999999998</v>
      </c>
      <c r="D121" s="177">
        <v>0.995</v>
      </c>
      <c r="E121" s="177">
        <v>0.96</v>
      </c>
      <c r="F121" s="177">
        <v>0.96</v>
      </c>
      <c r="G121" s="177">
        <v>0.93059999999999998</v>
      </c>
      <c r="H121" s="177">
        <v>0.99</v>
      </c>
      <c r="I121" s="54">
        <v>0.93059999999999998</v>
      </c>
      <c r="J121" s="54">
        <v>0.995</v>
      </c>
      <c r="K121" s="54">
        <v>0.98</v>
      </c>
      <c r="L121">
        <v>0.99</v>
      </c>
      <c r="M121">
        <v>1.0049999999999999</v>
      </c>
      <c r="N121">
        <v>0.99</v>
      </c>
    </row>
    <row r="122" spans="1:14" x14ac:dyDescent="0.25">
      <c r="A122" s="176">
        <v>40391</v>
      </c>
      <c r="B122" s="177">
        <v>0.93059999999999998</v>
      </c>
      <c r="C122" s="177">
        <v>0.93059999999999998</v>
      </c>
      <c r="D122" s="177">
        <v>0.995</v>
      </c>
      <c r="E122" s="177">
        <v>0.96</v>
      </c>
      <c r="F122" s="177">
        <v>0.96</v>
      </c>
      <c r="G122" s="177">
        <v>0.93059999999999998</v>
      </c>
      <c r="H122" s="177">
        <v>0.99</v>
      </c>
      <c r="I122" s="54">
        <v>0.93059999999999998</v>
      </c>
      <c r="J122" s="54">
        <v>0.995</v>
      </c>
      <c r="K122" s="54">
        <v>0.98</v>
      </c>
      <c r="L122">
        <v>0.99</v>
      </c>
      <c r="M122">
        <v>1.0049999999999999</v>
      </c>
      <c r="N122">
        <v>0.99</v>
      </c>
    </row>
    <row r="123" spans="1:14" x14ac:dyDescent="0.25">
      <c r="A123" s="176">
        <v>40422</v>
      </c>
      <c r="B123" s="177">
        <v>0.93059999999999998</v>
      </c>
      <c r="C123" s="177">
        <v>0.93059999999999998</v>
      </c>
      <c r="D123" s="177">
        <v>0.995</v>
      </c>
      <c r="E123" s="177">
        <v>0.96</v>
      </c>
      <c r="F123" s="177">
        <v>0.96</v>
      </c>
      <c r="G123" s="177">
        <v>0.93059999999999998</v>
      </c>
      <c r="H123" s="177">
        <v>0.99</v>
      </c>
      <c r="I123" s="54">
        <v>0.93059999999999998</v>
      </c>
      <c r="J123" s="54">
        <v>0.995</v>
      </c>
      <c r="K123" s="54">
        <v>0.98</v>
      </c>
      <c r="L123">
        <v>0.99</v>
      </c>
      <c r="M123">
        <v>1.0049999999999999</v>
      </c>
      <c r="N123">
        <v>0.99</v>
      </c>
    </row>
    <row r="124" spans="1:14" x14ac:dyDescent="0.25">
      <c r="A124" s="176">
        <v>40452</v>
      </c>
      <c r="B124" s="177">
        <v>0.93059999999999998</v>
      </c>
      <c r="C124" s="177">
        <v>0.93059999999999998</v>
      </c>
      <c r="D124" s="177">
        <v>0.995</v>
      </c>
      <c r="E124" s="177">
        <v>0.96</v>
      </c>
      <c r="F124" s="177">
        <v>0.96</v>
      </c>
      <c r="G124" s="177">
        <v>0.93059999999999998</v>
      </c>
      <c r="H124" s="177">
        <v>0.99</v>
      </c>
      <c r="I124" s="54">
        <v>0.93059999999999998</v>
      </c>
      <c r="J124" s="54">
        <v>0.995</v>
      </c>
      <c r="K124" s="54">
        <v>0.98</v>
      </c>
      <c r="L124">
        <v>0.99</v>
      </c>
      <c r="M124">
        <v>1.0049999999999999</v>
      </c>
      <c r="N124">
        <v>0.99</v>
      </c>
    </row>
    <row r="125" spans="1:14" x14ac:dyDescent="0.25">
      <c r="A125" s="176">
        <v>40483</v>
      </c>
      <c r="B125" s="177">
        <v>0.93059999999999998</v>
      </c>
      <c r="C125" s="177">
        <v>0.93059999999999998</v>
      </c>
      <c r="D125" s="177">
        <v>0.995</v>
      </c>
      <c r="E125" s="177">
        <v>0.96</v>
      </c>
      <c r="F125" s="177">
        <v>0.96</v>
      </c>
      <c r="G125" s="177">
        <v>0.93059999999999998</v>
      </c>
      <c r="H125" s="177">
        <v>0.99</v>
      </c>
      <c r="I125" s="54">
        <v>0.93059999999999998</v>
      </c>
      <c r="J125" s="54">
        <v>0.995</v>
      </c>
      <c r="K125" s="54">
        <v>0.98</v>
      </c>
      <c r="L125">
        <v>0.99</v>
      </c>
      <c r="M125">
        <v>1.0049999999999999</v>
      </c>
      <c r="N125">
        <v>0.99</v>
      </c>
    </row>
    <row r="126" spans="1:14" x14ac:dyDescent="0.25">
      <c r="A126" s="176">
        <v>40513</v>
      </c>
      <c r="B126" s="177">
        <v>0.93059999999999998</v>
      </c>
      <c r="C126" s="177">
        <v>0.93059999999999998</v>
      </c>
      <c r="D126" s="177">
        <v>0.995</v>
      </c>
      <c r="E126" s="177">
        <v>0.96</v>
      </c>
      <c r="F126" s="177">
        <v>0.96</v>
      </c>
      <c r="G126" s="177">
        <v>0.93059999999999998</v>
      </c>
      <c r="H126" s="177">
        <v>0.99</v>
      </c>
      <c r="I126" s="54">
        <v>0.93059999999999998</v>
      </c>
      <c r="J126" s="54">
        <v>0.995</v>
      </c>
      <c r="K126" s="54">
        <v>0.98</v>
      </c>
      <c r="L126">
        <v>0.99</v>
      </c>
      <c r="M126">
        <v>1.0049999999999999</v>
      </c>
      <c r="N126">
        <v>0.99</v>
      </c>
    </row>
    <row r="127" spans="1:14" x14ac:dyDescent="0.25">
      <c r="A127" s="176">
        <v>40544</v>
      </c>
      <c r="B127" s="177">
        <v>0.93059999999999998</v>
      </c>
      <c r="C127" s="177">
        <v>0.93059999999999998</v>
      </c>
      <c r="D127" s="177">
        <v>0.995</v>
      </c>
      <c r="E127" s="177">
        <v>0.96</v>
      </c>
      <c r="F127" s="177">
        <v>0.96</v>
      </c>
      <c r="G127" s="177">
        <v>0.93059999999999998</v>
      </c>
      <c r="H127" s="177">
        <v>0.99</v>
      </c>
      <c r="I127" s="54">
        <v>0.93059999999999998</v>
      </c>
      <c r="J127" s="54">
        <v>0.995</v>
      </c>
      <c r="K127" s="54">
        <v>0.98</v>
      </c>
      <c r="L127">
        <v>0.99</v>
      </c>
      <c r="M127">
        <v>1.0049999999999999</v>
      </c>
      <c r="N127">
        <v>0.99</v>
      </c>
    </row>
    <row r="128" spans="1:14" x14ac:dyDescent="0.25">
      <c r="A128" s="176">
        <v>40575</v>
      </c>
      <c r="B128" s="177">
        <v>0.93059999999999998</v>
      </c>
      <c r="C128" s="177">
        <v>0.93059999999999998</v>
      </c>
      <c r="D128" s="177">
        <v>0.995</v>
      </c>
      <c r="E128" s="177">
        <v>0.96</v>
      </c>
      <c r="F128" s="177">
        <v>0.96</v>
      </c>
      <c r="G128" s="177">
        <v>0.93059999999999998</v>
      </c>
      <c r="H128" s="177">
        <v>0.99</v>
      </c>
      <c r="I128" s="54">
        <v>0.93059999999999998</v>
      </c>
      <c r="J128" s="54">
        <v>0.995</v>
      </c>
      <c r="K128" s="54">
        <v>0.98</v>
      </c>
      <c r="L128">
        <v>0.99</v>
      </c>
      <c r="M128">
        <v>1.0049999999999999</v>
      </c>
      <c r="N128">
        <v>0.99</v>
      </c>
    </row>
    <row r="129" spans="1:14" x14ac:dyDescent="0.25">
      <c r="A129" s="176">
        <v>40603</v>
      </c>
      <c r="B129" s="177">
        <v>0.93059999999999998</v>
      </c>
      <c r="C129" s="177">
        <v>0.93059999999999998</v>
      </c>
      <c r="D129" s="177">
        <v>0.995</v>
      </c>
      <c r="E129" s="177">
        <v>0.96</v>
      </c>
      <c r="F129" s="177">
        <v>0.96</v>
      </c>
      <c r="G129" s="177">
        <v>0.93059999999999998</v>
      </c>
      <c r="H129" s="177">
        <v>0.99</v>
      </c>
      <c r="I129" s="54">
        <v>0.93059999999999998</v>
      </c>
      <c r="J129" s="54">
        <v>0.995</v>
      </c>
      <c r="K129" s="54">
        <v>0.98</v>
      </c>
      <c r="L129">
        <v>0.99</v>
      </c>
      <c r="M129">
        <v>1.0049999999999999</v>
      </c>
      <c r="N129">
        <v>0.99</v>
      </c>
    </row>
    <row r="130" spans="1:14" x14ac:dyDescent="0.25">
      <c r="A130" s="176">
        <v>40634</v>
      </c>
      <c r="B130" s="177">
        <v>0.93059999999999998</v>
      </c>
      <c r="C130" s="177">
        <v>0.93059999999999998</v>
      </c>
      <c r="D130" s="177">
        <v>0.995</v>
      </c>
      <c r="E130" s="177">
        <v>0.96</v>
      </c>
      <c r="F130" s="177">
        <v>0.96</v>
      </c>
      <c r="G130" s="177">
        <v>0.93059999999999998</v>
      </c>
      <c r="H130" s="177">
        <v>0.99</v>
      </c>
      <c r="I130" s="54">
        <v>0.93059999999999998</v>
      </c>
      <c r="J130" s="54">
        <v>0.995</v>
      </c>
      <c r="K130" s="54">
        <v>0.98</v>
      </c>
      <c r="L130">
        <v>0.99</v>
      </c>
      <c r="M130">
        <v>1.0049999999999999</v>
      </c>
      <c r="N130">
        <v>0.99</v>
      </c>
    </row>
    <row r="131" spans="1:14" x14ac:dyDescent="0.25">
      <c r="A131" s="176">
        <v>40664</v>
      </c>
      <c r="B131" s="177">
        <v>0.93059999999999998</v>
      </c>
      <c r="C131" s="177">
        <v>0.93059999999999998</v>
      </c>
      <c r="D131" s="177">
        <v>0.995</v>
      </c>
      <c r="E131" s="177">
        <v>0.96</v>
      </c>
      <c r="F131" s="177">
        <v>0.96</v>
      </c>
      <c r="G131" s="177">
        <v>0.93059999999999998</v>
      </c>
      <c r="H131" s="177">
        <v>0.99</v>
      </c>
      <c r="I131" s="54">
        <v>0.93059999999999998</v>
      </c>
      <c r="J131" s="54">
        <v>0.995</v>
      </c>
      <c r="K131" s="54">
        <v>0.98</v>
      </c>
      <c r="L131">
        <v>0.99</v>
      </c>
      <c r="M131">
        <v>1.0049999999999999</v>
      </c>
      <c r="N131">
        <v>0.99</v>
      </c>
    </row>
    <row r="132" spans="1:14" x14ac:dyDescent="0.25">
      <c r="A132" s="176">
        <v>40695</v>
      </c>
      <c r="B132" s="177">
        <v>0.93059999999999998</v>
      </c>
      <c r="C132" s="177">
        <v>0.93059999999999998</v>
      </c>
      <c r="D132" s="177">
        <v>0.995</v>
      </c>
      <c r="E132" s="177">
        <v>0.96</v>
      </c>
      <c r="F132" s="177">
        <v>0.96</v>
      </c>
      <c r="G132" s="177">
        <v>0.93059999999999998</v>
      </c>
      <c r="H132" s="177">
        <v>0.99</v>
      </c>
      <c r="I132" s="54">
        <v>0.93059999999999998</v>
      </c>
      <c r="J132" s="54">
        <v>0.995</v>
      </c>
      <c r="K132" s="54">
        <v>0.98</v>
      </c>
      <c r="L132">
        <v>0.99</v>
      </c>
      <c r="M132">
        <v>1.0049999999999999</v>
      </c>
      <c r="N132">
        <v>0.99</v>
      </c>
    </row>
    <row r="133" spans="1:14" x14ac:dyDescent="0.25">
      <c r="A133" s="176">
        <v>40725</v>
      </c>
      <c r="B133" s="177">
        <v>0.93059999999999998</v>
      </c>
      <c r="C133" s="177">
        <v>0.93059999999999998</v>
      </c>
      <c r="D133" s="177">
        <v>0.995</v>
      </c>
      <c r="E133" s="177">
        <v>0.96</v>
      </c>
      <c r="F133" s="177">
        <v>0.96</v>
      </c>
      <c r="G133" s="177">
        <v>0.93059999999999998</v>
      </c>
      <c r="H133" s="177">
        <v>0.99</v>
      </c>
      <c r="I133" s="54">
        <v>0.93059999999999998</v>
      </c>
      <c r="J133" s="54">
        <v>0.995</v>
      </c>
      <c r="K133" s="54">
        <v>0.98</v>
      </c>
      <c r="L133">
        <v>0.99</v>
      </c>
      <c r="M133">
        <v>1.0049999999999999</v>
      </c>
      <c r="N133">
        <v>0.99</v>
      </c>
    </row>
    <row r="134" spans="1:14" x14ac:dyDescent="0.25">
      <c r="A134" s="176">
        <v>40756</v>
      </c>
      <c r="B134" s="177">
        <v>0.93059999999999998</v>
      </c>
      <c r="C134" s="177">
        <v>0.93059999999999998</v>
      </c>
      <c r="D134" s="177">
        <v>0.995</v>
      </c>
      <c r="E134" s="177">
        <v>0.96</v>
      </c>
      <c r="F134" s="177">
        <v>0.96</v>
      </c>
      <c r="G134" s="177">
        <v>0.93059999999999998</v>
      </c>
      <c r="H134" s="177">
        <v>0.99</v>
      </c>
      <c r="I134" s="54">
        <v>0.93059999999999998</v>
      </c>
      <c r="J134" s="54">
        <v>0.995</v>
      </c>
      <c r="K134" s="54">
        <v>0.98</v>
      </c>
      <c r="L134">
        <v>0.99</v>
      </c>
      <c r="M134">
        <v>1.0049999999999999</v>
      </c>
      <c r="N134">
        <v>0.99</v>
      </c>
    </row>
    <row r="135" spans="1:14" x14ac:dyDescent="0.25">
      <c r="A135" s="176">
        <v>40787</v>
      </c>
      <c r="B135" s="177">
        <v>0.93059999999999998</v>
      </c>
      <c r="C135" s="177">
        <v>0.93059999999999998</v>
      </c>
      <c r="D135" s="177">
        <v>0.995</v>
      </c>
      <c r="E135" s="177">
        <v>0.96</v>
      </c>
      <c r="F135" s="177">
        <v>0.96</v>
      </c>
      <c r="G135" s="177">
        <v>0.93059999999999998</v>
      </c>
      <c r="H135" s="177">
        <v>0.99</v>
      </c>
      <c r="I135" s="54">
        <v>0.93059999999999998</v>
      </c>
      <c r="J135" s="54">
        <v>0.995</v>
      </c>
      <c r="K135" s="54">
        <v>0.98</v>
      </c>
      <c r="L135">
        <v>0.99</v>
      </c>
      <c r="M135">
        <v>1.0049999999999999</v>
      </c>
      <c r="N135">
        <v>0.99</v>
      </c>
    </row>
    <row r="136" spans="1:14" x14ac:dyDescent="0.25">
      <c r="A136" s="176">
        <v>40817</v>
      </c>
      <c r="B136" s="177">
        <v>0.93059999999999998</v>
      </c>
      <c r="C136" s="177">
        <v>0.93059999999999998</v>
      </c>
      <c r="D136" s="177">
        <v>0.995</v>
      </c>
      <c r="E136" s="177">
        <v>0.96</v>
      </c>
      <c r="F136" s="177">
        <v>0.96</v>
      </c>
      <c r="G136" s="177">
        <v>0.93059999999999998</v>
      </c>
      <c r="H136" s="177">
        <v>0.99</v>
      </c>
      <c r="I136" s="54">
        <v>0.93059999999999998</v>
      </c>
      <c r="J136" s="54">
        <v>0.995</v>
      </c>
      <c r="K136" s="54">
        <v>0.98</v>
      </c>
      <c r="L136">
        <v>0.99</v>
      </c>
      <c r="M136">
        <v>1.0049999999999999</v>
      </c>
      <c r="N136">
        <v>0.99</v>
      </c>
    </row>
    <row r="137" spans="1:14" x14ac:dyDescent="0.25">
      <c r="A137" s="176">
        <v>40848</v>
      </c>
      <c r="B137" s="177">
        <v>0.93059999999999998</v>
      </c>
      <c r="C137" s="177">
        <v>0.93059999999999998</v>
      </c>
      <c r="D137" s="177">
        <v>0.995</v>
      </c>
      <c r="E137" s="177">
        <v>0.96</v>
      </c>
      <c r="F137" s="177">
        <v>0.96</v>
      </c>
      <c r="G137" s="177">
        <v>0.93059999999999998</v>
      </c>
      <c r="H137" s="177">
        <v>0.99</v>
      </c>
      <c r="I137" s="54">
        <v>0.93059999999999998</v>
      </c>
      <c r="J137" s="54">
        <v>0.995</v>
      </c>
      <c r="K137" s="54">
        <v>0.98</v>
      </c>
      <c r="L137">
        <v>0.99</v>
      </c>
      <c r="M137">
        <v>1.0049999999999999</v>
      </c>
      <c r="N137">
        <v>0.99</v>
      </c>
    </row>
    <row r="138" spans="1:14" x14ac:dyDescent="0.25">
      <c r="A138" s="176">
        <v>40878</v>
      </c>
      <c r="B138" s="177">
        <v>0.93059999999999998</v>
      </c>
      <c r="C138" s="177">
        <v>0.93059999999999998</v>
      </c>
      <c r="D138" s="177">
        <v>0.995</v>
      </c>
      <c r="E138" s="177">
        <v>0.96</v>
      </c>
      <c r="F138" s="177">
        <v>0.96</v>
      </c>
      <c r="G138" s="177">
        <v>0.93059999999999998</v>
      </c>
      <c r="H138" s="177">
        <v>0.99</v>
      </c>
      <c r="I138" s="54">
        <v>0.93059999999999998</v>
      </c>
      <c r="J138" s="54">
        <v>0.995</v>
      </c>
      <c r="K138" s="54">
        <v>0.98</v>
      </c>
      <c r="L138">
        <v>0.99</v>
      </c>
      <c r="M138">
        <v>1.0049999999999999</v>
      </c>
      <c r="N138">
        <v>0.99</v>
      </c>
    </row>
    <row r="139" spans="1:14" x14ac:dyDescent="0.25">
      <c r="A139" s="176">
        <v>40909</v>
      </c>
      <c r="B139" s="177">
        <v>0.93059999999999998</v>
      </c>
      <c r="C139" s="177">
        <v>0.93059999999999998</v>
      </c>
      <c r="D139" s="177">
        <v>0.995</v>
      </c>
      <c r="E139" s="177">
        <v>0.96</v>
      </c>
      <c r="F139" s="177">
        <v>0.96</v>
      </c>
      <c r="G139" s="177">
        <v>0.93059999999999998</v>
      </c>
      <c r="H139" s="177">
        <v>0.99</v>
      </c>
      <c r="I139" s="54">
        <v>0.93059999999999998</v>
      </c>
      <c r="J139" s="54">
        <v>0.995</v>
      </c>
      <c r="K139" s="54">
        <v>0.98</v>
      </c>
      <c r="L139">
        <v>0.99</v>
      </c>
      <c r="M139">
        <v>1.0049999999999999</v>
      </c>
      <c r="N139">
        <v>0.99</v>
      </c>
    </row>
    <row r="140" spans="1:14" x14ac:dyDescent="0.25">
      <c r="A140" s="176">
        <v>40940</v>
      </c>
      <c r="B140" s="177">
        <v>0.93059999999999998</v>
      </c>
      <c r="C140" s="177">
        <v>0.93059999999999998</v>
      </c>
      <c r="D140" s="177">
        <v>0.995</v>
      </c>
      <c r="E140" s="177">
        <v>0.96</v>
      </c>
      <c r="F140" s="177">
        <v>0.96</v>
      </c>
      <c r="G140" s="177">
        <v>0.93059999999999998</v>
      </c>
      <c r="H140" s="177">
        <v>0.99</v>
      </c>
      <c r="I140" s="54">
        <v>0.93059999999999998</v>
      </c>
      <c r="J140" s="54">
        <v>0.995</v>
      </c>
      <c r="K140" s="54">
        <v>0.98</v>
      </c>
      <c r="L140">
        <v>0.99</v>
      </c>
      <c r="M140">
        <v>1.0049999999999999</v>
      </c>
      <c r="N140">
        <v>0.99</v>
      </c>
    </row>
    <row r="141" spans="1:14" x14ac:dyDescent="0.25">
      <c r="A141" s="176">
        <v>40969</v>
      </c>
      <c r="B141" s="177">
        <v>0.93059999999999998</v>
      </c>
      <c r="C141" s="177">
        <v>0.93059999999999998</v>
      </c>
      <c r="D141" s="177">
        <v>0.995</v>
      </c>
      <c r="E141" s="177">
        <v>0.96</v>
      </c>
      <c r="F141" s="177">
        <v>0.96</v>
      </c>
      <c r="G141" s="177">
        <v>0.93059999999999998</v>
      </c>
      <c r="H141" s="177">
        <v>0.99</v>
      </c>
      <c r="I141" s="54">
        <v>0.93059999999999998</v>
      </c>
      <c r="J141" s="54">
        <v>0.995</v>
      </c>
      <c r="K141" s="54">
        <v>0.98</v>
      </c>
      <c r="L141">
        <v>0.99</v>
      </c>
      <c r="M141">
        <v>1.0049999999999999</v>
      </c>
      <c r="N141">
        <v>0.99</v>
      </c>
    </row>
    <row r="142" spans="1:14" x14ac:dyDescent="0.25">
      <c r="A142" s="176">
        <v>41000</v>
      </c>
      <c r="B142" s="177">
        <v>0.93059999999999998</v>
      </c>
      <c r="C142" s="177">
        <v>0.93059999999999998</v>
      </c>
      <c r="D142" s="177">
        <v>0.995</v>
      </c>
      <c r="E142" s="177">
        <v>0.96</v>
      </c>
      <c r="F142" s="177">
        <v>0.96</v>
      </c>
      <c r="G142" s="177">
        <v>0.93059999999999998</v>
      </c>
      <c r="H142" s="177">
        <v>0.99</v>
      </c>
      <c r="I142" s="54">
        <v>0.93059999999999998</v>
      </c>
      <c r="J142" s="54">
        <v>0.995</v>
      </c>
      <c r="K142" s="54">
        <v>0.98</v>
      </c>
      <c r="L142">
        <v>0.99</v>
      </c>
      <c r="M142">
        <v>1.0049999999999999</v>
      </c>
      <c r="N142">
        <v>0.99</v>
      </c>
    </row>
    <row r="143" spans="1:14" x14ac:dyDescent="0.25">
      <c r="A143" s="176">
        <v>41030</v>
      </c>
      <c r="B143" s="177">
        <v>0.93059999999999998</v>
      </c>
      <c r="C143" s="177">
        <v>0.93059999999999998</v>
      </c>
      <c r="D143" s="177">
        <v>0.995</v>
      </c>
      <c r="E143" s="177">
        <v>0.96</v>
      </c>
      <c r="F143" s="177">
        <v>0.96</v>
      </c>
      <c r="G143" s="177">
        <v>0.93059999999999998</v>
      </c>
      <c r="H143" s="177">
        <v>0.99</v>
      </c>
      <c r="I143" s="54">
        <v>0.93059999999999998</v>
      </c>
      <c r="J143" s="54">
        <v>0.995</v>
      </c>
      <c r="K143" s="54">
        <v>0.98</v>
      </c>
      <c r="L143">
        <v>0.99</v>
      </c>
      <c r="M143">
        <v>1.0049999999999999</v>
      </c>
      <c r="N143">
        <v>0.99</v>
      </c>
    </row>
    <row r="144" spans="1:14" x14ac:dyDescent="0.25">
      <c r="A144" s="176">
        <v>41061</v>
      </c>
      <c r="B144" s="177">
        <v>0.93059999999999998</v>
      </c>
      <c r="C144" s="177">
        <v>0.93059999999999998</v>
      </c>
      <c r="D144" s="177">
        <v>0.995</v>
      </c>
      <c r="E144" s="177">
        <v>0.96</v>
      </c>
      <c r="F144" s="177">
        <v>0.96</v>
      </c>
      <c r="G144" s="177">
        <v>0.93059999999999998</v>
      </c>
      <c r="H144" s="177">
        <v>0.99</v>
      </c>
      <c r="I144" s="54">
        <v>0.93059999999999998</v>
      </c>
      <c r="J144" s="54">
        <v>0.995</v>
      </c>
      <c r="K144" s="54">
        <v>0.98</v>
      </c>
      <c r="L144">
        <v>0.99</v>
      </c>
      <c r="M144">
        <v>1.0049999999999999</v>
      </c>
      <c r="N144">
        <v>0.99</v>
      </c>
    </row>
    <row r="145" spans="1:14" x14ac:dyDescent="0.25">
      <c r="A145" s="176">
        <v>41091</v>
      </c>
      <c r="B145" s="177">
        <v>0.93059999999999998</v>
      </c>
      <c r="C145" s="177">
        <v>0.93059999999999998</v>
      </c>
      <c r="D145" s="177">
        <v>0.995</v>
      </c>
      <c r="E145" s="177">
        <v>0.96</v>
      </c>
      <c r="F145" s="177">
        <v>0.96</v>
      </c>
      <c r="G145" s="177">
        <v>0.93059999999999998</v>
      </c>
      <c r="H145" s="177">
        <v>0.99</v>
      </c>
      <c r="I145" s="54">
        <v>0.93059999999999998</v>
      </c>
      <c r="J145" s="54">
        <v>0.995</v>
      </c>
      <c r="K145" s="54">
        <v>0.98</v>
      </c>
      <c r="L145">
        <v>0.99</v>
      </c>
      <c r="M145">
        <v>1.0049999999999999</v>
      </c>
      <c r="N145">
        <v>0.99</v>
      </c>
    </row>
    <row r="146" spans="1:14" x14ac:dyDescent="0.25">
      <c r="A146" s="176">
        <v>41122</v>
      </c>
      <c r="B146" s="177">
        <v>0.93059999999999998</v>
      </c>
      <c r="C146" s="177">
        <v>0.93059999999999998</v>
      </c>
      <c r="D146" s="177">
        <v>0.995</v>
      </c>
      <c r="E146" s="177">
        <v>0.96</v>
      </c>
      <c r="F146" s="177">
        <v>0.96</v>
      </c>
      <c r="G146" s="177">
        <v>0.93059999999999998</v>
      </c>
      <c r="H146" s="177">
        <v>0.99</v>
      </c>
      <c r="I146" s="54">
        <v>0.93059999999999998</v>
      </c>
      <c r="J146" s="54">
        <v>0.995</v>
      </c>
      <c r="K146" s="54">
        <v>0.98</v>
      </c>
      <c r="L146">
        <v>0.99</v>
      </c>
      <c r="M146">
        <v>1.0049999999999999</v>
      </c>
      <c r="N146">
        <v>0.99</v>
      </c>
    </row>
    <row r="147" spans="1:14" x14ac:dyDescent="0.25">
      <c r="A147" s="176">
        <v>41153</v>
      </c>
      <c r="B147" s="177">
        <v>0.93059999999999998</v>
      </c>
      <c r="C147" s="177">
        <v>0.93059999999999998</v>
      </c>
      <c r="D147" s="177">
        <v>0.995</v>
      </c>
      <c r="E147" s="177">
        <v>0.96</v>
      </c>
      <c r="F147" s="177">
        <v>0.96</v>
      </c>
      <c r="G147" s="177">
        <v>0.93059999999999998</v>
      </c>
      <c r="H147" s="177">
        <v>0.99</v>
      </c>
      <c r="I147" s="54">
        <v>0.93059999999999998</v>
      </c>
      <c r="J147" s="54">
        <v>0.995</v>
      </c>
      <c r="K147" s="54">
        <v>0.98</v>
      </c>
      <c r="L147">
        <v>0.99</v>
      </c>
      <c r="M147">
        <v>1.0049999999999999</v>
      </c>
      <c r="N147">
        <v>0.99</v>
      </c>
    </row>
    <row r="148" spans="1:14" x14ac:dyDescent="0.25">
      <c r="A148" s="176">
        <v>41183</v>
      </c>
      <c r="B148" s="177">
        <v>0.93059999999999998</v>
      </c>
      <c r="C148" s="177">
        <v>0.93059999999999998</v>
      </c>
      <c r="D148" s="177">
        <v>0.995</v>
      </c>
      <c r="E148" s="177">
        <v>0.96</v>
      </c>
      <c r="F148" s="177">
        <v>0.96</v>
      </c>
      <c r="G148" s="177">
        <v>0.93059999999999998</v>
      </c>
      <c r="H148" s="177">
        <v>0.99</v>
      </c>
      <c r="I148" s="54">
        <v>0.93059999999999998</v>
      </c>
      <c r="J148" s="54">
        <v>0.995</v>
      </c>
      <c r="K148" s="54">
        <v>0.98</v>
      </c>
      <c r="L148">
        <v>0.99</v>
      </c>
      <c r="M148">
        <v>1.0049999999999999</v>
      </c>
      <c r="N148">
        <v>0.99</v>
      </c>
    </row>
    <row r="149" spans="1:14" x14ac:dyDescent="0.25">
      <c r="A149" s="176">
        <v>41214</v>
      </c>
      <c r="B149" s="177">
        <v>0.93059999999999998</v>
      </c>
      <c r="C149" s="177">
        <v>0.93059999999999998</v>
      </c>
      <c r="D149" s="177">
        <v>0.995</v>
      </c>
      <c r="E149" s="177">
        <v>0.96</v>
      </c>
      <c r="F149" s="177">
        <v>0.96</v>
      </c>
      <c r="G149" s="177">
        <v>0.93059999999999998</v>
      </c>
      <c r="H149" s="177">
        <v>0.99</v>
      </c>
      <c r="I149" s="54">
        <v>0.93059999999999998</v>
      </c>
      <c r="J149" s="54">
        <v>0.995</v>
      </c>
      <c r="K149" s="54">
        <v>0.98</v>
      </c>
      <c r="L149">
        <v>0.99</v>
      </c>
      <c r="M149">
        <v>1.0049999999999999</v>
      </c>
      <c r="N149">
        <v>0.99</v>
      </c>
    </row>
    <row r="150" spans="1:14" x14ac:dyDescent="0.25">
      <c r="A150" s="176">
        <v>41244</v>
      </c>
      <c r="B150" s="177">
        <v>0.93059999999999998</v>
      </c>
      <c r="C150" s="177">
        <v>0.93059999999999998</v>
      </c>
      <c r="D150" s="177">
        <v>0.995</v>
      </c>
      <c r="E150" s="177">
        <v>0.96</v>
      </c>
      <c r="F150" s="177">
        <v>0.96</v>
      </c>
      <c r="G150" s="177">
        <v>0.93059999999999998</v>
      </c>
      <c r="H150" s="177">
        <v>0.99</v>
      </c>
      <c r="I150" s="54">
        <v>0.93059999999999998</v>
      </c>
      <c r="J150" s="54">
        <v>0.995</v>
      </c>
      <c r="K150" s="54">
        <v>0.98</v>
      </c>
      <c r="L150">
        <v>0.99</v>
      </c>
      <c r="M150">
        <v>1.0049999999999999</v>
      </c>
      <c r="N150">
        <v>0.99</v>
      </c>
    </row>
    <row r="151" spans="1:14" x14ac:dyDescent="0.25">
      <c r="A151" s="176">
        <v>41275</v>
      </c>
      <c r="B151" s="177">
        <v>0.93059999999999998</v>
      </c>
      <c r="C151" s="177">
        <v>0.93059999999999998</v>
      </c>
      <c r="D151" s="177">
        <v>0.995</v>
      </c>
      <c r="E151" s="177">
        <v>0.96</v>
      </c>
      <c r="F151" s="177">
        <v>0.96</v>
      </c>
      <c r="G151" s="177">
        <v>0.93059999999999998</v>
      </c>
      <c r="H151" s="177">
        <v>0.99</v>
      </c>
      <c r="I151" s="54">
        <v>0.93059999999999998</v>
      </c>
      <c r="J151" s="54">
        <v>0.995</v>
      </c>
      <c r="K151" s="54">
        <v>0.98</v>
      </c>
      <c r="L151">
        <v>0.99</v>
      </c>
      <c r="M151">
        <v>1.0049999999999999</v>
      </c>
      <c r="N151">
        <v>0.99</v>
      </c>
    </row>
    <row r="152" spans="1:14" x14ac:dyDescent="0.25">
      <c r="A152" s="176">
        <v>41306</v>
      </c>
      <c r="B152" s="177">
        <v>0.93059999999999998</v>
      </c>
      <c r="C152" s="177">
        <v>0.93059999999999998</v>
      </c>
      <c r="D152" s="177">
        <v>0.995</v>
      </c>
      <c r="E152" s="177">
        <v>0.96</v>
      </c>
      <c r="F152" s="177">
        <v>0.96</v>
      </c>
      <c r="G152" s="177">
        <v>0.93059999999999998</v>
      </c>
      <c r="H152" s="177">
        <v>0.99</v>
      </c>
      <c r="I152" s="54">
        <v>0.93059999999999998</v>
      </c>
      <c r="J152" s="54">
        <v>0.995</v>
      </c>
      <c r="K152" s="54">
        <v>0.98</v>
      </c>
      <c r="L152">
        <v>0.99</v>
      </c>
      <c r="M152">
        <v>1.0049999999999999</v>
      </c>
      <c r="N152">
        <v>0.99</v>
      </c>
    </row>
    <row r="153" spans="1:14" x14ac:dyDescent="0.25">
      <c r="A153" s="176">
        <v>41334</v>
      </c>
      <c r="B153" s="177">
        <v>0.93059999999999998</v>
      </c>
      <c r="C153" s="177">
        <v>0.93059999999999998</v>
      </c>
      <c r="D153" s="177">
        <v>0.995</v>
      </c>
      <c r="E153" s="177">
        <v>0.96</v>
      </c>
      <c r="F153" s="177">
        <v>0.96</v>
      </c>
      <c r="G153" s="177">
        <v>0.93059999999999998</v>
      </c>
      <c r="H153" s="177">
        <v>0.99</v>
      </c>
      <c r="I153" s="54">
        <v>0.93059999999999998</v>
      </c>
      <c r="J153" s="54">
        <v>0.995</v>
      </c>
      <c r="K153" s="54">
        <v>0.98</v>
      </c>
      <c r="L153">
        <v>0.99</v>
      </c>
      <c r="M153">
        <v>1.0049999999999999</v>
      </c>
      <c r="N153">
        <v>0.99</v>
      </c>
    </row>
    <row r="154" spans="1:14" x14ac:dyDescent="0.25">
      <c r="A154" s="176">
        <v>41365</v>
      </c>
      <c r="B154" s="177">
        <v>0.93059999999999998</v>
      </c>
      <c r="C154" s="177">
        <v>0.93059999999999998</v>
      </c>
      <c r="D154" s="177">
        <v>0.995</v>
      </c>
      <c r="E154" s="177">
        <v>0.96</v>
      </c>
      <c r="F154" s="177">
        <v>0.96</v>
      </c>
      <c r="G154" s="177">
        <v>0.93059999999999998</v>
      </c>
      <c r="H154" s="177">
        <v>0.99</v>
      </c>
      <c r="I154" s="54">
        <v>0.93059999999999998</v>
      </c>
      <c r="J154" s="54">
        <v>0.995</v>
      </c>
      <c r="K154" s="54">
        <v>0.98</v>
      </c>
      <c r="L154">
        <v>0.99</v>
      </c>
      <c r="M154">
        <v>1.0049999999999999</v>
      </c>
      <c r="N154">
        <v>0.99</v>
      </c>
    </row>
    <row r="155" spans="1:14" x14ac:dyDescent="0.25">
      <c r="A155" s="176">
        <v>41395</v>
      </c>
      <c r="B155" s="177">
        <v>0.93059999999999998</v>
      </c>
      <c r="C155" s="177">
        <v>0.93059999999999998</v>
      </c>
      <c r="D155" s="177">
        <v>0.995</v>
      </c>
      <c r="E155" s="177">
        <v>0.96</v>
      </c>
      <c r="F155" s="177">
        <v>0.96</v>
      </c>
      <c r="G155" s="177">
        <v>0.93059999999999998</v>
      </c>
      <c r="H155" s="177">
        <v>0.99</v>
      </c>
      <c r="I155" s="54">
        <v>0.93059999999999998</v>
      </c>
      <c r="J155" s="54">
        <v>0.995</v>
      </c>
      <c r="K155" s="54">
        <v>0.98</v>
      </c>
      <c r="L155">
        <v>0.99</v>
      </c>
      <c r="M155">
        <v>1.0049999999999999</v>
      </c>
      <c r="N155">
        <v>0.99</v>
      </c>
    </row>
    <row r="156" spans="1:14" x14ac:dyDescent="0.25">
      <c r="A156" s="176">
        <v>41426</v>
      </c>
      <c r="B156" s="177">
        <v>0.93059999999999998</v>
      </c>
      <c r="C156" s="177">
        <v>0.93059999999999998</v>
      </c>
      <c r="D156" s="177">
        <v>0.995</v>
      </c>
      <c r="E156" s="177">
        <v>0.96</v>
      </c>
      <c r="F156" s="177">
        <v>0.96</v>
      </c>
      <c r="G156" s="177">
        <v>0.93059999999999998</v>
      </c>
      <c r="H156" s="177">
        <v>0.99</v>
      </c>
      <c r="I156" s="54">
        <v>0.93059999999999998</v>
      </c>
      <c r="J156" s="54">
        <v>0.995</v>
      </c>
      <c r="K156" s="54">
        <v>0.98</v>
      </c>
      <c r="L156">
        <v>0.99</v>
      </c>
      <c r="M156">
        <v>1.0049999999999999</v>
      </c>
      <c r="N156">
        <v>0.99</v>
      </c>
    </row>
    <row r="157" spans="1:14" x14ac:dyDescent="0.25">
      <c r="A157" s="176">
        <v>41456</v>
      </c>
      <c r="B157" s="177">
        <v>0.93059999999999998</v>
      </c>
      <c r="C157" s="177">
        <v>0.93059999999999998</v>
      </c>
      <c r="D157" s="177">
        <v>0.995</v>
      </c>
      <c r="E157" s="177">
        <v>0.96</v>
      </c>
      <c r="F157" s="177">
        <v>0.96</v>
      </c>
      <c r="G157" s="177">
        <v>0.93059999999999998</v>
      </c>
      <c r="H157" s="177">
        <v>0.99</v>
      </c>
      <c r="I157" s="54">
        <v>0.93059999999999998</v>
      </c>
      <c r="J157" s="54">
        <v>0.995</v>
      </c>
      <c r="K157" s="54">
        <v>0.98</v>
      </c>
      <c r="L157">
        <v>0.99</v>
      </c>
      <c r="M157">
        <v>1.0049999999999999</v>
      </c>
      <c r="N157">
        <v>0.99</v>
      </c>
    </row>
    <row r="158" spans="1:14" x14ac:dyDescent="0.25">
      <c r="A158" s="176">
        <v>41487</v>
      </c>
      <c r="B158" s="177">
        <v>0.93059999999999998</v>
      </c>
      <c r="C158" s="177">
        <v>0.93059999999999998</v>
      </c>
      <c r="D158" s="177">
        <v>0.995</v>
      </c>
      <c r="E158" s="177">
        <v>0.96</v>
      </c>
      <c r="F158" s="177">
        <v>0.96</v>
      </c>
      <c r="G158" s="177">
        <v>0.93059999999999998</v>
      </c>
      <c r="H158" s="177">
        <v>0.99</v>
      </c>
      <c r="I158" s="54">
        <v>0.93059999999999998</v>
      </c>
      <c r="J158" s="54">
        <v>0.995</v>
      </c>
      <c r="K158" s="54">
        <v>0.98</v>
      </c>
      <c r="L158">
        <v>0.99</v>
      </c>
      <c r="M158">
        <v>1.0049999999999999</v>
      </c>
      <c r="N158">
        <v>0.99</v>
      </c>
    </row>
    <row r="159" spans="1:14" x14ac:dyDescent="0.25">
      <c r="A159" s="176">
        <v>41518</v>
      </c>
      <c r="B159" s="177">
        <v>0.93059999999999998</v>
      </c>
      <c r="C159" s="177">
        <v>0.93059999999999998</v>
      </c>
      <c r="D159" s="177">
        <v>0.995</v>
      </c>
      <c r="E159" s="177">
        <v>0.96</v>
      </c>
      <c r="F159" s="177">
        <v>0.96</v>
      </c>
      <c r="G159" s="177">
        <v>0.93059999999999998</v>
      </c>
      <c r="H159" s="177">
        <v>0.99</v>
      </c>
      <c r="I159" s="54">
        <v>0.93059999999999998</v>
      </c>
      <c r="J159" s="54">
        <v>0.995</v>
      </c>
      <c r="K159" s="54">
        <v>0.98</v>
      </c>
      <c r="L159">
        <v>0.99</v>
      </c>
      <c r="M159">
        <v>1.0049999999999999</v>
      </c>
      <c r="N159">
        <v>0.99</v>
      </c>
    </row>
    <row r="160" spans="1:14" x14ac:dyDescent="0.25">
      <c r="A160" s="176">
        <v>41548</v>
      </c>
      <c r="B160" s="177">
        <v>0.93059999999999998</v>
      </c>
      <c r="C160" s="177">
        <v>0.93059999999999998</v>
      </c>
      <c r="D160" s="177">
        <v>0.995</v>
      </c>
      <c r="E160" s="177">
        <v>0.96</v>
      </c>
      <c r="F160" s="177">
        <v>0.96</v>
      </c>
      <c r="G160" s="177">
        <v>0.93059999999999998</v>
      </c>
      <c r="H160" s="177">
        <v>0.99</v>
      </c>
      <c r="I160" s="54">
        <v>0.93059999999999998</v>
      </c>
      <c r="J160" s="54">
        <v>0.995</v>
      </c>
      <c r="K160" s="54">
        <v>0.98</v>
      </c>
      <c r="L160">
        <v>0.99</v>
      </c>
      <c r="M160">
        <v>1.0049999999999999</v>
      </c>
      <c r="N160">
        <v>0.99</v>
      </c>
    </row>
    <row r="161" spans="1:14" x14ac:dyDescent="0.25">
      <c r="A161" s="176">
        <v>41579</v>
      </c>
      <c r="B161" s="177">
        <v>0.93059999999999998</v>
      </c>
      <c r="C161" s="177">
        <v>0.93059999999999998</v>
      </c>
      <c r="D161" s="177">
        <v>0.995</v>
      </c>
      <c r="E161" s="177">
        <v>0.96</v>
      </c>
      <c r="F161" s="177">
        <v>0.96</v>
      </c>
      <c r="G161" s="177">
        <v>0.93059999999999998</v>
      </c>
      <c r="H161" s="177">
        <v>0.99</v>
      </c>
      <c r="I161" s="54">
        <v>0.93059999999999998</v>
      </c>
      <c r="J161" s="54">
        <v>0.995</v>
      </c>
      <c r="K161" s="54">
        <v>0.98</v>
      </c>
      <c r="L161">
        <v>0.99</v>
      </c>
      <c r="M161">
        <v>1.0049999999999999</v>
      </c>
      <c r="N161">
        <v>0.99</v>
      </c>
    </row>
    <row r="162" spans="1:14" x14ac:dyDescent="0.25">
      <c r="A162" s="176">
        <v>41609</v>
      </c>
      <c r="B162" s="177">
        <v>0.93059999999999998</v>
      </c>
      <c r="C162" s="177">
        <v>0.93059999999999998</v>
      </c>
      <c r="D162" s="177">
        <v>0.995</v>
      </c>
      <c r="E162" s="177">
        <v>0.96</v>
      </c>
      <c r="F162" s="177">
        <v>0.96</v>
      </c>
      <c r="G162" s="177">
        <v>0.93059999999999998</v>
      </c>
      <c r="H162" s="177">
        <v>0.99</v>
      </c>
      <c r="I162" s="54">
        <v>0.93059999999999998</v>
      </c>
      <c r="J162" s="54">
        <v>0.995</v>
      </c>
      <c r="K162" s="54">
        <v>0.98</v>
      </c>
      <c r="L162">
        <v>0.99</v>
      </c>
      <c r="M162">
        <v>1.0049999999999999</v>
      </c>
      <c r="N162">
        <v>0.99</v>
      </c>
    </row>
    <row r="163" spans="1:14" x14ac:dyDescent="0.25">
      <c r="A163" s="176">
        <v>41640</v>
      </c>
      <c r="B163" s="177">
        <v>0.93059999999999998</v>
      </c>
      <c r="C163" s="177">
        <v>0.93059999999999998</v>
      </c>
      <c r="D163" s="177">
        <v>0.995</v>
      </c>
      <c r="E163" s="177">
        <v>0.96</v>
      </c>
      <c r="F163" s="177">
        <v>0.96</v>
      </c>
      <c r="G163" s="177">
        <v>0.93059999999999998</v>
      </c>
      <c r="H163" s="177">
        <v>0.99</v>
      </c>
      <c r="I163" s="54">
        <v>0.93059999999999998</v>
      </c>
      <c r="J163" s="54">
        <v>0.995</v>
      </c>
      <c r="K163" s="54">
        <v>0.98</v>
      </c>
      <c r="L163">
        <v>0.99</v>
      </c>
      <c r="M163">
        <v>1.0049999999999999</v>
      </c>
      <c r="N163">
        <v>0.99</v>
      </c>
    </row>
    <row r="164" spans="1:14" x14ac:dyDescent="0.25">
      <c r="A164" s="176">
        <v>41671</v>
      </c>
      <c r="B164" s="177">
        <v>0.93059999999999998</v>
      </c>
      <c r="C164" s="177">
        <v>0.93059999999999998</v>
      </c>
      <c r="D164" s="177">
        <v>0.995</v>
      </c>
      <c r="E164" s="177">
        <v>0.96</v>
      </c>
      <c r="F164" s="177">
        <v>0.96</v>
      </c>
      <c r="G164" s="177">
        <v>0.93059999999999998</v>
      </c>
      <c r="H164" s="177">
        <v>0.99</v>
      </c>
      <c r="I164" s="54">
        <v>0.93059999999999998</v>
      </c>
      <c r="J164" s="54">
        <v>0.995</v>
      </c>
      <c r="K164" s="54">
        <v>0.98</v>
      </c>
      <c r="L164">
        <v>0.99</v>
      </c>
      <c r="M164">
        <v>1.0049999999999999</v>
      </c>
      <c r="N164">
        <v>0.99</v>
      </c>
    </row>
    <row r="165" spans="1:14" x14ac:dyDescent="0.25">
      <c r="A165" s="176">
        <v>41699</v>
      </c>
      <c r="B165" s="177">
        <v>0.93059999999999998</v>
      </c>
      <c r="C165" s="177">
        <v>0.93059999999999998</v>
      </c>
      <c r="D165" s="177">
        <v>0.995</v>
      </c>
      <c r="E165" s="177">
        <v>0.96</v>
      </c>
      <c r="F165" s="177">
        <v>0.96</v>
      </c>
      <c r="G165" s="177">
        <v>0.93059999999999998</v>
      </c>
      <c r="H165" s="177">
        <v>0.99</v>
      </c>
      <c r="I165" s="54">
        <v>0.93059999999999998</v>
      </c>
      <c r="J165" s="54">
        <v>0.995</v>
      </c>
      <c r="K165" s="54">
        <v>0.98</v>
      </c>
      <c r="L165">
        <v>0.99</v>
      </c>
      <c r="M165">
        <v>1.0049999999999999</v>
      </c>
      <c r="N165">
        <v>0.99</v>
      </c>
    </row>
    <row r="166" spans="1:14" x14ac:dyDescent="0.25">
      <c r="A166" s="176">
        <v>41730</v>
      </c>
      <c r="B166" s="177">
        <v>0.93059999999999998</v>
      </c>
      <c r="C166" s="177">
        <v>0.93059999999999998</v>
      </c>
      <c r="D166" s="177">
        <v>0.995</v>
      </c>
      <c r="E166" s="177">
        <v>0.96</v>
      </c>
      <c r="F166" s="177">
        <v>0.96</v>
      </c>
      <c r="G166" s="177">
        <v>0.93059999999999998</v>
      </c>
      <c r="H166" s="177">
        <v>0.99</v>
      </c>
      <c r="I166" s="54">
        <v>0.93059999999999998</v>
      </c>
      <c r="J166" s="54">
        <v>0.995</v>
      </c>
      <c r="K166" s="54">
        <v>0.98</v>
      </c>
      <c r="L166">
        <v>0.99</v>
      </c>
      <c r="M166">
        <v>1.0049999999999999</v>
      </c>
      <c r="N166">
        <v>0.99</v>
      </c>
    </row>
    <row r="167" spans="1:14" x14ac:dyDescent="0.25">
      <c r="A167" s="176">
        <v>41760</v>
      </c>
      <c r="B167" s="177">
        <v>0.93059999999999998</v>
      </c>
      <c r="C167" s="177">
        <v>0.93059999999999998</v>
      </c>
      <c r="D167" s="177">
        <v>0.995</v>
      </c>
      <c r="E167" s="177">
        <v>0.96</v>
      </c>
      <c r="F167" s="177">
        <v>0.96</v>
      </c>
      <c r="G167" s="177">
        <v>0.93059999999999998</v>
      </c>
      <c r="H167" s="177">
        <v>0.99</v>
      </c>
      <c r="I167" s="54">
        <v>0.93059999999999998</v>
      </c>
      <c r="J167" s="54">
        <v>0.995</v>
      </c>
      <c r="K167" s="54">
        <v>0.98</v>
      </c>
      <c r="L167">
        <v>0.99</v>
      </c>
      <c r="M167">
        <v>1.0049999999999999</v>
      </c>
      <c r="N167">
        <v>0.99</v>
      </c>
    </row>
    <row r="168" spans="1:14" x14ac:dyDescent="0.25">
      <c r="A168" s="176">
        <v>41791</v>
      </c>
      <c r="B168" s="177">
        <v>0.93059999999999998</v>
      </c>
      <c r="C168" s="177">
        <v>0.93059999999999998</v>
      </c>
      <c r="D168" s="177">
        <v>0.995</v>
      </c>
      <c r="E168" s="177">
        <v>0.96</v>
      </c>
      <c r="F168" s="177">
        <v>0.96</v>
      </c>
      <c r="G168" s="177">
        <v>0.93059999999999998</v>
      </c>
      <c r="H168" s="177">
        <v>0.99</v>
      </c>
      <c r="I168" s="54">
        <v>0.93059999999999998</v>
      </c>
      <c r="J168" s="54">
        <v>0.995</v>
      </c>
      <c r="K168" s="54">
        <v>0.98</v>
      </c>
      <c r="L168">
        <v>0.99</v>
      </c>
      <c r="M168">
        <v>1.0049999999999999</v>
      </c>
      <c r="N168">
        <v>0.99</v>
      </c>
    </row>
    <row r="169" spans="1:14" x14ac:dyDescent="0.25">
      <c r="A169" s="176">
        <v>41821</v>
      </c>
      <c r="B169" s="177">
        <v>0.93059999999999998</v>
      </c>
      <c r="C169" s="177">
        <v>0.93059999999999998</v>
      </c>
      <c r="D169" s="177">
        <v>0.995</v>
      </c>
      <c r="E169" s="177">
        <v>0.96</v>
      </c>
      <c r="F169" s="177">
        <v>0.96</v>
      </c>
      <c r="G169" s="177">
        <v>0.93059999999999998</v>
      </c>
      <c r="H169" s="177">
        <v>0.99</v>
      </c>
      <c r="I169" s="54">
        <v>0.93059999999999998</v>
      </c>
      <c r="J169" s="54">
        <v>0.995</v>
      </c>
      <c r="K169" s="54">
        <v>0.98</v>
      </c>
      <c r="L169">
        <v>0.99</v>
      </c>
      <c r="M169">
        <v>1.0049999999999999</v>
      </c>
      <c r="N169">
        <v>0.99</v>
      </c>
    </row>
    <row r="170" spans="1:14" x14ac:dyDescent="0.25">
      <c r="A170" s="176">
        <v>41852</v>
      </c>
      <c r="B170" s="177">
        <v>0.93059999999999998</v>
      </c>
      <c r="C170" s="177">
        <v>0.93059999999999998</v>
      </c>
      <c r="D170" s="177">
        <v>0.995</v>
      </c>
      <c r="E170" s="177">
        <v>0.96</v>
      </c>
      <c r="F170" s="177">
        <v>0.96</v>
      </c>
      <c r="G170" s="177">
        <v>0.93059999999999998</v>
      </c>
      <c r="H170" s="177">
        <v>0.99</v>
      </c>
      <c r="I170" s="54">
        <v>0.93059999999999998</v>
      </c>
      <c r="J170" s="54">
        <v>0.995</v>
      </c>
      <c r="K170" s="54">
        <v>0.98</v>
      </c>
      <c r="L170">
        <v>0.99</v>
      </c>
      <c r="M170">
        <v>1.0049999999999999</v>
      </c>
      <c r="N170">
        <v>0.99</v>
      </c>
    </row>
    <row r="171" spans="1:14" x14ac:dyDescent="0.25">
      <c r="A171" s="176">
        <v>41883</v>
      </c>
      <c r="B171" s="177">
        <v>0.93059999999999998</v>
      </c>
      <c r="C171" s="177">
        <v>0.93059999999999998</v>
      </c>
      <c r="D171" s="177">
        <v>0.995</v>
      </c>
      <c r="E171" s="177">
        <v>0.96</v>
      </c>
      <c r="F171" s="177">
        <v>0.96</v>
      </c>
      <c r="G171" s="177">
        <v>0.93059999999999998</v>
      </c>
      <c r="H171" s="177">
        <v>0.99</v>
      </c>
      <c r="I171" s="54">
        <v>0.93059999999999998</v>
      </c>
      <c r="J171" s="54">
        <v>0.995</v>
      </c>
      <c r="K171" s="54">
        <v>0.98</v>
      </c>
      <c r="L171">
        <v>0.99</v>
      </c>
      <c r="M171">
        <v>1.0049999999999999</v>
      </c>
      <c r="N171">
        <v>0.99</v>
      </c>
    </row>
    <row r="172" spans="1:14" x14ac:dyDescent="0.25">
      <c r="A172" s="176">
        <v>41913</v>
      </c>
      <c r="B172" s="177">
        <v>0.93059999999999998</v>
      </c>
      <c r="C172" s="177">
        <v>0.93059999999999998</v>
      </c>
      <c r="D172" s="177">
        <v>0.995</v>
      </c>
      <c r="E172" s="177">
        <v>0.96</v>
      </c>
      <c r="F172" s="177">
        <v>0.96</v>
      </c>
      <c r="G172" s="177">
        <v>0.93059999999999998</v>
      </c>
      <c r="H172" s="177">
        <v>0.99</v>
      </c>
      <c r="I172" s="54">
        <v>0.93059999999999998</v>
      </c>
      <c r="J172" s="54">
        <v>0.995</v>
      </c>
      <c r="K172" s="54">
        <v>0.98</v>
      </c>
      <c r="L172">
        <v>0.99</v>
      </c>
      <c r="M172">
        <v>1.0049999999999999</v>
      </c>
      <c r="N172">
        <v>0.99</v>
      </c>
    </row>
    <row r="173" spans="1:14" x14ac:dyDescent="0.25">
      <c r="A173" s="176">
        <v>41944</v>
      </c>
      <c r="B173" s="177">
        <v>0.93059999999999998</v>
      </c>
      <c r="C173" s="177">
        <v>0.93059999999999998</v>
      </c>
      <c r="D173" s="177">
        <v>0.995</v>
      </c>
      <c r="E173" s="177">
        <v>0.96</v>
      </c>
      <c r="F173" s="177">
        <v>0.96</v>
      </c>
      <c r="G173" s="177">
        <v>0.93059999999999998</v>
      </c>
      <c r="H173" s="177">
        <v>0.99</v>
      </c>
      <c r="I173" s="54">
        <v>0.93059999999999998</v>
      </c>
      <c r="J173" s="54">
        <v>0.995</v>
      </c>
      <c r="K173" s="54">
        <v>0.98</v>
      </c>
      <c r="L173">
        <v>0.99</v>
      </c>
      <c r="M173">
        <v>1.0049999999999999</v>
      </c>
      <c r="N173">
        <v>0.99</v>
      </c>
    </row>
    <row r="174" spans="1:14" x14ac:dyDescent="0.25">
      <c r="A174" s="176">
        <v>41974</v>
      </c>
      <c r="B174" s="177">
        <v>0.93059999999999998</v>
      </c>
      <c r="C174" s="177">
        <v>0.93059999999999998</v>
      </c>
      <c r="D174" s="177">
        <v>0.995</v>
      </c>
      <c r="E174" s="177">
        <v>0.96</v>
      </c>
      <c r="F174" s="177">
        <v>0.96</v>
      </c>
      <c r="G174" s="177">
        <v>0.93059999999999998</v>
      </c>
      <c r="H174" s="177">
        <v>0.99</v>
      </c>
      <c r="I174" s="54">
        <v>0.93059999999999998</v>
      </c>
      <c r="J174" s="54">
        <v>0.995</v>
      </c>
      <c r="K174" s="54">
        <v>0.98</v>
      </c>
      <c r="L174">
        <v>0.99</v>
      </c>
      <c r="M174">
        <v>1.0049999999999999</v>
      </c>
      <c r="N174">
        <v>0.99</v>
      </c>
    </row>
    <row r="175" spans="1:14" x14ac:dyDescent="0.25">
      <c r="A175" s="176">
        <v>42005</v>
      </c>
      <c r="B175" s="177">
        <v>0.93059999999999998</v>
      </c>
      <c r="C175" s="177">
        <v>0.93059999999999998</v>
      </c>
      <c r="D175" s="177">
        <v>0.995</v>
      </c>
      <c r="E175" s="177">
        <v>0.96</v>
      </c>
      <c r="F175" s="177">
        <v>0.96</v>
      </c>
      <c r="G175" s="177">
        <v>0.93059999999999998</v>
      </c>
      <c r="H175" s="177">
        <v>0.99</v>
      </c>
      <c r="I175" s="54">
        <v>0.93059999999999998</v>
      </c>
      <c r="J175" s="54">
        <v>0.995</v>
      </c>
      <c r="K175" s="54">
        <v>0.98</v>
      </c>
      <c r="L175">
        <v>0.99</v>
      </c>
      <c r="M175">
        <v>1.0049999999999999</v>
      </c>
      <c r="N175">
        <v>0.99</v>
      </c>
    </row>
    <row r="176" spans="1:14" x14ac:dyDescent="0.25">
      <c r="A176" s="176">
        <v>42036</v>
      </c>
      <c r="B176" s="177">
        <v>0.93059999999999998</v>
      </c>
      <c r="C176" s="177">
        <v>0.93059999999999998</v>
      </c>
      <c r="D176" s="177">
        <v>0.995</v>
      </c>
      <c r="E176" s="177">
        <v>0.96</v>
      </c>
      <c r="F176" s="177">
        <v>0.96</v>
      </c>
      <c r="G176" s="177">
        <v>0.93059999999999998</v>
      </c>
      <c r="H176" s="177">
        <v>0.99</v>
      </c>
      <c r="I176" s="54">
        <v>0.93059999999999998</v>
      </c>
      <c r="J176" s="54">
        <v>0.995</v>
      </c>
      <c r="K176" s="54">
        <v>0.98</v>
      </c>
      <c r="L176">
        <v>0.99</v>
      </c>
      <c r="M176">
        <v>1.0049999999999999</v>
      </c>
      <c r="N176">
        <v>0.99</v>
      </c>
    </row>
    <row r="177" spans="1:14" x14ac:dyDescent="0.25">
      <c r="A177" s="176">
        <v>42064</v>
      </c>
      <c r="B177" s="177">
        <v>0.93059999999999998</v>
      </c>
      <c r="C177" s="177">
        <v>0.93059999999999998</v>
      </c>
      <c r="D177" s="177">
        <v>0.995</v>
      </c>
      <c r="E177" s="177">
        <v>0.96</v>
      </c>
      <c r="F177" s="177">
        <v>0.96</v>
      </c>
      <c r="G177" s="177">
        <v>0.93059999999999998</v>
      </c>
      <c r="H177" s="177">
        <v>0.99</v>
      </c>
      <c r="I177" s="54">
        <v>0.93059999999999998</v>
      </c>
      <c r="J177" s="54">
        <v>0.995</v>
      </c>
      <c r="K177" s="54">
        <v>0.98</v>
      </c>
      <c r="L177">
        <v>0.99</v>
      </c>
      <c r="M177">
        <v>1.0049999999999999</v>
      </c>
      <c r="N177">
        <v>0.99</v>
      </c>
    </row>
    <row r="178" spans="1:14" x14ac:dyDescent="0.25">
      <c r="A178" s="176">
        <v>42095</v>
      </c>
      <c r="B178" s="177">
        <v>0.93059999999999998</v>
      </c>
      <c r="C178" s="177">
        <v>0.93059999999999998</v>
      </c>
      <c r="D178" s="177">
        <v>0.995</v>
      </c>
      <c r="E178" s="177">
        <v>0.96</v>
      </c>
      <c r="F178" s="177">
        <v>0.96</v>
      </c>
      <c r="G178" s="177">
        <v>0.93059999999999998</v>
      </c>
      <c r="H178" s="177">
        <v>0.99</v>
      </c>
      <c r="I178" s="54">
        <v>0.93059999999999998</v>
      </c>
      <c r="J178" s="54">
        <v>0.995</v>
      </c>
      <c r="K178" s="54">
        <v>0.98</v>
      </c>
      <c r="L178">
        <v>0.99</v>
      </c>
      <c r="M178">
        <v>1.0049999999999999</v>
      </c>
      <c r="N178">
        <v>0.99</v>
      </c>
    </row>
    <row r="179" spans="1:14" x14ac:dyDescent="0.25">
      <c r="A179" s="176">
        <v>42125</v>
      </c>
      <c r="B179" s="177">
        <v>0.93059999999999998</v>
      </c>
      <c r="C179" s="177">
        <v>0.93059999999999998</v>
      </c>
      <c r="D179" s="177">
        <v>0.995</v>
      </c>
      <c r="E179" s="177">
        <v>0.96</v>
      </c>
      <c r="F179" s="177">
        <v>0.96</v>
      </c>
      <c r="G179" s="177">
        <v>0.93059999999999998</v>
      </c>
      <c r="H179" s="177">
        <v>0.99</v>
      </c>
      <c r="I179" s="54">
        <v>0.93059999999999998</v>
      </c>
      <c r="J179" s="54">
        <v>0.995</v>
      </c>
      <c r="K179" s="54">
        <v>0.98</v>
      </c>
      <c r="L179">
        <v>0.99</v>
      </c>
      <c r="M179">
        <v>1.0049999999999999</v>
      </c>
      <c r="N179">
        <v>0.99</v>
      </c>
    </row>
    <row r="180" spans="1:14" x14ac:dyDescent="0.25">
      <c r="A180" s="176">
        <v>42156</v>
      </c>
      <c r="B180" s="177">
        <v>0.93059999999999998</v>
      </c>
      <c r="C180" s="177">
        <v>0.93059999999999998</v>
      </c>
      <c r="D180" s="177">
        <v>0.995</v>
      </c>
      <c r="E180" s="177">
        <v>0.96</v>
      </c>
      <c r="F180" s="177">
        <v>0.96</v>
      </c>
      <c r="G180" s="177">
        <v>0.93059999999999998</v>
      </c>
      <c r="H180" s="177">
        <v>0.99</v>
      </c>
      <c r="I180" s="54">
        <v>0.93059999999999998</v>
      </c>
      <c r="J180" s="54">
        <v>0.995</v>
      </c>
      <c r="K180" s="54">
        <v>0.98</v>
      </c>
      <c r="L180">
        <v>0.99</v>
      </c>
      <c r="M180">
        <v>1.0049999999999999</v>
      </c>
      <c r="N180">
        <v>0.99</v>
      </c>
    </row>
    <row r="181" spans="1:14" x14ac:dyDescent="0.25">
      <c r="A181" s="176">
        <v>42186</v>
      </c>
      <c r="B181" s="177">
        <v>0.93059999999999998</v>
      </c>
      <c r="C181" s="177">
        <v>0.93059999999999998</v>
      </c>
      <c r="D181" s="177">
        <v>0.995</v>
      </c>
      <c r="E181" s="177">
        <v>0.96</v>
      </c>
      <c r="F181" s="177">
        <v>0.96</v>
      </c>
      <c r="G181" s="177">
        <v>0.93059999999999998</v>
      </c>
      <c r="H181" s="177">
        <v>0.99</v>
      </c>
      <c r="I181" s="54">
        <v>0.93059999999999998</v>
      </c>
      <c r="J181" s="54">
        <v>0.995</v>
      </c>
      <c r="K181" s="54">
        <v>0.98</v>
      </c>
      <c r="L181">
        <v>0.99</v>
      </c>
      <c r="M181">
        <v>1.0049999999999999</v>
      </c>
      <c r="N181">
        <v>0.99</v>
      </c>
    </row>
    <row r="182" spans="1:14" x14ac:dyDescent="0.25">
      <c r="A182" s="176">
        <v>42217</v>
      </c>
      <c r="B182" s="177">
        <v>0.93059999999999998</v>
      </c>
      <c r="C182" s="177">
        <v>0.93059999999999998</v>
      </c>
      <c r="D182" s="177">
        <v>0.995</v>
      </c>
      <c r="E182" s="177">
        <v>0.96</v>
      </c>
      <c r="F182" s="177">
        <v>0.96</v>
      </c>
      <c r="G182" s="177">
        <v>0.93059999999999998</v>
      </c>
      <c r="H182" s="177">
        <v>0.99</v>
      </c>
      <c r="I182" s="54">
        <v>0.93059999999999998</v>
      </c>
      <c r="J182" s="54">
        <v>0.995</v>
      </c>
      <c r="K182" s="54">
        <v>0.98</v>
      </c>
      <c r="L182">
        <v>0.99</v>
      </c>
      <c r="M182">
        <v>1.0049999999999999</v>
      </c>
      <c r="N182">
        <v>0.99</v>
      </c>
    </row>
    <row r="183" spans="1:14" x14ac:dyDescent="0.25">
      <c r="A183" s="176">
        <v>42248</v>
      </c>
      <c r="B183" s="177">
        <v>0.93059999999999998</v>
      </c>
      <c r="C183" s="177">
        <v>0.93059999999999998</v>
      </c>
      <c r="D183" s="177">
        <v>0.995</v>
      </c>
      <c r="E183" s="177">
        <v>0.96</v>
      </c>
      <c r="F183" s="177">
        <v>0.96</v>
      </c>
      <c r="G183" s="177">
        <v>0.93059999999999998</v>
      </c>
      <c r="H183" s="177">
        <v>0.99</v>
      </c>
      <c r="I183" s="54">
        <v>0.93059999999999998</v>
      </c>
      <c r="J183" s="54">
        <v>0.995</v>
      </c>
      <c r="K183" s="54">
        <v>0.98</v>
      </c>
      <c r="L183">
        <v>0.99</v>
      </c>
      <c r="M183">
        <v>1.0049999999999999</v>
      </c>
      <c r="N183">
        <v>0.99</v>
      </c>
    </row>
    <row r="184" spans="1:14" x14ac:dyDescent="0.25">
      <c r="A184" s="176">
        <v>42278</v>
      </c>
      <c r="B184" s="177">
        <v>0.93059999999999998</v>
      </c>
      <c r="C184" s="177">
        <v>0.93059999999999998</v>
      </c>
      <c r="D184" s="177">
        <v>0.995</v>
      </c>
      <c r="E184" s="177">
        <v>0.96</v>
      </c>
      <c r="F184" s="177">
        <v>0.96</v>
      </c>
      <c r="G184" s="177">
        <v>0.93059999999999998</v>
      </c>
      <c r="H184" s="177">
        <v>0.99</v>
      </c>
      <c r="I184" s="54">
        <v>0.93059999999999998</v>
      </c>
      <c r="J184" s="54">
        <v>0.995</v>
      </c>
      <c r="K184" s="54">
        <v>0.98</v>
      </c>
      <c r="L184">
        <v>0.99</v>
      </c>
      <c r="M184">
        <v>1.0049999999999999</v>
      </c>
      <c r="N184">
        <v>0.99</v>
      </c>
    </row>
    <row r="185" spans="1:14" x14ac:dyDescent="0.25">
      <c r="A185" s="176">
        <v>42309</v>
      </c>
      <c r="B185" s="177">
        <v>0.93059999999999998</v>
      </c>
      <c r="C185" s="177">
        <v>0.93059999999999998</v>
      </c>
      <c r="D185" s="177">
        <v>0.995</v>
      </c>
      <c r="E185" s="177">
        <v>0.96</v>
      </c>
      <c r="F185" s="177">
        <v>0.96</v>
      </c>
      <c r="G185" s="177">
        <v>0.93059999999999998</v>
      </c>
      <c r="H185" s="177">
        <v>0.99</v>
      </c>
      <c r="I185" s="54">
        <v>0.93059999999999998</v>
      </c>
      <c r="J185" s="54">
        <v>0.995</v>
      </c>
      <c r="K185" s="54">
        <v>0.98</v>
      </c>
      <c r="L185">
        <v>0.99</v>
      </c>
      <c r="M185">
        <v>1.0049999999999999</v>
      </c>
      <c r="N185">
        <v>0.99</v>
      </c>
    </row>
    <row r="186" spans="1:14" x14ac:dyDescent="0.25">
      <c r="A186" s="176">
        <v>42339</v>
      </c>
      <c r="B186" s="177">
        <v>0.93059999999999998</v>
      </c>
      <c r="C186" s="177">
        <v>0.93059999999999998</v>
      </c>
      <c r="D186" s="177">
        <v>0.995</v>
      </c>
      <c r="E186" s="177">
        <v>0.96</v>
      </c>
      <c r="F186" s="177">
        <v>0.96</v>
      </c>
      <c r="G186" s="177">
        <v>0.93059999999999998</v>
      </c>
      <c r="H186" s="177">
        <v>0.99</v>
      </c>
      <c r="I186" s="54">
        <v>0.93059999999999998</v>
      </c>
      <c r="J186" s="54">
        <v>0.995</v>
      </c>
      <c r="K186" s="54">
        <v>0.98</v>
      </c>
      <c r="L186">
        <v>0.99</v>
      </c>
      <c r="M186">
        <v>1.0049999999999999</v>
      </c>
      <c r="N186">
        <v>0.99</v>
      </c>
    </row>
    <row r="187" spans="1:14" x14ac:dyDescent="0.25">
      <c r="A187" s="176">
        <v>42370</v>
      </c>
      <c r="B187" s="177">
        <v>0.93059999999999998</v>
      </c>
      <c r="C187" s="177">
        <v>0.93059999999999998</v>
      </c>
      <c r="D187" s="177">
        <v>0.995</v>
      </c>
      <c r="E187" s="177">
        <v>0.96</v>
      </c>
      <c r="F187" s="177">
        <v>0.96</v>
      </c>
      <c r="G187" s="177">
        <v>0.93059999999999998</v>
      </c>
      <c r="H187" s="177">
        <v>0.99</v>
      </c>
      <c r="I187" s="54">
        <v>0.93059999999999998</v>
      </c>
      <c r="J187" s="54">
        <v>0.995</v>
      </c>
      <c r="K187" s="54">
        <v>0.98</v>
      </c>
      <c r="L187">
        <v>0.99</v>
      </c>
      <c r="M187">
        <v>1.0049999999999999</v>
      </c>
      <c r="N187">
        <v>0.99</v>
      </c>
    </row>
    <row r="188" spans="1:14" x14ac:dyDescent="0.25">
      <c r="A188" s="176">
        <v>42401</v>
      </c>
      <c r="B188" s="177">
        <v>0.93059999999999998</v>
      </c>
      <c r="C188" s="177">
        <v>0.93059999999999998</v>
      </c>
      <c r="D188" s="177">
        <v>0.995</v>
      </c>
      <c r="E188" s="177">
        <v>0.96</v>
      </c>
      <c r="F188" s="177">
        <v>0.96</v>
      </c>
      <c r="G188" s="177">
        <v>0.93059999999999998</v>
      </c>
      <c r="H188" s="177">
        <v>0.99</v>
      </c>
      <c r="I188" s="54">
        <v>0.93059999999999998</v>
      </c>
      <c r="J188" s="54">
        <v>0.995</v>
      </c>
      <c r="K188" s="54">
        <v>0.98</v>
      </c>
      <c r="L188">
        <v>0.99</v>
      </c>
      <c r="M188">
        <v>1.0049999999999999</v>
      </c>
      <c r="N188">
        <v>0.99</v>
      </c>
    </row>
    <row r="189" spans="1:14" x14ac:dyDescent="0.25">
      <c r="A189" s="176">
        <v>42430</v>
      </c>
      <c r="B189" s="177">
        <v>0.93059999999999998</v>
      </c>
      <c r="C189" s="177">
        <v>0.93059999999999998</v>
      </c>
      <c r="D189" s="177">
        <v>0.995</v>
      </c>
      <c r="E189" s="177">
        <v>0.96</v>
      </c>
      <c r="F189" s="177">
        <v>0.96</v>
      </c>
      <c r="G189" s="177">
        <v>0.93059999999999998</v>
      </c>
      <c r="H189" s="177">
        <v>0.99</v>
      </c>
      <c r="I189" s="54">
        <v>0.93059999999999998</v>
      </c>
      <c r="J189" s="54">
        <v>0.995</v>
      </c>
      <c r="K189" s="54">
        <v>0.98</v>
      </c>
      <c r="L189">
        <v>0.99</v>
      </c>
      <c r="M189">
        <v>1.0049999999999999</v>
      </c>
      <c r="N189">
        <v>0.99</v>
      </c>
    </row>
    <row r="190" spans="1:14" x14ac:dyDescent="0.25">
      <c r="A190" s="176">
        <v>42461</v>
      </c>
      <c r="B190" s="177">
        <v>0.93059999999999998</v>
      </c>
      <c r="C190" s="177">
        <v>0.93059999999999998</v>
      </c>
      <c r="D190" s="177">
        <v>0.995</v>
      </c>
      <c r="E190" s="177">
        <v>0.96</v>
      </c>
      <c r="F190" s="177">
        <v>0.96</v>
      </c>
      <c r="G190" s="177">
        <v>0.93059999999999998</v>
      </c>
      <c r="H190" s="177">
        <v>0.99</v>
      </c>
      <c r="I190" s="54">
        <v>0.93059999999999998</v>
      </c>
      <c r="J190" s="54">
        <v>0.995</v>
      </c>
      <c r="K190" s="54">
        <v>0.98</v>
      </c>
      <c r="L190">
        <v>0.99</v>
      </c>
      <c r="M190">
        <v>1.0049999999999999</v>
      </c>
      <c r="N190">
        <v>0.99</v>
      </c>
    </row>
    <row r="191" spans="1:14" x14ac:dyDescent="0.25">
      <c r="A191" s="176">
        <v>42491</v>
      </c>
      <c r="B191" s="177">
        <v>0.93059999999999998</v>
      </c>
      <c r="C191" s="177">
        <v>0.93059999999999998</v>
      </c>
      <c r="D191" s="177">
        <v>0.995</v>
      </c>
      <c r="E191" s="177">
        <v>0.96</v>
      </c>
      <c r="F191" s="177">
        <v>0.96</v>
      </c>
      <c r="G191" s="177">
        <v>0.93059999999999998</v>
      </c>
      <c r="H191" s="177">
        <v>0.99</v>
      </c>
      <c r="I191" s="54">
        <v>0.93059999999999998</v>
      </c>
      <c r="J191" s="54">
        <v>0.995</v>
      </c>
      <c r="K191" s="54">
        <v>0.98</v>
      </c>
      <c r="L191">
        <v>0.99</v>
      </c>
      <c r="M191">
        <v>1.0049999999999999</v>
      </c>
      <c r="N191">
        <v>0.99</v>
      </c>
    </row>
    <row r="192" spans="1:14" x14ac:dyDescent="0.25">
      <c r="A192" s="176">
        <v>42522</v>
      </c>
      <c r="B192" s="177">
        <v>0.93059999999999998</v>
      </c>
      <c r="C192" s="177">
        <v>0.93059999999999998</v>
      </c>
      <c r="D192" s="177">
        <v>0.995</v>
      </c>
      <c r="E192" s="177">
        <v>0.96</v>
      </c>
      <c r="F192" s="177">
        <v>0.96</v>
      </c>
      <c r="G192" s="177">
        <v>0.93059999999999998</v>
      </c>
      <c r="H192" s="177">
        <v>0.99</v>
      </c>
      <c r="I192" s="54">
        <v>0.93059999999999998</v>
      </c>
      <c r="J192" s="54">
        <v>0.995</v>
      </c>
      <c r="K192" s="54">
        <v>0.98</v>
      </c>
      <c r="L192">
        <v>0.99</v>
      </c>
      <c r="M192">
        <v>1.0049999999999999</v>
      </c>
      <c r="N192">
        <v>0.99</v>
      </c>
    </row>
    <row r="193" spans="1:14" x14ac:dyDescent="0.25">
      <c r="A193" s="176">
        <v>42552</v>
      </c>
      <c r="B193" s="177">
        <v>0.93059999999999998</v>
      </c>
      <c r="C193" s="177">
        <v>0.93059999999999998</v>
      </c>
      <c r="D193" s="177">
        <v>0.995</v>
      </c>
      <c r="E193" s="177">
        <v>0.96</v>
      </c>
      <c r="F193" s="177">
        <v>0.96</v>
      </c>
      <c r="G193" s="177">
        <v>0.93059999999999998</v>
      </c>
      <c r="H193" s="177">
        <v>0.99</v>
      </c>
      <c r="I193" s="54">
        <v>0.93059999999999998</v>
      </c>
      <c r="J193" s="54">
        <v>0.995</v>
      </c>
      <c r="K193" s="54">
        <v>0.98</v>
      </c>
      <c r="L193">
        <v>0.99</v>
      </c>
      <c r="M193">
        <v>1.0049999999999999</v>
      </c>
      <c r="N193">
        <v>0.99</v>
      </c>
    </row>
    <row r="194" spans="1:14" x14ac:dyDescent="0.25">
      <c r="A194" s="176">
        <v>42583</v>
      </c>
      <c r="B194" s="177">
        <v>0.93059999999999998</v>
      </c>
      <c r="C194" s="177">
        <v>0.93059999999999998</v>
      </c>
      <c r="D194" s="177">
        <v>0.995</v>
      </c>
      <c r="E194" s="177">
        <v>0.96</v>
      </c>
      <c r="F194" s="177">
        <v>0.96</v>
      </c>
      <c r="G194" s="177">
        <v>0.93059999999999998</v>
      </c>
      <c r="H194" s="177">
        <v>0.99</v>
      </c>
      <c r="I194" s="54">
        <v>0.93059999999999998</v>
      </c>
      <c r="J194" s="54">
        <v>0.995</v>
      </c>
      <c r="K194" s="54">
        <v>0.98</v>
      </c>
      <c r="L194">
        <v>0.99</v>
      </c>
      <c r="M194">
        <v>1.0049999999999999</v>
      </c>
      <c r="N194">
        <v>0.99</v>
      </c>
    </row>
    <row r="195" spans="1:14" x14ac:dyDescent="0.25">
      <c r="A195" s="176">
        <v>42614</v>
      </c>
      <c r="B195" s="177">
        <v>0.93059999999999998</v>
      </c>
      <c r="C195" s="177">
        <v>0.93059999999999998</v>
      </c>
      <c r="D195" s="177">
        <v>0.995</v>
      </c>
      <c r="E195" s="177">
        <v>0.96</v>
      </c>
      <c r="F195" s="177">
        <v>0.96</v>
      </c>
      <c r="G195" s="177">
        <v>0.93059999999999998</v>
      </c>
      <c r="H195" s="177">
        <v>0.99</v>
      </c>
      <c r="I195" s="54">
        <v>0.93059999999999998</v>
      </c>
      <c r="J195" s="54">
        <v>0.995</v>
      </c>
      <c r="K195" s="54">
        <v>0.98</v>
      </c>
      <c r="L195">
        <v>0.99</v>
      </c>
      <c r="M195">
        <v>1.0049999999999999</v>
      </c>
      <c r="N195">
        <v>0.99</v>
      </c>
    </row>
    <row r="196" spans="1:14" x14ac:dyDescent="0.25">
      <c r="A196" s="176">
        <v>42644</v>
      </c>
      <c r="B196" s="177">
        <v>0.93059999999999998</v>
      </c>
      <c r="C196" s="177">
        <v>0.93059999999999998</v>
      </c>
      <c r="D196" s="177">
        <v>0.995</v>
      </c>
      <c r="E196" s="177">
        <v>0.96</v>
      </c>
      <c r="F196" s="177">
        <v>0.96</v>
      </c>
      <c r="G196" s="177">
        <v>0.93059999999999998</v>
      </c>
      <c r="H196" s="177">
        <v>0.99</v>
      </c>
      <c r="I196" s="54">
        <v>0.93059999999999998</v>
      </c>
      <c r="J196" s="54">
        <v>0.995</v>
      </c>
      <c r="K196" s="54">
        <v>0.98</v>
      </c>
      <c r="L196">
        <v>0.99</v>
      </c>
      <c r="M196">
        <v>1.0049999999999999</v>
      </c>
      <c r="N196">
        <v>0.99</v>
      </c>
    </row>
    <row r="197" spans="1:14" x14ac:dyDescent="0.25">
      <c r="A197" s="176">
        <v>42675</v>
      </c>
      <c r="B197" s="177">
        <v>0.93059999999999998</v>
      </c>
      <c r="C197" s="177">
        <v>0.93059999999999998</v>
      </c>
      <c r="D197" s="177">
        <v>0.995</v>
      </c>
      <c r="E197" s="177">
        <v>0.96</v>
      </c>
      <c r="F197" s="177">
        <v>0.96</v>
      </c>
      <c r="G197" s="177">
        <v>0.93059999999999998</v>
      </c>
      <c r="H197" s="177">
        <v>0.99</v>
      </c>
      <c r="I197" s="54">
        <v>0.93059999999999998</v>
      </c>
      <c r="J197" s="54">
        <v>0.995</v>
      </c>
      <c r="K197" s="54">
        <v>0.98</v>
      </c>
      <c r="L197">
        <v>0.99</v>
      </c>
      <c r="M197">
        <v>1.0049999999999999</v>
      </c>
      <c r="N197">
        <v>0.99</v>
      </c>
    </row>
    <row r="198" spans="1:14" x14ac:dyDescent="0.25">
      <c r="A198" s="176">
        <v>42705</v>
      </c>
      <c r="B198" s="177">
        <v>0.93059999999999998</v>
      </c>
      <c r="C198" s="177">
        <v>0.93059999999999998</v>
      </c>
      <c r="D198" s="177">
        <v>0.995</v>
      </c>
      <c r="E198" s="177">
        <v>0.96</v>
      </c>
      <c r="F198" s="177">
        <v>0.96</v>
      </c>
      <c r="G198" s="177">
        <v>0.93059999999999998</v>
      </c>
      <c r="H198" s="177">
        <v>0.99</v>
      </c>
      <c r="I198" s="54">
        <v>0.93059999999999998</v>
      </c>
      <c r="J198" s="54">
        <v>0.995</v>
      </c>
      <c r="K198" s="54">
        <v>0.98</v>
      </c>
      <c r="L198">
        <v>0.99</v>
      </c>
      <c r="M198">
        <v>1.0049999999999999</v>
      </c>
      <c r="N198">
        <v>0.99</v>
      </c>
    </row>
    <row r="199" spans="1:14" x14ac:dyDescent="0.25">
      <c r="A199" s="176">
        <v>42736</v>
      </c>
      <c r="B199" s="177">
        <v>0.93059999999999998</v>
      </c>
      <c r="C199" s="177">
        <v>0.93059999999999998</v>
      </c>
      <c r="D199" s="177">
        <v>0.995</v>
      </c>
      <c r="E199" s="177">
        <v>0.96</v>
      </c>
      <c r="F199" s="177">
        <v>0.96</v>
      </c>
      <c r="G199" s="177">
        <v>0.93059999999999998</v>
      </c>
      <c r="H199" s="177">
        <v>0.99</v>
      </c>
      <c r="I199" s="54">
        <v>0.93059999999999998</v>
      </c>
      <c r="J199" s="54">
        <v>0.995</v>
      </c>
      <c r="K199" s="54">
        <v>0.98</v>
      </c>
      <c r="L199">
        <v>0.99</v>
      </c>
      <c r="M199">
        <v>1.0049999999999999</v>
      </c>
      <c r="N199">
        <v>0.99</v>
      </c>
    </row>
    <row r="200" spans="1:14" x14ac:dyDescent="0.25">
      <c r="A200" s="176">
        <v>42767</v>
      </c>
      <c r="B200" s="177">
        <v>0.93059999999999998</v>
      </c>
      <c r="C200" s="177">
        <v>0.93059999999999998</v>
      </c>
      <c r="D200" s="177">
        <v>0.995</v>
      </c>
      <c r="E200" s="177">
        <v>0.96</v>
      </c>
      <c r="F200" s="177">
        <v>0.96</v>
      </c>
      <c r="G200" s="177">
        <v>0.93059999999999998</v>
      </c>
      <c r="H200" s="177">
        <v>0.99</v>
      </c>
      <c r="I200" s="54">
        <v>0.93059999999999998</v>
      </c>
      <c r="J200" s="54">
        <v>0.995</v>
      </c>
      <c r="K200" s="54">
        <v>0.98</v>
      </c>
      <c r="L200">
        <v>0.99</v>
      </c>
      <c r="M200">
        <v>1.0049999999999999</v>
      </c>
      <c r="N200">
        <v>0.99</v>
      </c>
    </row>
    <row r="201" spans="1:14" x14ac:dyDescent="0.25">
      <c r="A201" s="176">
        <v>42795</v>
      </c>
      <c r="B201" s="177">
        <v>0.93059999999999998</v>
      </c>
      <c r="C201" s="177">
        <v>0.93059999999999998</v>
      </c>
      <c r="D201" s="177">
        <v>0.995</v>
      </c>
      <c r="E201" s="177">
        <v>0.96</v>
      </c>
      <c r="F201" s="177">
        <v>0.96</v>
      </c>
      <c r="G201" s="177">
        <v>0.93059999999999998</v>
      </c>
      <c r="H201" s="177">
        <v>0.99</v>
      </c>
      <c r="I201" s="54">
        <v>0.93059999999999998</v>
      </c>
      <c r="J201" s="54">
        <v>0.995</v>
      </c>
      <c r="K201" s="54">
        <v>0.98</v>
      </c>
      <c r="L201">
        <v>0.99</v>
      </c>
      <c r="M201">
        <v>1.0049999999999999</v>
      </c>
      <c r="N201">
        <v>0.99</v>
      </c>
    </row>
    <row r="202" spans="1:14" x14ac:dyDescent="0.25">
      <c r="A202" s="176">
        <v>42826</v>
      </c>
      <c r="B202" s="177">
        <v>0.93059999999999998</v>
      </c>
      <c r="C202" s="177">
        <v>0.93059999999999998</v>
      </c>
      <c r="D202" s="177">
        <v>0.995</v>
      </c>
      <c r="E202" s="177">
        <v>0.96</v>
      </c>
      <c r="F202" s="177">
        <v>0.96</v>
      </c>
      <c r="G202" s="177">
        <v>0.93059999999999998</v>
      </c>
      <c r="H202" s="177">
        <v>0.99</v>
      </c>
      <c r="I202" s="54">
        <v>0.93059999999999998</v>
      </c>
      <c r="J202" s="54">
        <v>0.995</v>
      </c>
      <c r="K202" s="54">
        <v>0.98</v>
      </c>
      <c r="L202">
        <v>0.99</v>
      </c>
      <c r="M202">
        <v>1.0049999999999999</v>
      </c>
      <c r="N202">
        <v>0.99</v>
      </c>
    </row>
    <row r="203" spans="1:14" x14ac:dyDescent="0.25">
      <c r="A203" s="176">
        <v>42856</v>
      </c>
      <c r="B203" s="177">
        <v>0.93059999999999998</v>
      </c>
      <c r="C203" s="177">
        <v>0.93059999999999998</v>
      </c>
      <c r="D203" s="177">
        <v>0.995</v>
      </c>
      <c r="E203" s="177">
        <v>0.96</v>
      </c>
      <c r="F203" s="177">
        <v>0.96</v>
      </c>
      <c r="G203" s="177">
        <v>0.93059999999999998</v>
      </c>
      <c r="H203" s="177">
        <v>0.99</v>
      </c>
      <c r="I203" s="54">
        <v>0.93059999999999998</v>
      </c>
      <c r="J203" s="54">
        <v>0.995</v>
      </c>
      <c r="K203" s="54">
        <v>0.98</v>
      </c>
      <c r="L203">
        <v>0.99</v>
      </c>
      <c r="M203">
        <v>1.0049999999999999</v>
      </c>
      <c r="N203">
        <v>0.99</v>
      </c>
    </row>
    <row r="204" spans="1:14" x14ac:dyDescent="0.25">
      <c r="A204" s="176">
        <v>42887</v>
      </c>
      <c r="B204" s="177">
        <v>0.93059999999999998</v>
      </c>
      <c r="C204" s="177">
        <v>0.93059999999999998</v>
      </c>
      <c r="D204" s="177">
        <v>0.995</v>
      </c>
      <c r="E204" s="177">
        <v>0.96</v>
      </c>
      <c r="F204" s="177">
        <v>0.96</v>
      </c>
      <c r="G204" s="177">
        <v>0.93059999999999998</v>
      </c>
      <c r="H204" s="177">
        <v>0.99</v>
      </c>
      <c r="I204" s="54">
        <v>0.93059999999999998</v>
      </c>
      <c r="J204" s="54">
        <v>0.995</v>
      </c>
      <c r="K204" s="54">
        <v>0.98</v>
      </c>
      <c r="L204">
        <v>0.99</v>
      </c>
      <c r="M204">
        <v>1.0049999999999999</v>
      </c>
      <c r="N204">
        <v>0.99</v>
      </c>
    </row>
    <row r="205" spans="1:14" x14ac:dyDescent="0.25">
      <c r="A205" s="176">
        <v>42917</v>
      </c>
      <c r="B205" s="177">
        <v>0.93059999999999998</v>
      </c>
      <c r="C205" s="177">
        <v>0.93059999999999998</v>
      </c>
      <c r="D205" s="177">
        <v>0.995</v>
      </c>
      <c r="E205" s="177">
        <v>0.96</v>
      </c>
      <c r="F205" s="177">
        <v>0.96</v>
      </c>
      <c r="G205" s="177">
        <v>0.93059999999999998</v>
      </c>
      <c r="H205" s="177">
        <v>0.99</v>
      </c>
      <c r="I205" s="54">
        <v>0.93059999999999998</v>
      </c>
      <c r="J205" s="54">
        <v>0.995</v>
      </c>
      <c r="K205" s="54">
        <v>0.98</v>
      </c>
      <c r="L205">
        <v>0.99</v>
      </c>
      <c r="M205">
        <v>1.0049999999999999</v>
      </c>
      <c r="N205">
        <v>0.99</v>
      </c>
    </row>
    <row r="206" spans="1:14" x14ac:dyDescent="0.25">
      <c r="A206" s="176">
        <v>42948</v>
      </c>
      <c r="B206" s="177">
        <v>0.93059999999999998</v>
      </c>
      <c r="C206" s="177">
        <v>0.93059999999999998</v>
      </c>
      <c r="D206" s="177">
        <v>0.995</v>
      </c>
      <c r="E206" s="177">
        <v>0.96</v>
      </c>
      <c r="F206" s="177">
        <v>0.96</v>
      </c>
      <c r="G206" s="177">
        <v>0.93059999999999998</v>
      </c>
      <c r="H206" s="177">
        <v>0.99</v>
      </c>
      <c r="I206" s="54">
        <v>0.93059999999999998</v>
      </c>
      <c r="J206" s="54">
        <v>0.995</v>
      </c>
      <c r="K206" s="54">
        <v>0.98</v>
      </c>
      <c r="L206">
        <v>0.99</v>
      </c>
      <c r="M206">
        <v>1.0049999999999999</v>
      </c>
      <c r="N206">
        <v>0.99</v>
      </c>
    </row>
    <row r="207" spans="1:14" x14ac:dyDescent="0.25">
      <c r="A207" s="176">
        <v>42979</v>
      </c>
      <c r="B207" s="177">
        <v>0.93059999999999998</v>
      </c>
      <c r="C207" s="177">
        <v>0.93059999999999998</v>
      </c>
      <c r="D207" s="177">
        <v>0.995</v>
      </c>
      <c r="E207" s="177">
        <v>0.96</v>
      </c>
      <c r="F207" s="177">
        <v>0.96</v>
      </c>
      <c r="G207" s="177">
        <v>0.93059999999999998</v>
      </c>
      <c r="H207" s="177">
        <v>0.99</v>
      </c>
      <c r="I207" s="54">
        <v>0.93059999999999998</v>
      </c>
      <c r="J207" s="54">
        <v>0.995</v>
      </c>
      <c r="K207" s="54">
        <v>0.98</v>
      </c>
      <c r="L207">
        <v>0.99</v>
      </c>
      <c r="M207">
        <v>1.0049999999999999</v>
      </c>
      <c r="N207">
        <v>0.99</v>
      </c>
    </row>
    <row r="208" spans="1:14" x14ac:dyDescent="0.25">
      <c r="A208" s="176">
        <v>43009</v>
      </c>
      <c r="B208" s="177">
        <v>0.93059999999999998</v>
      </c>
      <c r="C208" s="177">
        <v>0.93059999999999998</v>
      </c>
      <c r="D208" s="177">
        <v>0.995</v>
      </c>
      <c r="E208" s="177">
        <v>0.96</v>
      </c>
      <c r="F208" s="177">
        <v>0.96</v>
      </c>
      <c r="G208" s="177">
        <v>0.93059999999999998</v>
      </c>
      <c r="H208" s="177">
        <v>0.99</v>
      </c>
      <c r="I208" s="54">
        <v>0.93059999999999998</v>
      </c>
      <c r="J208" s="54">
        <v>0.995</v>
      </c>
      <c r="K208" s="54">
        <v>0.98</v>
      </c>
      <c r="L208">
        <v>0.99</v>
      </c>
      <c r="M208">
        <v>1.0049999999999999</v>
      </c>
      <c r="N208">
        <v>0.99</v>
      </c>
    </row>
    <row r="209" spans="1:14" x14ac:dyDescent="0.25">
      <c r="A209" s="176">
        <v>43040</v>
      </c>
      <c r="B209" s="177">
        <v>0.93059999999999998</v>
      </c>
      <c r="C209" s="177">
        <v>0.93059999999999998</v>
      </c>
      <c r="D209" s="177">
        <v>0.995</v>
      </c>
      <c r="E209" s="177">
        <v>0.96</v>
      </c>
      <c r="F209" s="177">
        <v>0.96</v>
      </c>
      <c r="G209" s="177">
        <v>0.93059999999999998</v>
      </c>
      <c r="H209" s="177">
        <v>0.99</v>
      </c>
      <c r="I209" s="54">
        <v>0.93059999999999998</v>
      </c>
      <c r="J209" s="54">
        <v>0.995</v>
      </c>
      <c r="K209" s="54">
        <v>0.98</v>
      </c>
      <c r="L209">
        <v>0.99</v>
      </c>
      <c r="M209">
        <v>1.0049999999999999</v>
      </c>
      <c r="N209">
        <v>0.99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24" workbookViewId="0">
      <selection activeCell="H52" sqref="H52"/>
    </sheetView>
  </sheetViews>
  <sheetFormatPr defaultColWidth="9.109375" defaultRowHeight="10.199999999999999" x14ac:dyDescent="0.2"/>
  <cols>
    <col min="1" max="16384" width="9.109375" style="3"/>
  </cols>
  <sheetData>
    <row r="1" spans="1:13" ht="10.8" thickBot="1" x14ac:dyDescent="0.25">
      <c r="A1" s="1"/>
      <c r="B1" s="37"/>
      <c r="C1" s="38"/>
      <c r="D1" s="38"/>
      <c r="E1" s="38"/>
      <c r="F1" s="38"/>
      <c r="G1" s="2"/>
      <c r="H1" s="2"/>
      <c r="I1" s="2"/>
      <c r="J1" s="2"/>
      <c r="K1" s="2"/>
      <c r="L1" s="2"/>
      <c r="M1" s="2"/>
    </row>
    <row r="2" spans="1:13" x14ac:dyDescent="0.2">
      <c r="A2" s="38"/>
      <c r="B2" s="38"/>
      <c r="C2" s="38"/>
      <c r="D2" s="38"/>
      <c r="E2" s="38"/>
      <c r="F2" s="38"/>
      <c r="G2" s="30" t="s">
        <v>0</v>
      </c>
      <c r="H2" s="4"/>
      <c r="I2" s="5"/>
    </row>
    <row r="3" spans="1:13" x14ac:dyDescent="0.2">
      <c r="A3" s="47"/>
      <c r="B3" s="48"/>
      <c r="C3" s="47"/>
      <c r="D3" s="38"/>
      <c r="E3" s="38"/>
      <c r="F3" s="38"/>
      <c r="G3" s="31" t="s">
        <v>1</v>
      </c>
      <c r="H3" s="6"/>
      <c r="I3" s="7"/>
    </row>
    <row r="4" spans="1:13" x14ac:dyDescent="0.2">
      <c r="A4" s="47"/>
      <c r="B4" s="49"/>
      <c r="C4" s="14"/>
      <c r="D4" s="38"/>
      <c r="E4" s="38"/>
      <c r="F4" s="38"/>
      <c r="G4" s="32"/>
      <c r="H4" s="8" t="s">
        <v>2</v>
      </c>
      <c r="I4" s="9" t="s">
        <v>3</v>
      </c>
    </row>
    <row r="5" spans="1:13" x14ac:dyDescent="0.2">
      <c r="A5" s="47"/>
      <c r="B5" s="49"/>
      <c r="C5" s="14"/>
      <c r="D5" s="38"/>
      <c r="E5" s="38"/>
      <c r="F5" s="38"/>
      <c r="G5" s="33" t="s">
        <v>4</v>
      </c>
      <c r="H5" s="10" t="s">
        <v>5</v>
      </c>
      <c r="I5" s="11" t="s">
        <v>5</v>
      </c>
    </row>
    <row r="6" spans="1:13" ht="10.8" thickBot="1" x14ac:dyDescent="0.25">
      <c r="A6" s="47"/>
      <c r="B6" s="49"/>
      <c r="C6" s="14"/>
      <c r="D6" s="38"/>
      <c r="E6" s="38"/>
      <c r="F6" s="38"/>
      <c r="G6" s="34" t="s">
        <v>6</v>
      </c>
      <c r="H6" s="12" t="s">
        <v>7</v>
      </c>
      <c r="I6" s="13" t="s">
        <v>7</v>
      </c>
    </row>
    <row r="7" spans="1:13" x14ac:dyDescent="0.2">
      <c r="A7" s="47"/>
      <c r="B7" s="48"/>
      <c r="C7" s="14"/>
      <c r="D7" s="38"/>
      <c r="E7" s="38"/>
      <c r="F7" s="38"/>
      <c r="G7" s="35">
        <v>35431</v>
      </c>
      <c r="H7" s="17">
        <v>35423</v>
      </c>
      <c r="I7" s="18">
        <v>35422</v>
      </c>
    </row>
    <row r="8" spans="1:13" x14ac:dyDescent="0.2">
      <c r="A8" s="47"/>
      <c r="B8" s="49"/>
      <c r="C8" s="50"/>
      <c r="D8" s="40"/>
      <c r="E8" s="40"/>
      <c r="F8" s="38"/>
      <c r="G8" s="36">
        <v>35462</v>
      </c>
      <c r="H8" s="19">
        <v>35457</v>
      </c>
      <c r="I8" s="20">
        <v>35454</v>
      </c>
    </row>
    <row r="9" spans="1:13" x14ac:dyDescent="0.2">
      <c r="A9" s="47"/>
      <c r="B9" s="49"/>
      <c r="C9" s="51"/>
      <c r="D9" s="41"/>
      <c r="E9" s="41"/>
      <c r="F9" s="38"/>
      <c r="G9" s="36">
        <v>35490</v>
      </c>
      <c r="H9" s="19">
        <v>35485</v>
      </c>
      <c r="I9" s="20">
        <v>35482</v>
      </c>
    </row>
    <row r="10" spans="1:13" x14ac:dyDescent="0.2">
      <c r="A10" s="47"/>
      <c r="B10" s="49"/>
      <c r="C10" s="14"/>
      <c r="D10" s="39"/>
      <c r="E10" s="39"/>
      <c r="F10" s="38"/>
      <c r="G10" s="36">
        <v>35521</v>
      </c>
      <c r="H10" s="19">
        <v>35513</v>
      </c>
      <c r="I10" s="20">
        <v>35510</v>
      </c>
    </row>
    <row r="11" spans="1:13" x14ac:dyDescent="0.2">
      <c r="A11" s="47"/>
      <c r="B11" s="49"/>
      <c r="C11" s="14"/>
      <c r="D11" s="39"/>
      <c r="E11" s="39"/>
      <c r="F11" s="38"/>
      <c r="G11" s="36">
        <v>35551</v>
      </c>
      <c r="H11" s="19">
        <v>35544</v>
      </c>
      <c r="I11" s="20">
        <v>35543</v>
      </c>
    </row>
    <row r="12" spans="1:13" x14ac:dyDescent="0.2">
      <c r="A12" s="47"/>
      <c r="B12" s="49"/>
      <c r="C12" s="14"/>
      <c r="D12" s="39"/>
      <c r="E12" s="39"/>
      <c r="F12" s="38"/>
      <c r="G12" s="36">
        <v>35582</v>
      </c>
      <c r="H12" s="19">
        <v>35578</v>
      </c>
      <c r="I12" s="20">
        <v>35577</v>
      </c>
    </row>
    <row r="13" spans="1:13" ht="10.8" x14ac:dyDescent="0.25">
      <c r="A13" s="47"/>
      <c r="B13" s="52"/>
      <c r="C13" s="53"/>
      <c r="D13" s="44"/>
      <c r="E13" s="44"/>
      <c r="F13" s="38"/>
      <c r="G13" s="36">
        <v>35612</v>
      </c>
      <c r="H13" s="19">
        <v>35607</v>
      </c>
      <c r="I13" s="20">
        <v>35606</v>
      </c>
    </row>
    <row r="14" spans="1:13" ht="10.8" x14ac:dyDescent="0.25">
      <c r="A14" s="38"/>
      <c r="B14" s="42"/>
      <c r="C14" s="43"/>
      <c r="D14" s="44"/>
      <c r="E14" s="44"/>
      <c r="F14" s="38"/>
      <c r="G14" s="36">
        <v>35643</v>
      </c>
      <c r="H14" s="19">
        <v>35640</v>
      </c>
      <c r="I14" s="20">
        <v>35639</v>
      </c>
    </row>
    <row r="15" spans="1:13" ht="10.8" x14ac:dyDescent="0.25">
      <c r="A15" s="38"/>
      <c r="B15" s="42"/>
      <c r="C15" s="43"/>
      <c r="D15" s="44"/>
      <c r="E15" s="44"/>
      <c r="F15" s="38"/>
      <c r="G15" s="36">
        <v>35674</v>
      </c>
      <c r="H15" s="19">
        <v>35669</v>
      </c>
      <c r="I15" s="20">
        <v>35668</v>
      </c>
    </row>
    <row r="16" spans="1:13" ht="10.8" x14ac:dyDescent="0.25">
      <c r="A16" s="38"/>
      <c r="B16" s="42"/>
      <c r="C16" s="43"/>
      <c r="D16" s="44"/>
      <c r="E16" s="44"/>
      <c r="F16" s="38"/>
      <c r="G16" s="36">
        <v>35704</v>
      </c>
      <c r="H16" s="19">
        <v>35699</v>
      </c>
      <c r="I16" s="20">
        <v>35698</v>
      </c>
    </row>
    <row r="17" spans="1:9" ht="10.8" x14ac:dyDescent="0.25">
      <c r="A17" s="45"/>
      <c r="B17" s="42"/>
      <c r="C17" s="43"/>
      <c r="D17" s="44"/>
      <c r="E17" s="44"/>
      <c r="F17" s="38"/>
      <c r="G17" s="36">
        <v>35735</v>
      </c>
      <c r="H17" s="19">
        <v>35732</v>
      </c>
      <c r="I17" s="20">
        <v>35731</v>
      </c>
    </row>
    <row r="18" spans="1:9" ht="10.8" x14ac:dyDescent="0.25">
      <c r="A18" s="45"/>
      <c r="B18" s="42"/>
      <c r="C18" s="43"/>
      <c r="D18" s="44"/>
      <c r="E18" s="44"/>
      <c r="F18" s="38"/>
      <c r="G18" s="36">
        <v>35765</v>
      </c>
      <c r="H18" s="19">
        <v>35758</v>
      </c>
      <c r="I18" s="20">
        <v>35755</v>
      </c>
    </row>
    <row r="19" spans="1:9" ht="10.8" x14ac:dyDescent="0.25">
      <c r="A19" s="45"/>
      <c r="B19" s="42"/>
      <c r="C19" s="43"/>
      <c r="D19" s="44"/>
      <c r="E19" s="44"/>
      <c r="F19" s="38"/>
      <c r="G19" s="36">
        <v>35796</v>
      </c>
      <c r="H19" s="19">
        <v>35793</v>
      </c>
      <c r="I19" s="20">
        <v>35790</v>
      </c>
    </row>
    <row r="20" spans="1:9" ht="10.8" x14ac:dyDescent="0.25">
      <c r="A20" s="45"/>
      <c r="B20" s="42"/>
      <c r="C20" s="43"/>
      <c r="D20" s="44"/>
      <c r="E20" s="44"/>
      <c r="F20" s="38"/>
      <c r="G20" s="36">
        <v>35827</v>
      </c>
      <c r="H20" s="19">
        <v>35823</v>
      </c>
      <c r="I20" s="20">
        <v>35822</v>
      </c>
    </row>
    <row r="21" spans="1:9" ht="10.8" x14ac:dyDescent="0.25">
      <c r="A21" s="45"/>
      <c r="B21" s="42"/>
      <c r="C21" s="43"/>
      <c r="D21" s="44"/>
      <c r="E21" s="44"/>
      <c r="F21" s="38"/>
      <c r="G21" s="36">
        <v>35855</v>
      </c>
      <c r="H21" s="19">
        <v>35851</v>
      </c>
      <c r="I21" s="20">
        <v>35850</v>
      </c>
    </row>
    <row r="22" spans="1:9" ht="10.8" x14ac:dyDescent="0.25">
      <c r="A22" s="45"/>
      <c r="B22" s="42"/>
      <c r="C22" s="43"/>
      <c r="D22" s="44"/>
      <c r="E22" s="44"/>
      <c r="F22" s="38"/>
      <c r="G22" s="36">
        <v>35886</v>
      </c>
      <c r="H22" s="19">
        <v>35881</v>
      </c>
      <c r="I22" s="20">
        <v>35880</v>
      </c>
    </row>
    <row r="23" spans="1:9" ht="10.8" x14ac:dyDescent="0.25">
      <c r="A23" s="45"/>
      <c r="B23" s="42"/>
      <c r="C23" s="43"/>
      <c r="D23" s="44"/>
      <c r="E23" s="44"/>
      <c r="F23" s="38"/>
      <c r="G23" s="36">
        <v>35916</v>
      </c>
      <c r="H23" s="19">
        <v>35913</v>
      </c>
      <c r="I23" s="20">
        <v>35912</v>
      </c>
    </row>
    <row r="24" spans="1:9" ht="10.8" x14ac:dyDescent="0.25">
      <c r="A24" s="45"/>
      <c r="B24" s="42"/>
      <c r="C24" s="43"/>
      <c r="D24" s="44"/>
      <c r="E24" s="44"/>
      <c r="F24" s="38"/>
      <c r="G24" s="36">
        <v>35947</v>
      </c>
      <c r="H24" s="19">
        <v>35942</v>
      </c>
      <c r="I24" s="20">
        <v>35941</v>
      </c>
    </row>
    <row r="25" spans="1:9" ht="10.8" x14ac:dyDescent="0.25">
      <c r="A25" s="45"/>
      <c r="B25" s="42"/>
      <c r="C25" s="43"/>
      <c r="D25" s="44"/>
      <c r="E25" s="44"/>
      <c r="F25" s="38"/>
      <c r="G25" s="36">
        <v>35977</v>
      </c>
      <c r="H25" s="19">
        <v>35972</v>
      </c>
      <c r="I25" s="20">
        <v>35971</v>
      </c>
    </row>
    <row r="26" spans="1:9" ht="10.8" x14ac:dyDescent="0.25">
      <c r="A26" s="45"/>
      <c r="B26" s="42"/>
      <c r="C26" s="43"/>
      <c r="D26" s="44"/>
      <c r="E26" s="44"/>
      <c r="F26" s="38"/>
      <c r="G26" s="36">
        <v>36008</v>
      </c>
      <c r="H26" s="19">
        <v>36005</v>
      </c>
      <c r="I26" s="20">
        <v>36004</v>
      </c>
    </row>
    <row r="27" spans="1:9" ht="10.8" x14ac:dyDescent="0.25">
      <c r="A27" s="45"/>
      <c r="B27" s="42"/>
      <c r="C27" s="43"/>
      <c r="D27" s="44"/>
      <c r="E27" s="44"/>
      <c r="F27" s="38"/>
      <c r="G27" s="36">
        <v>36039</v>
      </c>
      <c r="H27" s="19">
        <v>36034</v>
      </c>
      <c r="I27" s="20">
        <v>36033</v>
      </c>
    </row>
    <row r="28" spans="1:9" ht="10.8" x14ac:dyDescent="0.25">
      <c r="A28" s="45"/>
      <c r="B28" s="42"/>
      <c r="C28" s="43"/>
      <c r="D28" s="44"/>
      <c r="E28" s="44"/>
      <c r="F28" s="38"/>
      <c r="G28" s="36">
        <v>36069</v>
      </c>
      <c r="H28" s="19">
        <v>36066</v>
      </c>
      <c r="I28" s="20">
        <v>36063</v>
      </c>
    </row>
    <row r="29" spans="1:9" ht="10.8" x14ac:dyDescent="0.25">
      <c r="A29" s="45"/>
      <c r="B29" s="42"/>
      <c r="C29" s="43"/>
      <c r="D29" s="44"/>
      <c r="E29" s="44"/>
      <c r="F29" s="38"/>
      <c r="G29" s="36">
        <v>36100</v>
      </c>
      <c r="H29" s="19">
        <v>36096</v>
      </c>
      <c r="I29" s="20">
        <v>36095</v>
      </c>
    </row>
    <row r="30" spans="1:9" ht="10.8" x14ac:dyDescent="0.25">
      <c r="A30" s="45"/>
      <c r="B30" s="42"/>
      <c r="C30" s="43"/>
      <c r="D30" s="44"/>
      <c r="E30" s="44"/>
      <c r="F30" s="38"/>
      <c r="G30" s="36">
        <v>36130</v>
      </c>
      <c r="H30" s="19">
        <v>36124</v>
      </c>
      <c r="I30" s="20">
        <v>36123</v>
      </c>
    </row>
    <row r="31" spans="1:9" ht="10.8" x14ac:dyDescent="0.25">
      <c r="A31" s="45"/>
      <c r="B31" s="42"/>
      <c r="C31" s="43"/>
      <c r="D31" s="44"/>
      <c r="E31" s="44"/>
      <c r="F31" s="38"/>
      <c r="G31" s="36">
        <v>36161</v>
      </c>
      <c r="H31" s="19">
        <v>36158</v>
      </c>
      <c r="I31" s="20">
        <v>36157</v>
      </c>
    </row>
    <row r="32" spans="1:9" ht="10.8" x14ac:dyDescent="0.25">
      <c r="A32" s="45"/>
      <c r="B32" s="42"/>
      <c r="C32" s="43"/>
      <c r="D32" s="44"/>
      <c r="E32" s="44"/>
      <c r="F32" s="38"/>
      <c r="G32" s="36">
        <v>36192</v>
      </c>
      <c r="H32" s="19">
        <v>36187</v>
      </c>
      <c r="I32" s="20">
        <v>36186</v>
      </c>
    </row>
    <row r="33" spans="1:9" ht="10.8" x14ac:dyDescent="0.25">
      <c r="A33" s="45"/>
      <c r="B33" s="42"/>
      <c r="C33" s="43"/>
      <c r="D33" s="44"/>
      <c r="E33" s="44"/>
      <c r="F33" s="38"/>
      <c r="G33" s="36">
        <v>36220</v>
      </c>
      <c r="H33" s="19">
        <v>36215</v>
      </c>
      <c r="I33" s="20">
        <v>36214</v>
      </c>
    </row>
    <row r="34" spans="1:9" ht="10.8" x14ac:dyDescent="0.25">
      <c r="A34" s="45"/>
      <c r="B34" s="42"/>
      <c r="C34" s="43"/>
      <c r="D34" s="44"/>
      <c r="E34" s="44"/>
      <c r="F34" s="38"/>
      <c r="G34" s="36">
        <v>36251</v>
      </c>
      <c r="H34" s="19">
        <v>36248</v>
      </c>
      <c r="I34" s="20">
        <v>36245</v>
      </c>
    </row>
    <row r="35" spans="1:9" ht="10.8" x14ac:dyDescent="0.25">
      <c r="A35" s="45"/>
      <c r="B35" s="42"/>
      <c r="C35" s="43"/>
      <c r="D35" s="44"/>
      <c r="E35" s="44"/>
      <c r="F35" s="38"/>
      <c r="G35" s="36">
        <v>36281</v>
      </c>
      <c r="H35" s="19">
        <v>36278</v>
      </c>
      <c r="I35" s="20">
        <v>36277</v>
      </c>
    </row>
    <row r="36" spans="1:9" ht="10.8" x14ac:dyDescent="0.25">
      <c r="A36" s="45"/>
      <c r="B36" s="42"/>
      <c r="C36" s="43"/>
      <c r="D36" s="44"/>
      <c r="E36" s="44"/>
      <c r="F36" s="38"/>
      <c r="G36" s="36">
        <v>36312</v>
      </c>
      <c r="H36" s="19">
        <v>36306</v>
      </c>
      <c r="I36" s="20">
        <v>36305</v>
      </c>
    </row>
    <row r="37" spans="1:9" ht="10.8" x14ac:dyDescent="0.25">
      <c r="A37" s="45"/>
      <c r="B37" s="42"/>
      <c r="C37" s="43"/>
      <c r="D37" s="44"/>
      <c r="E37" s="44"/>
      <c r="F37" s="38"/>
      <c r="G37" s="36">
        <v>36342</v>
      </c>
      <c r="H37" s="19">
        <v>36339</v>
      </c>
      <c r="I37" s="20">
        <v>36336</v>
      </c>
    </row>
    <row r="38" spans="1:9" ht="10.8" x14ac:dyDescent="0.25">
      <c r="A38" s="45"/>
      <c r="B38" s="42"/>
      <c r="C38" s="43"/>
      <c r="D38" s="44"/>
      <c r="E38" s="44"/>
      <c r="F38" s="38"/>
      <c r="G38" s="36">
        <v>36373</v>
      </c>
      <c r="H38" s="19">
        <v>36369</v>
      </c>
      <c r="I38" s="20">
        <v>36368</v>
      </c>
    </row>
    <row r="39" spans="1:9" ht="10.8" x14ac:dyDescent="0.25">
      <c r="A39" s="45"/>
      <c r="B39" s="42"/>
      <c r="C39" s="43"/>
      <c r="D39" s="44"/>
      <c r="E39" s="44"/>
      <c r="F39" s="38"/>
      <c r="G39" s="36">
        <v>36404</v>
      </c>
      <c r="H39" s="19">
        <v>36399</v>
      </c>
      <c r="I39" s="20">
        <v>36398</v>
      </c>
    </row>
    <row r="40" spans="1:9" ht="10.8" x14ac:dyDescent="0.25">
      <c r="A40" s="45"/>
      <c r="B40" s="42"/>
      <c r="C40" s="43"/>
      <c r="D40" s="44"/>
      <c r="E40" s="44"/>
      <c r="F40" s="38"/>
      <c r="G40" s="36">
        <v>36434</v>
      </c>
      <c r="H40" s="19">
        <v>36431</v>
      </c>
      <c r="I40" s="20">
        <v>36430</v>
      </c>
    </row>
    <row r="41" spans="1:9" ht="10.8" x14ac:dyDescent="0.25">
      <c r="A41" s="45"/>
      <c r="B41" s="42"/>
      <c r="C41" s="43"/>
      <c r="D41" s="44"/>
      <c r="E41" s="44"/>
      <c r="F41" s="38"/>
      <c r="G41" s="36">
        <v>36465</v>
      </c>
      <c r="H41" s="19">
        <v>36460</v>
      </c>
      <c r="I41" s="20">
        <v>36459</v>
      </c>
    </row>
    <row r="42" spans="1:9" ht="10.8" x14ac:dyDescent="0.25">
      <c r="A42" s="45"/>
      <c r="B42" s="42"/>
      <c r="C42" s="43"/>
      <c r="D42" s="44"/>
      <c r="E42" s="44"/>
      <c r="F42" s="38"/>
      <c r="G42" s="36">
        <v>36495</v>
      </c>
      <c r="H42" s="19">
        <v>36488</v>
      </c>
      <c r="I42" s="20">
        <v>36487</v>
      </c>
    </row>
    <row r="43" spans="1:9" ht="10.8" x14ac:dyDescent="0.25">
      <c r="A43" s="45"/>
      <c r="B43" s="42"/>
      <c r="C43" s="43"/>
      <c r="D43" s="44"/>
      <c r="E43" s="44"/>
      <c r="F43" s="38"/>
      <c r="G43" s="36">
        <v>36526</v>
      </c>
      <c r="H43" s="19">
        <v>36522</v>
      </c>
      <c r="I43" s="20">
        <v>36522</v>
      </c>
    </row>
    <row r="44" spans="1:9" ht="10.8" x14ac:dyDescent="0.25">
      <c r="A44" s="45"/>
      <c r="B44" s="42"/>
      <c r="C44" s="43"/>
      <c r="D44" s="44"/>
      <c r="E44" s="44"/>
      <c r="F44" s="38"/>
      <c r="G44" s="36">
        <v>36557</v>
      </c>
      <c r="H44" s="19">
        <v>36552</v>
      </c>
      <c r="I44" s="20">
        <v>36551</v>
      </c>
    </row>
    <row r="45" spans="1:9" ht="10.8" x14ac:dyDescent="0.25">
      <c r="A45" s="45"/>
      <c r="B45" s="42"/>
      <c r="C45" s="43"/>
      <c r="D45" s="44"/>
      <c r="E45" s="44"/>
      <c r="F45" s="38"/>
      <c r="G45" s="36">
        <v>36586</v>
      </c>
      <c r="H45" s="19">
        <v>36581</v>
      </c>
      <c r="I45" s="20">
        <v>36580</v>
      </c>
    </row>
    <row r="46" spans="1:9" ht="10.8" x14ac:dyDescent="0.25">
      <c r="A46" s="45"/>
      <c r="B46" s="42"/>
      <c r="C46" s="43"/>
      <c r="D46" s="44"/>
      <c r="E46" s="44"/>
      <c r="F46" s="38"/>
      <c r="G46" s="36">
        <v>36617</v>
      </c>
      <c r="H46" s="19">
        <v>36614</v>
      </c>
      <c r="I46" s="20">
        <v>36613</v>
      </c>
    </row>
    <row r="47" spans="1:9" ht="10.8" x14ac:dyDescent="0.25">
      <c r="A47" s="45"/>
      <c r="B47" s="42"/>
      <c r="C47" s="43"/>
      <c r="D47" s="44"/>
      <c r="E47" s="44"/>
      <c r="F47" s="38"/>
      <c r="G47" s="36">
        <v>36647</v>
      </c>
      <c r="H47" s="19">
        <v>36642</v>
      </c>
      <c r="I47" s="20">
        <v>36641</v>
      </c>
    </row>
    <row r="48" spans="1:9" ht="10.8" x14ac:dyDescent="0.25">
      <c r="A48" s="45"/>
      <c r="B48" s="42"/>
      <c r="C48" s="43"/>
      <c r="D48" s="44"/>
      <c r="E48" s="44"/>
      <c r="F48" s="38"/>
      <c r="G48" s="36">
        <v>36678</v>
      </c>
      <c r="H48" s="19">
        <v>36672</v>
      </c>
      <c r="I48" s="20">
        <v>36671</v>
      </c>
    </row>
    <row r="49" spans="1:9" ht="10.8" x14ac:dyDescent="0.25">
      <c r="A49" s="45"/>
      <c r="B49" s="42"/>
      <c r="C49" s="43"/>
      <c r="D49" s="44"/>
      <c r="E49" s="44"/>
      <c r="F49" s="38"/>
      <c r="G49" s="36">
        <v>36708</v>
      </c>
      <c r="H49" s="19">
        <v>36705</v>
      </c>
      <c r="I49" s="20">
        <v>36704</v>
      </c>
    </row>
    <row r="50" spans="1:9" ht="10.8" x14ac:dyDescent="0.25">
      <c r="A50" s="45"/>
      <c r="B50" s="42"/>
      <c r="C50" s="43"/>
      <c r="D50" s="44"/>
      <c r="E50" s="44"/>
      <c r="F50" s="38"/>
      <c r="G50" s="36">
        <v>36739</v>
      </c>
      <c r="H50" s="19">
        <v>36735</v>
      </c>
      <c r="I50" s="20">
        <v>36733</v>
      </c>
    </row>
    <row r="51" spans="1:9" ht="10.8" x14ac:dyDescent="0.25">
      <c r="A51" s="45"/>
      <c r="B51" s="42"/>
      <c r="C51" s="43"/>
      <c r="D51" s="44"/>
      <c r="E51" s="44"/>
      <c r="F51" s="38"/>
      <c r="G51" s="36">
        <v>36770</v>
      </c>
      <c r="H51" s="19">
        <v>36768</v>
      </c>
      <c r="I51" s="20">
        <v>36766</v>
      </c>
    </row>
    <row r="52" spans="1:9" ht="10.8" x14ac:dyDescent="0.25">
      <c r="A52" s="45"/>
      <c r="B52" s="42"/>
      <c r="C52" s="43"/>
      <c r="D52" s="44"/>
      <c r="E52" s="44"/>
      <c r="F52" s="38"/>
      <c r="G52" s="36">
        <v>36800</v>
      </c>
      <c r="H52" s="19">
        <v>36796</v>
      </c>
      <c r="I52" s="20">
        <v>36795</v>
      </c>
    </row>
    <row r="53" spans="1:9" ht="10.8" x14ac:dyDescent="0.25">
      <c r="A53" s="45"/>
      <c r="B53" s="42"/>
      <c r="C53" s="43"/>
      <c r="D53" s="44"/>
      <c r="E53" s="44"/>
      <c r="F53" s="38"/>
      <c r="G53" s="36">
        <v>36831</v>
      </c>
      <c r="H53" s="19">
        <v>36826</v>
      </c>
      <c r="I53" s="20">
        <v>36825</v>
      </c>
    </row>
    <row r="54" spans="1:9" ht="10.8" x14ac:dyDescent="0.25">
      <c r="A54" s="45"/>
      <c r="B54" s="42"/>
      <c r="C54" s="43"/>
      <c r="D54" s="44"/>
      <c r="E54" s="44"/>
      <c r="F54" s="38"/>
      <c r="G54" s="36">
        <v>36861</v>
      </c>
      <c r="H54" s="19">
        <v>36858</v>
      </c>
      <c r="I54" s="20">
        <v>36857</v>
      </c>
    </row>
    <row r="55" spans="1:9" ht="10.8" x14ac:dyDescent="0.25">
      <c r="A55" s="45"/>
      <c r="B55" s="42"/>
      <c r="C55" s="43"/>
      <c r="D55" s="44"/>
      <c r="E55" s="44"/>
      <c r="F55" s="38"/>
      <c r="G55" s="36">
        <v>36892</v>
      </c>
      <c r="H55" s="19">
        <v>36887</v>
      </c>
      <c r="I55" s="20">
        <v>36886</v>
      </c>
    </row>
    <row r="56" spans="1:9" ht="10.8" x14ac:dyDescent="0.25">
      <c r="A56" s="45"/>
      <c r="B56" s="42"/>
      <c r="C56" s="43"/>
      <c r="D56" s="44"/>
      <c r="E56" s="44"/>
      <c r="F56" s="38"/>
      <c r="G56" s="36">
        <v>36923</v>
      </c>
      <c r="H56" s="19">
        <v>36920</v>
      </c>
      <c r="I56" s="20">
        <v>36917</v>
      </c>
    </row>
    <row r="57" spans="1:9" ht="10.8" x14ac:dyDescent="0.25">
      <c r="A57" s="45"/>
      <c r="B57" s="42"/>
      <c r="C57" s="43"/>
      <c r="D57" s="44"/>
      <c r="E57" s="44"/>
      <c r="F57" s="38"/>
      <c r="G57" s="36">
        <v>36951</v>
      </c>
      <c r="H57" s="19">
        <v>36948</v>
      </c>
      <c r="I57" s="20">
        <v>36945</v>
      </c>
    </row>
    <row r="58" spans="1:9" ht="10.8" x14ac:dyDescent="0.25">
      <c r="A58" s="45"/>
      <c r="B58" s="42"/>
      <c r="C58" s="43"/>
      <c r="D58" s="44"/>
      <c r="E58" s="44"/>
      <c r="F58" s="38"/>
      <c r="G58" s="36">
        <v>36982</v>
      </c>
      <c r="H58" s="19">
        <v>36978</v>
      </c>
      <c r="I58" s="20">
        <v>36977</v>
      </c>
    </row>
    <row r="59" spans="1:9" ht="10.8" x14ac:dyDescent="0.25">
      <c r="A59" s="45"/>
      <c r="B59" s="42"/>
      <c r="C59" s="43"/>
      <c r="D59" s="44"/>
      <c r="E59" s="44"/>
      <c r="F59" s="38"/>
      <c r="G59" s="36">
        <v>37012</v>
      </c>
      <c r="H59" s="19">
        <v>37007</v>
      </c>
      <c r="I59" s="20">
        <v>37006</v>
      </c>
    </row>
    <row r="60" spans="1:9" ht="10.8" x14ac:dyDescent="0.25">
      <c r="A60" s="45"/>
      <c r="B60" s="42"/>
      <c r="C60" s="43"/>
      <c r="D60" s="44"/>
      <c r="E60" s="44"/>
      <c r="F60" s="38"/>
      <c r="G60" s="36">
        <v>37043</v>
      </c>
      <c r="H60" s="19">
        <v>37040</v>
      </c>
      <c r="I60" s="20">
        <v>37036</v>
      </c>
    </row>
    <row r="61" spans="1:9" ht="10.8" x14ac:dyDescent="0.25">
      <c r="A61" s="45"/>
      <c r="B61" s="42"/>
      <c r="C61" s="43"/>
      <c r="D61" s="44"/>
      <c r="E61" s="44"/>
      <c r="F61" s="38"/>
      <c r="G61" s="36">
        <v>37073</v>
      </c>
      <c r="H61" s="19">
        <v>37069</v>
      </c>
      <c r="I61" s="20">
        <v>37068</v>
      </c>
    </row>
    <row r="62" spans="1:9" ht="10.8" x14ac:dyDescent="0.25">
      <c r="A62" s="45"/>
      <c r="B62" s="42"/>
      <c r="C62" s="43"/>
      <c r="D62" s="44"/>
      <c r="E62" s="44"/>
      <c r="F62" s="38"/>
      <c r="G62" s="36">
        <v>37104</v>
      </c>
      <c r="H62" s="19">
        <v>37099</v>
      </c>
      <c r="I62" s="20">
        <v>37098</v>
      </c>
    </row>
    <row r="63" spans="1:9" ht="10.8" x14ac:dyDescent="0.25">
      <c r="A63" s="45"/>
      <c r="B63" s="42"/>
      <c r="C63" s="43"/>
      <c r="D63" s="44"/>
      <c r="E63" s="44"/>
      <c r="F63" s="38"/>
      <c r="G63" s="36">
        <v>37135</v>
      </c>
      <c r="H63" s="19">
        <v>37132</v>
      </c>
      <c r="I63" s="20">
        <v>37131</v>
      </c>
    </row>
    <row r="64" spans="1:9" ht="10.8" x14ac:dyDescent="0.25">
      <c r="A64" s="45"/>
      <c r="B64" s="42"/>
      <c r="C64" s="43"/>
      <c r="D64" s="44"/>
      <c r="E64" s="44"/>
      <c r="F64" s="38"/>
      <c r="G64" s="36">
        <v>37165</v>
      </c>
      <c r="H64" s="19">
        <v>37160</v>
      </c>
      <c r="I64" s="20">
        <v>37159</v>
      </c>
    </row>
    <row r="65" spans="1:9" ht="10.8" x14ac:dyDescent="0.25">
      <c r="A65" s="45"/>
      <c r="B65" s="42"/>
      <c r="C65" s="43"/>
      <c r="D65" s="44"/>
      <c r="E65" s="44"/>
      <c r="F65" s="38"/>
      <c r="G65" s="36">
        <v>37196</v>
      </c>
      <c r="H65" s="19">
        <v>37193</v>
      </c>
      <c r="I65" s="20">
        <v>37190</v>
      </c>
    </row>
    <row r="66" spans="1:9" ht="10.8" x14ac:dyDescent="0.25">
      <c r="A66" s="45"/>
      <c r="B66" s="42"/>
      <c r="C66" s="43"/>
      <c r="D66" s="44"/>
      <c r="E66" s="44"/>
      <c r="F66" s="38"/>
      <c r="G66" s="36">
        <v>37226</v>
      </c>
      <c r="H66" s="19">
        <v>37223</v>
      </c>
      <c r="I66" s="20">
        <v>37222</v>
      </c>
    </row>
    <row r="67" spans="1:9" ht="10.8" x14ac:dyDescent="0.25">
      <c r="A67" s="45"/>
      <c r="B67" s="42"/>
      <c r="C67" s="43"/>
      <c r="D67" s="44"/>
      <c r="E67" s="44"/>
      <c r="F67" s="38"/>
      <c r="G67" s="36">
        <v>37257</v>
      </c>
      <c r="H67" s="19">
        <v>37252</v>
      </c>
      <c r="I67" s="20">
        <v>37251</v>
      </c>
    </row>
    <row r="68" spans="1:9" ht="10.8" x14ac:dyDescent="0.25">
      <c r="A68" s="45"/>
      <c r="B68" s="42"/>
      <c r="C68" s="43"/>
      <c r="D68" s="44"/>
      <c r="E68" s="44"/>
      <c r="F68" s="38"/>
      <c r="G68" s="36">
        <v>37288</v>
      </c>
      <c r="H68" s="19">
        <v>37285</v>
      </c>
      <c r="I68" s="20">
        <v>37284</v>
      </c>
    </row>
    <row r="69" spans="1:9" ht="10.8" x14ac:dyDescent="0.25">
      <c r="A69" s="45"/>
      <c r="B69" s="42"/>
      <c r="C69" s="43"/>
      <c r="D69" s="44"/>
      <c r="E69" s="44"/>
      <c r="F69" s="38"/>
      <c r="G69" s="36">
        <v>37316</v>
      </c>
      <c r="H69" s="19">
        <v>37313</v>
      </c>
      <c r="I69" s="20">
        <v>37312</v>
      </c>
    </row>
    <row r="70" spans="1:9" ht="10.8" x14ac:dyDescent="0.25">
      <c r="A70" s="45"/>
      <c r="B70" s="42"/>
      <c r="C70" s="43"/>
      <c r="D70" s="44"/>
      <c r="E70" s="44"/>
      <c r="F70" s="38"/>
      <c r="G70" s="36">
        <v>37347</v>
      </c>
      <c r="H70" s="19">
        <v>37341</v>
      </c>
      <c r="I70" s="20">
        <v>37340</v>
      </c>
    </row>
    <row r="71" spans="1:9" ht="10.8" x14ac:dyDescent="0.25">
      <c r="A71" s="45"/>
      <c r="B71" s="42"/>
      <c r="C71" s="43"/>
      <c r="D71" s="44"/>
      <c r="E71" s="44"/>
      <c r="F71" s="38"/>
      <c r="G71" s="36">
        <v>37377</v>
      </c>
      <c r="H71" s="19">
        <v>37372</v>
      </c>
      <c r="I71" s="20">
        <v>37371</v>
      </c>
    </row>
    <row r="72" spans="1:9" ht="10.8" x14ac:dyDescent="0.25">
      <c r="A72" s="45"/>
      <c r="B72" s="42"/>
      <c r="C72" s="43"/>
      <c r="D72" s="44"/>
      <c r="E72" s="44"/>
      <c r="F72" s="38"/>
      <c r="G72" s="36">
        <v>37408</v>
      </c>
      <c r="H72" s="19">
        <v>37405</v>
      </c>
      <c r="I72" s="20">
        <v>37404</v>
      </c>
    </row>
    <row r="73" spans="1:9" ht="10.8" x14ac:dyDescent="0.25">
      <c r="A73" s="45"/>
      <c r="B73" s="42"/>
      <c r="C73" s="43"/>
      <c r="D73" s="44"/>
      <c r="E73" s="44"/>
      <c r="F73" s="38"/>
      <c r="G73" s="36">
        <v>37438</v>
      </c>
      <c r="H73" s="19">
        <v>37433</v>
      </c>
      <c r="I73" s="20">
        <v>37432</v>
      </c>
    </row>
    <row r="74" spans="1:9" ht="10.8" x14ac:dyDescent="0.25">
      <c r="A74" s="45"/>
      <c r="B74" s="42"/>
      <c r="C74" s="43"/>
      <c r="D74" s="44"/>
      <c r="E74" s="44"/>
      <c r="F74" s="38"/>
      <c r="G74" s="36">
        <v>37469</v>
      </c>
      <c r="H74" s="19">
        <v>37466</v>
      </c>
      <c r="I74" s="20">
        <v>37463</v>
      </c>
    </row>
    <row r="75" spans="1:9" ht="10.8" x14ac:dyDescent="0.25">
      <c r="A75" s="45"/>
      <c r="B75" s="42"/>
      <c r="C75" s="43"/>
      <c r="D75" s="44"/>
      <c r="E75" s="44"/>
      <c r="F75" s="38"/>
      <c r="G75" s="36">
        <v>37500</v>
      </c>
      <c r="H75" s="19">
        <v>37496</v>
      </c>
      <c r="I75" s="20">
        <v>37495</v>
      </c>
    </row>
    <row r="76" spans="1:9" ht="10.8" x14ac:dyDescent="0.25">
      <c r="A76" s="45"/>
      <c r="B76" s="42"/>
      <c r="C76" s="43"/>
      <c r="D76" s="44"/>
      <c r="E76" s="44"/>
      <c r="F76" s="38"/>
      <c r="G76" s="36">
        <v>37530</v>
      </c>
      <c r="H76" s="19">
        <v>37525</v>
      </c>
      <c r="I76" s="20">
        <v>37524</v>
      </c>
    </row>
    <row r="77" spans="1:9" ht="10.8" x14ac:dyDescent="0.25">
      <c r="A77" s="45"/>
      <c r="B77" s="42"/>
      <c r="C77" s="43"/>
      <c r="D77" s="44"/>
      <c r="E77" s="44"/>
      <c r="F77" s="38"/>
      <c r="G77" s="36">
        <v>37561</v>
      </c>
      <c r="H77" s="19">
        <v>37558</v>
      </c>
      <c r="I77" s="20">
        <v>37557</v>
      </c>
    </row>
    <row r="78" spans="1:9" ht="10.8" x14ac:dyDescent="0.25">
      <c r="A78" s="45"/>
      <c r="B78" s="42"/>
      <c r="C78" s="43"/>
      <c r="D78" s="44"/>
      <c r="E78" s="44"/>
      <c r="F78" s="38"/>
      <c r="G78" s="36">
        <v>37591</v>
      </c>
      <c r="H78" s="19">
        <v>37586</v>
      </c>
      <c r="I78" s="20">
        <v>37585</v>
      </c>
    </row>
    <row r="79" spans="1:9" ht="10.8" x14ac:dyDescent="0.25">
      <c r="A79" s="45"/>
      <c r="B79" s="42"/>
      <c r="C79" s="43"/>
      <c r="D79" s="44"/>
      <c r="E79" s="44"/>
      <c r="F79" s="38"/>
      <c r="G79" s="36">
        <v>37622</v>
      </c>
      <c r="H79" s="19">
        <v>37617</v>
      </c>
      <c r="I79" s="20">
        <v>37616</v>
      </c>
    </row>
    <row r="80" spans="1:9" ht="10.8" x14ac:dyDescent="0.25">
      <c r="A80" s="45"/>
      <c r="B80" s="42"/>
      <c r="C80" s="43"/>
      <c r="D80" s="44"/>
      <c r="E80" s="44"/>
      <c r="F80" s="38"/>
      <c r="G80" s="36">
        <v>37653</v>
      </c>
      <c r="H80" s="19">
        <v>37650</v>
      </c>
      <c r="I80" s="20">
        <v>37649</v>
      </c>
    </row>
    <row r="81" spans="1:9" ht="10.8" x14ac:dyDescent="0.25">
      <c r="A81" s="45"/>
      <c r="B81" s="42"/>
      <c r="C81" s="43"/>
      <c r="D81" s="44"/>
      <c r="E81" s="44"/>
      <c r="F81" s="38"/>
      <c r="G81" s="36">
        <v>37681</v>
      </c>
      <c r="H81" s="19">
        <v>37678</v>
      </c>
      <c r="I81" s="20">
        <v>37677</v>
      </c>
    </row>
    <row r="82" spans="1:9" ht="10.8" x14ac:dyDescent="0.25">
      <c r="A82" s="45"/>
      <c r="B82" s="42"/>
      <c r="C82" s="43"/>
      <c r="D82" s="44"/>
      <c r="E82" s="44"/>
      <c r="F82" s="38"/>
      <c r="G82" s="36">
        <v>37712</v>
      </c>
      <c r="H82" s="19">
        <v>37707</v>
      </c>
      <c r="I82" s="20">
        <v>37706</v>
      </c>
    </row>
    <row r="83" spans="1:9" ht="10.8" x14ac:dyDescent="0.25">
      <c r="A83" s="45"/>
      <c r="B83" s="42"/>
      <c r="C83" s="43"/>
      <c r="D83" s="44"/>
      <c r="E83" s="44"/>
      <c r="F83" s="38"/>
      <c r="G83" s="36">
        <v>37742</v>
      </c>
      <c r="H83" s="19">
        <v>37739</v>
      </c>
      <c r="I83" s="20">
        <v>37736</v>
      </c>
    </row>
    <row r="84" spans="1:9" ht="10.8" x14ac:dyDescent="0.25">
      <c r="A84" s="45"/>
      <c r="B84" s="42"/>
      <c r="C84" s="43"/>
      <c r="D84" s="44"/>
      <c r="E84" s="44"/>
      <c r="F84" s="38"/>
      <c r="G84" s="36">
        <v>37773</v>
      </c>
      <c r="H84" s="19">
        <v>37769</v>
      </c>
      <c r="I84" s="20">
        <v>37768</v>
      </c>
    </row>
    <row r="85" spans="1:9" ht="10.8" x14ac:dyDescent="0.25">
      <c r="A85" s="45"/>
      <c r="B85" s="42"/>
      <c r="C85" s="43"/>
      <c r="D85" s="44"/>
      <c r="E85" s="44"/>
      <c r="F85" s="38"/>
      <c r="G85" s="36">
        <v>37803</v>
      </c>
      <c r="H85" s="19">
        <v>37798</v>
      </c>
      <c r="I85" s="20">
        <v>37797</v>
      </c>
    </row>
    <row r="86" spans="1:9" ht="10.8" x14ac:dyDescent="0.25">
      <c r="A86" s="45"/>
      <c r="B86" s="42"/>
      <c r="C86" s="43"/>
      <c r="D86" s="44"/>
      <c r="E86" s="44"/>
      <c r="F86" s="38"/>
      <c r="G86" s="36">
        <v>37834</v>
      </c>
      <c r="H86" s="19">
        <v>37831</v>
      </c>
      <c r="I86" s="20">
        <v>37830</v>
      </c>
    </row>
    <row r="87" spans="1:9" ht="10.8" x14ac:dyDescent="0.25">
      <c r="A87" s="45"/>
      <c r="B87" s="42"/>
      <c r="C87" s="43"/>
      <c r="D87" s="44"/>
      <c r="E87" s="44"/>
      <c r="F87" s="38"/>
      <c r="G87" s="36">
        <v>37865</v>
      </c>
      <c r="H87" s="19">
        <v>37860</v>
      </c>
      <c r="I87" s="20">
        <v>37859</v>
      </c>
    </row>
    <row r="88" spans="1:9" ht="10.8" x14ac:dyDescent="0.25">
      <c r="A88" s="45"/>
      <c r="B88" s="42"/>
      <c r="C88" s="43"/>
      <c r="D88" s="44"/>
      <c r="E88" s="44"/>
      <c r="F88" s="38"/>
      <c r="G88" s="36">
        <v>37895</v>
      </c>
      <c r="H88" s="19">
        <v>37890</v>
      </c>
      <c r="I88" s="20">
        <v>37889</v>
      </c>
    </row>
    <row r="89" spans="1:9" ht="10.8" x14ac:dyDescent="0.25">
      <c r="A89" s="45"/>
      <c r="B89" s="42"/>
      <c r="C89" s="43"/>
      <c r="D89" s="44"/>
      <c r="E89" s="44"/>
      <c r="F89" s="38"/>
      <c r="G89" s="36">
        <v>37926</v>
      </c>
      <c r="H89" s="19">
        <v>37923</v>
      </c>
      <c r="I89" s="20">
        <v>37922</v>
      </c>
    </row>
    <row r="90" spans="1:9" ht="10.8" x14ac:dyDescent="0.25">
      <c r="A90" s="45"/>
      <c r="B90" s="42"/>
      <c r="C90" s="43"/>
      <c r="D90" s="44"/>
      <c r="E90" s="44"/>
      <c r="F90" s="38"/>
      <c r="G90" s="36">
        <v>37956</v>
      </c>
      <c r="H90" s="19">
        <v>37950</v>
      </c>
      <c r="I90" s="20">
        <v>37949</v>
      </c>
    </row>
    <row r="91" spans="1:9" ht="10.8" x14ac:dyDescent="0.25">
      <c r="A91" s="45"/>
      <c r="B91" s="42"/>
      <c r="C91" s="43"/>
      <c r="D91" s="44"/>
      <c r="E91" s="44"/>
      <c r="F91" s="38"/>
      <c r="G91" s="36">
        <v>37987</v>
      </c>
      <c r="H91" s="19">
        <v>37984</v>
      </c>
      <c r="I91" s="20">
        <v>37981</v>
      </c>
    </row>
    <row r="92" spans="1:9" ht="10.8" x14ac:dyDescent="0.25">
      <c r="A92" s="45"/>
      <c r="B92" s="42"/>
      <c r="C92" s="43"/>
      <c r="D92" s="44"/>
      <c r="E92" s="44"/>
      <c r="F92" s="38"/>
      <c r="G92" s="36">
        <v>38018</v>
      </c>
      <c r="H92" s="19">
        <v>38014</v>
      </c>
      <c r="I92" s="20">
        <v>38013</v>
      </c>
    </row>
    <row r="93" spans="1:9" ht="10.8" x14ac:dyDescent="0.25">
      <c r="A93" s="45"/>
      <c r="B93" s="42"/>
      <c r="C93" s="43"/>
      <c r="D93" s="44"/>
      <c r="E93" s="44"/>
      <c r="F93" s="38"/>
      <c r="G93" s="36">
        <v>38047</v>
      </c>
      <c r="H93" s="19">
        <v>38042</v>
      </c>
      <c r="I93" s="20">
        <v>38041</v>
      </c>
    </row>
    <row r="94" spans="1:9" ht="10.8" x14ac:dyDescent="0.25">
      <c r="A94" s="45"/>
      <c r="B94" s="42"/>
      <c r="C94" s="43"/>
      <c r="D94" s="44"/>
      <c r="E94" s="44"/>
      <c r="F94" s="38"/>
      <c r="G94" s="36">
        <v>38078</v>
      </c>
      <c r="H94" s="19">
        <v>38075</v>
      </c>
      <c r="I94" s="20">
        <v>38072</v>
      </c>
    </row>
    <row r="95" spans="1:9" ht="10.8" x14ac:dyDescent="0.25">
      <c r="A95" s="45"/>
      <c r="B95" s="42"/>
      <c r="C95" s="43"/>
      <c r="D95" s="44"/>
      <c r="E95" s="44"/>
      <c r="F95" s="38"/>
      <c r="G95" s="36">
        <v>38108</v>
      </c>
      <c r="H95" s="19">
        <v>38105</v>
      </c>
      <c r="I95" s="20">
        <v>38104</v>
      </c>
    </row>
    <row r="96" spans="1:9" ht="10.8" x14ac:dyDescent="0.25">
      <c r="A96" s="45"/>
      <c r="B96" s="42"/>
      <c r="C96" s="43"/>
      <c r="D96" s="44"/>
      <c r="E96" s="44"/>
      <c r="F96" s="38"/>
      <c r="G96" s="36">
        <v>38139</v>
      </c>
      <c r="H96" s="19">
        <v>38133</v>
      </c>
      <c r="I96" s="20">
        <v>38132</v>
      </c>
    </row>
    <row r="97" spans="1:9" ht="10.8" x14ac:dyDescent="0.25">
      <c r="A97" s="45"/>
      <c r="B97" s="42"/>
      <c r="C97" s="43"/>
      <c r="D97" s="44"/>
      <c r="E97" s="44"/>
      <c r="F97" s="38"/>
      <c r="G97" s="36">
        <v>38169</v>
      </c>
      <c r="H97" s="19">
        <v>38166</v>
      </c>
      <c r="I97" s="20">
        <v>38163</v>
      </c>
    </row>
    <row r="98" spans="1:9" ht="10.8" x14ac:dyDescent="0.25">
      <c r="A98" s="45"/>
      <c r="B98" s="42"/>
      <c r="C98" s="43"/>
      <c r="D98" s="44"/>
      <c r="E98" s="44"/>
      <c r="F98" s="38"/>
      <c r="G98" s="36">
        <v>38200</v>
      </c>
      <c r="H98" s="19">
        <v>38196</v>
      </c>
      <c r="I98" s="20">
        <v>38195</v>
      </c>
    </row>
    <row r="99" spans="1:9" ht="10.8" x14ac:dyDescent="0.25">
      <c r="A99" s="45"/>
      <c r="B99" s="42"/>
      <c r="C99" s="43"/>
      <c r="D99" s="44"/>
      <c r="E99" s="44"/>
      <c r="F99" s="38"/>
      <c r="G99" s="36">
        <v>38231</v>
      </c>
      <c r="H99" s="19">
        <v>38226</v>
      </c>
      <c r="I99" s="20">
        <v>38225</v>
      </c>
    </row>
    <row r="100" spans="1:9" ht="10.8" x14ac:dyDescent="0.25">
      <c r="A100" s="45"/>
      <c r="B100" s="42"/>
      <c r="C100" s="43"/>
      <c r="D100" s="44"/>
      <c r="E100" s="44"/>
      <c r="F100" s="38"/>
      <c r="G100" s="36">
        <v>38261</v>
      </c>
      <c r="H100" s="19">
        <v>38258</v>
      </c>
      <c r="I100" s="20">
        <v>38257</v>
      </c>
    </row>
    <row r="101" spans="1:9" ht="10.8" x14ac:dyDescent="0.25">
      <c r="A101" s="45"/>
      <c r="B101" s="42"/>
      <c r="C101" s="43"/>
      <c r="D101" s="44"/>
      <c r="E101" s="44"/>
      <c r="F101" s="38"/>
      <c r="G101" s="36">
        <v>38292</v>
      </c>
      <c r="H101" s="19">
        <v>38287</v>
      </c>
      <c r="I101" s="20">
        <v>38286</v>
      </c>
    </row>
    <row r="102" spans="1:9" ht="10.8" x14ac:dyDescent="0.25">
      <c r="A102" s="45"/>
      <c r="B102" s="42"/>
      <c r="C102" s="43"/>
      <c r="D102" s="44"/>
      <c r="E102" s="44"/>
      <c r="F102" s="38"/>
      <c r="G102" s="36">
        <v>38322</v>
      </c>
      <c r="H102" s="19">
        <v>38317</v>
      </c>
      <c r="I102" s="20">
        <v>38315</v>
      </c>
    </row>
    <row r="103" spans="1:9" ht="10.8" x14ac:dyDescent="0.25">
      <c r="A103" s="45"/>
      <c r="B103" s="42"/>
      <c r="C103" s="43"/>
      <c r="D103" s="44"/>
      <c r="E103" s="44"/>
      <c r="F103" s="38"/>
      <c r="G103" s="36">
        <v>38353</v>
      </c>
      <c r="H103" s="19">
        <v>38349</v>
      </c>
      <c r="I103" s="20">
        <v>38348</v>
      </c>
    </row>
    <row r="104" spans="1:9" ht="10.8" x14ac:dyDescent="0.25">
      <c r="A104" s="45"/>
      <c r="B104" s="42"/>
      <c r="C104" s="43"/>
      <c r="D104" s="44"/>
      <c r="E104" s="44"/>
      <c r="F104" s="38"/>
      <c r="G104" s="36">
        <v>38384</v>
      </c>
      <c r="H104" s="19">
        <v>38379</v>
      </c>
      <c r="I104" s="20">
        <v>38378</v>
      </c>
    </row>
    <row r="105" spans="1:9" ht="10.8" x14ac:dyDescent="0.25">
      <c r="A105" s="45"/>
      <c r="B105" s="42"/>
      <c r="C105" s="43"/>
      <c r="D105" s="44"/>
      <c r="E105" s="44"/>
      <c r="F105" s="38"/>
      <c r="G105" s="36">
        <v>38412</v>
      </c>
      <c r="H105" s="19">
        <v>38407</v>
      </c>
      <c r="I105" s="20">
        <v>38406</v>
      </c>
    </row>
    <row r="106" spans="1:9" ht="10.8" x14ac:dyDescent="0.25">
      <c r="A106" s="45"/>
      <c r="B106" s="42"/>
      <c r="C106" s="43"/>
      <c r="D106" s="44"/>
      <c r="E106" s="44"/>
      <c r="F106" s="38"/>
      <c r="G106" s="36">
        <v>38443</v>
      </c>
      <c r="H106" s="19">
        <v>38440</v>
      </c>
      <c r="I106" s="20">
        <v>38439</v>
      </c>
    </row>
    <row r="107" spans="1:9" ht="10.8" x14ac:dyDescent="0.25">
      <c r="A107" s="45"/>
      <c r="B107" s="42"/>
      <c r="C107" s="43"/>
      <c r="D107" s="44"/>
      <c r="E107" s="44"/>
      <c r="F107" s="38"/>
      <c r="G107" s="36">
        <v>38473</v>
      </c>
      <c r="H107" s="19">
        <v>38469</v>
      </c>
      <c r="I107" s="20">
        <v>38468</v>
      </c>
    </row>
    <row r="108" spans="1:9" ht="10.8" x14ac:dyDescent="0.25">
      <c r="A108" s="45"/>
      <c r="B108" s="42"/>
      <c r="C108" s="43"/>
      <c r="D108" s="44"/>
      <c r="E108" s="44"/>
      <c r="F108" s="38"/>
      <c r="G108" s="36">
        <v>38504</v>
      </c>
      <c r="H108" s="19">
        <v>38498</v>
      </c>
      <c r="I108" s="20">
        <v>38497</v>
      </c>
    </row>
    <row r="109" spans="1:9" ht="10.8" x14ac:dyDescent="0.25">
      <c r="A109" s="45"/>
      <c r="B109" s="42"/>
      <c r="C109" s="43"/>
      <c r="D109" s="44"/>
      <c r="E109" s="44"/>
      <c r="F109" s="38"/>
      <c r="G109" s="36">
        <v>38534</v>
      </c>
      <c r="H109" s="19">
        <v>38531</v>
      </c>
      <c r="I109" s="20">
        <v>38530</v>
      </c>
    </row>
    <row r="110" spans="1:9" ht="10.8" x14ac:dyDescent="0.25">
      <c r="A110" s="45"/>
      <c r="B110" s="42"/>
      <c r="C110" s="43"/>
      <c r="D110" s="44"/>
      <c r="E110" s="44"/>
      <c r="F110" s="38"/>
      <c r="G110" s="36">
        <v>38565</v>
      </c>
      <c r="H110" s="19">
        <v>38560</v>
      </c>
      <c r="I110" s="20">
        <v>38559</v>
      </c>
    </row>
    <row r="111" spans="1:9" ht="10.8" x14ac:dyDescent="0.25">
      <c r="A111" s="45"/>
      <c r="B111" s="42"/>
      <c r="C111" s="43"/>
      <c r="D111" s="44"/>
      <c r="E111" s="44"/>
      <c r="F111" s="38"/>
      <c r="G111" s="36">
        <v>38596</v>
      </c>
      <c r="H111" s="19">
        <v>38593</v>
      </c>
      <c r="I111" s="20">
        <v>38590</v>
      </c>
    </row>
    <row r="112" spans="1:9" ht="10.8" x14ac:dyDescent="0.25">
      <c r="A112" s="45"/>
      <c r="B112" s="42"/>
      <c r="C112" s="43"/>
      <c r="D112" s="44"/>
      <c r="E112" s="44"/>
      <c r="F112" s="38"/>
      <c r="G112" s="36">
        <v>38626</v>
      </c>
      <c r="H112" s="19">
        <v>38623</v>
      </c>
      <c r="I112" s="20">
        <v>38622</v>
      </c>
    </row>
    <row r="113" spans="1:9" ht="10.8" x14ac:dyDescent="0.25">
      <c r="A113" s="45"/>
      <c r="B113" s="42"/>
      <c r="C113" s="43"/>
      <c r="D113" s="44"/>
      <c r="E113" s="44"/>
      <c r="F113" s="38"/>
      <c r="G113" s="36">
        <v>38657</v>
      </c>
      <c r="H113" s="19">
        <v>38652</v>
      </c>
      <c r="I113" s="20">
        <v>38651</v>
      </c>
    </row>
    <row r="114" spans="1:9" ht="10.8" x14ac:dyDescent="0.25">
      <c r="A114" s="45"/>
      <c r="B114" s="42"/>
      <c r="C114" s="43"/>
      <c r="D114" s="44"/>
      <c r="E114" s="44"/>
      <c r="F114" s="38"/>
      <c r="G114" s="36">
        <v>38687</v>
      </c>
      <c r="H114" s="19">
        <v>38684</v>
      </c>
      <c r="I114" s="20">
        <v>38681</v>
      </c>
    </row>
    <row r="115" spans="1:9" ht="10.8" x14ac:dyDescent="0.25">
      <c r="A115" s="45"/>
      <c r="B115" s="42"/>
      <c r="C115" s="43"/>
      <c r="D115" s="44"/>
      <c r="E115" s="44"/>
      <c r="F115" s="38"/>
      <c r="G115" s="36">
        <v>38718</v>
      </c>
      <c r="H115" s="19">
        <v>38714</v>
      </c>
      <c r="I115" s="20">
        <v>38713</v>
      </c>
    </row>
    <row r="116" spans="1:9" ht="10.8" x14ac:dyDescent="0.25">
      <c r="A116" s="45"/>
      <c r="B116" s="42"/>
      <c r="C116" s="43"/>
      <c r="D116" s="44"/>
      <c r="E116" s="44"/>
      <c r="F116" s="38"/>
      <c r="G116" s="36">
        <v>38749</v>
      </c>
      <c r="H116" s="19">
        <v>38744</v>
      </c>
      <c r="I116" s="20">
        <v>38743</v>
      </c>
    </row>
    <row r="117" spans="1:9" ht="10.8" x14ac:dyDescent="0.25">
      <c r="A117" s="45"/>
      <c r="B117" s="42"/>
      <c r="C117" s="43"/>
      <c r="D117" s="44"/>
      <c r="E117" s="44"/>
      <c r="F117" s="38"/>
      <c r="G117" s="36">
        <v>38777</v>
      </c>
      <c r="H117" s="19">
        <v>38772</v>
      </c>
      <c r="I117" s="20">
        <v>38771</v>
      </c>
    </row>
    <row r="118" spans="1:9" ht="10.8" x14ac:dyDescent="0.25">
      <c r="A118" s="45"/>
      <c r="B118" s="42"/>
      <c r="C118" s="43"/>
      <c r="D118" s="44"/>
      <c r="E118" s="44"/>
      <c r="F118" s="38"/>
      <c r="G118" s="36">
        <v>38808</v>
      </c>
      <c r="H118" s="19">
        <v>38805</v>
      </c>
      <c r="I118" s="20">
        <v>38804</v>
      </c>
    </row>
    <row r="119" spans="1:9" ht="10.8" x14ac:dyDescent="0.25">
      <c r="A119" s="45"/>
      <c r="B119" s="42"/>
      <c r="C119" s="43"/>
      <c r="D119" s="44"/>
      <c r="E119" s="44"/>
      <c r="F119" s="38"/>
      <c r="G119" s="36">
        <v>38838</v>
      </c>
      <c r="H119" s="19">
        <v>38833</v>
      </c>
      <c r="I119" s="20">
        <v>38832</v>
      </c>
    </row>
    <row r="120" spans="1:9" ht="10.8" x14ac:dyDescent="0.25">
      <c r="A120" s="45"/>
      <c r="B120" s="42"/>
      <c r="C120" s="43"/>
      <c r="D120" s="44"/>
      <c r="E120" s="44"/>
      <c r="F120" s="38"/>
      <c r="G120" s="36">
        <v>38869</v>
      </c>
      <c r="H120" s="19">
        <v>38863</v>
      </c>
      <c r="I120" s="20">
        <v>38862</v>
      </c>
    </row>
    <row r="121" spans="1:9" ht="10.8" x14ac:dyDescent="0.25">
      <c r="A121" s="45"/>
      <c r="B121" s="42"/>
      <c r="C121" s="43"/>
      <c r="D121" s="44"/>
      <c r="E121" s="44"/>
      <c r="F121" s="38"/>
      <c r="G121" s="36">
        <v>38899</v>
      </c>
      <c r="H121" s="19">
        <v>38896</v>
      </c>
      <c r="I121" s="20">
        <v>38895</v>
      </c>
    </row>
    <row r="122" spans="1:9" ht="10.8" x14ac:dyDescent="0.25">
      <c r="A122" s="45"/>
      <c r="B122" s="42"/>
      <c r="C122" s="43"/>
      <c r="D122" s="44"/>
      <c r="E122" s="44"/>
      <c r="F122" s="38"/>
      <c r="G122" s="36">
        <v>38930</v>
      </c>
      <c r="H122" s="19">
        <v>38925</v>
      </c>
      <c r="I122" s="20">
        <v>38924</v>
      </c>
    </row>
    <row r="123" spans="1:9" ht="10.8" x14ac:dyDescent="0.25">
      <c r="A123" s="45"/>
      <c r="B123" s="42"/>
      <c r="C123" s="43"/>
      <c r="D123" s="44"/>
      <c r="E123" s="44"/>
      <c r="F123" s="38"/>
      <c r="G123" s="36">
        <v>38961</v>
      </c>
      <c r="H123" s="19">
        <v>38958</v>
      </c>
      <c r="I123" s="20">
        <v>38957</v>
      </c>
    </row>
    <row r="124" spans="1:9" ht="10.8" x14ac:dyDescent="0.25">
      <c r="A124" s="45"/>
      <c r="B124" s="42"/>
      <c r="C124" s="43"/>
      <c r="D124" s="44"/>
      <c r="E124" s="44"/>
      <c r="F124" s="38"/>
      <c r="G124" s="36">
        <v>38991</v>
      </c>
      <c r="H124" s="19">
        <v>38987</v>
      </c>
      <c r="I124" s="20">
        <v>38986</v>
      </c>
    </row>
    <row r="125" spans="1:9" ht="10.8" x14ac:dyDescent="0.25">
      <c r="A125" s="45"/>
      <c r="B125" s="42"/>
      <c r="C125" s="43"/>
      <c r="D125" s="44"/>
      <c r="E125" s="44"/>
      <c r="F125" s="38"/>
      <c r="G125" s="36">
        <v>39022</v>
      </c>
      <c r="H125" s="19">
        <v>39017</v>
      </c>
      <c r="I125" s="20">
        <v>39016</v>
      </c>
    </row>
    <row r="126" spans="1:9" ht="10.8" x14ac:dyDescent="0.25">
      <c r="A126" s="45"/>
      <c r="B126" s="42"/>
      <c r="C126" s="43"/>
      <c r="D126" s="44"/>
      <c r="E126" s="44"/>
      <c r="F126" s="38"/>
      <c r="G126" s="36">
        <v>39052</v>
      </c>
      <c r="H126" s="19">
        <v>39049</v>
      </c>
      <c r="I126" s="20">
        <v>39048</v>
      </c>
    </row>
    <row r="127" spans="1:9" ht="10.8" x14ac:dyDescent="0.25">
      <c r="A127" s="45"/>
      <c r="B127" s="42"/>
      <c r="C127" s="43"/>
      <c r="D127" s="44"/>
      <c r="E127" s="44"/>
      <c r="F127" s="38"/>
      <c r="G127" s="36">
        <v>39083</v>
      </c>
      <c r="H127" s="19">
        <v>39078</v>
      </c>
      <c r="I127" s="20">
        <v>39077</v>
      </c>
    </row>
    <row r="128" spans="1:9" ht="10.8" x14ac:dyDescent="0.25">
      <c r="A128" s="45"/>
      <c r="B128" s="42"/>
      <c r="C128" s="43"/>
      <c r="D128" s="44"/>
      <c r="E128" s="44"/>
      <c r="F128" s="38"/>
      <c r="G128" s="36">
        <v>39114</v>
      </c>
      <c r="H128" s="19">
        <v>39111</v>
      </c>
      <c r="I128" s="20">
        <v>39108</v>
      </c>
    </row>
    <row r="129" spans="1:9" ht="10.8" x14ac:dyDescent="0.25">
      <c r="A129" s="45"/>
      <c r="B129" s="42"/>
      <c r="C129" s="43"/>
      <c r="D129" s="44"/>
      <c r="E129" s="44"/>
      <c r="F129" s="38"/>
      <c r="G129" s="36">
        <v>39142</v>
      </c>
      <c r="H129" s="19">
        <v>39139</v>
      </c>
      <c r="I129" s="20">
        <v>39136</v>
      </c>
    </row>
    <row r="130" spans="1:9" ht="10.8" x14ac:dyDescent="0.25">
      <c r="A130" s="45"/>
      <c r="B130" s="42"/>
      <c r="C130" s="43"/>
      <c r="D130" s="44"/>
      <c r="E130" s="44"/>
      <c r="F130" s="38"/>
      <c r="G130" s="36">
        <v>39173</v>
      </c>
      <c r="H130" s="19">
        <v>39169</v>
      </c>
      <c r="I130" s="20">
        <v>39168</v>
      </c>
    </row>
    <row r="131" spans="1:9" ht="10.8" x14ac:dyDescent="0.25">
      <c r="A131" s="45"/>
      <c r="B131" s="42"/>
      <c r="C131" s="43"/>
      <c r="D131" s="44"/>
      <c r="E131" s="44"/>
      <c r="F131" s="38"/>
      <c r="G131" s="36">
        <v>39203</v>
      </c>
      <c r="H131" s="19">
        <v>39198</v>
      </c>
      <c r="I131" s="20">
        <v>39197</v>
      </c>
    </row>
    <row r="132" spans="1:9" ht="10.8" x14ac:dyDescent="0.25">
      <c r="A132" s="45"/>
      <c r="B132" s="42"/>
      <c r="C132" s="43"/>
      <c r="D132" s="44"/>
      <c r="E132" s="44"/>
      <c r="F132" s="38"/>
      <c r="G132" s="36">
        <v>39234</v>
      </c>
      <c r="H132" s="19">
        <v>39231</v>
      </c>
      <c r="I132" s="20">
        <v>39227</v>
      </c>
    </row>
    <row r="133" spans="1:9" ht="10.8" x14ac:dyDescent="0.25">
      <c r="A133" s="45"/>
      <c r="B133" s="42"/>
      <c r="C133" s="43"/>
      <c r="D133" s="44"/>
      <c r="E133" s="44"/>
      <c r="F133" s="38"/>
      <c r="G133" s="36">
        <v>39264</v>
      </c>
      <c r="H133" s="19">
        <v>39260</v>
      </c>
      <c r="I133" s="20">
        <v>39259</v>
      </c>
    </row>
    <row r="134" spans="1:9" ht="10.8" x14ac:dyDescent="0.25">
      <c r="A134" s="45"/>
      <c r="B134" s="42"/>
      <c r="C134" s="43"/>
      <c r="D134" s="44"/>
      <c r="E134" s="44"/>
      <c r="F134" s="38"/>
      <c r="G134" s="36">
        <v>39295</v>
      </c>
      <c r="H134" s="19">
        <v>39290</v>
      </c>
      <c r="I134" s="20">
        <v>39289</v>
      </c>
    </row>
    <row r="135" spans="1:9" ht="10.8" x14ac:dyDescent="0.25">
      <c r="A135" s="45"/>
      <c r="B135" s="42"/>
      <c r="C135" s="43"/>
      <c r="D135" s="44"/>
      <c r="E135" s="44"/>
      <c r="F135" s="38"/>
      <c r="G135" s="36">
        <v>39326</v>
      </c>
      <c r="H135" s="19">
        <v>39323</v>
      </c>
      <c r="I135" s="20">
        <v>39322</v>
      </c>
    </row>
    <row r="136" spans="1:9" ht="10.8" x14ac:dyDescent="0.25">
      <c r="A136" s="45"/>
      <c r="B136" s="42"/>
      <c r="C136" s="43"/>
      <c r="D136" s="44"/>
      <c r="E136" s="44"/>
      <c r="F136" s="38"/>
      <c r="G136" s="36">
        <v>39356</v>
      </c>
      <c r="H136" s="19">
        <v>39351</v>
      </c>
      <c r="I136" s="20">
        <v>39350</v>
      </c>
    </row>
    <row r="137" spans="1:9" ht="10.8" x14ac:dyDescent="0.25">
      <c r="A137" s="45"/>
      <c r="B137" s="42"/>
      <c r="C137" s="43"/>
      <c r="D137" s="44"/>
      <c r="E137" s="44"/>
      <c r="F137" s="38"/>
      <c r="G137" s="36">
        <v>39387</v>
      </c>
      <c r="H137" s="19">
        <v>39384</v>
      </c>
      <c r="I137" s="20">
        <v>39381</v>
      </c>
    </row>
    <row r="138" spans="1:9" ht="10.8" x14ac:dyDescent="0.25">
      <c r="A138" s="45"/>
      <c r="B138" s="42"/>
      <c r="C138" s="43"/>
      <c r="D138" s="44"/>
      <c r="E138" s="44"/>
      <c r="F138" s="38"/>
      <c r="G138" s="36">
        <v>39417</v>
      </c>
      <c r="H138" s="19">
        <v>39414</v>
      </c>
      <c r="I138" s="20">
        <v>39413</v>
      </c>
    </row>
    <row r="139" spans="1:9" ht="10.8" x14ac:dyDescent="0.25">
      <c r="A139" s="45"/>
      <c r="B139" s="42"/>
      <c r="C139" s="43"/>
      <c r="D139" s="44"/>
      <c r="E139" s="44"/>
      <c r="F139" s="38"/>
      <c r="G139" s="36">
        <v>39448</v>
      </c>
      <c r="H139" s="19">
        <v>39443</v>
      </c>
      <c r="I139" s="20">
        <v>39442</v>
      </c>
    </row>
    <row r="140" spans="1:9" ht="10.8" x14ac:dyDescent="0.25">
      <c r="A140" s="45"/>
      <c r="B140" s="42"/>
      <c r="C140" s="43"/>
      <c r="D140" s="44"/>
      <c r="E140" s="44"/>
      <c r="F140" s="38"/>
      <c r="G140" s="36">
        <v>39479</v>
      </c>
      <c r="H140" s="19">
        <v>39476</v>
      </c>
      <c r="I140" s="20">
        <v>39475</v>
      </c>
    </row>
    <row r="141" spans="1:9" ht="10.8" x14ac:dyDescent="0.25">
      <c r="A141" s="45"/>
      <c r="B141" s="42"/>
      <c r="C141" s="43"/>
      <c r="D141" s="44"/>
      <c r="E141" s="44"/>
      <c r="F141" s="38"/>
      <c r="G141" s="36">
        <v>39508</v>
      </c>
      <c r="H141" s="19">
        <v>39505</v>
      </c>
      <c r="I141" s="20">
        <v>39504</v>
      </c>
    </row>
    <row r="142" spans="1:9" ht="10.8" x14ac:dyDescent="0.25">
      <c r="A142" s="45"/>
      <c r="B142" s="42"/>
      <c r="C142" s="43"/>
      <c r="D142" s="44"/>
      <c r="E142" s="44"/>
      <c r="F142" s="38"/>
      <c r="G142" s="36">
        <v>39539</v>
      </c>
      <c r="H142" s="19">
        <v>39534</v>
      </c>
      <c r="I142" s="20">
        <v>39533</v>
      </c>
    </row>
    <row r="143" spans="1:9" ht="10.8" x14ac:dyDescent="0.25">
      <c r="A143" s="45"/>
      <c r="B143" s="42"/>
      <c r="C143" s="43"/>
      <c r="D143" s="44"/>
      <c r="E143" s="44"/>
      <c r="F143" s="38"/>
      <c r="G143" s="36">
        <v>39569</v>
      </c>
      <c r="H143" s="19">
        <v>39566</v>
      </c>
      <c r="I143" s="20">
        <v>39563</v>
      </c>
    </row>
    <row r="144" spans="1:9" ht="10.8" x14ac:dyDescent="0.25">
      <c r="A144" s="45"/>
      <c r="B144" s="42"/>
      <c r="C144" s="43"/>
      <c r="D144" s="44"/>
      <c r="E144" s="44"/>
      <c r="F144" s="38"/>
      <c r="G144" s="36">
        <v>39600</v>
      </c>
      <c r="H144" s="19">
        <v>39596</v>
      </c>
      <c r="I144" s="20">
        <v>39595</v>
      </c>
    </row>
    <row r="145" spans="1:9" ht="10.8" x14ac:dyDescent="0.25">
      <c r="A145" s="45"/>
      <c r="B145" s="42"/>
      <c r="C145" s="43"/>
      <c r="D145" s="44"/>
      <c r="E145" s="44"/>
      <c r="F145" s="38"/>
      <c r="G145" s="36">
        <v>39630</v>
      </c>
      <c r="H145" s="19">
        <v>39625</v>
      </c>
      <c r="I145" s="20">
        <v>39624</v>
      </c>
    </row>
    <row r="146" spans="1:9" ht="10.8" x14ac:dyDescent="0.25">
      <c r="A146" s="45"/>
      <c r="B146" s="42"/>
      <c r="C146" s="43"/>
      <c r="D146" s="44"/>
      <c r="E146" s="44"/>
      <c r="F146" s="38"/>
      <c r="G146" s="36">
        <v>39661</v>
      </c>
      <c r="H146" s="19">
        <v>39658</v>
      </c>
      <c r="I146" s="20">
        <v>39657</v>
      </c>
    </row>
    <row r="147" spans="1:9" ht="10.8" x14ac:dyDescent="0.25">
      <c r="A147" s="45"/>
      <c r="B147" s="42"/>
      <c r="C147" s="43"/>
      <c r="D147" s="44"/>
      <c r="E147" s="44"/>
      <c r="F147" s="38"/>
      <c r="G147" s="36">
        <v>39692</v>
      </c>
      <c r="H147" s="19">
        <v>39687</v>
      </c>
      <c r="I147" s="20">
        <v>39686</v>
      </c>
    </row>
    <row r="148" spans="1:9" ht="10.8" x14ac:dyDescent="0.25">
      <c r="A148" s="45"/>
      <c r="B148" s="42"/>
      <c r="C148" s="43"/>
      <c r="D148" s="44"/>
      <c r="E148" s="44"/>
      <c r="F148" s="38"/>
      <c r="G148" s="36">
        <v>39722</v>
      </c>
      <c r="H148" s="19">
        <v>39717</v>
      </c>
      <c r="I148" s="20">
        <v>39716</v>
      </c>
    </row>
    <row r="149" spans="1:9" ht="10.8" x14ac:dyDescent="0.25">
      <c r="A149" s="45"/>
      <c r="B149" s="42"/>
      <c r="C149" s="43"/>
      <c r="D149" s="44"/>
      <c r="E149" s="44"/>
      <c r="F149" s="38"/>
      <c r="G149" s="36">
        <v>39753</v>
      </c>
      <c r="H149" s="19">
        <v>39750</v>
      </c>
      <c r="I149" s="20">
        <v>39749</v>
      </c>
    </row>
    <row r="150" spans="1:9" ht="10.8" x14ac:dyDescent="0.25">
      <c r="A150" s="45"/>
      <c r="B150" s="42"/>
      <c r="C150" s="43"/>
      <c r="D150" s="44"/>
      <c r="E150" s="44"/>
      <c r="F150" s="38"/>
      <c r="G150" s="36">
        <v>39783</v>
      </c>
      <c r="H150" s="19">
        <v>39777</v>
      </c>
      <c r="I150" s="20">
        <v>39776</v>
      </c>
    </row>
    <row r="151" spans="1:9" ht="10.8" x14ac:dyDescent="0.25">
      <c r="A151" s="45"/>
      <c r="B151" s="42"/>
      <c r="C151" s="43"/>
      <c r="D151" s="44"/>
      <c r="E151" s="44"/>
      <c r="F151" s="38"/>
      <c r="G151" s="36">
        <v>39814</v>
      </c>
      <c r="H151" s="19">
        <v>39811</v>
      </c>
      <c r="I151" s="20">
        <v>39808</v>
      </c>
    </row>
    <row r="152" spans="1:9" ht="10.8" x14ac:dyDescent="0.25">
      <c r="A152" s="45"/>
      <c r="B152" s="42"/>
      <c r="C152" s="43"/>
      <c r="D152" s="44"/>
      <c r="E152" s="44"/>
      <c r="F152" s="38"/>
      <c r="G152" s="36">
        <v>39845</v>
      </c>
      <c r="H152" s="19">
        <v>39841</v>
      </c>
      <c r="I152" s="20">
        <v>39840</v>
      </c>
    </row>
    <row r="153" spans="1:9" ht="10.8" x14ac:dyDescent="0.25">
      <c r="A153" s="45"/>
      <c r="B153" s="42"/>
      <c r="C153" s="43"/>
      <c r="D153" s="44"/>
      <c r="E153" s="44"/>
      <c r="F153" s="38"/>
      <c r="G153" s="36">
        <v>39873</v>
      </c>
      <c r="H153" s="19">
        <v>39869</v>
      </c>
      <c r="I153" s="20">
        <v>39868</v>
      </c>
    </row>
    <row r="154" spans="1:9" ht="10.8" x14ac:dyDescent="0.25">
      <c r="A154" s="45"/>
      <c r="B154" s="42"/>
      <c r="C154" s="43"/>
      <c r="D154" s="44"/>
      <c r="E154" s="44"/>
      <c r="F154" s="38"/>
      <c r="G154" s="36">
        <v>39904</v>
      </c>
      <c r="H154" s="19">
        <v>39899</v>
      </c>
      <c r="I154" s="20">
        <v>39898</v>
      </c>
    </row>
    <row r="155" spans="1:9" ht="10.8" x14ac:dyDescent="0.25">
      <c r="A155" s="45"/>
      <c r="B155" s="42"/>
      <c r="C155" s="43"/>
      <c r="D155" s="44"/>
      <c r="E155" s="44"/>
      <c r="F155" s="38"/>
      <c r="G155" s="36">
        <v>39934</v>
      </c>
      <c r="H155" s="19">
        <v>39931</v>
      </c>
      <c r="I155" s="20">
        <v>39930</v>
      </c>
    </row>
    <row r="156" spans="1:9" ht="10.8" x14ac:dyDescent="0.25">
      <c r="A156" s="45"/>
      <c r="B156" s="42"/>
      <c r="C156" s="43"/>
      <c r="D156" s="44"/>
      <c r="E156" s="44"/>
      <c r="F156" s="38"/>
      <c r="G156" s="36">
        <v>39965</v>
      </c>
      <c r="H156" s="19">
        <v>39960</v>
      </c>
      <c r="I156" s="20">
        <v>39959</v>
      </c>
    </row>
    <row r="157" spans="1:9" ht="10.8" x14ac:dyDescent="0.25">
      <c r="A157" s="45"/>
      <c r="B157" s="42"/>
      <c r="C157" s="43"/>
      <c r="D157" s="44"/>
      <c r="E157" s="44"/>
      <c r="F157" s="38"/>
      <c r="G157" s="36">
        <v>39995</v>
      </c>
      <c r="H157" s="19">
        <v>39990</v>
      </c>
      <c r="I157" s="20">
        <v>39989</v>
      </c>
    </row>
    <row r="158" spans="1:9" ht="10.8" x14ac:dyDescent="0.25">
      <c r="A158" s="45"/>
      <c r="B158" s="42"/>
      <c r="C158" s="43"/>
      <c r="D158" s="44"/>
      <c r="E158" s="44"/>
      <c r="F158" s="38"/>
      <c r="G158" s="36">
        <v>40026</v>
      </c>
      <c r="H158" s="19">
        <v>40023</v>
      </c>
      <c r="I158" s="20">
        <v>40022</v>
      </c>
    </row>
    <row r="159" spans="1:9" ht="10.8" x14ac:dyDescent="0.25">
      <c r="A159" s="45"/>
      <c r="B159" s="42"/>
      <c r="C159" s="43"/>
      <c r="D159" s="44"/>
      <c r="E159" s="44"/>
      <c r="F159" s="38"/>
      <c r="G159" s="36">
        <v>40057</v>
      </c>
      <c r="H159" s="19">
        <v>40052</v>
      </c>
      <c r="I159" s="20">
        <v>40051</v>
      </c>
    </row>
    <row r="160" spans="1:9" ht="10.8" x14ac:dyDescent="0.25">
      <c r="A160" s="45"/>
      <c r="B160" s="42"/>
      <c r="C160" s="43"/>
      <c r="D160" s="44"/>
      <c r="E160" s="44"/>
      <c r="F160" s="38"/>
      <c r="G160" s="36">
        <v>40087</v>
      </c>
      <c r="H160" s="19">
        <v>40084</v>
      </c>
      <c r="I160" s="20">
        <v>40081</v>
      </c>
    </row>
    <row r="161" spans="1:9" ht="10.8" x14ac:dyDescent="0.25">
      <c r="A161" s="45"/>
      <c r="B161" s="42"/>
      <c r="C161" s="43"/>
      <c r="D161" s="44"/>
      <c r="E161" s="44"/>
      <c r="F161" s="38"/>
      <c r="G161" s="36">
        <v>40118</v>
      </c>
      <c r="H161" s="19">
        <v>40114</v>
      </c>
      <c r="I161" s="20">
        <v>40113</v>
      </c>
    </row>
    <row r="162" spans="1:9" ht="10.8" x14ac:dyDescent="0.25">
      <c r="A162" s="45"/>
      <c r="B162" s="42"/>
      <c r="C162" s="43"/>
      <c r="D162" s="44"/>
      <c r="E162" s="44"/>
      <c r="F162" s="38"/>
      <c r="G162" s="36">
        <v>40148</v>
      </c>
      <c r="H162" s="19">
        <v>40142</v>
      </c>
      <c r="I162" s="20">
        <v>40141</v>
      </c>
    </row>
    <row r="163" spans="1:9" ht="10.8" x14ac:dyDescent="0.25">
      <c r="A163" s="45"/>
      <c r="B163" s="42"/>
      <c r="C163" s="43"/>
      <c r="D163" s="44"/>
      <c r="E163" s="44"/>
      <c r="F163" s="38"/>
      <c r="G163" s="36">
        <v>40179</v>
      </c>
      <c r="H163" s="19">
        <v>40176</v>
      </c>
      <c r="I163" s="20">
        <v>40175</v>
      </c>
    </row>
    <row r="164" spans="1:9" ht="10.8" x14ac:dyDescent="0.25">
      <c r="A164" s="45"/>
      <c r="B164" s="42"/>
      <c r="C164" s="43"/>
      <c r="D164" s="44"/>
      <c r="E164" s="44"/>
      <c r="F164" s="38"/>
      <c r="G164" s="36">
        <v>40210</v>
      </c>
      <c r="H164" s="19">
        <v>40205</v>
      </c>
      <c r="I164" s="20">
        <v>40204</v>
      </c>
    </row>
    <row r="165" spans="1:9" ht="10.8" x14ac:dyDescent="0.25">
      <c r="A165" s="45"/>
      <c r="B165" s="42"/>
      <c r="C165" s="43"/>
      <c r="D165" s="44"/>
      <c r="E165" s="44"/>
      <c r="F165" s="38"/>
      <c r="G165" s="36">
        <v>40238</v>
      </c>
      <c r="H165" s="19">
        <v>40233</v>
      </c>
      <c r="I165" s="20">
        <v>40232</v>
      </c>
    </row>
    <row r="166" spans="1:9" ht="10.8" x14ac:dyDescent="0.25">
      <c r="A166" s="45"/>
      <c r="B166" s="42"/>
      <c r="C166" s="43"/>
      <c r="D166" s="44"/>
      <c r="E166" s="44"/>
      <c r="F166" s="38"/>
      <c r="G166" s="36">
        <v>40269</v>
      </c>
      <c r="H166" s="19">
        <v>40266</v>
      </c>
      <c r="I166" s="20">
        <v>40263</v>
      </c>
    </row>
    <row r="167" spans="1:9" ht="10.8" x14ac:dyDescent="0.25">
      <c r="A167" s="45"/>
      <c r="B167" s="42"/>
      <c r="C167" s="43"/>
      <c r="D167" s="44"/>
      <c r="E167" s="44"/>
      <c r="F167" s="38"/>
      <c r="G167" s="36">
        <v>40299</v>
      </c>
      <c r="H167" s="19">
        <v>40296</v>
      </c>
      <c r="I167" s="20">
        <v>40295</v>
      </c>
    </row>
    <row r="168" spans="1:9" ht="10.8" x14ac:dyDescent="0.25">
      <c r="A168" s="45"/>
      <c r="B168" s="42"/>
      <c r="C168" s="43"/>
      <c r="D168" s="44"/>
      <c r="E168" s="44"/>
      <c r="F168" s="38"/>
      <c r="G168" s="36">
        <v>40330</v>
      </c>
      <c r="H168" s="19">
        <v>40324</v>
      </c>
      <c r="I168" s="20">
        <v>40323</v>
      </c>
    </row>
    <row r="169" spans="1:9" ht="10.8" x14ac:dyDescent="0.25">
      <c r="A169" s="45"/>
      <c r="B169" s="42"/>
      <c r="C169" s="43"/>
      <c r="D169" s="44"/>
      <c r="E169" s="44"/>
      <c r="F169" s="38"/>
      <c r="G169" s="36">
        <v>40360</v>
      </c>
      <c r="H169" s="19">
        <v>40357</v>
      </c>
      <c r="I169" s="20">
        <v>40354</v>
      </c>
    </row>
    <row r="170" spans="1:9" ht="10.8" x14ac:dyDescent="0.25">
      <c r="A170" s="45"/>
      <c r="B170" s="42"/>
      <c r="C170" s="43"/>
      <c r="D170" s="44"/>
      <c r="E170" s="44"/>
      <c r="F170" s="38"/>
      <c r="G170" s="36">
        <v>40391</v>
      </c>
      <c r="H170" s="19">
        <v>40387</v>
      </c>
      <c r="I170" s="20">
        <v>40386</v>
      </c>
    </row>
    <row r="171" spans="1:9" ht="10.8" x14ac:dyDescent="0.25">
      <c r="A171" s="45"/>
      <c r="B171" s="42"/>
      <c r="C171" s="43"/>
      <c r="D171" s="44"/>
      <c r="E171" s="44"/>
      <c r="F171" s="38"/>
      <c r="G171" s="36">
        <v>40422</v>
      </c>
      <c r="H171" s="19">
        <v>40417</v>
      </c>
      <c r="I171" s="20">
        <v>40416</v>
      </c>
    </row>
    <row r="172" spans="1:9" ht="10.8" x14ac:dyDescent="0.25">
      <c r="A172" s="45"/>
      <c r="B172" s="42"/>
      <c r="C172" s="43"/>
      <c r="D172" s="44"/>
      <c r="E172" s="44"/>
      <c r="F172" s="38"/>
      <c r="G172" s="36">
        <v>40452</v>
      </c>
      <c r="H172" s="19">
        <v>40449</v>
      </c>
      <c r="I172" s="20">
        <v>40448</v>
      </c>
    </row>
    <row r="173" spans="1:9" ht="10.8" x14ac:dyDescent="0.25">
      <c r="A173" s="45"/>
      <c r="B173" s="42"/>
      <c r="C173" s="43"/>
      <c r="D173" s="44"/>
      <c r="E173" s="44"/>
      <c r="F173" s="38"/>
      <c r="G173" s="36">
        <v>40483</v>
      </c>
      <c r="H173" s="19">
        <v>40478</v>
      </c>
      <c r="I173" s="20">
        <v>40477</v>
      </c>
    </row>
    <row r="174" spans="1:9" ht="10.8" x14ac:dyDescent="0.25">
      <c r="A174" s="45"/>
      <c r="B174" s="42"/>
      <c r="C174" s="43"/>
      <c r="D174" s="44"/>
      <c r="E174" s="44"/>
      <c r="F174" s="38"/>
      <c r="G174" s="36">
        <v>40513</v>
      </c>
      <c r="H174" s="19">
        <v>40508</v>
      </c>
      <c r="I174" s="20">
        <v>40506</v>
      </c>
    </row>
    <row r="175" spans="1:9" ht="10.8" x14ac:dyDescent="0.25">
      <c r="A175" s="45"/>
      <c r="B175" s="42"/>
      <c r="C175" s="43"/>
      <c r="D175" s="44"/>
      <c r="E175" s="44"/>
      <c r="F175" s="38"/>
      <c r="G175" s="36">
        <v>40544</v>
      </c>
      <c r="H175" s="19">
        <v>40540</v>
      </c>
      <c r="I175" s="20">
        <v>40539</v>
      </c>
    </row>
    <row r="176" spans="1:9" ht="10.8" x14ac:dyDescent="0.25">
      <c r="A176" s="45"/>
      <c r="B176" s="42"/>
      <c r="C176" s="43"/>
      <c r="D176" s="44"/>
      <c r="E176" s="44"/>
      <c r="F176" s="38"/>
      <c r="G176" s="36">
        <v>40575</v>
      </c>
      <c r="H176" s="19">
        <v>40570</v>
      </c>
      <c r="I176" s="20">
        <v>40569</v>
      </c>
    </row>
    <row r="177" spans="1:9" ht="10.8" x14ac:dyDescent="0.25">
      <c r="A177" s="45"/>
      <c r="B177" s="42"/>
      <c r="C177" s="43"/>
      <c r="D177" s="44"/>
      <c r="E177" s="44"/>
      <c r="F177" s="38"/>
      <c r="G177" s="36">
        <v>40603</v>
      </c>
      <c r="H177" s="19">
        <v>40598</v>
      </c>
      <c r="I177" s="20">
        <v>40597</v>
      </c>
    </row>
    <row r="178" spans="1:9" ht="10.8" x14ac:dyDescent="0.25">
      <c r="A178" s="45"/>
      <c r="B178" s="42"/>
      <c r="C178" s="43"/>
      <c r="D178" s="44"/>
      <c r="E178" s="44"/>
      <c r="F178" s="38"/>
      <c r="G178" s="36">
        <v>40634</v>
      </c>
      <c r="H178" s="19">
        <v>40631</v>
      </c>
      <c r="I178" s="20">
        <v>40630</v>
      </c>
    </row>
    <row r="179" spans="1:9" ht="10.8" x14ac:dyDescent="0.25">
      <c r="A179" s="45"/>
      <c r="B179" s="42"/>
      <c r="C179" s="43"/>
      <c r="D179" s="44"/>
      <c r="E179" s="44"/>
      <c r="F179" s="38"/>
      <c r="G179" s="36">
        <v>40664</v>
      </c>
      <c r="H179" s="19">
        <v>40660</v>
      </c>
      <c r="I179" s="20">
        <v>40659</v>
      </c>
    </row>
    <row r="180" spans="1:9" ht="10.8" x14ac:dyDescent="0.25">
      <c r="A180" s="45"/>
      <c r="B180" s="42"/>
      <c r="C180" s="43"/>
      <c r="D180" s="44"/>
      <c r="E180" s="44"/>
      <c r="F180" s="38"/>
      <c r="G180" s="36">
        <v>40695</v>
      </c>
      <c r="H180" s="19">
        <v>40689</v>
      </c>
      <c r="I180" s="20">
        <v>40688</v>
      </c>
    </row>
    <row r="181" spans="1:9" ht="10.8" x14ac:dyDescent="0.25">
      <c r="A181" s="45"/>
      <c r="B181" s="42"/>
      <c r="C181" s="43"/>
      <c r="D181" s="44"/>
      <c r="E181" s="44"/>
      <c r="F181" s="38"/>
      <c r="G181" s="36">
        <v>40725</v>
      </c>
      <c r="H181" s="19">
        <v>40722</v>
      </c>
      <c r="I181" s="20">
        <v>40721</v>
      </c>
    </row>
    <row r="182" spans="1:9" ht="10.8" x14ac:dyDescent="0.25">
      <c r="A182" s="45"/>
      <c r="B182" s="42"/>
      <c r="C182" s="43"/>
      <c r="D182" s="44"/>
      <c r="E182" s="44"/>
      <c r="F182" s="38"/>
      <c r="G182" s="36">
        <v>40756</v>
      </c>
      <c r="H182" s="19">
        <v>40751</v>
      </c>
      <c r="I182" s="20">
        <v>40750</v>
      </c>
    </row>
    <row r="183" spans="1:9" ht="10.8" x14ac:dyDescent="0.25">
      <c r="A183" s="45"/>
      <c r="B183" s="42"/>
      <c r="C183" s="43"/>
      <c r="D183" s="44"/>
      <c r="E183" s="44"/>
      <c r="F183" s="38"/>
      <c r="G183" s="36">
        <v>40787</v>
      </c>
      <c r="H183" s="19">
        <v>40784</v>
      </c>
      <c r="I183" s="20">
        <v>40781</v>
      </c>
    </row>
    <row r="184" spans="1:9" ht="10.8" x14ac:dyDescent="0.25">
      <c r="A184" s="45"/>
      <c r="B184" s="42"/>
      <c r="C184" s="43"/>
      <c r="D184" s="44"/>
      <c r="E184" s="44"/>
      <c r="F184" s="38"/>
      <c r="G184" s="36">
        <v>40817</v>
      </c>
      <c r="H184" s="19">
        <v>40814</v>
      </c>
      <c r="I184" s="20">
        <v>40813</v>
      </c>
    </row>
    <row r="185" spans="1:9" ht="10.8" x14ac:dyDescent="0.25">
      <c r="A185" s="45"/>
      <c r="B185" s="42"/>
      <c r="C185" s="43"/>
      <c r="D185" s="44"/>
      <c r="E185" s="44"/>
      <c r="F185" s="38"/>
      <c r="G185" s="36">
        <v>40848</v>
      </c>
      <c r="H185" s="19">
        <v>40843</v>
      </c>
      <c r="I185" s="20">
        <v>40842</v>
      </c>
    </row>
    <row r="186" spans="1:9" ht="10.8" x14ac:dyDescent="0.25">
      <c r="A186" s="45"/>
      <c r="B186" s="42"/>
      <c r="C186" s="43"/>
      <c r="D186" s="44"/>
      <c r="E186" s="44"/>
      <c r="F186" s="38"/>
      <c r="G186" s="36">
        <v>40878</v>
      </c>
      <c r="H186" s="19">
        <v>40875</v>
      </c>
      <c r="I186" s="20">
        <v>40872</v>
      </c>
    </row>
    <row r="187" spans="1:9" ht="10.8" x14ac:dyDescent="0.25">
      <c r="A187" s="45"/>
      <c r="B187" s="42"/>
      <c r="C187" s="43"/>
      <c r="D187" s="44"/>
      <c r="E187" s="44"/>
      <c r="F187" s="38"/>
      <c r="G187" s="36">
        <v>40909</v>
      </c>
      <c r="H187" s="19">
        <v>40905</v>
      </c>
      <c r="I187" s="20">
        <v>40904</v>
      </c>
    </row>
    <row r="188" spans="1:9" ht="10.8" x14ac:dyDescent="0.25">
      <c r="A188" s="45"/>
      <c r="B188" s="42"/>
      <c r="C188" s="43"/>
      <c r="D188" s="44"/>
      <c r="E188" s="44"/>
      <c r="F188" s="38"/>
      <c r="G188" s="36">
        <v>40940</v>
      </c>
      <c r="H188" s="19">
        <v>40935</v>
      </c>
      <c r="I188" s="20">
        <v>40934</v>
      </c>
    </row>
    <row r="189" spans="1:9" ht="10.8" x14ac:dyDescent="0.25">
      <c r="A189" s="45"/>
      <c r="B189" s="42"/>
      <c r="C189" s="43"/>
      <c r="D189" s="44"/>
      <c r="E189" s="44"/>
      <c r="F189" s="38"/>
      <c r="G189" s="36">
        <v>40969</v>
      </c>
      <c r="H189" s="19">
        <v>40966</v>
      </c>
      <c r="I189" s="20">
        <v>40963</v>
      </c>
    </row>
    <row r="190" spans="1:9" ht="10.8" x14ac:dyDescent="0.25">
      <c r="A190" s="45"/>
      <c r="B190" s="42"/>
      <c r="C190" s="43"/>
      <c r="D190" s="44"/>
      <c r="E190" s="44"/>
      <c r="F190" s="38"/>
      <c r="G190" s="36">
        <v>41000</v>
      </c>
      <c r="H190" s="19">
        <v>40996</v>
      </c>
      <c r="I190" s="20">
        <v>40995</v>
      </c>
    </row>
    <row r="191" spans="1:9" ht="10.8" x14ac:dyDescent="0.25">
      <c r="A191" s="45"/>
      <c r="B191" s="42"/>
      <c r="C191" s="43"/>
      <c r="D191" s="44"/>
      <c r="E191" s="44"/>
      <c r="F191" s="38"/>
      <c r="G191" s="36">
        <v>41030</v>
      </c>
      <c r="H191" s="19">
        <v>41025</v>
      </c>
      <c r="I191" s="20">
        <v>41024</v>
      </c>
    </row>
    <row r="192" spans="1:9" ht="10.8" x14ac:dyDescent="0.25">
      <c r="A192" s="45"/>
      <c r="B192" s="42"/>
      <c r="C192" s="43"/>
      <c r="D192" s="44"/>
      <c r="E192" s="44"/>
      <c r="F192" s="38"/>
      <c r="G192" s="36">
        <v>41061</v>
      </c>
      <c r="H192" s="19">
        <v>41058</v>
      </c>
      <c r="I192" s="20">
        <v>41054</v>
      </c>
    </row>
    <row r="193" spans="1:9" ht="10.8" x14ac:dyDescent="0.25">
      <c r="A193" s="45"/>
      <c r="B193" s="42"/>
      <c r="C193" s="43"/>
      <c r="D193" s="44"/>
      <c r="E193" s="44"/>
      <c r="F193" s="38"/>
      <c r="G193" s="36">
        <v>41091</v>
      </c>
      <c r="H193" s="19">
        <v>41087</v>
      </c>
      <c r="I193" s="20">
        <v>41086</v>
      </c>
    </row>
    <row r="194" spans="1:9" ht="10.8" x14ac:dyDescent="0.25">
      <c r="A194" s="45"/>
      <c r="B194" s="42"/>
      <c r="C194" s="43"/>
      <c r="D194" s="44"/>
      <c r="E194" s="44"/>
      <c r="F194" s="38"/>
      <c r="G194" s="36">
        <v>41122</v>
      </c>
      <c r="H194" s="19">
        <v>41117</v>
      </c>
      <c r="I194" s="20">
        <v>41116</v>
      </c>
    </row>
    <row r="195" spans="1:9" ht="10.8" x14ac:dyDescent="0.25">
      <c r="A195" s="45"/>
      <c r="B195" s="42"/>
      <c r="C195" s="43"/>
      <c r="D195" s="44"/>
      <c r="E195" s="44"/>
      <c r="F195" s="38"/>
      <c r="G195" s="36">
        <v>41153</v>
      </c>
      <c r="H195" s="19">
        <v>41150</v>
      </c>
      <c r="I195" s="20">
        <v>41149</v>
      </c>
    </row>
    <row r="196" spans="1:9" ht="10.8" x14ac:dyDescent="0.25">
      <c r="A196" s="45"/>
      <c r="B196" s="42"/>
      <c r="C196" s="43"/>
      <c r="D196" s="44"/>
      <c r="E196" s="44"/>
      <c r="F196" s="38"/>
      <c r="G196" s="36">
        <v>41183</v>
      </c>
      <c r="H196" s="19">
        <v>41178</v>
      </c>
      <c r="I196" s="20">
        <v>41177</v>
      </c>
    </row>
    <row r="197" spans="1:9" ht="10.8" x14ac:dyDescent="0.25">
      <c r="A197" s="45"/>
      <c r="B197" s="42"/>
      <c r="C197" s="43"/>
      <c r="D197" s="44"/>
      <c r="E197" s="44"/>
      <c r="F197" s="38"/>
      <c r="G197" s="36">
        <v>41214</v>
      </c>
      <c r="H197" s="19">
        <v>41211</v>
      </c>
      <c r="I197" s="20">
        <v>41208</v>
      </c>
    </row>
    <row r="198" spans="1:9" ht="10.8" x14ac:dyDescent="0.25">
      <c r="A198" s="45"/>
      <c r="B198" s="42"/>
      <c r="C198" s="43"/>
      <c r="D198" s="44"/>
      <c r="E198" s="44"/>
      <c r="F198" s="38"/>
      <c r="G198" s="36">
        <v>41244</v>
      </c>
      <c r="H198" s="19">
        <v>41241</v>
      </c>
      <c r="I198" s="20">
        <v>41240</v>
      </c>
    </row>
    <row r="199" spans="1:9" ht="10.8" x14ac:dyDescent="0.25">
      <c r="A199" s="45"/>
      <c r="B199" s="42"/>
      <c r="C199" s="43"/>
      <c r="D199" s="44"/>
      <c r="E199" s="44"/>
      <c r="F199" s="38"/>
      <c r="G199" s="36">
        <v>41275</v>
      </c>
      <c r="H199" s="19">
        <v>41270</v>
      </c>
      <c r="I199" s="20">
        <v>41269</v>
      </c>
    </row>
    <row r="200" spans="1:9" ht="10.8" x14ac:dyDescent="0.25">
      <c r="A200" s="45"/>
      <c r="B200" s="42"/>
      <c r="C200" s="43"/>
      <c r="D200" s="44"/>
      <c r="E200" s="44"/>
      <c r="F200" s="38"/>
      <c r="G200" s="36">
        <v>41306</v>
      </c>
      <c r="H200" s="19">
        <v>41303</v>
      </c>
      <c r="I200" s="20">
        <v>41302</v>
      </c>
    </row>
    <row r="201" spans="1:9" ht="10.8" x14ac:dyDescent="0.25">
      <c r="A201" s="45"/>
      <c r="B201" s="42"/>
      <c r="C201" s="43"/>
      <c r="D201" s="44"/>
      <c r="E201" s="44"/>
      <c r="F201" s="38"/>
      <c r="G201" s="36">
        <v>41334</v>
      </c>
      <c r="H201" s="19">
        <v>41331</v>
      </c>
      <c r="I201" s="20">
        <v>41330</v>
      </c>
    </row>
    <row r="202" spans="1:9" ht="10.8" x14ac:dyDescent="0.25">
      <c r="A202" s="45"/>
      <c r="B202" s="42"/>
      <c r="C202" s="43"/>
      <c r="D202" s="44"/>
      <c r="E202" s="44"/>
      <c r="F202" s="38"/>
      <c r="G202" s="36">
        <v>41365</v>
      </c>
      <c r="H202" s="19">
        <v>41359</v>
      </c>
      <c r="I202" s="20">
        <v>41358</v>
      </c>
    </row>
    <row r="203" spans="1:9" ht="10.8" x14ac:dyDescent="0.25">
      <c r="A203" s="45"/>
      <c r="B203" s="42"/>
      <c r="C203" s="43"/>
      <c r="D203" s="44"/>
      <c r="E203" s="44"/>
      <c r="F203" s="38"/>
      <c r="G203" s="36">
        <v>41395</v>
      </c>
      <c r="H203" s="19">
        <v>41390</v>
      </c>
      <c r="I203" s="20">
        <v>41389</v>
      </c>
    </row>
    <row r="204" spans="1:9" ht="10.8" x14ac:dyDescent="0.25">
      <c r="A204" s="45"/>
      <c r="B204" s="42"/>
      <c r="C204" s="43"/>
      <c r="D204" s="44"/>
      <c r="E204" s="44"/>
      <c r="F204" s="38"/>
      <c r="G204" s="36">
        <v>41426</v>
      </c>
      <c r="H204" s="19">
        <v>41423</v>
      </c>
      <c r="I204" s="20">
        <v>41422</v>
      </c>
    </row>
    <row r="205" spans="1:9" ht="10.8" x14ac:dyDescent="0.25">
      <c r="A205" s="45"/>
      <c r="B205" s="42"/>
      <c r="C205" s="43"/>
      <c r="D205" s="44"/>
      <c r="E205" s="44"/>
      <c r="F205" s="38"/>
      <c r="G205" s="36">
        <v>41456</v>
      </c>
      <c r="H205" s="19">
        <v>41451</v>
      </c>
      <c r="I205" s="20">
        <v>41450</v>
      </c>
    </row>
    <row r="206" spans="1:9" ht="10.8" x14ac:dyDescent="0.25">
      <c r="A206" s="45"/>
      <c r="B206" s="42"/>
      <c r="C206" s="43"/>
      <c r="D206" s="44"/>
      <c r="E206" s="44"/>
      <c r="F206" s="38"/>
      <c r="G206" s="36">
        <v>41487</v>
      </c>
      <c r="H206" s="19">
        <v>41484</v>
      </c>
      <c r="I206" s="20">
        <v>41481</v>
      </c>
    </row>
    <row r="207" spans="1:9" ht="10.8" x14ac:dyDescent="0.25">
      <c r="A207" s="45"/>
      <c r="B207" s="42"/>
      <c r="C207" s="43"/>
      <c r="D207" s="44"/>
      <c r="E207" s="44"/>
      <c r="F207" s="38"/>
      <c r="G207" s="36">
        <v>41518</v>
      </c>
      <c r="H207" s="19">
        <v>41514</v>
      </c>
      <c r="I207" s="20">
        <v>41513</v>
      </c>
    </row>
    <row r="208" spans="1:9" ht="10.8" x14ac:dyDescent="0.25">
      <c r="A208" s="45"/>
      <c r="B208" s="42"/>
      <c r="C208" s="43"/>
      <c r="D208" s="44"/>
      <c r="E208" s="44"/>
      <c r="F208" s="38"/>
      <c r="G208" s="36">
        <v>41548</v>
      </c>
      <c r="H208" s="19">
        <v>41543</v>
      </c>
      <c r="I208" s="20">
        <v>41542</v>
      </c>
    </row>
    <row r="209" spans="1:9" ht="10.8" x14ac:dyDescent="0.25">
      <c r="A209" s="45"/>
      <c r="B209" s="42"/>
      <c r="C209" s="43"/>
      <c r="D209" s="44"/>
      <c r="E209" s="44"/>
      <c r="F209" s="38"/>
      <c r="G209" s="36">
        <v>41579</v>
      </c>
      <c r="H209" s="19">
        <v>41576</v>
      </c>
      <c r="I209" s="20">
        <v>41575</v>
      </c>
    </row>
    <row r="210" spans="1:9" ht="10.8" x14ac:dyDescent="0.25">
      <c r="A210" s="45"/>
      <c r="B210" s="42"/>
      <c r="C210" s="43"/>
      <c r="D210" s="44"/>
      <c r="E210" s="44"/>
      <c r="F210" s="38"/>
      <c r="G210" s="36">
        <v>41609</v>
      </c>
      <c r="H210" s="19">
        <v>41604</v>
      </c>
      <c r="I210" s="20">
        <v>41603</v>
      </c>
    </row>
    <row r="211" spans="1:9" ht="10.8" x14ac:dyDescent="0.25">
      <c r="A211" s="45"/>
      <c r="B211" s="42"/>
      <c r="C211" s="43"/>
      <c r="D211" s="44"/>
      <c r="E211" s="44"/>
      <c r="F211" s="38"/>
      <c r="G211" s="36">
        <v>41640</v>
      </c>
      <c r="H211" s="19">
        <v>41635</v>
      </c>
      <c r="I211" s="20">
        <v>41634</v>
      </c>
    </row>
    <row r="212" spans="1:9" ht="10.8" x14ac:dyDescent="0.25">
      <c r="A212" s="45"/>
      <c r="B212" s="42"/>
      <c r="C212" s="43"/>
      <c r="D212" s="44"/>
      <c r="E212" s="44"/>
      <c r="F212" s="38"/>
      <c r="G212" s="36">
        <v>41671</v>
      </c>
      <c r="H212" s="19">
        <v>41668</v>
      </c>
      <c r="I212" s="20">
        <v>41667</v>
      </c>
    </row>
    <row r="213" spans="1:9" ht="10.8" x14ac:dyDescent="0.25">
      <c r="A213" s="45"/>
      <c r="B213" s="42"/>
      <c r="C213" s="43"/>
      <c r="D213" s="44"/>
      <c r="E213" s="44"/>
      <c r="F213" s="38"/>
      <c r="G213" s="36">
        <v>41699</v>
      </c>
      <c r="H213" s="19">
        <v>41696</v>
      </c>
      <c r="I213" s="20">
        <v>41695</v>
      </c>
    </row>
    <row r="214" spans="1:9" ht="10.8" x14ac:dyDescent="0.25">
      <c r="A214" s="45"/>
      <c r="B214" s="42"/>
      <c r="C214" s="43"/>
      <c r="D214" s="44"/>
      <c r="E214" s="44"/>
      <c r="F214" s="38"/>
      <c r="G214" s="36">
        <v>41730</v>
      </c>
      <c r="H214" s="19">
        <v>41725</v>
      </c>
      <c r="I214" s="20">
        <v>41724</v>
      </c>
    </row>
    <row r="215" spans="1:9" ht="10.8" x14ac:dyDescent="0.25">
      <c r="A215" s="45"/>
      <c r="B215" s="42"/>
      <c r="C215" s="43"/>
      <c r="D215" s="44"/>
      <c r="E215" s="44"/>
      <c r="F215" s="38"/>
      <c r="G215" s="36">
        <v>41760</v>
      </c>
      <c r="H215" s="19">
        <v>41757</v>
      </c>
      <c r="I215" s="20">
        <v>41754</v>
      </c>
    </row>
    <row r="216" spans="1:9" ht="10.8" x14ac:dyDescent="0.25">
      <c r="A216" s="45"/>
      <c r="B216" s="42"/>
      <c r="C216" s="43"/>
      <c r="D216" s="44"/>
      <c r="E216" s="44"/>
      <c r="F216" s="38"/>
      <c r="G216" s="36">
        <v>41791</v>
      </c>
      <c r="H216" s="19">
        <v>41787</v>
      </c>
      <c r="I216" s="20">
        <v>41786</v>
      </c>
    </row>
    <row r="217" spans="1:9" ht="10.8" x14ac:dyDescent="0.25">
      <c r="A217" s="45"/>
      <c r="B217" s="42"/>
      <c r="C217" s="43"/>
      <c r="D217" s="44"/>
      <c r="E217" s="44"/>
      <c r="F217" s="38"/>
      <c r="G217" s="36">
        <v>41821</v>
      </c>
      <c r="H217" s="19">
        <v>41816</v>
      </c>
      <c r="I217" s="20">
        <v>41815</v>
      </c>
    </row>
    <row r="218" spans="1:9" ht="10.8" x14ac:dyDescent="0.25">
      <c r="A218" s="45"/>
      <c r="B218" s="42"/>
      <c r="C218" s="43"/>
      <c r="D218" s="44"/>
      <c r="E218" s="44"/>
      <c r="F218" s="38"/>
      <c r="G218" s="36">
        <v>41852</v>
      </c>
      <c r="H218" s="19">
        <v>41849</v>
      </c>
      <c r="I218" s="20">
        <v>41848</v>
      </c>
    </row>
    <row r="219" spans="1:9" ht="10.8" x14ac:dyDescent="0.25">
      <c r="A219" s="45"/>
      <c r="B219" s="42"/>
      <c r="C219" s="43"/>
      <c r="D219" s="44"/>
      <c r="E219" s="44"/>
      <c r="F219" s="38"/>
      <c r="G219" s="36">
        <v>41883</v>
      </c>
      <c r="H219" s="19">
        <v>41878</v>
      </c>
      <c r="I219" s="20">
        <v>41877</v>
      </c>
    </row>
    <row r="220" spans="1:9" ht="10.8" x14ac:dyDescent="0.25">
      <c r="A220" s="45"/>
      <c r="B220" s="42"/>
      <c r="C220" s="43"/>
      <c r="D220" s="44"/>
      <c r="E220" s="44"/>
      <c r="F220" s="38"/>
      <c r="G220" s="36">
        <v>41913</v>
      </c>
      <c r="H220" s="19">
        <v>41908</v>
      </c>
      <c r="I220" s="20">
        <v>41907</v>
      </c>
    </row>
    <row r="221" spans="1:9" ht="10.8" x14ac:dyDescent="0.25">
      <c r="A221" s="45"/>
      <c r="B221" s="42"/>
      <c r="C221" s="43"/>
      <c r="D221" s="44"/>
      <c r="E221" s="44"/>
      <c r="F221" s="38"/>
      <c r="G221" s="36">
        <v>41944</v>
      </c>
      <c r="H221" s="19">
        <v>41941</v>
      </c>
      <c r="I221" s="20">
        <v>41940</v>
      </c>
    </row>
    <row r="222" spans="1:9" ht="10.8" x14ac:dyDescent="0.25">
      <c r="A222" s="45"/>
      <c r="B222" s="42"/>
      <c r="C222" s="43"/>
      <c r="D222" s="44"/>
      <c r="E222" s="44"/>
      <c r="F222" s="38"/>
      <c r="G222" s="36">
        <v>41974</v>
      </c>
      <c r="H222" s="19">
        <v>41968</v>
      </c>
      <c r="I222" s="20">
        <v>41967</v>
      </c>
    </row>
    <row r="223" spans="1:9" ht="10.8" x14ac:dyDescent="0.25">
      <c r="A223" s="45"/>
      <c r="B223" s="42"/>
      <c r="C223" s="43"/>
      <c r="D223" s="44"/>
      <c r="E223" s="44"/>
      <c r="F223" s="38"/>
      <c r="G223" s="36">
        <v>42005</v>
      </c>
      <c r="H223" s="19">
        <v>42002</v>
      </c>
      <c r="I223" s="20">
        <v>41999</v>
      </c>
    </row>
    <row r="224" spans="1:9" ht="10.8" x14ac:dyDescent="0.25">
      <c r="A224" s="45"/>
      <c r="B224" s="42"/>
      <c r="C224" s="43"/>
      <c r="D224" s="44"/>
      <c r="E224" s="44"/>
      <c r="F224" s="38"/>
      <c r="G224" s="36">
        <v>42036</v>
      </c>
      <c r="H224" s="19">
        <v>42032</v>
      </c>
      <c r="I224" s="20">
        <v>42031</v>
      </c>
    </row>
    <row r="225" spans="1:9" ht="10.8" x14ac:dyDescent="0.25">
      <c r="A225" s="45"/>
      <c r="B225" s="42"/>
      <c r="C225" s="43"/>
      <c r="D225" s="44"/>
      <c r="E225" s="44"/>
      <c r="F225" s="38"/>
      <c r="G225" s="36">
        <v>42064</v>
      </c>
      <c r="H225" s="19">
        <v>42060</v>
      </c>
      <c r="I225" s="20">
        <v>42059</v>
      </c>
    </row>
    <row r="226" spans="1:9" ht="10.8" x14ac:dyDescent="0.25">
      <c r="A226" s="45"/>
      <c r="B226" s="42"/>
      <c r="C226" s="43"/>
      <c r="D226" s="44"/>
      <c r="E226" s="44"/>
      <c r="F226" s="38"/>
      <c r="G226" s="36">
        <v>42095</v>
      </c>
      <c r="H226" s="19">
        <v>42090</v>
      </c>
      <c r="I226" s="20">
        <v>42089</v>
      </c>
    </row>
    <row r="227" spans="1:9" ht="10.8" x14ac:dyDescent="0.25">
      <c r="A227" s="45"/>
      <c r="B227" s="42"/>
      <c r="C227" s="43"/>
      <c r="D227" s="44"/>
      <c r="E227" s="44"/>
      <c r="F227" s="38"/>
      <c r="G227" s="36">
        <v>42125</v>
      </c>
      <c r="H227" s="19">
        <v>42122</v>
      </c>
      <c r="I227" s="20">
        <v>42121</v>
      </c>
    </row>
    <row r="228" spans="1:9" ht="10.8" x14ac:dyDescent="0.25">
      <c r="A228" s="45"/>
      <c r="B228" s="42"/>
      <c r="C228" s="43"/>
      <c r="D228" s="44"/>
      <c r="E228" s="44"/>
      <c r="F228" s="38"/>
      <c r="G228" s="36">
        <v>42156</v>
      </c>
      <c r="H228" s="19">
        <v>42151</v>
      </c>
      <c r="I228" s="20">
        <v>42150</v>
      </c>
    </row>
    <row r="229" spans="1:9" ht="10.8" x14ac:dyDescent="0.25">
      <c r="A229" s="45"/>
      <c r="B229" s="42"/>
      <c r="C229" s="43"/>
      <c r="D229" s="44"/>
      <c r="E229" s="44"/>
      <c r="F229" s="38"/>
      <c r="G229" s="36">
        <v>42186</v>
      </c>
      <c r="H229" s="19">
        <v>42181</v>
      </c>
      <c r="I229" s="20">
        <v>42180</v>
      </c>
    </row>
    <row r="230" spans="1:9" ht="10.8" x14ac:dyDescent="0.25">
      <c r="A230" s="45"/>
      <c r="B230" s="42"/>
      <c r="C230" s="43"/>
      <c r="D230" s="44"/>
      <c r="E230" s="44"/>
      <c r="F230" s="38"/>
      <c r="G230" s="36">
        <v>42217</v>
      </c>
      <c r="H230" s="19">
        <v>42214</v>
      </c>
      <c r="I230" s="20">
        <v>42213</v>
      </c>
    </row>
    <row r="231" spans="1:9" ht="10.8" x14ac:dyDescent="0.25">
      <c r="A231" s="45"/>
      <c r="B231" s="42"/>
      <c r="C231" s="43"/>
      <c r="D231" s="44"/>
      <c r="E231" s="44"/>
      <c r="F231" s="38"/>
      <c r="G231" s="36">
        <v>42248</v>
      </c>
      <c r="H231" s="19">
        <v>42243</v>
      </c>
      <c r="I231" s="20">
        <v>42242</v>
      </c>
    </row>
    <row r="232" spans="1:9" ht="10.8" x14ac:dyDescent="0.25">
      <c r="A232" s="45"/>
      <c r="B232" s="42"/>
      <c r="C232" s="43"/>
      <c r="D232" s="44"/>
      <c r="E232" s="44"/>
      <c r="F232" s="38"/>
      <c r="G232" s="36">
        <v>42278</v>
      </c>
      <c r="H232" s="19">
        <v>42275</v>
      </c>
      <c r="I232" s="20">
        <v>42272</v>
      </c>
    </row>
    <row r="233" spans="1:9" ht="10.8" x14ac:dyDescent="0.25">
      <c r="A233" s="45"/>
      <c r="B233" s="42"/>
      <c r="C233" s="43"/>
      <c r="D233" s="44"/>
      <c r="E233" s="44"/>
      <c r="F233" s="38"/>
      <c r="G233" s="36">
        <v>42309</v>
      </c>
      <c r="H233" s="19">
        <v>42305</v>
      </c>
      <c r="I233" s="20">
        <v>42304</v>
      </c>
    </row>
    <row r="234" spans="1:9" ht="10.8" x14ac:dyDescent="0.25">
      <c r="A234" s="45"/>
      <c r="B234" s="42"/>
      <c r="C234" s="43"/>
      <c r="D234" s="44"/>
      <c r="E234" s="44"/>
      <c r="F234" s="44"/>
      <c r="G234" s="15">
        <v>42339</v>
      </c>
      <c r="H234" s="19">
        <v>42333</v>
      </c>
      <c r="I234" s="20">
        <v>42332</v>
      </c>
    </row>
    <row r="235" spans="1:9" ht="10.8" x14ac:dyDescent="0.25">
      <c r="A235" s="45"/>
      <c r="B235" s="42"/>
      <c r="C235" s="43"/>
      <c r="D235" s="44"/>
      <c r="E235" s="44"/>
      <c r="F235" s="44"/>
      <c r="G235" s="15">
        <v>42370</v>
      </c>
      <c r="H235" s="19">
        <v>42367</v>
      </c>
      <c r="I235" s="20">
        <v>42366</v>
      </c>
    </row>
    <row r="236" spans="1:9" ht="10.8" x14ac:dyDescent="0.25">
      <c r="A236" s="45"/>
      <c r="B236" s="42"/>
      <c r="C236" s="43"/>
      <c r="D236" s="44"/>
      <c r="E236" s="44"/>
      <c r="F236" s="44"/>
      <c r="G236" s="15">
        <v>42401</v>
      </c>
      <c r="H236" s="19">
        <v>42396</v>
      </c>
      <c r="I236" s="20">
        <v>42395</v>
      </c>
    </row>
    <row r="237" spans="1:9" ht="10.8" x14ac:dyDescent="0.25">
      <c r="A237" s="45"/>
      <c r="B237" s="42"/>
      <c r="C237" s="43"/>
      <c r="D237" s="44"/>
      <c r="E237" s="44"/>
      <c r="F237" s="44"/>
      <c r="G237" s="15">
        <v>42430</v>
      </c>
      <c r="H237" s="19">
        <v>42425</v>
      </c>
      <c r="I237" s="20">
        <v>42424</v>
      </c>
    </row>
    <row r="238" spans="1:9" ht="10.8" x14ac:dyDescent="0.25">
      <c r="A238" s="45"/>
      <c r="B238" s="42"/>
      <c r="C238" s="43"/>
      <c r="D238" s="44"/>
      <c r="E238" s="44"/>
      <c r="F238" s="44"/>
      <c r="G238" s="15">
        <v>42461</v>
      </c>
      <c r="H238" s="19">
        <v>42458</v>
      </c>
      <c r="I238" s="20">
        <v>42457</v>
      </c>
    </row>
    <row r="239" spans="1:9" ht="10.8" x14ac:dyDescent="0.25">
      <c r="A239" s="45"/>
      <c r="B239" s="42"/>
      <c r="C239" s="43"/>
      <c r="D239" s="44"/>
      <c r="E239" s="44"/>
      <c r="F239" s="44"/>
      <c r="G239" s="15">
        <v>42491</v>
      </c>
      <c r="H239" s="19">
        <v>42487</v>
      </c>
      <c r="I239" s="20">
        <v>42486</v>
      </c>
    </row>
    <row r="240" spans="1:9" ht="10.8" x14ac:dyDescent="0.25">
      <c r="A240" s="45"/>
      <c r="B240" s="42"/>
      <c r="C240" s="43"/>
      <c r="D240" s="44"/>
      <c r="E240" s="44"/>
      <c r="F240" s="44"/>
      <c r="G240" s="15">
        <v>42522</v>
      </c>
      <c r="H240" s="19">
        <v>42516</v>
      </c>
      <c r="I240" s="20">
        <v>42515</v>
      </c>
    </row>
    <row r="241" spans="1:9" ht="10.8" x14ac:dyDescent="0.25">
      <c r="A241" s="45"/>
      <c r="B241" s="42"/>
      <c r="C241" s="43"/>
      <c r="D241" s="44"/>
      <c r="E241" s="44"/>
      <c r="F241" s="44"/>
      <c r="G241" s="15">
        <v>42552</v>
      </c>
      <c r="H241" s="19">
        <v>42549</v>
      </c>
      <c r="I241" s="20">
        <v>42548</v>
      </c>
    </row>
    <row r="242" spans="1:9" ht="10.8" x14ac:dyDescent="0.25">
      <c r="A242" s="45"/>
      <c r="B242" s="42"/>
      <c r="C242" s="43"/>
      <c r="D242" s="44"/>
      <c r="E242" s="44"/>
      <c r="F242" s="44"/>
      <c r="G242" s="15">
        <v>42583</v>
      </c>
      <c r="H242" s="19">
        <v>42578</v>
      </c>
      <c r="I242" s="20">
        <v>42577</v>
      </c>
    </row>
    <row r="243" spans="1:9" ht="10.8" x14ac:dyDescent="0.25">
      <c r="A243" s="45"/>
      <c r="B243" s="42"/>
      <c r="C243" s="43"/>
      <c r="D243" s="44"/>
      <c r="E243" s="44"/>
      <c r="F243" s="44"/>
      <c r="G243" s="15">
        <v>42614</v>
      </c>
      <c r="H243" s="19">
        <v>42611</v>
      </c>
      <c r="I243" s="20">
        <v>42608</v>
      </c>
    </row>
    <row r="244" spans="1:9" ht="10.8" x14ac:dyDescent="0.25">
      <c r="A244" s="45"/>
      <c r="B244" s="42"/>
      <c r="C244" s="43"/>
      <c r="D244" s="44"/>
      <c r="E244" s="44"/>
      <c r="F244" s="44"/>
      <c r="G244" s="15">
        <v>42644</v>
      </c>
      <c r="H244" s="19">
        <v>42641</v>
      </c>
      <c r="I244" s="20">
        <v>42640</v>
      </c>
    </row>
    <row r="245" spans="1:9" ht="10.8" x14ac:dyDescent="0.25">
      <c r="A245" s="45"/>
      <c r="B245" s="42"/>
      <c r="C245" s="43"/>
      <c r="D245" s="44"/>
      <c r="E245" s="44"/>
      <c r="F245" s="44"/>
      <c r="G245" s="15">
        <v>42675</v>
      </c>
      <c r="H245" s="19">
        <v>42670</v>
      </c>
      <c r="I245" s="20">
        <v>42669</v>
      </c>
    </row>
    <row r="246" spans="1:9" ht="10.8" x14ac:dyDescent="0.25">
      <c r="A246" s="45"/>
      <c r="B246" s="42"/>
      <c r="C246" s="43"/>
      <c r="D246" s="44"/>
      <c r="E246" s="44"/>
      <c r="F246" s="44"/>
      <c r="G246" s="15">
        <v>42705</v>
      </c>
      <c r="H246" s="19">
        <v>42702</v>
      </c>
      <c r="I246" s="20">
        <v>42699</v>
      </c>
    </row>
    <row r="247" spans="1:9" ht="10.8" x14ac:dyDescent="0.25">
      <c r="A247" s="45"/>
      <c r="B247" s="42"/>
      <c r="C247" s="43"/>
      <c r="D247" s="44"/>
      <c r="E247" s="44"/>
      <c r="F247" s="44"/>
      <c r="G247" s="15">
        <v>42736</v>
      </c>
      <c r="H247" s="19">
        <v>42732</v>
      </c>
      <c r="I247" s="20">
        <v>42731</v>
      </c>
    </row>
    <row r="248" spans="1:9" ht="10.8" x14ac:dyDescent="0.25">
      <c r="A248" s="45"/>
      <c r="B248" s="42"/>
      <c r="C248" s="43"/>
      <c r="D248" s="44"/>
      <c r="E248" s="44"/>
      <c r="F248" s="44"/>
      <c r="G248" s="15">
        <v>42767</v>
      </c>
      <c r="H248" s="19">
        <v>42762</v>
      </c>
      <c r="I248" s="20">
        <v>42761</v>
      </c>
    </row>
    <row r="249" spans="1:9" ht="10.8" x14ac:dyDescent="0.25">
      <c r="A249" s="45"/>
      <c r="B249" s="42"/>
      <c r="C249" s="43"/>
      <c r="D249" s="44"/>
      <c r="E249" s="44"/>
      <c r="F249" s="44"/>
      <c r="G249" s="15">
        <v>42795</v>
      </c>
      <c r="H249" s="19">
        <v>42790</v>
      </c>
      <c r="I249" s="20">
        <v>42789</v>
      </c>
    </row>
    <row r="250" spans="1:9" ht="10.8" x14ac:dyDescent="0.25">
      <c r="A250" s="45"/>
      <c r="B250" s="42"/>
      <c r="C250" s="43"/>
      <c r="D250" s="44"/>
      <c r="E250" s="44"/>
      <c r="F250" s="44"/>
      <c r="G250" s="15">
        <v>42826</v>
      </c>
      <c r="H250" s="19">
        <v>42823</v>
      </c>
      <c r="I250" s="20">
        <v>42822</v>
      </c>
    </row>
    <row r="251" spans="1:9" ht="10.8" x14ac:dyDescent="0.25">
      <c r="A251" s="45"/>
      <c r="B251" s="42"/>
      <c r="C251" s="43"/>
      <c r="D251" s="44"/>
      <c r="E251" s="44"/>
      <c r="F251" s="44"/>
      <c r="G251" s="15">
        <v>42856</v>
      </c>
      <c r="H251" s="19">
        <v>42851</v>
      </c>
      <c r="I251" s="20">
        <v>42850</v>
      </c>
    </row>
    <row r="252" spans="1:9" ht="10.8" x14ac:dyDescent="0.25">
      <c r="A252" s="45"/>
      <c r="B252" s="42"/>
      <c r="C252" s="43"/>
      <c r="D252" s="44"/>
      <c r="E252" s="44"/>
      <c r="F252" s="44"/>
      <c r="G252" s="15">
        <v>42887</v>
      </c>
      <c r="H252" s="19">
        <v>42881</v>
      </c>
      <c r="I252" s="20">
        <v>42880</v>
      </c>
    </row>
    <row r="253" spans="1:9" ht="10.8" x14ac:dyDescent="0.25">
      <c r="A253" s="45"/>
      <c r="B253" s="42"/>
      <c r="C253" s="43"/>
      <c r="D253" s="44"/>
      <c r="E253" s="44"/>
      <c r="F253" s="44"/>
      <c r="G253" s="15">
        <v>42917</v>
      </c>
      <c r="H253" s="19">
        <v>42914</v>
      </c>
      <c r="I253" s="20">
        <v>42913</v>
      </c>
    </row>
    <row r="254" spans="1:9" ht="10.8" x14ac:dyDescent="0.25">
      <c r="A254" s="45"/>
      <c r="B254" s="42"/>
      <c r="C254" s="43"/>
      <c r="D254" s="44"/>
      <c r="E254" s="44"/>
      <c r="F254" s="44"/>
      <c r="G254" s="15">
        <v>42948</v>
      </c>
      <c r="H254" s="19">
        <v>42943</v>
      </c>
      <c r="I254" s="20">
        <v>42942</v>
      </c>
    </row>
    <row r="255" spans="1:9" ht="10.8" x14ac:dyDescent="0.25">
      <c r="A255" s="45"/>
      <c r="B255" s="42"/>
      <c r="C255" s="43"/>
      <c r="D255" s="44"/>
      <c r="E255" s="44"/>
      <c r="F255" s="44"/>
      <c r="G255" s="15">
        <v>42979</v>
      </c>
      <c r="H255" s="19">
        <v>42976</v>
      </c>
      <c r="I255" s="20">
        <v>42975</v>
      </c>
    </row>
    <row r="256" spans="1:9" ht="10.8" x14ac:dyDescent="0.25">
      <c r="A256" s="45"/>
      <c r="B256" s="42"/>
      <c r="C256" s="43"/>
      <c r="D256" s="44"/>
      <c r="E256" s="44"/>
      <c r="F256" s="44"/>
      <c r="G256" s="15">
        <v>43009</v>
      </c>
      <c r="H256" s="19">
        <v>43005</v>
      </c>
      <c r="I256" s="20">
        <v>43004</v>
      </c>
    </row>
    <row r="257" spans="1:9" ht="10.8" x14ac:dyDescent="0.25">
      <c r="A257" s="45"/>
      <c r="B257" s="42"/>
      <c r="C257" s="43"/>
      <c r="D257" s="44"/>
      <c r="E257" s="44"/>
      <c r="F257" s="44"/>
      <c r="G257" s="15">
        <v>43040</v>
      </c>
      <c r="H257" s="19">
        <v>43035</v>
      </c>
      <c r="I257" s="20">
        <v>43034</v>
      </c>
    </row>
    <row r="258" spans="1:9" ht="10.8" x14ac:dyDescent="0.25">
      <c r="A258" s="45"/>
      <c r="B258" s="42"/>
      <c r="C258" s="43"/>
      <c r="D258" s="44"/>
      <c r="E258" s="44"/>
      <c r="F258" s="44"/>
      <c r="G258" s="15">
        <v>43070</v>
      </c>
      <c r="H258" s="19">
        <v>43067</v>
      </c>
      <c r="I258" s="20">
        <v>43066</v>
      </c>
    </row>
    <row r="259" spans="1:9" ht="10.8" x14ac:dyDescent="0.25">
      <c r="A259" s="45"/>
      <c r="B259" s="42"/>
      <c r="C259" s="43"/>
      <c r="D259" s="44"/>
      <c r="E259" s="44"/>
      <c r="F259" s="44"/>
      <c r="G259" s="15">
        <v>43101</v>
      </c>
      <c r="H259" s="19">
        <v>43096</v>
      </c>
      <c r="I259" s="20">
        <v>43095</v>
      </c>
    </row>
    <row r="260" spans="1:9" ht="10.8" x14ac:dyDescent="0.25">
      <c r="A260" s="45"/>
      <c r="B260" s="42"/>
      <c r="C260" s="43"/>
      <c r="D260" s="44"/>
      <c r="E260" s="44"/>
      <c r="F260" s="44"/>
      <c r="G260" s="15">
        <v>43132</v>
      </c>
      <c r="H260" s="19">
        <v>43129</v>
      </c>
      <c r="I260" s="20">
        <v>43126</v>
      </c>
    </row>
    <row r="261" spans="1:9" ht="10.8" x14ac:dyDescent="0.25">
      <c r="A261" s="45"/>
      <c r="B261" s="42"/>
      <c r="C261" s="43"/>
      <c r="D261" s="44"/>
      <c r="E261" s="44"/>
      <c r="F261" s="44"/>
      <c r="G261" s="15">
        <v>43160</v>
      </c>
      <c r="H261" s="19">
        <v>43157</v>
      </c>
      <c r="I261" s="20">
        <v>43154</v>
      </c>
    </row>
    <row r="262" spans="1:9" ht="10.8" x14ac:dyDescent="0.25">
      <c r="A262" s="45"/>
      <c r="B262" s="42"/>
      <c r="C262" s="43"/>
      <c r="D262" s="44"/>
      <c r="E262" s="44"/>
      <c r="F262" s="44"/>
      <c r="G262" s="15">
        <v>43191</v>
      </c>
      <c r="H262" s="19">
        <v>43186</v>
      </c>
      <c r="I262" s="20">
        <v>43185</v>
      </c>
    </row>
    <row r="263" spans="1:9" ht="10.8" x14ac:dyDescent="0.25">
      <c r="A263" s="45"/>
      <c r="B263" s="42"/>
      <c r="C263" s="43"/>
      <c r="D263" s="44"/>
      <c r="E263" s="44"/>
      <c r="F263" s="44"/>
      <c r="G263" s="15">
        <v>43221</v>
      </c>
      <c r="H263" s="19">
        <v>43216</v>
      </c>
      <c r="I263" s="20">
        <v>43215</v>
      </c>
    </row>
    <row r="264" spans="1:9" ht="10.8" x14ac:dyDescent="0.25">
      <c r="A264" s="45"/>
      <c r="B264" s="42"/>
      <c r="C264" s="43"/>
      <c r="D264" s="44"/>
      <c r="E264" s="44"/>
      <c r="F264" s="44"/>
      <c r="G264" s="15">
        <v>43252</v>
      </c>
      <c r="H264" s="19">
        <v>43249</v>
      </c>
      <c r="I264" s="20">
        <v>43245</v>
      </c>
    </row>
    <row r="265" spans="1:9" ht="10.8" x14ac:dyDescent="0.25">
      <c r="A265" s="45"/>
      <c r="B265" s="42"/>
      <c r="C265" s="43"/>
      <c r="D265" s="44"/>
      <c r="E265" s="44"/>
      <c r="F265" s="44"/>
      <c r="G265" s="15">
        <v>43282</v>
      </c>
      <c r="H265" s="19">
        <v>43278</v>
      </c>
      <c r="I265" s="20">
        <v>43277</v>
      </c>
    </row>
    <row r="266" spans="1:9" ht="10.8" x14ac:dyDescent="0.25">
      <c r="A266" s="45"/>
      <c r="B266" s="42"/>
      <c r="C266" s="43"/>
      <c r="D266" s="44"/>
      <c r="E266" s="44"/>
      <c r="F266" s="44"/>
      <c r="G266" s="15">
        <v>43313</v>
      </c>
      <c r="H266" s="19">
        <v>43308</v>
      </c>
      <c r="I266" s="20">
        <v>43307</v>
      </c>
    </row>
    <row r="267" spans="1:9" ht="10.8" x14ac:dyDescent="0.25">
      <c r="A267" s="45"/>
      <c r="B267" s="42"/>
      <c r="C267" s="43"/>
      <c r="D267" s="44"/>
      <c r="E267" s="44"/>
      <c r="F267" s="44"/>
      <c r="G267" s="15">
        <v>43344</v>
      </c>
      <c r="H267" s="19">
        <v>43341</v>
      </c>
      <c r="I267" s="20">
        <v>43340</v>
      </c>
    </row>
    <row r="268" spans="1:9" ht="10.8" x14ac:dyDescent="0.25">
      <c r="A268" s="45"/>
      <c r="B268" s="42"/>
      <c r="C268" s="43"/>
      <c r="D268" s="44"/>
      <c r="E268" s="44"/>
      <c r="F268" s="44"/>
      <c r="G268" s="15">
        <v>43374</v>
      </c>
      <c r="H268" s="19">
        <v>43369</v>
      </c>
      <c r="I268" s="20">
        <v>43368</v>
      </c>
    </row>
    <row r="269" spans="1:9" ht="10.8" x14ac:dyDescent="0.25">
      <c r="A269" s="45"/>
      <c r="B269" s="42"/>
      <c r="C269" s="43"/>
      <c r="D269" s="44"/>
      <c r="E269" s="44"/>
      <c r="F269" s="44"/>
      <c r="G269" s="15">
        <v>43405</v>
      </c>
      <c r="H269" s="19">
        <v>43402</v>
      </c>
      <c r="I269" s="20">
        <v>43399</v>
      </c>
    </row>
    <row r="270" spans="1:9" ht="10.8" x14ac:dyDescent="0.25">
      <c r="A270" s="45"/>
      <c r="B270" s="42"/>
      <c r="C270" s="43"/>
      <c r="D270" s="44"/>
      <c r="E270" s="44"/>
      <c r="F270" s="44"/>
      <c r="G270" s="15">
        <v>43435</v>
      </c>
      <c r="H270" s="19">
        <v>43432</v>
      </c>
      <c r="I270" s="20">
        <v>43431</v>
      </c>
    </row>
    <row r="271" spans="1:9" ht="10.8" x14ac:dyDescent="0.25">
      <c r="A271" s="45"/>
      <c r="B271" s="42"/>
      <c r="C271" s="43"/>
      <c r="D271" s="44"/>
      <c r="E271" s="44"/>
      <c r="F271" s="44"/>
      <c r="G271" s="15">
        <v>43466</v>
      </c>
      <c r="H271" s="19">
        <v>43461</v>
      </c>
      <c r="I271" s="20">
        <v>43460</v>
      </c>
    </row>
    <row r="272" spans="1:9" ht="10.8" x14ac:dyDescent="0.25">
      <c r="A272" s="45"/>
      <c r="B272" s="42"/>
      <c r="C272" s="43"/>
      <c r="D272" s="44"/>
      <c r="E272" s="44"/>
      <c r="F272" s="44"/>
      <c r="G272" s="15">
        <v>43497</v>
      </c>
      <c r="H272" s="19">
        <v>43494</v>
      </c>
      <c r="I272" s="20">
        <v>43493</v>
      </c>
    </row>
    <row r="273" spans="1:9" ht="10.8" x14ac:dyDescent="0.25">
      <c r="A273" s="45"/>
      <c r="B273" s="42"/>
      <c r="C273" s="43"/>
      <c r="D273" s="44"/>
      <c r="E273" s="44"/>
      <c r="F273" s="44"/>
      <c r="G273" s="15">
        <v>43525</v>
      </c>
      <c r="H273" s="19">
        <v>43522</v>
      </c>
      <c r="I273" s="20">
        <v>43521</v>
      </c>
    </row>
    <row r="274" spans="1:9" ht="10.8" x14ac:dyDescent="0.25">
      <c r="A274" s="45"/>
      <c r="B274" s="42"/>
      <c r="C274" s="43"/>
      <c r="D274" s="44"/>
      <c r="E274" s="44"/>
      <c r="F274" s="44"/>
      <c r="G274" s="15">
        <v>43556</v>
      </c>
      <c r="H274" s="19">
        <v>43551</v>
      </c>
      <c r="I274" s="20">
        <v>43550</v>
      </c>
    </row>
    <row r="275" spans="1:9" ht="10.8" x14ac:dyDescent="0.25">
      <c r="A275" s="45"/>
      <c r="B275" s="42"/>
      <c r="C275" s="43"/>
      <c r="D275" s="44"/>
      <c r="E275" s="44"/>
      <c r="F275" s="44"/>
      <c r="G275" s="15">
        <v>43586</v>
      </c>
      <c r="H275" s="19">
        <v>43581</v>
      </c>
      <c r="I275" s="20">
        <v>43580</v>
      </c>
    </row>
    <row r="276" spans="1:9" ht="10.8" x14ac:dyDescent="0.25">
      <c r="A276" s="45"/>
      <c r="B276" s="42"/>
      <c r="C276" s="43"/>
      <c r="D276" s="44"/>
      <c r="E276" s="44"/>
      <c r="F276" s="44"/>
      <c r="G276" s="15">
        <v>43617</v>
      </c>
      <c r="H276" s="19">
        <v>43614</v>
      </c>
      <c r="I276" s="20">
        <v>43613</v>
      </c>
    </row>
    <row r="277" spans="1:9" ht="10.8" x14ac:dyDescent="0.25">
      <c r="A277" s="45"/>
      <c r="B277" s="42"/>
      <c r="C277" s="43"/>
      <c r="D277" s="44"/>
      <c r="E277" s="44"/>
      <c r="F277" s="44"/>
      <c r="G277" s="15">
        <v>43647</v>
      </c>
      <c r="H277" s="19">
        <v>43642</v>
      </c>
      <c r="I277" s="20">
        <v>43641</v>
      </c>
    </row>
    <row r="278" spans="1:9" ht="10.8" x14ac:dyDescent="0.25">
      <c r="A278" s="45"/>
      <c r="B278" s="42"/>
      <c r="C278" s="43"/>
      <c r="D278" s="44"/>
      <c r="E278" s="44"/>
      <c r="F278" s="44"/>
      <c r="G278" s="15">
        <v>43678</v>
      </c>
      <c r="H278" s="19">
        <v>43675</v>
      </c>
      <c r="I278" s="20">
        <v>43672</v>
      </c>
    </row>
    <row r="279" spans="1:9" ht="10.8" x14ac:dyDescent="0.25">
      <c r="A279" s="45"/>
      <c r="B279" s="42"/>
      <c r="C279" s="43"/>
      <c r="D279" s="44"/>
      <c r="E279" s="44"/>
      <c r="F279" s="44"/>
      <c r="G279" s="15">
        <v>43709</v>
      </c>
      <c r="H279" s="19">
        <v>43705</v>
      </c>
      <c r="I279" s="20">
        <v>43704</v>
      </c>
    </row>
    <row r="280" spans="1:9" ht="10.8" x14ac:dyDescent="0.25">
      <c r="A280" s="45"/>
      <c r="B280" s="42"/>
      <c r="C280" s="43"/>
      <c r="D280" s="44"/>
      <c r="E280" s="44"/>
      <c r="F280" s="44"/>
      <c r="G280" s="15">
        <v>43739</v>
      </c>
      <c r="H280" s="19">
        <v>43734</v>
      </c>
      <c r="I280" s="20">
        <v>43733</v>
      </c>
    </row>
    <row r="281" spans="1:9" ht="10.8" x14ac:dyDescent="0.25">
      <c r="A281" s="45"/>
      <c r="B281" s="42"/>
      <c r="C281" s="43"/>
      <c r="D281" s="44"/>
      <c r="E281" s="44"/>
      <c r="F281" s="44"/>
      <c r="G281" s="15">
        <v>43770</v>
      </c>
      <c r="H281" s="19">
        <v>43767</v>
      </c>
      <c r="I281" s="20">
        <v>43766</v>
      </c>
    </row>
    <row r="282" spans="1:9" ht="10.8" x14ac:dyDescent="0.25">
      <c r="A282" s="45"/>
      <c r="B282" s="42"/>
      <c r="C282" s="43"/>
      <c r="D282" s="44"/>
      <c r="E282" s="44"/>
      <c r="F282" s="44"/>
      <c r="G282" s="15">
        <v>43800</v>
      </c>
      <c r="H282" s="19">
        <v>43795</v>
      </c>
      <c r="I282" s="20">
        <v>43794</v>
      </c>
    </row>
    <row r="283" spans="1:9" ht="10.8" x14ac:dyDescent="0.25">
      <c r="A283" s="45"/>
      <c r="B283" s="42"/>
      <c r="C283" s="43"/>
      <c r="D283" s="44"/>
      <c r="E283" s="44"/>
      <c r="F283" s="44"/>
      <c r="G283" s="15">
        <v>43831</v>
      </c>
      <c r="H283" s="19">
        <v>43826</v>
      </c>
      <c r="I283" s="20">
        <v>43825</v>
      </c>
    </row>
    <row r="284" spans="1:9" ht="10.8" x14ac:dyDescent="0.25">
      <c r="A284" s="45"/>
      <c r="B284" s="42"/>
      <c r="C284" s="43"/>
      <c r="D284" s="44"/>
      <c r="E284" s="44"/>
      <c r="F284" s="44"/>
      <c r="G284" s="15">
        <v>43862</v>
      </c>
      <c r="H284" s="19">
        <v>43859</v>
      </c>
      <c r="I284" s="20">
        <v>43858</v>
      </c>
    </row>
    <row r="285" spans="1:9" ht="10.8" x14ac:dyDescent="0.25">
      <c r="A285" s="45"/>
      <c r="B285" s="42"/>
      <c r="C285" s="43"/>
      <c r="D285" s="44"/>
      <c r="E285" s="44"/>
      <c r="F285" s="44"/>
      <c r="G285" s="15">
        <v>43891</v>
      </c>
      <c r="H285" s="19">
        <v>43887</v>
      </c>
      <c r="I285" s="20">
        <v>43886</v>
      </c>
    </row>
    <row r="286" spans="1:9" ht="10.8" x14ac:dyDescent="0.25">
      <c r="A286" s="45"/>
      <c r="B286" s="42"/>
      <c r="C286" s="43"/>
      <c r="D286" s="44"/>
      <c r="E286" s="44"/>
      <c r="F286" s="44"/>
      <c r="G286" s="15">
        <v>43922</v>
      </c>
      <c r="H286" s="19">
        <v>43917</v>
      </c>
      <c r="I286" s="20">
        <v>43916</v>
      </c>
    </row>
    <row r="287" spans="1:9" ht="10.8" x14ac:dyDescent="0.25">
      <c r="A287" s="45"/>
      <c r="B287" s="42"/>
      <c r="C287" s="43"/>
      <c r="D287" s="44"/>
      <c r="E287" s="44"/>
      <c r="F287" s="44"/>
      <c r="G287" s="15">
        <v>43952</v>
      </c>
      <c r="H287" s="19">
        <v>43949</v>
      </c>
      <c r="I287" s="20">
        <v>43948</v>
      </c>
    </row>
    <row r="288" spans="1:9" ht="10.8" x14ac:dyDescent="0.25">
      <c r="A288" s="45"/>
      <c r="B288" s="42"/>
      <c r="C288" s="43"/>
      <c r="D288" s="44"/>
      <c r="E288" s="44"/>
      <c r="F288" s="44"/>
      <c r="G288" s="15">
        <v>43983</v>
      </c>
      <c r="H288" s="19">
        <v>43978</v>
      </c>
      <c r="I288" s="20">
        <v>43977</v>
      </c>
    </row>
    <row r="289" spans="1:9" ht="10.8" x14ac:dyDescent="0.25">
      <c r="A289" s="45"/>
      <c r="B289" s="42"/>
      <c r="C289" s="43"/>
      <c r="D289" s="44"/>
      <c r="E289" s="44"/>
      <c r="F289" s="44"/>
      <c r="G289" s="15">
        <v>44013</v>
      </c>
      <c r="H289" s="19">
        <v>44008</v>
      </c>
      <c r="I289" s="20">
        <v>44007</v>
      </c>
    </row>
    <row r="290" spans="1:9" ht="10.8" x14ac:dyDescent="0.25">
      <c r="A290" s="45"/>
      <c r="B290" s="42"/>
      <c r="C290" s="43"/>
      <c r="D290" s="44"/>
      <c r="E290" s="44"/>
      <c r="F290" s="44"/>
      <c r="G290" s="15">
        <v>44044</v>
      </c>
      <c r="H290" s="19">
        <v>44041</v>
      </c>
      <c r="I290" s="20">
        <v>44040</v>
      </c>
    </row>
    <row r="291" spans="1:9" ht="10.8" x14ac:dyDescent="0.25">
      <c r="A291" s="45"/>
      <c r="B291" s="42"/>
      <c r="C291" s="43"/>
      <c r="D291" s="44"/>
      <c r="E291" s="44"/>
      <c r="F291" s="44"/>
      <c r="G291" s="15">
        <v>44075</v>
      </c>
      <c r="H291" s="19">
        <v>44070</v>
      </c>
      <c r="I291" s="20">
        <v>44069</v>
      </c>
    </row>
    <row r="292" spans="1:9" ht="10.8" x14ac:dyDescent="0.25">
      <c r="A292" s="45"/>
      <c r="B292" s="42"/>
      <c r="C292" s="43"/>
      <c r="D292" s="44"/>
      <c r="E292" s="44"/>
      <c r="F292" s="44"/>
      <c r="G292" s="15">
        <v>44105</v>
      </c>
      <c r="H292" s="19">
        <v>44102</v>
      </c>
      <c r="I292" s="20">
        <v>44099</v>
      </c>
    </row>
    <row r="293" spans="1:9" ht="10.8" x14ac:dyDescent="0.25">
      <c r="A293" s="45"/>
      <c r="B293" s="42"/>
      <c r="C293" s="43"/>
      <c r="D293" s="44"/>
      <c r="E293" s="44"/>
      <c r="F293" s="44"/>
      <c r="G293" s="15">
        <v>44136</v>
      </c>
      <c r="H293" s="19">
        <v>44132</v>
      </c>
      <c r="I293" s="20">
        <v>44131</v>
      </c>
    </row>
    <row r="294" spans="1:9" ht="10.8" x14ac:dyDescent="0.25">
      <c r="A294" s="45"/>
      <c r="B294" s="42"/>
      <c r="C294" s="43"/>
      <c r="D294" s="44"/>
      <c r="E294" s="44"/>
      <c r="F294" s="44"/>
      <c r="G294" s="15">
        <v>44166</v>
      </c>
      <c r="H294" s="19">
        <v>44160</v>
      </c>
      <c r="I294" s="20">
        <v>44159</v>
      </c>
    </row>
    <row r="295" spans="1:9" ht="10.8" x14ac:dyDescent="0.25">
      <c r="A295" s="45"/>
      <c r="B295" s="42"/>
      <c r="C295" s="43"/>
      <c r="D295" s="44"/>
      <c r="E295" s="44"/>
      <c r="F295" s="44"/>
      <c r="G295" s="15">
        <v>44197</v>
      </c>
      <c r="H295" s="19">
        <v>44194</v>
      </c>
      <c r="I295" s="20">
        <v>44193</v>
      </c>
    </row>
    <row r="296" spans="1:9" ht="10.8" x14ac:dyDescent="0.25">
      <c r="A296" s="45"/>
      <c r="B296" s="42"/>
      <c r="C296" s="43"/>
      <c r="D296" s="44"/>
      <c r="E296" s="44"/>
      <c r="F296" s="44"/>
      <c r="G296" s="15">
        <v>44228</v>
      </c>
      <c r="H296" s="19">
        <v>44223</v>
      </c>
      <c r="I296" s="20">
        <v>44222</v>
      </c>
    </row>
    <row r="297" spans="1:9" ht="10.8" x14ac:dyDescent="0.25">
      <c r="A297" s="45"/>
      <c r="B297" s="42"/>
      <c r="C297" s="43"/>
      <c r="D297" s="44"/>
      <c r="E297" s="44"/>
      <c r="F297" s="44"/>
      <c r="G297" s="15">
        <v>44256</v>
      </c>
      <c r="H297" s="19">
        <v>44251</v>
      </c>
      <c r="I297" s="20">
        <v>44250</v>
      </c>
    </row>
    <row r="298" spans="1:9" ht="10.8" x14ac:dyDescent="0.25">
      <c r="A298" s="45"/>
      <c r="B298" s="42"/>
      <c r="C298" s="43"/>
      <c r="D298" s="44"/>
      <c r="E298" s="44"/>
      <c r="F298" s="44"/>
      <c r="G298" s="15">
        <v>44287</v>
      </c>
      <c r="H298" s="19">
        <v>44284</v>
      </c>
      <c r="I298" s="20">
        <v>44281</v>
      </c>
    </row>
    <row r="299" spans="1:9" ht="10.8" x14ac:dyDescent="0.25">
      <c r="A299" s="45"/>
      <c r="B299" s="42"/>
      <c r="C299" s="43"/>
      <c r="D299" s="44"/>
      <c r="E299" s="44"/>
      <c r="F299" s="44"/>
      <c r="G299" s="15">
        <v>44317</v>
      </c>
      <c r="H299" s="19">
        <v>44314</v>
      </c>
      <c r="I299" s="20">
        <v>44313</v>
      </c>
    </row>
    <row r="300" spans="1:9" ht="10.8" x14ac:dyDescent="0.25">
      <c r="A300" s="45"/>
      <c r="B300" s="42"/>
      <c r="C300" s="43"/>
      <c r="D300" s="44"/>
      <c r="E300" s="44"/>
      <c r="F300" s="44"/>
      <c r="G300" s="15">
        <v>44348</v>
      </c>
      <c r="H300" s="19">
        <v>44342</v>
      </c>
      <c r="I300" s="20">
        <v>44341</v>
      </c>
    </row>
    <row r="301" spans="1:9" ht="10.8" x14ac:dyDescent="0.25">
      <c r="A301" s="45"/>
      <c r="B301" s="42"/>
      <c r="C301" s="43"/>
      <c r="D301" s="44"/>
      <c r="E301" s="44"/>
      <c r="F301" s="44"/>
      <c r="G301" s="15">
        <v>44378</v>
      </c>
      <c r="H301" s="19">
        <v>44375</v>
      </c>
      <c r="I301" s="20">
        <v>44372</v>
      </c>
    </row>
    <row r="302" spans="1:9" ht="10.8" x14ac:dyDescent="0.25">
      <c r="A302" s="45"/>
      <c r="B302" s="42"/>
      <c r="C302" s="43"/>
      <c r="D302" s="44"/>
      <c r="E302" s="44"/>
      <c r="F302" s="44"/>
      <c r="G302" s="15">
        <v>44409</v>
      </c>
      <c r="H302" s="19">
        <v>44405</v>
      </c>
      <c r="I302" s="20">
        <v>44404</v>
      </c>
    </row>
    <row r="303" spans="1:9" ht="10.8" x14ac:dyDescent="0.25">
      <c r="A303" s="45"/>
      <c r="B303" s="42"/>
      <c r="C303" s="43"/>
      <c r="D303" s="44"/>
      <c r="E303" s="44"/>
      <c r="F303" s="44"/>
      <c r="G303" s="15">
        <v>44440</v>
      </c>
      <c r="H303" s="19">
        <v>44435</v>
      </c>
      <c r="I303" s="20">
        <v>44434</v>
      </c>
    </row>
    <row r="304" spans="1:9" ht="10.8" x14ac:dyDescent="0.25">
      <c r="A304" s="45"/>
      <c r="B304" s="42"/>
      <c r="C304" s="43"/>
      <c r="D304" s="44"/>
      <c r="E304" s="44"/>
      <c r="F304" s="44"/>
      <c r="G304" s="15">
        <v>44470</v>
      </c>
      <c r="H304" s="19">
        <v>44467</v>
      </c>
      <c r="I304" s="20">
        <v>44466</v>
      </c>
    </row>
    <row r="305" spans="1:9" ht="10.8" x14ac:dyDescent="0.25">
      <c r="A305" s="45"/>
      <c r="B305" s="42"/>
      <c r="C305" s="43"/>
      <c r="D305" s="44"/>
      <c r="E305" s="44"/>
      <c r="F305" s="44"/>
      <c r="G305" s="15">
        <v>44501</v>
      </c>
      <c r="H305" s="19">
        <v>44496</v>
      </c>
      <c r="I305" s="20">
        <v>44495</v>
      </c>
    </row>
    <row r="306" spans="1:9" ht="10.8" x14ac:dyDescent="0.25">
      <c r="A306" s="45"/>
      <c r="B306" s="42"/>
      <c r="C306" s="43"/>
      <c r="D306" s="44"/>
      <c r="E306" s="44"/>
      <c r="F306" s="44"/>
      <c r="G306" s="15">
        <v>44531</v>
      </c>
      <c r="H306" s="19">
        <v>44526</v>
      </c>
      <c r="I306" s="20">
        <v>44524</v>
      </c>
    </row>
    <row r="307" spans="1:9" ht="10.8" x14ac:dyDescent="0.25">
      <c r="A307" s="45"/>
      <c r="B307" s="42"/>
      <c r="C307" s="43"/>
      <c r="D307" s="44"/>
      <c r="E307" s="44"/>
      <c r="F307" s="44"/>
      <c r="G307" s="15">
        <v>44562</v>
      </c>
      <c r="H307" s="19">
        <v>44558</v>
      </c>
      <c r="I307" s="20">
        <v>44557</v>
      </c>
    </row>
    <row r="308" spans="1:9" ht="10.8" x14ac:dyDescent="0.25">
      <c r="A308" s="45"/>
      <c r="B308" s="42"/>
      <c r="C308" s="43"/>
      <c r="D308" s="44"/>
      <c r="E308" s="44"/>
      <c r="F308" s="44"/>
      <c r="G308" s="15">
        <v>44593</v>
      </c>
      <c r="H308" s="19">
        <v>44588</v>
      </c>
      <c r="I308" s="20">
        <v>44587</v>
      </c>
    </row>
    <row r="309" spans="1:9" ht="10.8" x14ac:dyDescent="0.25">
      <c r="A309" s="45"/>
      <c r="B309" s="42"/>
      <c r="C309" s="43"/>
      <c r="D309" s="44"/>
      <c r="E309" s="44"/>
      <c r="F309" s="44"/>
      <c r="G309" s="15">
        <v>44621</v>
      </c>
      <c r="H309" s="19">
        <v>44616</v>
      </c>
      <c r="I309" s="20">
        <v>44615</v>
      </c>
    </row>
    <row r="310" spans="1:9" ht="10.8" x14ac:dyDescent="0.25">
      <c r="A310" s="45"/>
      <c r="B310" s="42"/>
      <c r="C310" s="43"/>
      <c r="D310" s="44"/>
      <c r="E310" s="44"/>
      <c r="F310" s="44"/>
      <c r="G310" s="15">
        <v>44652</v>
      </c>
      <c r="H310" s="19">
        <v>44649</v>
      </c>
      <c r="I310" s="20">
        <v>44648</v>
      </c>
    </row>
    <row r="311" spans="1:9" ht="10.8" x14ac:dyDescent="0.25">
      <c r="A311" s="45"/>
      <c r="B311" s="42"/>
      <c r="C311" s="43"/>
      <c r="D311" s="43"/>
      <c r="E311" s="43"/>
      <c r="F311" s="44"/>
      <c r="G311" s="15">
        <v>44682</v>
      </c>
      <c r="H311" s="19">
        <v>44678</v>
      </c>
      <c r="I311" s="20">
        <v>44677</v>
      </c>
    </row>
    <row r="312" spans="1:9" ht="10.8" x14ac:dyDescent="0.25">
      <c r="A312" s="45"/>
      <c r="B312" s="42"/>
      <c r="C312" s="43"/>
      <c r="D312" s="43"/>
      <c r="E312" s="43"/>
      <c r="F312" s="44"/>
      <c r="G312" s="15">
        <v>44713</v>
      </c>
      <c r="H312" s="19">
        <v>44707</v>
      </c>
      <c r="I312" s="20">
        <v>44706</v>
      </c>
    </row>
    <row r="313" spans="1:9" ht="10.8" x14ac:dyDescent="0.25">
      <c r="A313" s="45"/>
      <c r="B313" s="42"/>
      <c r="C313" s="43"/>
      <c r="D313" s="43"/>
      <c r="E313" s="43"/>
      <c r="F313" s="44"/>
      <c r="G313" s="15">
        <v>44743</v>
      </c>
      <c r="H313" s="19">
        <v>44740</v>
      </c>
      <c r="I313" s="20">
        <v>44739</v>
      </c>
    </row>
    <row r="314" spans="1:9" ht="10.8" x14ac:dyDescent="0.25">
      <c r="A314" s="45"/>
      <c r="B314" s="42"/>
      <c r="C314" s="43"/>
      <c r="D314" s="43"/>
      <c r="E314" s="43"/>
      <c r="F314" s="44"/>
      <c r="G314" s="15">
        <v>44774</v>
      </c>
      <c r="H314" s="19">
        <v>44769</v>
      </c>
      <c r="I314" s="20">
        <v>44768</v>
      </c>
    </row>
    <row r="315" spans="1:9" ht="10.8" x14ac:dyDescent="0.25">
      <c r="A315" s="45"/>
      <c r="B315" s="42"/>
      <c r="C315" s="43"/>
      <c r="D315" s="43"/>
      <c r="E315" s="43"/>
      <c r="F315" s="44"/>
      <c r="G315" s="15">
        <v>44805</v>
      </c>
      <c r="H315" s="19">
        <v>44802</v>
      </c>
      <c r="I315" s="20">
        <v>44799</v>
      </c>
    </row>
    <row r="316" spans="1:9" ht="10.8" x14ac:dyDescent="0.25">
      <c r="A316" s="45"/>
      <c r="B316" s="42"/>
      <c r="C316" s="43"/>
      <c r="D316" s="43"/>
      <c r="E316" s="43"/>
      <c r="F316" s="44"/>
      <c r="G316" s="15">
        <v>44835</v>
      </c>
      <c r="H316" s="19">
        <v>44832</v>
      </c>
      <c r="I316" s="20">
        <v>44831</v>
      </c>
    </row>
    <row r="317" spans="1:9" ht="10.8" x14ac:dyDescent="0.25">
      <c r="A317" s="45"/>
      <c r="B317" s="42"/>
      <c r="C317" s="43"/>
      <c r="D317" s="43"/>
      <c r="E317" s="43"/>
      <c r="F317" s="44"/>
      <c r="G317" s="15">
        <v>44866</v>
      </c>
      <c r="H317" s="19">
        <v>44861</v>
      </c>
      <c r="I317" s="20">
        <v>44860</v>
      </c>
    </row>
    <row r="318" spans="1:9" ht="10.8" x14ac:dyDescent="0.25">
      <c r="A318" s="45"/>
      <c r="B318" s="42"/>
      <c r="C318" s="43"/>
      <c r="D318" s="43"/>
      <c r="E318" s="43"/>
      <c r="F318" s="44"/>
      <c r="G318" s="15">
        <v>44896</v>
      </c>
      <c r="H318" s="19">
        <v>44893</v>
      </c>
      <c r="I318" s="20">
        <v>44890</v>
      </c>
    </row>
    <row r="319" spans="1:9" ht="10.8" x14ac:dyDescent="0.25">
      <c r="A319" s="45"/>
      <c r="B319" s="42"/>
      <c r="C319" s="43"/>
      <c r="D319" s="43"/>
      <c r="E319" s="43"/>
      <c r="F319" s="44"/>
      <c r="G319" s="15">
        <v>44927</v>
      </c>
      <c r="H319" s="19">
        <v>44923</v>
      </c>
      <c r="I319" s="20">
        <v>44922</v>
      </c>
    </row>
    <row r="320" spans="1:9" ht="10.8" x14ac:dyDescent="0.25">
      <c r="A320" s="45"/>
      <c r="B320" s="42"/>
      <c r="C320" s="43"/>
      <c r="D320" s="43"/>
      <c r="E320" s="43"/>
      <c r="F320" s="44"/>
      <c r="G320" s="15">
        <v>44958</v>
      </c>
      <c r="H320" s="19">
        <v>44953</v>
      </c>
      <c r="I320" s="20">
        <v>44952</v>
      </c>
    </row>
    <row r="321" spans="1:9" ht="10.8" x14ac:dyDescent="0.25">
      <c r="A321" s="45"/>
      <c r="B321" s="42"/>
      <c r="C321" s="43"/>
      <c r="D321" s="43"/>
      <c r="E321" s="43"/>
      <c r="F321" s="44"/>
      <c r="G321" s="15">
        <v>44986</v>
      </c>
      <c r="H321" s="19">
        <v>44981</v>
      </c>
      <c r="I321" s="20">
        <v>44980</v>
      </c>
    </row>
    <row r="322" spans="1:9" ht="10.8" x14ac:dyDescent="0.25">
      <c r="A322" s="45"/>
      <c r="B322" s="42"/>
      <c r="C322" s="43"/>
      <c r="D322" s="43"/>
      <c r="E322" s="43"/>
      <c r="F322" s="44"/>
      <c r="G322" s="15">
        <v>45017</v>
      </c>
      <c r="H322" s="19">
        <v>45014</v>
      </c>
      <c r="I322" s="20">
        <v>45013</v>
      </c>
    </row>
    <row r="323" spans="1:9" ht="10.8" x14ac:dyDescent="0.25">
      <c r="A323" s="45"/>
      <c r="B323" s="42"/>
      <c r="C323" s="43"/>
      <c r="D323" s="43"/>
      <c r="E323" s="43"/>
      <c r="F323" s="44"/>
      <c r="G323" s="15">
        <v>45047</v>
      </c>
      <c r="H323" s="19">
        <v>45042</v>
      </c>
      <c r="I323" s="20">
        <v>45041</v>
      </c>
    </row>
    <row r="324" spans="1:9" ht="10.8" x14ac:dyDescent="0.25">
      <c r="A324" s="45"/>
      <c r="B324" s="42"/>
      <c r="C324" s="43"/>
      <c r="D324" s="43"/>
      <c r="E324" s="43"/>
      <c r="F324" s="44"/>
      <c r="G324" s="15">
        <v>45078</v>
      </c>
      <c r="H324" s="19">
        <v>45072</v>
      </c>
      <c r="I324" s="20">
        <v>45071</v>
      </c>
    </row>
    <row r="325" spans="1:9" ht="10.8" x14ac:dyDescent="0.25">
      <c r="A325" s="45"/>
      <c r="B325" s="42"/>
      <c r="C325" s="43"/>
      <c r="D325" s="43"/>
      <c r="E325" s="43"/>
      <c r="F325" s="44"/>
      <c r="G325" s="15">
        <v>45108</v>
      </c>
      <c r="H325" s="19">
        <v>45105</v>
      </c>
      <c r="I325" s="20">
        <v>45104</v>
      </c>
    </row>
    <row r="326" spans="1:9" ht="10.8" x14ac:dyDescent="0.25">
      <c r="A326" s="45"/>
      <c r="B326" s="42"/>
      <c r="C326" s="43"/>
      <c r="D326" s="43"/>
      <c r="E326" s="43"/>
      <c r="F326" s="44"/>
      <c r="G326" s="15">
        <v>45139</v>
      </c>
      <c r="H326" s="19">
        <v>45134</v>
      </c>
      <c r="I326" s="20">
        <v>45133</v>
      </c>
    </row>
    <row r="327" spans="1:9" ht="10.8" x14ac:dyDescent="0.25">
      <c r="A327" s="45"/>
      <c r="B327" s="42"/>
      <c r="C327" s="43"/>
      <c r="D327" s="43"/>
      <c r="E327" s="43"/>
      <c r="F327" s="44"/>
      <c r="G327" s="15">
        <v>45170</v>
      </c>
      <c r="H327" s="19">
        <v>45167</v>
      </c>
      <c r="I327" s="20">
        <v>45166</v>
      </c>
    </row>
    <row r="328" spans="1:9" ht="10.8" x14ac:dyDescent="0.25">
      <c r="A328" s="45"/>
      <c r="B328" s="42"/>
      <c r="C328" s="43"/>
      <c r="D328" s="43"/>
      <c r="E328" s="43"/>
      <c r="F328" s="44"/>
      <c r="G328" s="15">
        <v>45200</v>
      </c>
      <c r="H328" s="19">
        <v>45196</v>
      </c>
      <c r="I328" s="20">
        <v>45195</v>
      </c>
    </row>
    <row r="329" spans="1:9" ht="10.8" x14ac:dyDescent="0.25">
      <c r="A329" s="45"/>
      <c r="B329" s="42"/>
      <c r="C329" s="43"/>
      <c r="D329" s="43"/>
      <c r="E329" s="43"/>
      <c r="F329" s="44"/>
      <c r="G329" s="15">
        <v>45231</v>
      </c>
      <c r="H329" s="19">
        <v>45226</v>
      </c>
      <c r="I329" s="20">
        <v>45225</v>
      </c>
    </row>
    <row r="330" spans="1:9" ht="10.8" x14ac:dyDescent="0.25">
      <c r="A330" s="45"/>
      <c r="B330" s="42"/>
      <c r="C330" s="43"/>
      <c r="D330" s="43"/>
      <c r="E330" s="43"/>
      <c r="F330" s="44"/>
      <c r="G330" s="15">
        <v>45261</v>
      </c>
      <c r="H330" s="19">
        <v>45258</v>
      </c>
      <c r="I330" s="20">
        <v>45257</v>
      </c>
    </row>
    <row r="331" spans="1:9" ht="10.8" x14ac:dyDescent="0.25">
      <c r="A331" s="45"/>
      <c r="B331" s="42"/>
      <c r="C331" s="43"/>
      <c r="D331" s="43"/>
      <c r="E331" s="43"/>
      <c r="F331" s="44"/>
      <c r="G331" s="15">
        <v>45292</v>
      </c>
      <c r="H331" s="19">
        <v>45287</v>
      </c>
      <c r="I331" s="20">
        <v>45286</v>
      </c>
    </row>
    <row r="332" spans="1:9" ht="10.8" x14ac:dyDescent="0.25">
      <c r="A332" s="45"/>
      <c r="B332" s="42"/>
      <c r="C332" s="43"/>
      <c r="D332" s="43"/>
      <c r="E332" s="43"/>
      <c r="F332" s="44"/>
      <c r="G332" s="15">
        <v>45323</v>
      </c>
      <c r="H332" s="19">
        <v>45320</v>
      </c>
      <c r="I332" s="20">
        <v>45317</v>
      </c>
    </row>
    <row r="333" spans="1:9" ht="10.8" x14ac:dyDescent="0.25">
      <c r="A333" s="45"/>
      <c r="B333" s="42"/>
      <c r="C333" s="43"/>
      <c r="D333" s="43"/>
      <c r="E333" s="43"/>
      <c r="F333" s="44"/>
      <c r="G333" s="15">
        <v>45352</v>
      </c>
      <c r="H333" s="19">
        <v>45349</v>
      </c>
      <c r="I333" s="20">
        <v>45348</v>
      </c>
    </row>
    <row r="334" spans="1:9" ht="10.8" x14ac:dyDescent="0.25">
      <c r="A334" s="45"/>
      <c r="B334" s="42"/>
      <c r="C334" s="43"/>
      <c r="D334" s="43"/>
      <c r="E334" s="43"/>
      <c r="F334" s="44"/>
      <c r="G334" s="15">
        <v>45383</v>
      </c>
      <c r="H334" s="19">
        <v>45377</v>
      </c>
      <c r="I334" s="20">
        <v>45376</v>
      </c>
    </row>
    <row r="335" spans="1:9" ht="10.8" x14ac:dyDescent="0.25">
      <c r="A335" s="45"/>
      <c r="B335" s="42"/>
      <c r="C335" s="43"/>
      <c r="D335" s="43"/>
      <c r="E335" s="43"/>
      <c r="F335" s="44"/>
      <c r="G335" s="15">
        <v>45413</v>
      </c>
      <c r="H335" s="19">
        <v>45408</v>
      </c>
      <c r="I335" s="20">
        <v>45407</v>
      </c>
    </row>
    <row r="336" spans="1:9" ht="10.8" x14ac:dyDescent="0.25">
      <c r="A336" s="45"/>
      <c r="B336" s="42"/>
      <c r="C336" s="43"/>
      <c r="D336" s="43"/>
      <c r="E336" s="43"/>
      <c r="F336" s="44"/>
      <c r="G336" s="15">
        <v>45444</v>
      </c>
      <c r="H336" s="19">
        <v>45441</v>
      </c>
      <c r="I336" s="20">
        <v>45440</v>
      </c>
    </row>
    <row r="337" spans="1:9" ht="10.8" x14ac:dyDescent="0.25">
      <c r="A337" s="45"/>
      <c r="B337" s="42"/>
      <c r="C337" s="43"/>
      <c r="D337" s="43"/>
      <c r="E337" s="43"/>
      <c r="F337" s="44"/>
      <c r="G337" s="15">
        <v>45474</v>
      </c>
      <c r="H337" s="19">
        <v>45469</v>
      </c>
      <c r="I337" s="20">
        <v>45468</v>
      </c>
    </row>
    <row r="338" spans="1:9" ht="10.8" x14ac:dyDescent="0.25">
      <c r="A338" s="45"/>
      <c r="B338" s="42"/>
      <c r="C338" s="43"/>
      <c r="D338" s="43"/>
      <c r="E338" s="43"/>
      <c r="F338" s="44"/>
      <c r="G338" s="15">
        <v>45505</v>
      </c>
      <c r="H338" s="19">
        <v>45502</v>
      </c>
      <c r="I338" s="20">
        <v>45499</v>
      </c>
    </row>
    <row r="339" spans="1:9" ht="10.8" x14ac:dyDescent="0.25">
      <c r="A339" s="45"/>
      <c r="B339" s="42"/>
      <c r="C339" s="43"/>
      <c r="D339" s="43"/>
      <c r="E339" s="43"/>
      <c r="F339" s="44"/>
      <c r="G339" s="15">
        <v>45536</v>
      </c>
      <c r="H339" s="19">
        <v>45532</v>
      </c>
      <c r="I339" s="20">
        <v>45531</v>
      </c>
    </row>
    <row r="340" spans="1:9" ht="10.8" x14ac:dyDescent="0.25">
      <c r="A340" s="45"/>
      <c r="B340" s="42"/>
      <c r="C340" s="43"/>
      <c r="D340" s="43"/>
      <c r="E340" s="43"/>
      <c r="F340" s="44"/>
      <c r="G340" s="15">
        <v>45566</v>
      </c>
      <c r="H340" s="19">
        <v>45561</v>
      </c>
      <c r="I340" s="20">
        <v>45560</v>
      </c>
    </row>
    <row r="341" spans="1:9" ht="10.8" x14ac:dyDescent="0.25">
      <c r="A341" s="45"/>
      <c r="B341" s="42"/>
      <c r="C341" s="43"/>
      <c r="D341" s="43"/>
      <c r="E341" s="43"/>
      <c r="F341" s="44"/>
      <c r="G341" s="15">
        <v>45597</v>
      </c>
      <c r="H341" s="19">
        <v>45594</v>
      </c>
      <c r="I341" s="20">
        <v>45593</v>
      </c>
    </row>
    <row r="342" spans="1:9" ht="10.8" x14ac:dyDescent="0.25">
      <c r="A342" s="45"/>
      <c r="B342" s="42"/>
      <c r="C342" s="43"/>
      <c r="D342" s="43"/>
      <c r="E342" s="43"/>
      <c r="F342" s="44"/>
      <c r="G342" s="15">
        <v>45627</v>
      </c>
      <c r="H342" s="19">
        <v>45622</v>
      </c>
      <c r="I342" s="20">
        <v>45621</v>
      </c>
    </row>
    <row r="343" spans="1:9" ht="10.8" x14ac:dyDescent="0.25">
      <c r="A343" s="45"/>
      <c r="B343" s="42"/>
      <c r="C343" s="43"/>
      <c r="D343" s="43"/>
      <c r="E343" s="43"/>
      <c r="F343" s="44"/>
      <c r="G343" s="15">
        <v>45658</v>
      </c>
      <c r="H343" s="19">
        <v>45653</v>
      </c>
      <c r="I343" s="20">
        <v>45652</v>
      </c>
    </row>
    <row r="344" spans="1:9" ht="10.8" x14ac:dyDescent="0.25">
      <c r="A344" s="45"/>
      <c r="B344" s="42"/>
      <c r="C344" s="43"/>
      <c r="D344" s="43"/>
      <c r="E344" s="43"/>
      <c r="F344" s="44"/>
      <c r="G344" s="15">
        <v>45689</v>
      </c>
      <c r="H344" s="19">
        <v>45686</v>
      </c>
      <c r="I344" s="20">
        <v>45685</v>
      </c>
    </row>
    <row r="345" spans="1:9" ht="10.8" x14ac:dyDescent="0.25">
      <c r="A345" s="45"/>
      <c r="B345" s="42"/>
      <c r="C345" s="43"/>
      <c r="D345" s="43"/>
      <c r="E345" s="43"/>
      <c r="F345" s="44"/>
      <c r="G345" s="15">
        <v>45717</v>
      </c>
      <c r="H345" s="19">
        <v>45714</v>
      </c>
      <c r="I345" s="20">
        <v>45713</v>
      </c>
    </row>
    <row r="346" spans="1:9" ht="10.8" x14ac:dyDescent="0.25">
      <c r="A346" s="45"/>
      <c r="B346" s="42"/>
      <c r="C346" s="43"/>
      <c r="D346" s="43"/>
      <c r="E346" s="43"/>
      <c r="F346" s="44"/>
      <c r="G346" s="15">
        <v>45748</v>
      </c>
      <c r="H346" s="19">
        <v>45743</v>
      </c>
      <c r="I346" s="20">
        <v>45742</v>
      </c>
    </row>
    <row r="347" spans="1:9" ht="10.8" x14ac:dyDescent="0.25">
      <c r="A347" s="45"/>
      <c r="B347" s="42"/>
      <c r="C347" s="43"/>
      <c r="D347" s="43"/>
      <c r="E347" s="43"/>
      <c r="F347" s="44"/>
      <c r="G347" s="15">
        <v>45778</v>
      </c>
      <c r="H347" s="19">
        <v>45775</v>
      </c>
      <c r="I347" s="20">
        <v>45772</v>
      </c>
    </row>
    <row r="348" spans="1:9" ht="10.8" x14ac:dyDescent="0.25">
      <c r="A348" s="45"/>
      <c r="B348" s="42"/>
      <c r="C348" s="43"/>
      <c r="D348" s="43"/>
      <c r="E348" s="43"/>
      <c r="F348" s="44"/>
      <c r="G348" s="15">
        <v>45809</v>
      </c>
      <c r="H348" s="19">
        <v>45805</v>
      </c>
      <c r="I348" s="20">
        <v>45804</v>
      </c>
    </row>
    <row r="349" spans="1:9" ht="10.8" x14ac:dyDescent="0.25">
      <c r="A349" s="45"/>
      <c r="B349" s="42"/>
      <c r="C349" s="43"/>
      <c r="D349" s="43"/>
      <c r="E349" s="43"/>
      <c r="F349" s="44"/>
      <c r="G349" s="15">
        <v>45839</v>
      </c>
      <c r="H349" s="19">
        <v>45834</v>
      </c>
      <c r="I349" s="20">
        <v>45833</v>
      </c>
    </row>
    <row r="350" spans="1:9" ht="10.8" x14ac:dyDescent="0.25">
      <c r="A350" s="45"/>
      <c r="B350" s="42"/>
      <c r="C350" s="43"/>
      <c r="D350" s="43"/>
      <c r="E350" s="43"/>
      <c r="F350" s="44"/>
      <c r="G350" s="15">
        <v>45870</v>
      </c>
      <c r="H350" s="19">
        <v>45867</v>
      </c>
      <c r="I350" s="20">
        <v>45866</v>
      </c>
    </row>
    <row r="351" spans="1:9" ht="10.8" x14ac:dyDescent="0.25">
      <c r="A351" s="45"/>
      <c r="B351" s="42"/>
      <c r="C351" s="43"/>
      <c r="D351" s="43"/>
      <c r="E351" s="43"/>
      <c r="F351" s="44"/>
      <c r="G351" s="15">
        <v>45901</v>
      </c>
      <c r="H351" s="19">
        <v>45896</v>
      </c>
      <c r="I351" s="20">
        <v>45895</v>
      </c>
    </row>
    <row r="352" spans="1:9" ht="10.8" x14ac:dyDescent="0.25">
      <c r="A352" s="45"/>
      <c r="B352" s="42"/>
      <c r="C352" s="43"/>
      <c r="D352" s="43"/>
      <c r="E352" s="43"/>
      <c r="F352" s="44"/>
      <c r="G352" s="15">
        <v>45931</v>
      </c>
      <c r="H352" s="19">
        <v>45926</v>
      </c>
      <c r="I352" s="20">
        <v>45925</v>
      </c>
    </row>
    <row r="353" spans="1:9" ht="10.8" x14ac:dyDescent="0.25">
      <c r="A353" s="45"/>
      <c r="B353" s="42"/>
      <c r="C353" s="43"/>
      <c r="D353" s="43"/>
      <c r="E353" s="43"/>
      <c r="F353" s="44"/>
      <c r="G353" s="15">
        <v>45962</v>
      </c>
      <c r="H353" s="19">
        <v>45959</v>
      </c>
      <c r="I353" s="20">
        <v>45958</v>
      </c>
    </row>
    <row r="354" spans="1:9" ht="10.8" x14ac:dyDescent="0.25">
      <c r="A354" s="45"/>
      <c r="B354" s="42"/>
      <c r="C354" s="43"/>
      <c r="D354" s="43"/>
      <c r="E354" s="43"/>
      <c r="F354" s="44"/>
      <c r="G354" s="15">
        <v>45992</v>
      </c>
      <c r="H354" s="19">
        <v>45986</v>
      </c>
      <c r="I354" s="20">
        <v>45985</v>
      </c>
    </row>
    <row r="355" spans="1:9" ht="10.8" x14ac:dyDescent="0.25">
      <c r="A355" s="45"/>
      <c r="B355" s="42"/>
      <c r="C355" s="43"/>
      <c r="D355" s="43"/>
      <c r="E355" s="43"/>
      <c r="F355" s="44"/>
      <c r="G355" s="15">
        <v>46023</v>
      </c>
      <c r="H355" s="19">
        <v>46020</v>
      </c>
      <c r="I355" s="20">
        <v>46017</v>
      </c>
    </row>
    <row r="356" spans="1:9" ht="10.8" x14ac:dyDescent="0.25">
      <c r="A356" s="45"/>
      <c r="B356" s="42"/>
      <c r="C356" s="43"/>
      <c r="D356" s="43"/>
      <c r="E356" s="43"/>
      <c r="F356" s="44"/>
      <c r="G356" s="15">
        <v>46054</v>
      </c>
      <c r="H356" s="19">
        <v>46050</v>
      </c>
      <c r="I356" s="20">
        <v>46049</v>
      </c>
    </row>
    <row r="357" spans="1:9" ht="10.8" x14ac:dyDescent="0.25">
      <c r="A357" s="45"/>
      <c r="B357" s="42"/>
      <c r="C357" s="43"/>
      <c r="D357" s="43"/>
      <c r="E357" s="43"/>
      <c r="F357" s="44"/>
      <c r="G357" s="15">
        <v>46082</v>
      </c>
      <c r="H357" s="19">
        <v>46078</v>
      </c>
      <c r="I357" s="20">
        <v>46077</v>
      </c>
    </row>
    <row r="358" spans="1:9" ht="10.8" x14ac:dyDescent="0.25">
      <c r="A358" s="45"/>
      <c r="B358" s="42"/>
      <c r="C358" s="43"/>
      <c r="D358" s="43"/>
      <c r="E358" s="43"/>
      <c r="F358" s="44"/>
      <c r="G358" s="15">
        <v>46113</v>
      </c>
      <c r="H358" s="19">
        <v>46108</v>
      </c>
      <c r="I358" s="20">
        <v>46107</v>
      </c>
    </row>
    <row r="359" spans="1:9" ht="10.8" x14ac:dyDescent="0.25">
      <c r="A359" s="45"/>
      <c r="B359" s="42"/>
      <c r="C359" s="43"/>
      <c r="D359" s="43"/>
      <c r="E359" s="43"/>
      <c r="F359" s="44"/>
      <c r="G359" s="15">
        <v>46143</v>
      </c>
      <c r="H359" s="19">
        <v>46140</v>
      </c>
      <c r="I359" s="20">
        <v>46139</v>
      </c>
    </row>
    <row r="360" spans="1:9" ht="10.8" x14ac:dyDescent="0.25">
      <c r="A360" s="45"/>
      <c r="B360" s="42"/>
      <c r="C360" s="43"/>
      <c r="D360" s="43"/>
      <c r="E360" s="43"/>
      <c r="F360" s="44"/>
      <c r="G360" s="15">
        <v>46174</v>
      </c>
      <c r="H360" s="19">
        <v>46169</v>
      </c>
      <c r="I360" s="20">
        <v>46168</v>
      </c>
    </row>
    <row r="361" spans="1:9" ht="10.8" x14ac:dyDescent="0.25">
      <c r="A361" s="45"/>
      <c r="B361" s="42"/>
      <c r="C361" s="43"/>
      <c r="D361" s="43"/>
      <c r="E361" s="43"/>
      <c r="F361" s="44"/>
      <c r="G361" s="15">
        <v>46204</v>
      </c>
      <c r="H361" s="19">
        <v>46199</v>
      </c>
      <c r="I361" s="20">
        <v>46198</v>
      </c>
    </row>
    <row r="362" spans="1:9" ht="10.8" x14ac:dyDescent="0.25">
      <c r="A362" s="45"/>
      <c r="B362" s="42"/>
      <c r="C362" s="43"/>
      <c r="D362" s="43"/>
      <c r="E362" s="43"/>
      <c r="F362" s="44"/>
      <c r="G362" s="15">
        <v>46235</v>
      </c>
      <c r="H362" s="19">
        <v>46232</v>
      </c>
      <c r="I362" s="20">
        <v>46231</v>
      </c>
    </row>
    <row r="363" spans="1:9" ht="10.8" x14ac:dyDescent="0.25">
      <c r="A363" s="45"/>
      <c r="B363" s="42"/>
      <c r="C363" s="43"/>
      <c r="D363" s="43"/>
      <c r="E363" s="43"/>
      <c r="F363" s="44"/>
      <c r="G363" s="15">
        <v>46266</v>
      </c>
      <c r="H363" s="19">
        <v>46261</v>
      </c>
      <c r="I363" s="20">
        <v>46260</v>
      </c>
    </row>
    <row r="364" spans="1:9" ht="10.8" x14ac:dyDescent="0.25">
      <c r="A364" s="45"/>
      <c r="B364" s="42"/>
      <c r="C364" s="43"/>
      <c r="D364" s="43"/>
      <c r="E364" s="43"/>
      <c r="F364" s="44"/>
      <c r="G364" s="15">
        <v>46296</v>
      </c>
      <c r="H364" s="19">
        <v>46293</v>
      </c>
      <c r="I364" s="20">
        <v>46290</v>
      </c>
    </row>
    <row r="365" spans="1:9" ht="10.8" x14ac:dyDescent="0.25">
      <c r="A365" s="45"/>
      <c r="B365" s="42"/>
      <c r="C365" s="43"/>
      <c r="D365" s="43"/>
      <c r="E365" s="43"/>
      <c r="F365" s="44"/>
      <c r="G365" s="15">
        <v>46327</v>
      </c>
      <c r="H365" s="19">
        <v>46323</v>
      </c>
      <c r="I365" s="20">
        <v>46322</v>
      </c>
    </row>
    <row r="366" spans="1:9" ht="10.8" x14ac:dyDescent="0.25">
      <c r="A366" s="45"/>
      <c r="B366" s="42"/>
      <c r="C366" s="43"/>
      <c r="D366" s="43"/>
      <c r="E366" s="43"/>
      <c r="F366" s="44"/>
      <c r="G366" s="15">
        <v>46357</v>
      </c>
      <c r="H366" s="19">
        <v>46351</v>
      </c>
      <c r="I366" s="20">
        <v>46350</v>
      </c>
    </row>
    <row r="367" spans="1:9" ht="10.8" x14ac:dyDescent="0.25">
      <c r="A367" s="45"/>
      <c r="B367" s="42"/>
      <c r="C367" s="43"/>
      <c r="D367" s="43"/>
      <c r="E367" s="43"/>
      <c r="F367" s="44"/>
      <c r="G367" s="15">
        <v>46388</v>
      </c>
      <c r="H367" s="19">
        <v>46385</v>
      </c>
      <c r="I367" s="20">
        <v>46384</v>
      </c>
    </row>
    <row r="368" spans="1:9" ht="10.8" x14ac:dyDescent="0.25">
      <c r="A368" s="45"/>
      <c r="B368" s="42"/>
      <c r="C368" s="43"/>
      <c r="D368" s="43"/>
      <c r="E368" s="43"/>
      <c r="F368" s="44"/>
      <c r="G368" s="15">
        <v>46419</v>
      </c>
      <c r="H368" s="19">
        <v>46414</v>
      </c>
      <c r="I368" s="20">
        <v>46413</v>
      </c>
    </row>
    <row r="369" spans="1:9" ht="10.8" x14ac:dyDescent="0.25">
      <c r="A369" s="45"/>
      <c r="B369" s="42"/>
      <c r="C369" s="43"/>
      <c r="D369" s="43"/>
      <c r="E369" s="43"/>
      <c r="F369" s="44"/>
      <c r="G369" s="15">
        <v>46447</v>
      </c>
      <c r="H369" s="19">
        <v>46442</v>
      </c>
      <c r="I369" s="20">
        <v>46441</v>
      </c>
    </row>
    <row r="370" spans="1:9" ht="10.8" x14ac:dyDescent="0.25">
      <c r="A370" s="45"/>
      <c r="B370" s="42"/>
      <c r="C370" s="43"/>
      <c r="D370" s="43"/>
      <c r="E370" s="43"/>
      <c r="F370" s="44"/>
      <c r="G370" s="15">
        <v>46478</v>
      </c>
      <c r="H370" s="19">
        <v>46475</v>
      </c>
      <c r="I370" s="20">
        <v>46471</v>
      </c>
    </row>
    <row r="371" spans="1:9" ht="10.8" x14ac:dyDescent="0.25">
      <c r="A371" s="45"/>
      <c r="B371" s="42"/>
      <c r="C371" s="43"/>
      <c r="D371" s="43"/>
      <c r="E371" s="43"/>
      <c r="F371" s="44"/>
      <c r="G371" s="15">
        <v>46508</v>
      </c>
      <c r="H371" s="19">
        <v>46505</v>
      </c>
      <c r="I371" s="20">
        <v>46504</v>
      </c>
    </row>
    <row r="372" spans="1:9" ht="10.8" x14ac:dyDescent="0.25">
      <c r="A372" s="45"/>
      <c r="B372" s="42"/>
      <c r="C372" s="43"/>
      <c r="D372" s="43"/>
      <c r="E372" s="43"/>
      <c r="F372" s="44"/>
      <c r="G372" s="15">
        <v>46539</v>
      </c>
      <c r="H372" s="19">
        <v>46533</v>
      </c>
      <c r="I372" s="20">
        <v>46532</v>
      </c>
    </row>
    <row r="373" spans="1:9" ht="10.8" x14ac:dyDescent="0.25">
      <c r="A373" s="45"/>
      <c r="B373" s="38"/>
      <c r="C373" s="38"/>
      <c r="D373" s="38"/>
      <c r="E373" s="38"/>
      <c r="F373" s="38"/>
      <c r="G373" s="15">
        <v>46569</v>
      </c>
      <c r="H373" s="19">
        <v>46566</v>
      </c>
      <c r="I373" s="20">
        <v>46563</v>
      </c>
    </row>
    <row r="374" spans="1:9" ht="10.8" x14ac:dyDescent="0.25">
      <c r="A374" s="45"/>
      <c r="B374" s="38"/>
      <c r="C374" s="38"/>
      <c r="D374" s="38"/>
      <c r="E374" s="38"/>
      <c r="F374" s="38"/>
      <c r="G374" s="15">
        <v>46600</v>
      </c>
      <c r="H374" s="19">
        <v>46596</v>
      </c>
      <c r="I374" s="20">
        <v>46595</v>
      </c>
    </row>
    <row r="375" spans="1:9" ht="10.8" x14ac:dyDescent="0.25">
      <c r="A375" s="45"/>
      <c r="B375" s="38"/>
      <c r="C375" s="38"/>
      <c r="D375" s="38"/>
      <c r="E375" s="38"/>
      <c r="F375" s="38"/>
      <c r="G375" s="15">
        <v>46631</v>
      </c>
      <c r="H375" s="19">
        <v>46626</v>
      </c>
      <c r="I375" s="20">
        <v>46625</v>
      </c>
    </row>
    <row r="376" spans="1:9" ht="10.8" x14ac:dyDescent="0.25">
      <c r="A376" s="45"/>
      <c r="B376" s="38"/>
      <c r="C376" s="38"/>
      <c r="D376" s="38"/>
      <c r="E376" s="38"/>
      <c r="F376" s="38"/>
      <c r="G376" s="15">
        <v>46661</v>
      </c>
      <c r="H376" s="19">
        <v>46658</v>
      </c>
      <c r="I376" s="20">
        <v>46657</v>
      </c>
    </row>
    <row r="377" spans="1:9" ht="10.8" x14ac:dyDescent="0.25">
      <c r="A377" s="45"/>
      <c r="B377" s="38"/>
      <c r="C377" s="38"/>
      <c r="D377" s="38"/>
      <c r="E377" s="38"/>
      <c r="F377" s="38"/>
      <c r="G377" s="15">
        <v>46692</v>
      </c>
      <c r="H377" s="19">
        <v>46687</v>
      </c>
      <c r="I377" s="20">
        <v>46686</v>
      </c>
    </row>
    <row r="378" spans="1:9" ht="10.8" x14ac:dyDescent="0.25">
      <c r="A378" s="45"/>
      <c r="B378" s="38"/>
      <c r="C378" s="38"/>
      <c r="D378" s="38"/>
      <c r="E378" s="38"/>
      <c r="F378" s="38"/>
      <c r="G378" s="15">
        <v>46722</v>
      </c>
      <c r="H378" s="19">
        <v>46717</v>
      </c>
      <c r="I378" s="20">
        <v>46715</v>
      </c>
    </row>
    <row r="379" spans="1:9" ht="10.8" x14ac:dyDescent="0.25">
      <c r="A379" s="45"/>
      <c r="B379" s="38"/>
      <c r="C379" s="38"/>
      <c r="D379" s="38"/>
      <c r="E379" s="38"/>
      <c r="F379" s="38"/>
      <c r="G379" s="15">
        <v>46753</v>
      </c>
      <c r="H379" s="19">
        <v>46749</v>
      </c>
      <c r="I379" s="20">
        <v>46748</v>
      </c>
    </row>
    <row r="380" spans="1:9" ht="10.8" x14ac:dyDescent="0.25">
      <c r="A380" s="45"/>
      <c r="B380" s="38"/>
      <c r="C380" s="38"/>
      <c r="D380" s="38"/>
      <c r="E380" s="38"/>
      <c r="F380" s="38"/>
      <c r="G380" s="15">
        <v>46784</v>
      </c>
      <c r="H380" s="19">
        <v>46779</v>
      </c>
      <c r="I380" s="20">
        <v>46778</v>
      </c>
    </row>
    <row r="381" spans="1:9" ht="10.8" x14ac:dyDescent="0.25">
      <c r="A381" s="45"/>
      <c r="B381" s="38"/>
      <c r="C381" s="38"/>
      <c r="D381" s="38"/>
      <c r="E381" s="38"/>
      <c r="F381" s="38"/>
      <c r="G381" s="15">
        <v>46813</v>
      </c>
      <c r="H381" s="19">
        <v>46808</v>
      </c>
      <c r="I381" s="20">
        <v>46807</v>
      </c>
    </row>
    <row r="382" spans="1:9" ht="10.8" x14ac:dyDescent="0.25">
      <c r="A382" s="45"/>
      <c r="B382" s="38"/>
      <c r="C382" s="38"/>
      <c r="D382" s="38"/>
      <c r="E382" s="38"/>
      <c r="F382" s="38"/>
      <c r="G382" s="15">
        <v>46844</v>
      </c>
      <c r="H382" s="19">
        <v>46841</v>
      </c>
      <c r="I382" s="20">
        <v>46840</v>
      </c>
    </row>
    <row r="383" spans="1:9" ht="10.8" x14ac:dyDescent="0.25">
      <c r="A383" s="45"/>
      <c r="B383" s="38"/>
      <c r="C383" s="38"/>
      <c r="D383" s="38"/>
      <c r="E383" s="38"/>
      <c r="F383" s="38"/>
      <c r="G383" s="15">
        <v>46874</v>
      </c>
      <c r="H383" s="19">
        <v>46869</v>
      </c>
      <c r="I383" s="20">
        <v>46868</v>
      </c>
    </row>
    <row r="384" spans="1:9" ht="10.8" x14ac:dyDescent="0.25">
      <c r="A384" s="45"/>
      <c r="B384" s="38"/>
      <c r="C384" s="38"/>
      <c r="D384" s="38"/>
      <c r="E384" s="38"/>
      <c r="F384" s="38"/>
      <c r="G384" s="15">
        <v>46905</v>
      </c>
      <c r="H384" s="19">
        <v>46899</v>
      </c>
      <c r="I384" s="20">
        <v>46898</v>
      </c>
    </row>
    <row r="385" spans="1:9" ht="10.8" x14ac:dyDescent="0.25">
      <c r="A385" s="45"/>
      <c r="B385" s="45"/>
      <c r="C385" s="45"/>
      <c r="D385" s="45"/>
      <c r="E385" s="45"/>
      <c r="F385" s="45"/>
      <c r="G385" s="15">
        <v>46935</v>
      </c>
      <c r="H385" s="19">
        <v>46932</v>
      </c>
      <c r="I385" s="20">
        <v>46931</v>
      </c>
    </row>
    <row r="386" spans="1:9" ht="10.8" x14ac:dyDescent="0.25">
      <c r="A386" s="45"/>
      <c r="B386" s="45"/>
      <c r="C386" s="45"/>
      <c r="D386" s="45"/>
      <c r="E386" s="45"/>
      <c r="F386" s="45"/>
      <c r="G386" s="15">
        <v>46966</v>
      </c>
      <c r="H386" s="19">
        <v>46961</v>
      </c>
      <c r="I386" s="20">
        <v>46960</v>
      </c>
    </row>
    <row r="387" spans="1:9" ht="10.8" x14ac:dyDescent="0.25">
      <c r="A387" s="45"/>
      <c r="B387" s="45"/>
      <c r="C387" s="45"/>
      <c r="D387" s="45"/>
      <c r="E387" s="45"/>
      <c r="F387" s="45"/>
      <c r="G387" s="15">
        <v>46997</v>
      </c>
      <c r="H387" s="19">
        <v>46994</v>
      </c>
      <c r="I387" s="20">
        <v>46993</v>
      </c>
    </row>
    <row r="388" spans="1:9" ht="10.8" x14ac:dyDescent="0.25">
      <c r="A388" s="45"/>
      <c r="B388" s="45"/>
      <c r="C388" s="45"/>
      <c r="D388" s="45"/>
      <c r="E388" s="45"/>
      <c r="F388" s="45"/>
      <c r="G388" s="15">
        <v>47027</v>
      </c>
      <c r="H388" s="19">
        <v>47023</v>
      </c>
      <c r="I388" s="20">
        <v>47022</v>
      </c>
    </row>
    <row r="389" spans="1:9" ht="10.8" x14ac:dyDescent="0.25">
      <c r="A389" s="45"/>
      <c r="B389" s="45"/>
      <c r="C389" s="45"/>
      <c r="D389" s="45"/>
      <c r="E389" s="45"/>
      <c r="F389" s="45"/>
      <c r="G389" s="15">
        <v>47058</v>
      </c>
      <c r="H389" s="19">
        <v>47053</v>
      </c>
      <c r="I389" s="20">
        <v>47052</v>
      </c>
    </row>
    <row r="390" spans="1:9" ht="10.8" x14ac:dyDescent="0.25">
      <c r="A390" s="45"/>
      <c r="B390" s="45"/>
      <c r="C390" s="45"/>
      <c r="D390" s="45"/>
      <c r="E390" s="45"/>
      <c r="F390" s="45"/>
      <c r="G390" s="15">
        <v>47088</v>
      </c>
      <c r="H390" s="19">
        <v>47085</v>
      </c>
      <c r="I390" s="20">
        <v>47084</v>
      </c>
    </row>
    <row r="391" spans="1:9" ht="10.8" x14ac:dyDescent="0.25">
      <c r="A391" s="45"/>
      <c r="B391" s="45"/>
      <c r="C391" s="45"/>
      <c r="D391" s="45"/>
      <c r="E391" s="45"/>
      <c r="F391" s="45"/>
      <c r="G391" s="15">
        <v>47119</v>
      </c>
      <c r="H391" s="19">
        <v>47114</v>
      </c>
      <c r="I391" s="20">
        <v>47113</v>
      </c>
    </row>
    <row r="392" spans="1:9" ht="10.8" x14ac:dyDescent="0.25">
      <c r="A392" s="45"/>
      <c r="B392" s="45"/>
      <c r="C392" s="45"/>
      <c r="D392" s="45"/>
      <c r="E392" s="45"/>
      <c r="F392" s="45"/>
      <c r="G392" s="15">
        <v>47150</v>
      </c>
      <c r="H392" s="19">
        <v>47147</v>
      </c>
      <c r="I392" s="20">
        <v>47144</v>
      </c>
    </row>
    <row r="393" spans="1:9" ht="10.8" x14ac:dyDescent="0.25">
      <c r="A393" s="45"/>
      <c r="B393" s="45"/>
      <c r="C393" s="45"/>
      <c r="D393" s="45"/>
      <c r="E393" s="45"/>
      <c r="F393" s="45"/>
      <c r="G393" s="15">
        <v>47178</v>
      </c>
      <c r="H393" s="19">
        <v>47175</v>
      </c>
      <c r="I393" s="20">
        <v>47172</v>
      </c>
    </row>
    <row r="394" spans="1:9" ht="10.8" x14ac:dyDescent="0.25">
      <c r="A394" s="45"/>
      <c r="B394" s="45"/>
      <c r="C394" s="45"/>
      <c r="D394" s="45"/>
      <c r="E394" s="45"/>
      <c r="F394" s="45"/>
      <c r="G394" s="15">
        <v>47209</v>
      </c>
      <c r="H394" s="19">
        <v>47204</v>
      </c>
      <c r="I394" s="20">
        <v>47203</v>
      </c>
    </row>
    <row r="395" spans="1:9" ht="10.8" x14ac:dyDescent="0.25">
      <c r="A395" s="45"/>
      <c r="B395" s="45"/>
      <c r="C395" s="45"/>
      <c r="D395" s="45"/>
      <c r="E395" s="45"/>
      <c r="F395" s="45"/>
      <c r="G395" s="15">
        <v>47239</v>
      </c>
      <c r="H395" s="19">
        <v>47234</v>
      </c>
      <c r="I395" s="20">
        <v>47233</v>
      </c>
    </row>
    <row r="396" spans="1:9" ht="10.8" x14ac:dyDescent="0.25">
      <c r="A396" s="45"/>
      <c r="B396" s="45"/>
      <c r="C396" s="45"/>
      <c r="D396" s="45"/>
      <c r="E396" s="45"/>
      <c r="F396" s="45"/>
      <c r="G396" s="15">
        <v>47270</v>
      </c>
      <c r="H396" s="19">
        <v>47267</v>
      </c>
      <c r="I396" s="20">
        <v>47263</v>
      </c>
    </row>
    <row r="397" spans="1:9" ht="10.8" x14ac:dyDescent="0.25">
      <c r="A397" s="45"/>
      <c r="B397" s="45"/>
      <c r="C397" s="45"/>
      <c r="D397" s="45"/>
      <c r="E397" s="45"/>
      <c r="F397" s="45"/>
      <c r="G397" s="15">
        <v>47300</v>
      </c>
      <c r="H397" s="19">
        <v>47296</v>
      </c>
      <c r="I397" s="20">
        <v>47295</v>
      </c>
    </row>
    <row r="398" spans="1:9" ht="10.8" x14ac:dyDescent="0.25">
      <c r="A398" s="45"/>
      <c r="B398" s="45"/>
      <c r="C398" s="45"/>
      <c r="D398" s="45"/>
      <c r="E398" s="45"/>
      <c r="F398" s="45"/>
      <c r="G398" s="15">
        <v>47331</v>
      </c>
      <c r="H398" s="19">
        <v>47326</v>
      </c>
      <c r="I398" s="20">
        <v>47325</v>
      </c>
    </row>
    <row r="399" spans="1:9" ht="10.8" x14ac:dyDescent="0.25">
      <c r="A399" s="45"/>
      <c r="B399" s="45"/>
      <c r="C399" s="45"/>
      <c r="D399" s="45"/>
      <c r="E399" s="45"/>
      <c r="F399" s="45"/>
      <c r="G399" s="15">
        <v>47362</v>
      </c>
      <c r="H399" s="19">
        <v>47359</v>
      </c>
      <c r="I399" s="20">
        <v>47358</v>
      </c>
    </row>
    <row r="400" spans="1:9" ht="10.8" x14ac:dyDescent="0.25">
      <c r="A400" s="45"/>
      <c r="B400" s="45"/>
      <c r="C400" s="45"/>
      <c r="D400" s="45"/>
      <c r="E400" s="45"/>
      <c r="F400" s="45"/>
      <c r="G400" s="15">
        <v>47392</v>
      </c>
      <c r="H400" s="19">
        <v>47387</v>
      </c>
      <c r="I400" s="20">
        <v>47386</v>
      </c>
    </row>
    <row r="401" spans="1:9" ht="10.8" x14ac:dyDescent="0.25">
      <c r="A401" s="45"/>
      <c r="B401" s="45"/>
      <c r="C401" s="45"/>
      <c r="D401" s="45"/>
      <c r="E401" s="45"/>
      <c r="F401" s="45"/>
      <c r="G401" s="15">
        <v>47423</v>
      </c>
      <c r="H401" s="19">
        <v>47420</v>
      </c>
      <c r="I401" s="20">
        <v>47417</v>
      </c>
    </row>
    <row r="402" spans="1:9" ht="10.8" x14ac:dyDescent="0.25">
      <c r="A402" s="45"/>
      <c r="B402" s="45"/>
      <c r="C402" s="45"/>
      <c r="D402" s="45"/>
      <c r="E402" s="45"/>
      <c r="F402" s="45"/>
      <c r="G402" s="15">
        <v>47453</v>
      </c>
      <c r="H402" s="19">
        <v>47450</v>
      </c>
      <c r="I402" s="20">
        <v>47449</v>
      </c>
    </row>
    <row r="403" spans="1:9" ht="10.8" x14ac:dyDescent="0.25">
      <c r="A403" s="45"/>
      <c r="B403" s="45"/>
      <c r="C403" s="45"/>
      <c r="D403" s="45"/>
      <c r="E403" s="45"/>
      <c r="F403" s="45"/>
      <c r="G403" s="15">
        <v>47484</v>
      </c>
      <c r="H403" s="19">
        <v>47479</v>
      </c>
      <c r="I403" s="20">
        <v>47478</v>
      </c>
    </row>
    <row r="404" spans="1:9" ht="10.8" x14ac:dyDescent="0.25">
      <c r="A404" s="45"/>
      <c r="B404" s="45"/>
      <c r="C404" s="45"/>
      <c r="D404" s="45"/>
      <c r="E404" s="45"/>
      <c r="F404" s="45"/>
      <c r="G404" s="15">
        <v>47515</v>
      </c>
      <c r="H404" s="19">
        <v>47512</v>
      </c>
      <c r="I404" s="20">
        <v>47511</v>
      </c>
    </row>
    <row r="405" spans="1:9" ht="10.8" x14ac:dyDescent="0.25">
      <c r="A405" s="45"/>
      <c r="B405" s="45"/>
      <c r="C405" s="45"/>
      <c r="D405" s="45"/>
      <c r="E405" s="45"/>
      <c r="F405" s="45"/>
      <c r="G405" s="15">
        <v>47543</v>
      </c>
      <c r="H405" s="19">
        <v>47540</v>
      </c>
      <c r="I405" s="20">
        <v>47539</v>
      </c>
    </row>
    <row r="406" spans="1:9" ht="10.8" x14ac:dyDescent="0.25">
      <c r="A406" s="45"/>
      <c r="B406" s="45"/>
      <c r="C406" s="45"/>
      <c r="D406" s="45"/>
      <c r="E406" s="45"/>
      <c r="F406" s="45"/>
      <c r="G406" s="15">
        <v>47574</v>
      </c>
      <c r="H406" s="19">
        <v>47569</v>
      </c>
      <c r="I406" s="20">
        <v>47568</v>
      </c>
    </row>
    <row r="407" spans="1:9" ht="10.8" x14ac:dyDescent="0.25">
      <c r="A407" s="45"/>
      <c r="B407" s="45"/>
      <c r="C407" s="45"/>
      <c r="D407" s="45"/>
      <c r="E407" s="45"/>
      <c r="F407" s="45"/>
      <c r="G407" s="15">
        <v>47604</v>
      </c>
      <c r="H407" s="19">
        <v>47599</v>
      </c>
      <c r="I407" s="20">
        <v>47598</v>
      </c>
    </row>
    <row r="408" spans="1:9" ht="10.8" x14ac:dyDescent="0.25">
      <c r="A408" s="45"/>
      <c r="B408" s="45"/>
      <c r="C408" s="45"/>
      <c r="D408" s="45"/>
      <c r="E408" s="45"/>
      <c r="F408" s="45"/>
      <c r="G408" s="15">
        <v>47635</v>
      </c>
      <c r="H408" s="19">
        <v>47632</v>
      </c>
      <c r="I408" s="20">
        <v>47631</v>
      </c>
    </row>
    <row r="409" spans="1:9" ht="10.8" x14ac:dyDescent="0.25">
      <c r="A409" s="45"/>
      <c r="B409" s="45"/>
      <c r="C409" s="45"/>
      <c r="D409" s="45"/>
      <c r="E409" s="45"/>
      <c r="F409" s="45"/>
      <c r="G409" s="15">
        <v>47665</v>
      </c>
      <c r="H409" s="19">
        <v>47660</v>
      </c>
      <c r="I409" s="20">
        <v>47659</v>
      </c>
    </row>
    <row r="410" spans="1:9" ht="10.8" x14ac:dyDescent="0.25">
      <c r="A410" s="45"/>
      <c r="B410" s="45"/>
      <c r="C410" s="45"/>
      <c r="D410" s="45"/>
      <c r="E410" s="45"/>
      <c r="F410" s="45"/>
      <c r="G410" s="15">
        <v>47696</v>
      </c>
      <c r="H410" s="19">
        <v>47693</v>
      </c>
      <c r="I410" s="20">
        <v>47690</v>
      </c>
    </row>
    <row r="411" spans="1:9" ht="10.8" x14ac:dyDescent="0.25">
      <c r="A411" s="45"/>
      <c r="B411" s="45"/>
      <c r="C411" s="45"/>
      <c r="D411" s="45"/>
      <c r="E411" s="45"/>
      <c r="F411" s="45"/>
      <c r="G411" s="15">
        <v>47727</v>
      </c>
      <c r="H411" s="19">
        <v>47723</v>
      </c>
      <c r="I411" s="20">
        <v>47722</v>
      </c>
    </row>
    <row r="412" spans="1:9" ht="10.8" x14ac:dyDescent="0.25">
      <c r="A412" s="45"/>
      <c r="B412" s="45"/>
      <c r="C412" s="45"/>
      <c r="D412" s="45"/>
      <c r="E412" s="45"/>
      <c r="F412" s="45"/>
      <c r="G412" s="15">
        <v>47757</v>
      </c>
      <c r="H412" s="19">
        <v>47752</v>
      </c>
      <c r="I412" s="20">
        <v>47751</v>
      </c>
    </row>
    <row r="413" spans="1:9" ht="10.8" x14ac:dyDescent="0.25">
      <c r="A413" s="45"/>
      <c r="B413" s="45"/>
      <c r="C413" s="45"/>
      <c r="D413" s="45"/>
      <c r="E413" s="45"/>
      <c r="F413" s="45"/>
      <c r="G413" s="15">
        <v>47788</v>
      </c>
      <c r="H413" s="19">
        <v>47785</v>
      </c>
      <c r="I413" s="20">
        <v>47784</v>
      </c>
    </row>
    <row r="414" spans="1:9" ht="11.4" thickBot="1" x14ac:dyDescent="0.3">
      <c r="A414" s="45"/>
      <c r="B414" s="45"/>
      <c r="C414" s="45"/>
      <c r="D414" s="45"/>
      <c r="E414" s="45"/>
      <c r="F414" s="45"/>
      <c r="G414" s="16">
        <v>47818</v>
      </c>
      <c r="H414" s="21">
        <v>47813</v>
      </c>
      <c r="I414" s="22">
        <v>47812</v>
      </c>
    </row>
    <row r="415" spans="1:9" x14ac:dyDescent="0.2">
      <c r="A415" s="46"/>
      <c r="B415" s="46"/>
      <c r="C415" s="46"/>
      <c r="D415" s="46"/>
      <c r="E415" s="46"/>
      <c r="F415" s="46"/>
    </row>
    <row r="416" spans="1:9" x14ac:dyDescent="0.2">
      <c r="A416" s="46"/>
      <c r="B416" s="46"/>
      <c r="C416" s="46"/>
      <c r="D416" s="46"/>
      <c r="E416" s="46"/>
      <c r="F416" s="46"/>
    </row>
    <row r="417" spans="1:6" x14ac:dyDescent="0.2">
      <c r="A417" s="46"/>
      <c r="B417" s="46"/>
      <c r="C417" s="46"/>
      <c r="D417" s="46"/>
      <c r="E417" s="46"/>
      <c r="F417" s="46"/>
    </row>
    <row r="418" spans="1:6" x14ac:dyDescent="0.2">
      <c r="A418" s="46"/>
      <c r="B418" s="46"/>
      <c r="C418" s="46"/>
      <c r="D418" s="46"/>
      <c r="E418" s="46"/>
      <c r="F418" s="46"/>
    </row>
    <row r="419" spans="1:6" x14ac:dyDescent="0.2">
      <c r="A419" s="46"/>
      <c r="B419" s="46"/>
      <c r="C419" s="46"/>
      <c r="D419" s="46"/>
      <c r="E419" s="46"/>
      <c r="F419" s="46"/>
    </row>
    <row r="420" spans="1:6" x14ac:dyDescent="0.2">
      <c r="A420" s="46"/>
      <c r="B420" s="46"/>
      <c r="C420" s="46"/>
      <c r="D420" s="46"/>
      <c r="E420" s="46"/>
      <c r="F420" s="46"/>
    </row>
    <row r="421" spans="1:6" x14ac:dyDescent="0.2">
      <c r="A421" s="46"/>
      <c r="B421" s="46"/>
      <c r="C421" s="46"/>
      <c r="D421" s="46"/>
      <c r="E421" s="46"/>
      <c r="F421" s="46"/>
    </row>
    <row r="422" spans="1:6" x14ac:dyDescent="0.2">
      <c r="A422" s="46"/>
      <c r="B422" s="46"/>
      <c r="C422" s="46"/>
      <c r="D422" s="46"/>
      <c r="E422" s="46"/>
      <c r="F422" s="46"/>
    </row>
    <row r="423" spans="1:6" x14ac:dyDescent="0.2">
      <c r="A423" s="46"/>
      <c r="B423" s="46"/>
      <c r="C423" s="46"/>
      <c r="D423" s="46"/>
      <c r="E423" s="46"/>
      <c r="F423" s="46"/>
    </row>
    <row r="424" spans="1:6" x14ac:dyDescent="0.2">
      <c r="A424" s="46"/>
      <c r="B424" s="46"/>
      <c r="C424" s="46"/>
      <c r="D424" s="46"/>
      <c r="E424" s="46"/>
      <c r="F424" s="46"/>
    </row>
    <row r="425" spans="1:6" x14ac:dyDescent="0.2">
      <c r="A425" s="46"/>
      <c r="B425" s="46"/>
      <c r="C425" s="46"/>
      <c r="D425" s="46"/>
      <c r="E425" s="46"/>
      <c r="F425" s="46"/>
    </row>
    <row r="426" spans="1:6" x14ac:dyDescent="0.2">
      <c r="A426" s="46"/>
      <c r="B426" s="46"/>
      <c r="C426" s="46"/>
      <c r="D426" s="46"/>
      <c r="E426" s="46"/>
      <c r="F426" s="46"/>
    </row>
    <row r="427" spans="1:6" x14ac:dyDescent="0.2">
      <c r="A427" s="46"/>
      <c r="B427" s="46"/>
      <c r="C427" s="46"/>
      <c r="D427" s="46"/>
      <c r="E427" s="46"/>
      <c r="F427" s="46"/>
    </row>
    <row r="428" spans="1:6" x14ac:dyDescent="0.2">
      <c r="A428" s="46"/>
      <c r="B428" s="46"/>
      <c r="C428" s="46"/>
      <c r="D428" s="46"/>
      <c r="E428" s="46"/>
      <c r="F428" s="46"/>
    </row>
    <row r="429" spans="1:6" x14ac:dyDescent="0.2">
      <c r="A429" s="46"/>
      <c r="B429" s="46"/>
      <c r="C429" s="46"/>
      <c r="D429" s="46"/>
      <c r="E429" s="46"/>
      <c r="F429" s="46"/>
    </row>
    <row r="430" spans="1:6" x14ac:dyDescent="0.2">
      <c r="A430" s="46"/>
      <c r="B430" s="46"/>
      <c r="C430" s="46"/>
      <c r="D430" s="46"/>
      <c r="E430" s="46"/>
      <c r="F430" s="46"/>
    </row>
    <row r="431" spans="1:6" x14ac:dyDescent="0.2">
      <c r="A431" s="46"/>
      <c r="B431" s="46"/>
      <c r="C431" s="46"/>
      <c r="D431" s="46"/>
      <c r="E431" s="46"/>
      <c r="F431" s="46"/>
    </row>
    <row r="432" spans="1:6" x14ac:dyDescent="0.2">
      <c r="A432" s="46"/>
      <c r="B432" s="46"/>
      <c r="C432" s="46"/>
      <c r="D432" s="46"/>
      <c r="E432" s="46"/>
      <c r="F432" s="46"/>
    </row>
    <row r="433" spans="1:6" x14ac:dyDescent="0.2">
      <c r="A433" s="46"/>
      <c r="B433" s="46"/>
      <c r="C433" s="46"/>
      <c r="D433" s="46"/>
      <c r="E433" s="46"/>
      <c r="F433" s="46"/>
    </row>
    <row r="434" spans="1:6" x14ac:dyDescent="0.2">
      <c r="A434" s="46"/>
      <c r="B434" s="46"/>
      <c r="C434" s="46"/>
      <c r="D434" s="46"/>
      <c r="E434" s="46"/>
      <c r="F434" s="46"/>
    </row>
    <row r="435" spans="1:6" x14ac:dyDescent="0.2">
      <c r="A435" s="46"/>
      <c r="B435" s="46"/>
      <c r="C435" s="46"/>
      <c r="D435" s="46"/>
      <c r="E435" s="46"/>
      <c r="F435" s="46"/>
    </row>
    <row r="436" spans="1:6" x14ac:dyDescent="0.2">
      <c r="A436" s="46"/>
      <c r="B436" s="46"/>
      <c r="C436" s="46"/>
      <c r="D436" s="46"/>
      <c r="E436" s="46"/>
      <c r="F436" s="46"/>
    </row>
    <row r="437" spans="1:6" x14ac:dyDescent="0.2">
      <c r="A437" s="46"/>
      <c r="B437" s="46"/>
      <c r="C437" s="46"/>
      <c r="D437" s="46"/>
      <c r="E437" s="46"/>
      <c r="F437" s="46"/>
    </row>
    <row r="438" spans="1:6" x14ac:dyDescent="0.2">
      <c r="A438" s="46"/>
      <c r="B438" s="46"/>
      <c r="C438" s="46"/>
      <c r="D438" s="46"/>
      <c r="E438" s="46"/>
      <c r="F438" s="46"/>
    </row>
    <row r="439" spans="1:6" x14ac:dyDescent="0.2">
      <c r="A439" s="46"/>
      <c r="B439" s="46"/>
      <c r="C439" s="46"/>
      <c r="D439" s="46"/>
      <c r="E439" s="46"/>
      <c r="F439" s="46"/>
    </row>
    <row r="440" spans="1:6" x14ac:dyDescent="0.2">
      <c r="A440" s="46"/>
      <c r="B440" s="46"/>
      <c r="C440" s="46"/>
      <c r="D440" s="46"/>
      <c r="E440" s="46"/>
      <c r="F440" s="46"/>
    </row>
    <row r="441" spans="1:6" x14ac:dyDescent="0.2">
      <c r="A441" s="46"/>
      <c r="B441" s="46"/>
      <c r="C441" s="46"/>
      <c r="D441" s="46"/>
      <c r="E441" s="46"/>
      <c r="F441" s="46"/>
    </row>
    <row r="442" spans="1:6" x14ac:dyDescent="0.2">
      <c r="A442" s="46"/>
      <c r="B442" s="46"/>
      <c r="C442" s="46"/>
      <c r="D442" s="46"/>
      <c r="E442" s="46"/>
      <c r="F442" s="46"/>
    </row>
    <row r="443" spans="1:6" x14ac:dyDescent="0.2">
      <c r="A443" s="46"/>
      <c r="B443" s="46"/>
      <c r="C443" s="46"/>
      <c r="D443" s="46"/>
      <c r="E443" s="46"/>
      <c r="F443" s="46"/>
    </row>
    <row r="444" spans="1:6" x14ac:dyDescent="0.2">
      <c r="A444" s="46"/>
      <c r="B444" s="46"/>
      <c r="C444" s="46"/>
      <c r="D444" s="46"/>
      <c r="E444" s="46"/>
      <c r="F444" s="46"/>
    </row>
    <row r="445" spans="1:6" x14ac:dyDescent="0.2">
      <c r="A445" s="46"/>
      <c r="B445" s="46"/>
      <c r="C445" s="46"/>
      <c r="D445" s="46"/>
      <c r="E445" s="46"/>
      <c r="F445" s="46"/>
    </row>
    <row r="446" spans="1:6" x14ac:dyDescent="0.2">
      <c r="A446" s="46"/>
      <c r="B446" s="46"/>
      <c r="C446" s="46"/>
      <c r="D446" s="46"/>
      <c r="E446" s="46"/>
      <c r="F446" s="46"/>
    </row>
    <row r="447" spans="1:6" x14ac:dyDescent="0.2">
      <c r="A447" s="46"/>
      <c r="B447" s="46"/>
      <c r="C447" s="46"/>
      <c r="D447" s="46"/>
      <c r="E447" s="46"/>
      <c r="F447" s="46"/>
    </row>
    <row r="448" spans="1:6" x14ac:dyDescent="0.2">
      <c r="A448" s="46"/>
      <c r="B448" s="46"/>
      <c r="C448" s="46"/>
      <c r="D448" s="46"/>
      <c r="E448" s="46"/>
      <c r="F448" s="46"/>
    </row>
    <row r="449" spans="1:6" x14ac:dyDescent="0.2">
      <c r="A449" s="46"/>
      <c r="B449" s="46"/>
      <c r="C449" s="46"/>
      <c r="D449" s="46"/>
      <c r="E449" s="46"/>
      <c r="F449" s="46"/>
    </row>
    <row r="450" spans="1:6" x14ac:dyDescent="0.2">
      <c r="A450" s="46"/>
      <c r="B450" s="46"/>
      <c r="C450" s="46"/>
      <c r="D450" s="46"/>
      <c r="E450" s="46"/>
      <c r="F450" s="46"/>
    </row>
    <row r="451" spans="1:6" x14ac:dyDescent="0.2">
      <c r="A451" s="46"/>
      <c r="B451" s="46"/>
      <c r="C451" s="46"/>
      <c r="D451" s="46"/>
      <c r="E451" s="46"/>
      <c r="F451" s="46"/>
    </row>
    <row r="452" spans="1:6" x14ac:dyDescent="0.2">
      <c r="A452" s="46"/>
      <c r="B452" s="46"/>
      <c r="C452" s="46"/>
      <c r="D452" s="46"/>
      <c r="E452" s="46"/>
      <c r="F452" s="46"/>
    </row>
    <row r="453" spans="1:6" x14ac:dyDescent="0.2">
      <c r="A453" s="46"/>
      <c r="B453" s="46"/>
      <c r="C453" s="46"/>
      <c r="D453" s="46"/>
      <c r="E453" s="46"/>
      <c r="F453" s="46"/>
    </row>
    <row r="454" spans="1:6" x14ac:dyDescent="0.2">
      <c r="A454" s="46"/>
      <c r="B454" s="46"/>
      <c r="C454" s="46"/>
      <c r="D454" s="46"/>
      <c r="E454" s="46"/>
      <c r="F454" s="46"/>
    </row>
    <row r="455" spans="1:6" x14ac:dyDescent="0.2">
      <c r="A455" s="46"/>
      <c r="B455" s="46"/>
      <c r="C455" s="46"/>
      <c r="D455" s="46"/>
      <c r="E455" s="46"/>
      <c r="F455" s="46"/>
    </row>
    <row r="456" spans="1:6" x14ac:dyDescent="0.2">
      <c r="A456" s="46"/>
      <c r="B456" s="46"/>
      <c r="C456" s="46"/>
      <c r="D456" s="46"/>
      <c r="E456" s="46"/>
      <c r="F456" s="46"/>
    </row>
    <row r="457" spans="1:6" x14ac:dyDescent="0.2">
      <c r="A457" s="46"/>
      <c r="B457" s="46"/>
      <c r="C457" s="46"/>
      <c r="D457" s="46"/>
      <c r="E457" s="46"/>
      <c r="F457" s="46"/>
    </row>
    <row r="458" spans="1:6" x14ac:dyDescent="0.2">
      <c r="A458" s="46"/>
      <c r="B458" s="46"/>
      <c r="C458" s="46"/>
      <c r="D458" s="46"/>
      <c r="E458" s="46"/>
      <c r="F458" s="46"/>
    </row>
    <row r="459" spans="1:6" x14ac:dyDescent="0.2">
      <c r="A459" s="46"/>
      <c r="B459" s="46"/>
      <c r="C459" s="46"/>
      <c r="D459" s="46"/>
      <c r="E459" s="46"/>
      <c r="F459" s="46"/>
    </row>
    <row r="460" spans="1:6" x14ac:dyDescent="0.2">
      <c r="A460" s="46"/>
      <c r="B460" s="46"/>
      <c r="C460" s="46"/>
      <c r="D460" s="46"/>
      <c r="E460" s="46"/>
      <c r="F460" s="46"/>
    </row>
    <row r="461" spans="1:6" x14ac:dyDescent="0.2">
      <c r="A461" s="46"/>
      <c r="B461" s="46"/>
      <c r="C461" s="46"/>
      <c r="D461" s="46"/>
      <c r="E461" s="46"/>
      <c r="F461" s="46"/>
    </row>
    <row r="462" spans="1:6" x14ac:dyDescent="0.2">
      <c r="A462" s="46"/>
      <c r="B462" s="46"/>
      <c r="C462" s="46"/>
      <c r="D462" s="46"/>
      <c r="E462" s="46"/>
      <c r="F462" s="46"/>
    </row>
    <row r="463" spans="1:6" x14ac:dyDescent="0.2">
      <c r="A463" s="46"/>
      <c r="B463" s="46"/>
      <c r="C463" s="46"/>
      <c r="D463" s="46"/>
      <c r="E463" s="46"/>
      <c r="F463" s="46"/>
    </row>
    <row r="464" spans="1:6" x14ac:dyDescent="0.2">
      <c r="A464" s="46"/>
      <c r="B464" s="46"/>
      <c r="C464" s="46"/>
      <c r="D464" s="46"/>
      <c r="E464" s="46"/>
      <c r="F464" s="46"/>
    </row>
    <row r="465" spans="1:6" x14ac:dyDescent="0.2">
      <c r="A465" s="46"/>
      <c r="B465" s="46"/>
      <c r="C465" s="46"/>
      <c r="D465" s="46"/>
      <c r="E465" s="46"/>
      <c r="F465" s="46"/>
    </row>
    <row r="466" spans="1:6" x14ac:dyDescent="0.2">
      <c r="A466" s="46"/>
      <c r="B466" s="46"/>
      <c r="C466" s="46"/>
      <c r="D466" s="46"/>
      <c r="E466" s="46"/>
      <c r="F466" s="46"/>
    </row>
    <row r="467" spans="1:6" x14ac:dyDescent="0.2">
      <c r="A467" s="46"/>
      <c r="B467" s="46"/>
      <c r="C467" s="46"/>
      <c r="D467" s="46"/>
      <c r="E467" s="46"/>
      <c r="F467" s="46"/>
    </row>
    <row r="468" spans="1:6" x14ac:dyDescent="0.2">
      <c r="A468" s="46"/>
      <c r="B468" s="46"/>
      <c r="C468" s="46"/>
      <c r="D468" s="46"/>
      <c r="E468" s="46"/>
      <c r="F468" s="46"/>
    </row>
    <row r="469" spans="1:6" x14ac:dyDescent="0.2">
      <c r="A469" s="46"/>
      <c r="B469" s="46"/>
      <c r="C469" s="46"/>
      <c r="D469" s="46"/>
      <c r="E469" s="46"/>
      <c r="F469" s="46"/>
    </row>
    <row r="470" spans="1:6" x14ac:dyDescent="0.2">
      <c r="A470" s="46"/>
      <c r="B470" s="46"/>
      <c r="C470" s="46"/>
      <c r="D470" s="46"/>
      <c r="E470" s="46"/>
      <c r="F470" s="46"/>
    </row>
    <row r="471" spans="1:6" x14ac:dyDescent="0.2">
      <c r="A471" s="46"/>
      <c r="B471" s="46"/>
      <c r="C471" s="46"/>
      <c r="D471" s="46"/>
      <c r="E471" s="46"/>
      <c r="F471" s="46"/>
    </row>
    <row r="472" spans="1:6" x14ac:dyDescent="0.2">
      <c r="A472" s="46"/>
      <c r="B472" s="46"/>
      <c r="C472" s="46"/>
      <c r="D472" s="46"/>
      <c r="E472" s="46"/>
      <c r="F472" s="46"/>
    </row>
    <row r="473" spans="1:6" x14ac:dyDescent="0.2">
      <c r="A473" s="46"/>
      <c r="B473" s="46"/>
      <c r="C473" s="46"/>
      <c r="D473" s="46"/>
      <c r="E473" s="46"/>
      <c r="F473" s="46"/>
    </row>
    <row r="474" spans="1:6" x14ac:dyDescent="0.2">
      <c r="A474" s="46"/>
      <c r="B474" s="46"/>
      <c r="C474" s="46"/>
      <c r="D474" s="46"/>
      <c r="E474" s="46"/>
      <c r="F474" s="46"/>
    </row>
    <row r="475" spans="1:6" x14ac:dyDescent="0.2">
      <c r="A475" s="46"/>
      <c r="B475" s="46"/>
      <c r="C475" s="46"/>
      <c r="D475" s="46"/>
      <c r="E475" s="46"/>
      <c r="F475" s="46"/>
    </row>
    <row r="476" spans="1:6" x14ac:dyDescent="0.2">
      <c r="A476" s="46"/>
      <c r="B476" s="46"/>
      <c r="C476" s="46"/>
      <c r="D476" s="46"/>
      <c r="E476" s="46"/>
      <c r="F476" s="46"/>
    </row>
    <row r="477" spans="1:6" x14ac:dyDescent="0.2">
      <c r="A477" s="46"/>
      <c r="B477" s="46"/>
      <c r="C477" s="46"/>
      <c r="D477" s="46"/>
      <c r="E477" s="46"/>
      <c r="F477" s="46"/>
    </row>
    <row r="478" spans="1:6" x14ac:dyDescent="0.2">
      <c r="A478" s="46"/>
      <c r="B478" s="46"/>
      <c r="C478" s="46"/>
      <c r="D478" s="46"/>
      <c r="E478" s="46"/>
      <c r="F478" s="46"/>
    </row>
    <row r="479" spans="1:6" x14ac:dyDescent="0.2">
      <c r="A479" s="46"/>
      <c r="B479" s="46"/>
      <c r="C479" s="46"/>
      <c r="D479" s="46"/>
      <c r="E479" s="46"/>
      <c r="F479" s="46"/>
    </row>
    <row r="480" spans="1:6" x14ac:dyDescent="0.2">
      <c r="A480" s="46"/>
      <c r="B480" s="46"/>
      <c r="C480" s="46"/>
      <c r="D480" s="46"/>
      <c r="E480" s="46"/>
      <c r="F480" s="46"/>
    </row>
    <row r="481" spans="1:6" x14ac:dyDescent="0.2">
      <c r="A481" s="46"/>
      <c r="B481" s="46"/>
      <c r="C481" s="46"/>
      <c r="D481" s="46"/>
      <c r="E481" s="46"/>
      <c r="F481" s="46"/>
    </row>
    <row r="482" spans="1:6" x14ac:dyDescent="0.2">
      <c r="A482" s="46"/>
      <c r="B482" s="46"/>
      <c r="C482" s="46"/>
      <c r="D482" s="46"/>
      <c r="E482" s="46"/>
      <c r="F482" s="46"/>
    </row>
    <row r="483" spans="1:6" x14ac:dyDescent="0.2">
      <c r="A483" s="46"/>
      <c r="B483" s="46"/>
      <c r="C483" s="46"/>
      <c r="D483" s="46"/>
      <c r="E483" s="46"/>
      <c r="F483" s="46"/>
    </row>
    <row r="484" spans="1:6" x14ac:dyDescent="0.2">
      <c r="A484" s="46"/>
      <c r="B484" s="46"/>
      <c r="C484" s="46"/>
      <c r="D484" s="46"/>
      <c r="E484" s="46"/>
      <c r="F484" s="46"/>
    </row>
    <row r="485" spans="1:6" x14ac:dyDescent="0.2">
      <c r="A485" s="46"/>
      <c r="B485" s="46"/>
      <c r="C485" s="46"/>
      <c r="D485" s="46"/>
      <c r="E485" s="46"/>
      <c r="F485" s="46"/>
    </row>
    <row r="486" spans="1:6" x14ac:dyDescent="0.2">
      <c r="A486" s="46"/>
      <c r="B486" s="46"/>
      <c r="C486" s="46"/>
      <c r="D486" s="46"/>
      <c r="E486" s="46"/>
      <c r="F486" s="46"/>
    </row>
    <row r="487" spans="1:6" x14ac:dyDescent="0.2">
      <c r="A487" s="46"/>
      <c r="B487" s="46"/>
      <c r="C487" s="46"/>
      <c r="D487" s="46"/>
      <c r="E487" s="46"/>
      <c r="F487" s="46"/>
    </row>
    <row r="488" spans="1:6" x14ac:dyDescent="0.2">
      <c r="A488" s="46"/>
      <c r="B488" s="46"/>
      <c r="C488" s="46"/>
      <c r="D488" s="46"/>
      <c r="E488" s="46"/>
      <c r="F488" s="46"/>
    </row>
    <row r="489" spans="1:6" x14ac:dyDescent="0.2">
      <c r="A489" s="46"/>
      <c r="B489" s="46"/>
      <c r="C489" s="46"/>
      <c r="D489" s="46"/>
      <c r="E489" s="46"/>
      <c r="F489" s="46"/>
    </row>
    <row r="490" spans="1:6" x14ac:dyDescent="0.2">
      <c r="A490" s="46"/>
      <c r="B490" s="46"/>
      <c r="C490" s="46"/>
      <c r="D490" s="46"/>
      <c r="E490" s="46"/>
      <c r="F490" s="46"/>
    </row>
    <row r="491" spans="1:6" x14ac:dyDescent="0.2">
      <c r="A491" s="46"/>
      <c r="B491" s="46"/>
      <c r="C491" s="46"/>
      <c r="D491" s="46"/>
      <c r="E491" s="46"/>
      <c r="F491" s="46"/>
    </row>
    <row r="492" spans="1:6" x14ac:dyDescent="0.2">
      <c r="A492" s="46"/>
      <c r="B492" s="46"/>
      <c r="C492" s="46"/>
      <c r="D492" s="46"/>
      <c r="E492" s="46"/>
      <c r="F492" s="46"/>
    </row>
    <row r="493" spans="1:6" x14ac:dyDescent="0.2">
      <c r="A493" s="46"/>
      <c r="B493" s="46"/>
      <c r="C493" s="46"/>
      <c r="D493" s="46"/>
      <c r="E493" s="46"/>
      <c r="F493" s="46"/>
    </row>
    <row r="494" spans="1:6" x14ac:dyDescent="0.2">
      <c r="A494" s="46"/>
      <c r="B494" s="46"/>
      <c r="C494" s="46"/>
      <c r="D494" s="46"/>
      <c r="E494" s="46"/>
      <c r="F494" s="46"/>
    </row>
    <row r="495" spans="1:6" x14ac:dyDescent="0.2">
      <c r="A495" s="46"/>
      <c r="B495" s="46"/>
      <c r="C495" s="46"/>
      <c r="D495" s="46"/>
      <c r="E495" s="46"/>
      <c r="F495" s="46"/>
    </row>
    <row r="496" spans="1:6" x14ac:dyDescent="0.2">
      <c r="A496" s="46"/>
      <c r="B496" s="46"/>
      <c r="C496" s="46"/>
      <c r="D496" s="46"/>
      <c r="E496" s="46"/>
      <c r="F496" s="46"/>
    </row>
    <row r="497" spans="1:6" x14ac:dyDescent="0.2">
      <c r="A497" s="46"/>
      <c r="B497" s="46"/>
      <c r="C497" s="46"/>
      <c r="D497" s="46"/>
      <c r="E497" s="46"/>
      <c r="F497" s="46"/>
    </row>
    <row r="498" spans="1:6" x14ac:dyDescent="0.2">
      <c r="A498" s="46"/>
      <c r="B498" s="46"/>
      <c r="C498" s="46"/>
      <c r="D498" s="46"/>
      <c r="E498" s="46"/>
      <c r="F498" s="46"/>
    </row>
    <row r="499" spans="1:6" x14ac:dyDescent="0.2">
      <c r="A499" s="46"/>
      <c r="B499" s="46"/>
      <c r="C499" s="46"/>
      <c r="D499" s="46"/>
      <c r="E499" s="46"/>
      <c r="F499" s="46"/>
    </row>
    <row r="500" spans="1:6" x14ac:dyDescent="0.2">
      <c r="A500" s="46"/>
      <c r="B500" s="46"/>
      <c r="C500" s="46"/>
      <c r="D500" s="46"/>
      <c r="E500" s="46"/>
      <c r="F500" s="46"/>
    </row>
    <row r="501" spans="1:6" x14ac:dyDescent="0.2">
      <c r="A501" s="46"/>
      <c r="B501" s="46"/>
      <c r="C501" s="46"/>
      <c r="D501" s="46"/>
      <c r="E501" s="46"/>
      <c r="F501" s="46"/>
    </row>
    <row r="502" spans="1:6" x14ac:dyDescent="0.2">
      <c r="A502" s="46"/>
      <c r="B502" s="46"/>
      <c r="C502" s="46"/>
      <c r="D502" s="46"/>
      <c r="E502" s="46"/>
      <c r="F502" s="46"/>
    </row>
    <row r="503" spans="1:6" x14ac:dyDescent="0.2">
      <c r="A503" s="46"/>
      <c r="B503" s="46"/>
      <c r="C503" s="46"/>
      <c r="D503" s="46"/>
      <c r="E503" s="46"/>
      <c r="F503" s="46"/>
    </row>
    <row r="504" spans="1:6" x14ac:dyDescent="0.2">
      <c r="A504" s="46"/>
      <c r="B504" s="46"/>
      <c r="C504" s="46"/>
      <c r="D504" s="46"/>
      <c r="E504" s="46"/>
      <c r="F504" s="46"/>
    </row>
    <row r="505" spans="1:6" x14ac:dyDescent="0.2">
      <c r="A505" s="46"/>
      <c r="B505" s="46"/>
      <c r="C505" s="46"/>
      <c r="D505" s="46"/>
      <c r="E505" s="46"/>
      <c r="F505" s="46"/>
    </row>
    <row r="506" spans="1:6" x14ac:dyDescent="0.2">
      <c r="A506" s="46"/>
      <c r="B506" s="46"/>
      <c r="C506" s="46"/>
      <c r="D506" s="46"/>
      <c r="E506" s="46"/>
      <c r="F506" s="46"/>
    </row>
    <row r="507" spans="1:6" x14ac:dyDescent="0.2">
      <c r="A507" s="46"/>
      <c r="B507" s="46"/>
      <c r="C507" s="46"/>
      <c r="D507" s="46"/>
      <c r="E507" s="46"/>
      <c r="F507" s="46"/>
    </row>
    <row r="508" spans="1:6" x14ac:dyDescent="0.2">
      <c r="A508" s="46"/>
      <c r="B508" s="46"/>
      <c r="C508" s="46"/>
      <c r="D508" s="46"/>
      <c r="E508" s="46"/>
      <c r="F508" s="46"/>
    </row>
    <row r="509" spans="1:6" x14ac:dyDescent="0.2">
      <c r="A509" s="46"/>
      <c r="B509" s="46"/>
      <c r="C509" s="46"/>
      <c r="D509" s="46"/>
      <c r="E509" s="46"/>
      <c r="F509" s="46"/>
    </row>
    <row r="510" spans="1:6" x14ac:dyDescent="0.2">
      <c r="A510" s="46"/>
      <c r="B510" s="46"/>
      <c r="C510" s="46"/>
      <c r="D510" s="46"/>
      <c r="E510" s="46"/>
      <c r="F510" s="46"/>
    </row>
    <row r="511" spans="1:6" x14ac:dyDescent="0.2">
      <c r="A511" s="46"/>
      <c r="B511" s="46"/>
      <c r="C511" s="46"/>
      <c r="D511" s="46"/>
      <c r="E511" s="46"/>
      <c r="F511" s="46"/>
    </row>
    <row r="512" spans="1:6" x14ac:dyDescent="0.2">
      <c r="A512" s="46"/>
      <c r="B512" s="46"/>
      <c r="C512" s="46"/>
      <c r="D512" s="46"/>
      <c r="E512" s="46"/>
      <c r="F512" s="46"/>
    </row>
    <row r="513" spans="1:6" x14ac:dyDescent="0.2">
      <c r="A513" s="46"/>
      <c r="B513" s="46"/>
      <c r="C513" s="46"/>
      <c r="D513" s="46"/>
      <c r="E513" s="46"/>
      <c r="F513" s="46"/>
    </row>
    <row r="514" spans="1:6" x14ac:dyDescent="0.2">
      <c r="A514" s="46"/>
      <c r="B514" s="46"/>
      <c r="C514" s="46"/>
      <c r="D514" s="46"/>
      <c r="E514" s="46"/>
      <c r="F514" s="46"/>
    </row>
    <row r="515" spans="1:6" x14ac:dyDescent="0.2">
      <c r="A515" s="46"/>
      <c r="B515" s="46"/>
      <c r="C515" s="46"/>
      <c r="D515" s="46"/>
      <c r="E515" s="46"/>
      <c r="F515" s="46"/>
    </row>
    <row r="516" spans="1:6" x14ac:dyDescent="0.2">
      <c r="A516" s="46"/>
      <c r="B516" s="46"/>
      <c r="C516" s="46"/>
      <c r="D516" s="46"/>
      <c r="E516" s="46"/>
      <c r="F516" s="46"/>
    </row>
    <row r="517" spans="1:6" x14ac:dyDescent="0.2">
      <c r="A517" s="46"/>
      <c r="B517" s="46"/>
      <c r="C517" s="46"/>
      <c r="D517" s="46"/>
      <c r="E517" s="46"/>
      <c r="F517" s="46"/>
    </row>
    <row r="518" spans="1:6" x14ac:dyDescent="0.2">
      <c r="A518" s="46"/>
      <c r="B518" s="46"/>
      <c r="C518" s="46"/>
      <c r="D518" s="46"/>
      <c r="E518" s="46"/>
      <c r="F518" s="46"/>
    </row>
    <row r="519" spans="1:6" x14ac:dyDescent="0.2">
      <c r="A519" s="46"/>
      <c r="B519" s="46"/>
      <c r="C519" s="46"/>
      <c r="D519" s="46"/>
      <c r="E519" s="46"/>
      <c r="F519" s="46"/>
    </row>
    <row r="520" spans="1:6" x14ac:dyDescent="0.2">
      <c r="A520" s="46"/>
      <c r="B520" s="46"/>
      <c r="C520" s="46"/>
      <c r="D520" s="46"/>
      <c r="E520" s="46"/>
      <c r="F520" s="46"/>
    </row>
    <row r="521" spans="1:6" x14ac:dyDescent="0.2">
      <c r="A521" s="46"/>
      <c r="B521" s="46"/>
      <c r="C521" s="46"/>
      <c r="D521" s="46"/>
      <c r="E521" s="46"/>
      <c r="F521" s="46"/>
    </row>
    <row r="522" spans="1:6" x14ac:dyDescent="0.2">
      <c r="A522" s="46"/>
      <c r="B522" s="46"/>
      <c r="C522" s="46"/>
      <c r="D522" s="46"/>
      <c r="E522" s="46"/>
      <c r="F522" s="46"/>
    </row>
    <row r="523" spans="1:6" x14ac:dyDescent="0.2">
      <c r="A523" s="46"/>
      <c r="B523" s="46"/>
      <c r="C523" s="46"/>
      <c r="D523" s="46"/>
      <c r="E523" s="46"/>
      <c r="F523" s="46"/>
    </row>
    <row r="524" spans="1:6" x14ac:dyDescent="0.2">
      <c r="A524" s="46"/>
      <c r="B524" s="46"/>
      <c r="C524" s="46"/>
      <c r="D524" s="46"/>
      <c r="E524" s="46"/>
      <c r="F524" s="46"/>
    </row>
    <row r="525" spans="1:6" x14ac:dyDescent="0.2">
      <c r="A525" s="46"/>
      <c r="B525" s="46"/>
      <c r="C525" s="46"/>
      <c r="D525" s="46"/>
      <c r="E525" s="46"/>
      <c r="F525" s="46"/>
    </row>
    <row r="526" spans="1:6" x14ac:dyDescent="0.2">
      <c r="A526" s="46"/>
      <c r="B526" s="46"/>
      <c r="C526" s="46"/>
      <c r="D526" s="46"/>
      <c r="E526" s="46"/>
      <c r="F526" s="46"/>
    </row>
    <row r="527" spans="1:6" x14ac:dyDescent="0.2">
      <c r="A527" s="46"/>
      <c r="B527" s="46"/>
      <c r="C527" s="46"/>
      <c r="D527" s="46"/>
      <c r="E527" s="46"/>
      <c r="F527" s="46"/>
    </row>
    <row r="528" spans="1:6" x14ac:dyDescent="0.2">
      <c r="A528" s="46"/>
      <c r="B528" s="46"/>
      <c r="C528" s="46"/>
      <c r="D528" s="46"/>
      <c r="E528" s="46"/>
      <c r="F528" s="46"/>
    </row>
    <row r="529" spans="1:6" x14ac:dyDescent="0.2">
      <c r="A529" s="46"/>
      <c r="B529" s="46"/>
      <c r="C529" s="46"/>
      <c r="D529" s="46"/>
      <c r="E529" s="46"/>
      <c r="F529" s="46"/>
    </row>
    <row r="530" spans="1:6" x14ac:dyDescent="0.2">
      <c r="A530" s="46"/>
      <c r="B530" s="46"/>
      <c r="C530" s="46"/>
      <c r="D530" s="46"/>
      <c r="E530" s="46"/>
      <c r="F530" s="46"/>
    </row>
    <row r="531" spans="1:6" x14ac:dyDescent="0.2">
      <c r="A531" s="46"/>
      <c r="B531" s="46"/>
      <c r="C531" s="46"/>
      <c r="D531" s="46"/>
      <c r="E531" s="46"/>
      <c r="F531" s="46"/>
    </row>
    <row r="532" spans="1:6" x14ac:dyDescent="0.2">
      <c r="A532" s="46"/>
      <c r="B532" s="46"/>
      <c r="C532" s="46"/>
      <c r="D532" s="46"/>
      <c r="E532" s="46"/>
      <c r="F532" s="46"/>
    </row>
    <row r="533" spans="1:6" x14ac:dyDescent="0.2">
      <c r="A533" s="46"/>
      <c r="B533" s="46"/>
      <c r="C533" s="46"/>
      <c r="D533" s="46"/>
      <c r="E533" s="46"/>
      <c r="F533" s="46"/>
    </row>
    <row r="534" spans="1:6" x14ac:dyDescent="0.2">
      <c r="A534" s="46"/>
      <c r="B534" s="46"/>
      <c r="C534" s="46"/>
      <c r="D534" s="46"/>
      <c r="E534" s="46"/>
      <c r="F534" s="46"/>
    </row>
    <row r="535" spans="1:6" x14ac:dyDescent="0.2">
      <c r="A535" s="46"/>
      <c r="B535" s="46"/>
      <c r="C535" s="46"/>
      <c r="D535" s="46"/>
      <c r="E535" s="46"/>
      <c r="F535" s="46"/>
    </row>
    <row r="536" spans="1:6" x14ac:dyDescent="0.2">
      <c r="A536" s="46"/>
      <c r="B536" s="46"/>
      <c r="C536" s="46"/>
      <c r="D536" s="46"/>
      <c r="E536" s="46"/>
      <c r="F536" s="46"/>
    </row>
    <row r="537" spans="1:6" x14ac:dyDescent="0.2">
      <c r="A537" s="46"/>
      <c r="B537" s="46"/>
      <c r="C537" s="46"/>
      <c r="D537" s="46"/>
      <c r="E537" s="46"/>
      <c r="F537" s="46"/>
    </row>
    <row r="538" spans="1:6" x14ac:dyDescent="0.2">
      <c r="A538" s="46"/>
      <c r="B538" s="46"/>
      <c r="C538" s="46"/>
      <c r="D538" s="46"/>
      <c r="E538" s="46"/>
      <c r="F538" s="46"/>
    </row>
    <row r="539" spans="1:6" x14ac:dyDescent="0.2">
      <c r="A539" s="46"/>
      <c r="B539" s="46"/>
      <c r="C539" s="46"/>
      <c r="D539" s="46"/>
      <c r="E539" s="46"/>
      <c r="F539" s="46"/>
    </row>
    <row r="540" spans="1:6" x14ac:dyDescent="0.2">
      <c r="A540" s="46"/>
      <c r="B540" s="46"/>
      <c r="C540" s="46"/>
      <c r="D540" s="46"/>
      <c r="E540" s="46"/>
      <c r="F540" s="46"/>
    </row>
    <row r="541" spans="1:6" x14ac:dyDescent="0.2">
      <c r="A541" s="46"/>
      <c r="B541" s="46"/>
      <c r="C541" s="46"/>
      <c r="D541" s="46"/>
      <c r="E541" s="46"/>
      <c r="F541" s="46"/>
    </row>
    <row r="542" spans="1:6" x14ac:dyDescent="0.2">
      <c r="A542" s="46"/>
      <c r="B542" s="46"/>
      <c r="C542" s="46"/>
      <c r="D542" s="46"/>
      <c r="E542" s="46"/>
      <c r="F542" s="46"/>
    </row>
    <row r="543" spans="1:6" x14ac:dyDescent="0.2">
      <c r="A543" s="46"/>
      <c r="B543" s="46"/>
      <c r="C543" s="46"/>
      <c r="D543" s="46"/>
      <c r="E543" s="46"/>
      <c r="F543" s="46"/>
    </row>
    <row r="544" spans="1:6" x14ac:dyDescent="0.2">
      <c r="A544" s="46"/>
      <c r="B544" s="46"/>
      <c r="C544" s="46"/>
      <c r="D544" s="46"/>
      <c r="E544" s="46"/>
      <c r="F544" s="46"/>
    </row>
    <row r="545" spans="1:6" x14ac:dyDescent="0.2">
      <c r="A545" s="46"/>
      <c r="B545" s="46"/>
      <c r="C545" s="46"/>
      <c r="D545" s="46"/>
      <c r="E545" s="46"/>
      <c r="F545" s="46"/>
    </row>
    <row r="546" spans="1:6" x14ac:dyDescent="0.2">
      <c r="A546" s="46"/>
      <c r="B546" s="46"/>
      <c r="C546" s="46"/>
      <c r="D546" s="46"/>
      <c r="E546" s="46"/>
      <c r="F546" s="46"/>
    </row>
    <row r="547" spans="1:6" x14ac:dyDescent="0.2">
      <c r="A547" s="46"/>
      <c r="B547" s="46"/>
      <c r="C547" s="46"/>
      <c r="D547" s="46"/>
      <c r="E547" s="46"/>
      <c r="F547" s="46"/>
    </row>
    <row r="548" spans="1:6" x14ac:dyDescent="0.2">
      <c r="A548" s="46"/>
      <c r="B548" s="46"/>
      <c r="C548" s="46"/>
      <c r="D548" s="46"/>
      <c r="E548" s="46"/>
      <c r="F548" s="46"/>
    </row>
    <row r="549" spans="1:6" x14ac:dyDescent="0.2">
      <c r="A549" s="46"/>
      <c r="B549" s="46"/>
      <c r="C549" s="46"/>
      <c r="D549" s="46"/>
      <c r="E549" s="46"/>
      <c r="F549" s="46"/>
    </row>
    <row r="550" spans="1:6" x14ac:dyDescent="0.2">
      <c r="A550" s="46"/>
      <c r="B550" s="46"/>
      <c r="C550" s="46"/>
      <c r="D550" s="46"/>
      <c r="E550" s="46"/>
      <c r="F550" s="46"/>
    </row>
    <row r="551" spans="1:6" x14ac:dyDescent="0.2">
      <c r="A551" s="46"/>
      <c r="B551" s="46"/>
      <c r="C551" s="46"/>
      <c r="D551" s="46"/>
      <c r="E551" s="46"/>
      <c r="F551" s="46"/>
    </row>
    <row r="552" spans="1:6" x14ac:dyDescent="0.2">
      <c r="A552" s="46"/>
      <c r="B552" s="46"/>
      <c r="C552" s="46"/>
      <c r="D552" s="46"/>
      <c r="E552" s="46"/>
      <c r="F552" s="46"/>
    </row>
    <row r="553" spans="1:6" x14ac:dyDescent="0.2">
      <c r="A553" s="46"/>
      <c r="B553" s="46"/>
      <c r="C553" s="46"/>
      <c r="D553" s="46"/>
      <c r="E553" s="46"/>
      <c r="F553" s="46"/>
    </row>
    <row r="554" spans="1:6" x14ac:dyDescent="0.2">
      <c r="A554" s="46"/>
      <c r="B554" s="46"/>
      <c r="C554" s="46"/>
      <c r="D554" s="46"/>
      <c r="E554" s="46"/>
      <c r="F554" s="46"/>
    </row>
    <row r="555" spans="1:6" x14ac:dyDescent="0.2">
      <c r="A555" s="46"/>
      <c r="B555" s="46"/>
      <c r="C555" s="46"/>
      <c r="D555" s="46"/>
      <c r="E555" s="46"/>
      <c r="F555" s="46"/>
    </row>
    <row r="556" spans="1:6" x14ac:dyDescent="0.2">
      <c r="A556" s="46"/>
      <c r="B556" s="46"/>
      <c r="C556" s="46"/>
      <c r="D556" s="46"/>
      <c r="E556" s="46"/>
      <c r="F556" s="46"/>
    </row>
    <row r="557" spans="1:6" x14ac:dyDescent="0.2">
      <c r="A557" s="46"/>
      <c r="B557" s="46"/>
      <c r="C557" s="46"/>
      <c r="D557" s="46"/>
      <c r="E557" s="46"/>
      <c r="F557" s="46"/>
    </row>
    <row r="558" spans="1:6" x14ac:dyDescent="0.2">
      <c r="A558" s="46"/>
      <c r="B558" s="46"/>
      <c r="C558" s="46"/>
      <c r="D558" s="46"/>
      <c r="E558" s="46"/>
      <c r="F558" s="46"/>
    </row>
    <row r="559" spans="1:6" x14ac:dyDescent="0.2">
      <c r="A559" s="46"/>
      <c r="B559" s="46"/>
      <c r="C559" s="46"/>
      <c r="D559" s="46"/>
      <c r="E559" s="46"/>
      <c r="F559" s="46"/>
    </row>
    <row r="560" spans="1:6" x14ac:dyDescent="0.2">
      <c r="A560" s="46"/>
      <c r="B560" s="46"/>
      <c r="C560" s="46"/>
      <c r="D560" s="46"/>
      <c r="E560" s="46"/>
      <c r="F560" s="46"/>
    </row>
    <row r="561" spans="1:6" x14ac:dyDescent="0.2">
      <c r="A561" s="46"/>
      <c r="B561" s="46"/>
      <c r="C561" s="46"/>
      <c r="D561" s="46"/>
      <c r="E561" s="46"/>
      <c r="F561" s="46"/>
    </row>
    <row r="562" spans="1:6" x14ac:dyDescent="0.2">
      <c r="A562" s="46"/>
      <c r="B562" s="46"/>
      <c r="C562" s="46"/>
      <c r="D562" s="46"/>
      <c r="E562" s="46"/>
      <c r="F562" s="46"/>
    </row>
    <row r="563" spans="1:6" x14ac:dyDescent="0.2">
      <c r="A563" s="46"/>
      <c r="B563" s="46"/>
      <c r="C563" s="46"/>
      <c r="D563" s="46"/>
      <c r="E563" s="46"/>
      <c r="F563" s="46"/>
    </row>
    <row r="564" spans="1:6" x14ac:dyDescent="0.2">
      <c r="A564" s="46"/>
      <c r="B564" s="46"/>
      <c r="C564" s="46"/>
      <c r="D564" s="46"/>
      <c r="E564" s="46"/>
      <c r="F564" s="46"/>
    </row>
    <row r="565" spans="1:6" x14ac:dyDescent="0.2">
      <c r="A565" s="46"/>
      <c r="B565" s="46"/>
      <c r="C565" s="46"/>
      <c r="D565" s="46"/>
      <c r="E565" s="46"/>
      <c r="F565" s="46"/>
    </row>
    <row r="566" spans="1:6" x14ac:dyDescent="0.2">
      <c r="A566" s="46"/>
      <c r="B566" s="46"/>
      <c r="C566" s="46"/>
      <c r="D566" s="46"/>
      <c r="E566" s="46"/>
      <c r="F566" s="46"/>
    </row>
    <row r="567" spans="1:6" x14ac:dyDescent="0.2">
      <c r="A567" s="46"/>
      <c r="B567" s="46"/>
      <c r="C567" s="46"/>
      <c r="D567" s="46"/>
      <c r="E567" s="46"/>
      <c r="F567" s="46"/>
    </row>
    <row r="568" spans="1:6" x14ac:dyDescent="0.2">
      <c r="A568" s="46"/>
      <c r="B568" s="46"/>
      <c r="C568" s="46"/>
      <c r="D568" s="46"/>
      <c r="E568" s="46"/>
      <c r="F568" s="46"/>
    </row>
    <row r="569" spans="1:6" x14ac:dyDescent="0.2">
      <c r="A569" s="46"/>
      <c r="B569" s="46"/>
      <c r="C569" s="46"/>
      <c r="D569" s="46"/>
      <c r="E569" s="46"/>
      <c r="F569" s="46"/>
    </row>
    <row r="570" spans="1:6" x14ac:dyDescent="0.2">
      <c r="A570" s="46"/>
      <c r="B570" s="46"/>
      <c r="C570" s="46"/>
      <c r="D570" s="46"/>
      <c r="E570" s="46"/>
      <c r="F570" s="46"/>
    </row>
    <row r="571" spans="1:6" x14ac:dyDescent="0.2">
      <c r="A571" s="46"/>
      <c r="B571" s="46"/>
      <c r="C571" s="46"/>
      <c r="D571" s="46"/>
      <c r="E571" s="46"/>
      <c r="F571" s="46"/>
    </row>
    <row r="572" spans="1:6" x14ac:dyDescent="0.2">
      <c r="A572" s="46"/>
      <c r="B572" s="46"/>
      <c r="C572" s="46"/>
      <c r="D572" s="46"/>
      <c r="E572" s="46"/>
      <c r="F572" s="46"/>
    </row>
    <row r="573" spans="1:6" x14ac:dyDescent="0.2">
      <c r="A573" s="46"/>
      <c r="B573" s="46"/>
      <c r="C573" s="46"/>
      <c r="D573" s="46"/>
      <c r="E573" s="46"/>
      <c r="F573" s="46"/>
    </row>
    <row r="574" spans="1:6" x14ac:dyDescent="0.2">
      <c r="A574" s="46"/>
      <c r="B574" s="46"/>
      <c r="C574" s="46"/>
      <c r="D574" s="46"/>
      <c r="E574" s="46"/>
      <c r="F574" s="46"/>
    </row>
    <row r="575" spans="1:6" x14ac:dyDescent="0.2">
      <c r="A575" s="46"/>
      <c r="B575" s="46"/>
      <c r="C575" s="46"/>
      <c r="D575" s="46"/>
      <c r="E575" s="46"/>
      <c r="F575" s="46"/>
    </row>
    <row r="576" spans="1:6" x14ac:dyDescent="0.2">
      <c r="A576" s="46"/>
      <c r="B576" s="46"/>
      <c r="C576" s="46"/>
      <c r="D576" s="46"/>
      <c r="E576" s="46"/>
      <c r="F576" s="46"/>
    </row>
    <row r="577" spans="1:6" x14ac:dyDescent="0.2">
      <c r="A577" s="46"/>
      <c r="B577" s="46"/>
      <c r="C577" s="46"/>
      <c r="D577" s="46"/>
      <c r="E577" s="46"/>
      <c r="F577" s="46"/>
    </row>
    <row r="578" spans="1:6" x14ac:dyDescent="0.2">
      <c r="A578" s="46"/>
      <c r="B578" s="46"/>
      <c r="C578" s="46"/>
      <c r="D578" s="46"/>
      <c r="E578" s="46"/>
      <c r="F578" s="46"/>
    </row>
    <row r="579" spans="1:6" x14ac:dyDescent="0.2">
      <c r="A579" s="46"/>
      <c r="B579" s="46"/>
      <c r="C579" s="46"/>
      <c r="D579" s="46"/>
      <c r="E579" s="46"/>
      <c r="F579" s="46"/>
    </row>
    <row r="580" spans="1:6" x14ac:dyDescent="0.2">
      <c r="A580" s="46"/>
      <c r="B580" s="46"/>
      <c r="C580" s="46"/>
      <c r="D580" s="46"/>
      <c r="E580" s="46"/>
      <c r="F580" s="46"/>
    </row>
    <row r="581" spans="1:6" x14ac:dyDescent="0.2">
      <c r="A581" s="46"/>
      <c r="B581" s="46"/>
      <c r="C581" s="46"/>
      <c r="D581" s="46"/>
      <c r="E581" s="46"/>
      <c r="F581" s="46"/>
    </row>
    <row r="582" spans="1:6" x14ac:dyDescent="0.2">
      <c r="A582" s="46"/>
      <c r="B582" s="46"/>
      <c r="C582" s="46"/>
      <c r="D582" s="46"/>
      <c r="E582" s="46"/>
      <c r="F582" s="46"/>
    </row>
    <row r="583" spans="1:6" x14ac:dyDescent="0.2">
      <c r="A583" s="46"/>
      <c r="B583" s="46"/>
      <c r="C583" s="46"/>
      <c r="D583" s="46"/>
      <c r="E583" s="46"/>
      <c r="F583" s="46"/>
    </row>
    <row r="584" spans="1:6" x14ac:dyDescent="0.2">
      <c r="A584" s="46"/>
      <c r="B584" s="46"/>
      <c r="C584" s="46"/>
      <c r="D584" s="46"/>
      <c r="E584" s="46"/>
      <c r="F584" s="46"/>
    </row>
    <row r="585" spans="1:6" x14ac:dyDescent="0.2">
      <c r="A585" s="46"/>
      <c r="B585" s="46"/>
      <c r="C585" s="46"/>
      <c r="D585" s="46"/>
      <c r="E585" s="46"/>
      <c r="F585" s="46"/>
    </row>
    <row r="586" spans="1:6" x14ac:dyDescent="0.2">
      <c r="A586" s="46"/>
      <c r="B586" s="46"/>
      <c r="C586" s="46"/>
      <c r="D586" s="46"/>
      <c r="E586" s="46"/>
      <c r="F586" s="46"/>
    </row>
    <row r="587" spans="1:6" x14ac:dyDescent="0.2">
      <c r="A587" s="46"/>
      <c r="B587" s="46"/>
      <c r="C587" s="46"/>
      <c r="D587" s="46"/>
      <c r="E587" s="46"/>
      <c r="F587" s="46"/>
    </row>
    <row r="588" spans="1:6" x14ac:dyDescent="0.2">
      <c r="A588" s="46"/>
      <c r="B588" s="46"/>
      <c r="C588" s="46"/>
      <c r="D588" s="46"/>
      <c r="E588" s="46"/>
      <c r="F588" s="46"/>
    </row>
    <row r="589" spans="1:6" x14ac:dyDescent="0.2">
      <c r="A589" s="46"/>
      <c r="B589" s="46"/>
      <c r="C589" s="46"/>
      <c r="D589" s="46"/>
      <c r="E589" s="46"/>
      <c r="F589" s="46"/>
    </row>
    <row r="590" spans="1:6" x14ac:dyDescent="0.2">
      <c r="A590" s="46"/>
      <c r="B590" s="46"/>
      <c r="C590" s="46"/>
      <c r="D590" s="46"/>
      <c r="E590" s="46"/>
      <c r="F590" s="46"/>
    </row>
    <row r="591" spans="1:6" x14ac:dyDescent="0.2">
      <c r="A591" s="46"/>
      <c r="B591" s="46"/>
      <c r="C591" s="46"/>
      <c r="D591" s="46"/>
      <c r="E591" s="46"/>
      <c r="F591" s="46"/>
    </row>
    <row r="592" spans="1:6" x14ac:dyDescent="0.2">
      <c r="A592" s="46"/>
      <c r="B592" s="46"/>
      <c r="C592" s="46"/>
      <c r="D592" s="46"/>
      <c r="E592" s="46"/>
      <c r="F592" s="46"/>
    </row>
    <row r="593" spans="1:6" x14ac:dyDescent="0.2">
      <c r="A593" s="46"/>
      <c r="B593" s="46"/>
      <c r="C593" s="46"/>
      <c r="D593" s="46"/>
      <c r="E593" s="46"/>
      <c r="F593" s="46"/>
    </row>
    <row r="594" spans="1:6" x14ac:dyDescent="0.2">
      <c r="A594" s="46"/>
      <c r="B594" s="46"/>
      <c r="C594" s="46"/>
      <c r="D594" s="46"/>
      <c r="E594" s="46"/>
      <c r="F594" s="46"/>
    </row>
    <row r="595" spans="1:6" x14ac:dyDescent="0.2">
      <c r="A595" s="46"/>
      <c r="B595" s="46"/>
      <c r="C595" s="46"/>
      <c r="D595" s="46"/>
      <c r="E595" s="46"/>
      <c r="F595" s="46"/>
    </row>
    <row r="596" spans="1:6" x14ac:dyDescent="0.2">
      <c r="A596" s="46"/>
      <c r="B596" s="46"/>
      <c r="C596" s="46"/>
      <c r="D596" s="46"/>
      <c r="E596" s="46"/>
      <c r="F596" s="46"/>
    </row>
    <row r="597" spans="1:6" x14ac:dyDescent="0.2">
      <c r="A597" s="46"/>
      <c r="B597" s="46"/>
      <c r="C597" s="46"/>
      <c r="D597" s="46"/>
      <c r="E597" s="46"/>
      <c r="F597" s="46"/>
    </row>
    <row r="598" spans="1:6" x14ac:dyDescent="0.2">
      <c r="A598" s="46"/>
      <c r="B598" s="46"/>
      <c r="C598" s="46"/>
      <c r="D598" s="46"/>
      <c r="E598" s="46"/>
      <c r="F598" s="46"/>
    </row>
    <row r="599" spans="1:6" x14ac:dyDescent="0.2">
      <c r="A599" s="46"/>
      <c r="B599" s="46"/>
      <c r="C599" s="46"/>
      <c r="D599" s="46"/>
      <c r="E599" s="46"/>
      <c r="F599" s="46"/>
    </row>
    <row r="600" spans="1:6" x14ac:dyDescent="0.2">
      <c r="A600" s="46"/>
      <c r="B600" s="46"/>
      <c r="C600" s="46"/>
      <c r="D600" s="46"/>
      <c r="E600" s="46"/>
      <c r="F600" s="46"/>
    </row>
    <row r="601" spans="1:6" x14ac:dyDescent="0.2">
      <c r="A601" s="46"/>
      <c r="B601" s="46"/>
      <c r="C601" s="46"/>
      <c r="D601" s="46"/>
      <c r="E601" s="46"/>
      <c r="F601" s="46"/>
    </row>
    <row r="602" spans="1:6" x14ac:dyDescent="0.2">
      <c r="A602" s="46"/>
      <c r="B602" s="46"/>
      <c r="C602" s="46"/>
      <c r="D602" s="46"/>
      <c r="E602" s="46"/>
      <c r="F602" s="46"/>
    </row>
    <row r="603" spans="1:6" x14ac:dyDescent="0.2">
      <c r="A603" s="46"/>
      <c r="B603" s="46"/>
      <c r="C603" s="46"/>
      <c r="D603" s="46"/>
      <c r="E603" s="46"/>
      <c r="F603" s="46"/>
    </row>
    <row r="604" spans="1:6" x14ac:dyDescent="0.2">
      <c r="A604" s="46"/>
      <c r="B604" s="46"/>
      <c r="C604" s="46"/>
      <c r="D604" s="46"/>
      <c r="E604" s="46"/>
      <c r="F604" s="46"/>
    </row>
    <row r="605" spans="1:6" x14ac:dyDescent="0.2">
      <c r="A605" s="46"/>
      <c r="B605" s="46"/>
      <c r="C605" s="46"/>
      <c r="D605" s="46"/>
      <c r="E605" s="46"/>
      <c r="F605" s="46"/>
    </row>
    <row r="606" spans="1:6" x14ac:dyDescent="0.2">
      <c r="A606" s="46"/>
      <c r="B606" s="46"/>
      <c r="C606" s="46"/>
      <c r="D606" s="46"/>
      <c r="E606" s="46"/>
      <c r="F606" s="46"/>
    </row>
    <row r="607" spans="1:6" x14ac:dyDescent="0.2">
      <c r="A607" s="46"/>
      <c r="B607" s="46"/>
      <c r="C607" s="46"/>
      <c r="D607" s="46"/>
      <c r="E607" s="46"/>
      <c r="F607" s="46"/>
    </row>
    <row r="608" spans="1:6" x14ac:dyDescent="0.2">
      <c r="A608" s="46"/>
      <c r="B608" s="46"/>
      <c r="C608" s="46"/>
      <c r="D608" s="46"/>
      <c r="E608" s="46"/>
      <c r="F608" s="46"/>
    </row>
    <row r="609" spans="1:6" x14ac:dyDescent="0.2">
      <c r="A609" s="46"/>
      <c r="B609" s="46"/>
      <c r="C609" s="46"/>
      <c r="D609" s="46"/>
      <c r="E609" s="46"/>
      <c r="F609" s="46"/>
    </row>
    <row r="610" spans="1:6" x14ac:dyDescent="0.2">
      <c r="A610" s="46"/>
      <c r="B610" s="46"/>
      <c r="C610" s="46"/>
      <c r="D610" s="46"/>
      <c r="E610" s="46"/>
      <c r="F610" s="46"/>
    </row>
    <row r="611" spans="1:6" x14ac:dyDescent="0.2">
      <c r="A611" s="46"/>
      <c r="B611" s="46"/>
      <c r="C611" s="46"/>
      <c r="D611" s="46"/>
      <c r="E611" s="46"/>
      <c r="F611" s="46"/>
    </row>
    <row r="612" spans="1:6" x14ac:dyDescent="0.2">
      <c r="A612" s="46"/>
      <c r="B612" s="46"/>
      <c r="C612" s="46"/>
      <c r="D612" s="46"/>
      <c r="E612" s="46"/>
      <c r="F612" s="46"/>
    </row>
    <row r="613" spans="1:6" x14ac:dyDescent="0.2">
      <c r="A613" s="46"/>
      <c r="B613" s="46"/>
      <c r="C613" s="46"/>
      <c r="D613" s="46"/>
      <c r="E613" s="46"/>
      <c r="F613" s="46"/>
    </row>
    <row r="614" spans="1:6" x14ac:dyDescent="0.2">
      <c r="A614" s="46"/>
      <c r="B614" s="46"/>
      <c r="C614" s="46"/>
      <c r="D614" s="46"/>
      <c r="E614" s="46"/>
      <c r="F614" s="46"/>
    </row>
    <row r="615" spans="1:6" x14ac:dyDescent="0.2">
      <c r="A615" s="46"/>
      <c r="B615" s="46"/>
      <c r="C615" s="46"/>
      <c r="D615" s="46"/>
      <c r="E615" s="46"/>
      <c r="F615" s="46"/>
    </row>
    <row r="616" spans="1:6" x14ac:dyDescent="0.2">
      <c r="A616" s="46"/>
      <c r="B616" s="46"/>
      <c r="C616" s="46"/>
      <c r="D616" s="46"/>
      <c r="E616" s="46"/>
      <c r="F616" s="46"/>
    </row>
    <row r="617" spans="1:6" x14ac:dyDescent="0.2">
      <c r="A617" s="46"/>
      <c r="B617" s="46"/>
      <c r="C617" s="46"/>
      <c r="D617" s="46"/>
      <c r="E617" s="46"/>
      <c r="F617" s="46"/>
    </row>
    <row r="618" spans="1:6" x14ac:dyDescent="0.2">
      <c r="A618" s="46"/>
      <c r="B618" s="46"/>
      <c r="C618" s="46"/>
      <c r="D618" s="46"/>
      <c r="E618" s="46"/>
      <c r="F618" s="46"/>
    </row>
    <row r="619" spans="1:6" x14ac:dyDescent="0.2">
      <c r="A619" s="46"/>
      <c r="B619" s="46"/>
      <c r="C619" s="46"/>
      <c r="D619" s="46"/>
      <c r="E619" s="46"/>
      <c r="F619" s="46"/>
    </row>
    <row r="620" spans="1:6" x14ac:dyDescent="0.2">
      <c r="A620" s="46"/>
      <c r="B620" s="46"/>
      <c r="C620" s="46"/>
      <c r="D620" s="46"/>
      <c r="E620" s="46"/>
      <c r="F620" s="46"/>
    </row>
    <row r="621" spans="1:6" x14ac:dyDescent="0.2">
      <c r="A621" s="46"/>
      <c r="B621" s="46"/>
      <c r="C621" s="46"/>
      <c r="D621" s="46"/>
      <c r="E621" s="46"/>
      <c r="F621" s="46"/>
    </row>
    <row r="622" spans="1:6" x14ac:dyDescent="0.2">
      <c r="A622" s="46"/>
      <c r="B622" s="46"/>
      <c r="C622" s="46"/>
      <c r="D622" s="46"/>
      <c r="E622" s="46"/>
      <c r="F622" s="46"/>
    </row>
    <row r="623" spans="1:6" x14ac:dyDescent="0.2">
      <c r="A623" s="46"/>
      <c r="B623" s="46"/>
      <c r="C623" s="46"/>
      <c r="D623" s="46"/>
      <c r="E623" s="46"/>
      <c r="F623" s="46"/>
    </row>
    <row r="624" spans="1:6" x14ac:dyDescent="0.2">
      <c r="A624" s="46"/>
      <c r="B624" s="46"/>
      <c r="C624" s="46"/>
      <c r="D624" s="46"/>
      <c r="E624" s="46"/>
      <c r="F624" s="46"/>
    </row>
    <row r="625" spans="1:6" x14ac:dyDescent="0.2">
      <c r="A625" s="46"/>
      <c r="B625" s="46"/>
      <c r="C625" s="46"/>
      <c r="D625" s="46"/>
      <c r="E625" s="46"/>
      <c r="F625" s="46"/>
    </row>
    <row r="626" spans="1:6" x14ac:dyDescent="0.2">
      <c r="A626" s="46"/>
      <c r="B626" s="46"/>
      <c r="C626" s="46"/>
      <c r="D626" s="46"/>
      <c r="E626" s="46"/>
      <c r="F626" s="46"/>
    </row>
    <row r="627" spans="1:6" x14ac:dyDescent="0.2">
      <c r="A627" s="46"/>
      <c r="B627" s="46"/>
      <c r="C627" s="46"/>
      <c r="D627" s="46"/>
      <c r="E627" s="46"/>
      <c r="F627" s="46"/>
    </row>
    <row r="628" spans="1:6" x14ac:dyDescent="0.2">
      <c r="A628" s="46"/>
      <c r="B628" s="46"/>
      <c r="C628" s="46"/>
      <c r="D628" s="46"/>
      <c r="E628" s="46"/>
      <c r="F628" s="46"/>
    </row>
    <row r="629" spans="1:6" x14ac:dyDescent="0.2">
      <c r="A629" s="46"/>
      <c r="B629" s="46"/>
      <c r="C629" s="46"/>
      <c r="D629" s="46"/>
      <c r="E629" s="46"/>
      <c r="F629" s="46"/>
    </row>
    <row r="630" spans="1:6" x14ac:dyDescent="0.2">
      <c r="A630" s="46"/>
      <c r="B630" s="46"/>
      <c r="C630" s="46"/>
      <c r="D630" s="46"/>
      <c r="E630" s="46"/>
      <c r="F630" s="46"/>
    </row>
    <row r="631" spans="1:6" x14ac:dyDescent="0.2">
      <c r="A631" s="46"/>
      <c r="B631" s="46"/>
      <c r="C631" s="46"/>
      <c r="D631" s="46"/>
      <c r="E631" s="46"/>
      <c r="F631" s="46"/>
    </row>
    <row r="632" spans="1:6" x14ac:dyDescent="0.2">
      <c r="A632" s="46"/>
      <c r="B632" s="46"/>
      <c r="C632" s="46"/>
      <c r="D632" s="46"/>
      <c r="E632" s="46"/>
      <c r="F632" s="46"/>
    </row>
    <row r="633" spans="1:6" x14ac:dyDescent="0.2">
      <c r="A633" s="46"/>
      <c r="B633" s="46"/>
      <c r="C633" s="46"/>
      <c r="D633" s="46"/>
      <c r="E633" s="46"/>
      <c r="F633" s="46"/>
    </row>
    <row r="634" spans="1:6" x14ac:dyDescent="0.2">
      <c r="A634" s="46"/>
      <c r="B634" s="46"/>
      <c r="C634" s="46"/>
      <c r="D634" s="46"/>
      <c r="E634" s="46"/>
      <c r="F634" s="46"/>
    </row>
    <row r="635" spans="1:6" x14ac:dyDescent="0.2">
      <c r="A635" s="46"/>
      <c r="B635" s="46"/>
      <c r="C635" s="46"/>
      <c r="D635" s="46"/>
      <c r="E635" s="46"/>
      <c r="F635" s="46"/>
    </row>
    <row r="636" spans="1:6" x14ac:dyDescent="0.2">
      <c r="A636" s="46"/>
      <c r="B636" s="46"/>
      <c r="C636" s="46"/>
      <c r="D636" s="46"/>
      <c r="E636" s="46"/>
      <c r="F636" s="46"/>
    </row>
    <row r="637" spans="1:6" x14ac:dyDescent="0.2">
      <c r="A637" s="46"/>
      <c r="B637" s="46"/>
      <c r="C637" s="46"/>
      <c r="D637" s="46"/>
      <c r="E637" s="46"/>
      <c r="F637" s="46"/>
    </row>
    <row r="638" spans="1:6" x14ac:dyDescent="0.2">
      <c r="A638" s="46"/>
      <c r="B638" s="46"/>
      <c r="C638" s="46"/>
      <c r="D638" s="46"/>
      <c r="E638" s="46"/>
      <c r="F638" s="46"/>
    </row>
    <row r="639" spans="1:6" x14ac:dyDescent="0.2">
      <c r="A639" s="46"/>
      <c r="B639" s="46"/>
      <c r="C639" s="46"/>
      <c r="D639" s="46"/>
      <c r="E639" s="46"/>
      <c r="F639" s="46"/>
    </row>
    <row r="640" spans="1:6" x14ac:dyDescent="0.2">
      <c r="A640" s="46"/>
      <c r="B640" s="46"/>
      <c r="C640" s="46"/>
      <c r="D640" s="46"/>
      <c r="E640" s="46"/>
      <c r="F640" s="46"/>
    </row>
    <row r="641" spans="1:6" x14ac:dyDescent="0.2">
      <c r="A641" s="46"/>
      <c r="B641" s="46"/>
      <c r="C641" s="46"/>
      <c r="D641" s="46"/>
      <c r="E641" s="46"/>
      <c r="F641" s="46"/>
    </row>
    <row r="642" spans="1:6" x14ac:dyDescent="0.2">
      <c r="A642" s="46"/>
      <c r="B642" s="46"/>
      <c r="C642" s="46"/>
      <c r="D642" s="46"/>
      <c r="E642" s="46"/>
      <c r="F642" s="46"/>
    </row>
    <row r="643" spans="1:6" x14ac:dyDescent="0.2">
      <c r="A643" s="46"/>
      <c r="B643" s="46"/>
      <c r="C643" s="46"/>
      <c r="D643" s="46"/>
      <c r="E643" s="46"/>
      <c r="F643" s="46"/>
    </row>
    <row r="644" spans="1:6" x14ac:dyDescent="0.2">
      <c r="A644" s="46"/>
      <c r="B644" s="46"/>
      <c r="C644" s="46"/>
      <c r="D644" s="46"/>
      <c r="E644" s="46"/>
      <c r="F644" s="46"/>
    </row>
    <row r="645" spans="1:6" x14ac:dyDescent="0.2">
      <c r="A645" s="46"/>
      <c r="B645" s="46"/>
      <c r="C645" s="46"/>
      <c r="D645" s="46"/>
      <c r="E645" s="46"/>
      <c r="F645" s="46"/>
    </row>
    <row r="646" spans="1:6" x14ac:dyDescent="0.2">
      <c r="A646" s="46"/>
      <c r="B646" s="46"/>
      <c r="C646" s="46"/>
      <c r="D646" s="46"/>
      <c r="E646" s="46"/>
      <c r="F646" s="46"/>
    </row>
    <row r="647" spans="1:6" x14ac:dyDescent="0.2">
      <c r="A647" s="46"/>
      <c r="B647" s="46"/>
      <c r="C647" s="46"/>
      <c r="D647" s="46"/>
      <c r="E647" s="46"/>
      <c r="F647" s="46"/>
    </row>
    <row r="648" spans="1:6" x14ac:dyDescent="0.2">
      <c r="A648" s="46"/>
      <c r="B648" s="46"/>
      <c r="C648" s="46"/>
      <c r="D648" s="46"/>
      <c r="E648" s="46"/>
      <c r="F648" s="46"/>
    </row>
    <row r="649" spans="1:6" x14ac:dyDescent="0.2">
      <c r="A649" s="46"/>
      <c r="B649" s="46"/>
      <c r="C649" s="46"/>
      <c r="D649" s="46"/>
      <c r="E649" s="46"/>
      <c r="F649" s="46"/>
    </row>
    <row r="650" spans="1:6" x14ac:dyDescent="0.2">
      <c r="A650" s="46"/>
      <c r="B650" s="46"/>
      <c r="C650" s="46"/>
      <c r="D650" s="46"/>
      <c r="E650" s="46"/>
      <c r="F650" s="46"/>
    </row>
    <row r="651" spans="1:6" x14ac:dyDescent="0.2">
      <c r="A651" s="46"/>
      <c r="B651" s="46"/>
      <c r="C651" s="46"/>
      <c r="D651" s="46"/>
      <c r="E651" s="46"/>
      <c r="F651" s="46"/>
    </row>
    <row r="652" spans="1:6" x14ac:dyDescent="0.2">
      <c r="A652" s="46"/>
      <c r="B652" s="46"/>
      <c r="C652" s="46"/>
      <c r="D652" s="46"/>
      <c r="E652" s="46"/>
      <c r="F652" s="46"/>
    </row>
    <row r="653" spans="1:6" x14ac:dyDescent="0.2">
      <c r="A653" s="46"/>
      <c r="B653" s="46"/>
      <c r="C653" s="46"/>
      <c r="D653" s="46"/>
      <c r="E653" s="46"/>
      <c r="F653" s="46"/>
    </row>
    <row r="654" spans="1:6" x14ac:dyDescent="0.2">
      <c r="A654" s="46"/>
      <c r="B654" s="46"/>
      <c r="C654" s="46"/>
      <c r="D654" s="46"/>
      <c r="E654" s="46"/>
      <c r="F654" s="46"/>
    </row>
    <row r="655" spans="1:6" x14ac:dyDescent="0.2">
      <c r="A655" s="46"/>
      <c r="B655" s="46"/>
      <c r="C655" s="46"/>
      <c r="D655" s="46"/>
      <c r="E655" s="46"/>
      <c r="F655" s="46"/>
    </row>
    <row r="656" spans="1:6" x14ac:dyDescent="0.2">
      <c r="A656" s="46"/>
      <c r="B656" s="46"/>
      <c r="C656" s="46"/>
      <c r="D656" s="46"/>
      <c r="E656" s="46"/>
      <c r="F656" s="46"/>
    </row>
    <row r="657" spans="1:6" x14ac:dyDescent="0.2">
      <c r="A657" s="46"/>
      <c r="B657" s="46"/>
      <c r="C657" s="46"/>
      <c r="D657" s="46"/>
      <c r="E657" s="46"/>
      <c r="F657" s="46"/>
    </row>
    <row r="658" spans="1:6" x14ac:dyDescent="0.2">
      <c r="A658" s="46"/>
      <c r="B658" s="46"/>
      <c r="C658" s="46"/>
      <c r="D658" s="46"/>
      <c r="E658" s="46"/>
      <c r="F658" s="46"/>
    </row>
    <row r="659" spans="1:6" x14ac:dyDescent="0.2">
      <c r="A659" s="46"/>
      <c r="B659" s="46"/>
      <c r="C659" s="46"/>
      <c r="D659" s="46"/>
      <c r="E659" s="46"/>
      <c r="F659" s="46"/>
    </row>
    <row r="660" spans="1:6" x14ac:dyDescent="0.2">
      <c r="A660" s="46"/>
      <c r="B660" s="46"/>
      <c r="C660" s="46"/>
      <c r="D660" s="46"/>
      <c r="E660" s="46"/>
      <c r="F660" s="46"/>
    </row>
    <row r="661" spans="1:6" x14ac:dyDescent="0.2">
      <c r="A661" s="46"/>
      <c r="B661" s="46"/>
      <c r="C661" s="46"/>
      <c r="D661" s="46"/>
      <c r="E661" s="46"/>
      <c r="F661" s="46"/>
    </row>
    <row r="662" spans="1:6" x14ac:dyDescent="0.2">
      <c r="A662" s="46"/>
      <c r="B662" s="46"/>
      <c r="C662" s="46"/>
      <c r="D662" s="46"/>
      <c r="E662" s="46"/>
      <c r="F662" s="46"/>
    </row>
    <row r="663" spans="1:6" x14ac:dyDescent="0.2">
      <c r="A663" s="46"/>
      <c r="B663" s="46"/>
      <c r="C663" s="46"/>
      <c r="D663" s="46"/>
      <c r="E663" s="46"/>
      <c r="F663" s="46"/>
    </row>
    <row r="664" spans="1:6" x14ac:dyDescent="0.2">
      <c r="A664" s="46"/>
      <c r="B664" s="46"/>
      <c r="C664" s="46"/>
      <c r="D664" s="46"/>
      <c r="E664" s="46"/>
      <c r="F664" s="46"/>
    </row>
    <row r="665" spans="1:6" x14ac:dyDescent="0.2">
      <c r="A665" s="46"/>
      <c r="B665" s="46"/>
      <c r="C665" s="46"/>
      <c r="D665" s="46"/>
      <c r="E665" s="46"/>
      <c r="F665" s="46"/>
    </row>
    <row r="666" spans="1:6" x14ac:dyDescent="0.2">
      <c r="A666" s="46"/>
      <c r="B666" s="46"/>
      <c r="C666" s="46"/>
      <c r="D666" s="46"/>
      <c r="E666" s="46"/>
      <c r="F666" s="46"/>
    </row>
    <row r="667" spans="1:6" x14ac:dyDescent="0.2">
      <c r="A667" s="46"/>
      <c r="B667" s="46"/>
      <c r="C667" s="46"/>
      <c r="D667" s="46"/>
      <c r="E667" s="46"/>
      <c r="F667" s="46"/>
    </row>
    <row r="668" spans="1:6" x14ac:dyDescent="0.2">
      <c r="A668" s="46"/>
      <c r="B668" s="46"/>
      <c r="C668" s="46"/>
      <c r="D668" s="46"/>
      <c r="E668" s="46"/>
      <c r="F668" s="46"/>
    </row>
    <row r="669" spans="1:6" x14ac:dyDescent="0.2">
      <c r="A669" s="46"/>
      <c r="B669" s="46"/>
      <c r="C669" s="46"/>
      <c r="D669" s="46"/>
      <c r="E669" s="46"/>
      <c r="F669" s="46"/>
    </row>
    <row r="670" spans="1:6" x14ac:dyDescent="0.2">
      <c r="A670" s="46"/>
      <c r="B670" s="46"/>
      <c r="C670" s="46"/>
      <c r="D670" s="46"/>
      <c r="E670" s="46"/>
      <c r="F670" s="46"/>
    </row>
    <row r="671" spans="1:6" x14ac:dyDescent="0.2">
      <c r="A671" s="46"/>
      <c r="B671" s="46"/>
      <c r="C671" s="46"/>
      <c r="D671" s="46"/>
      <c r="E671" s="46"/>
      <c r="F671" s="46"/>
    </row>
    <row r="672" spans="1:6" x14ac:dyDescent="0.2">
      <c r="A672" s="46"/>
      <c r="B672" s="46"/>
      <c r="C672" s="46"/>
      <c r="D672" s="46"/>
      <c r="E672" s="46"/>
      <c r="F672" s="46"/>
    </row>
    <row r="673" spans="1:6" x14ac:dyDescent="0.2">
      <c r="A673" s="46"/>
      <c r="B673" s="46"/>
      <c r="C673" s="46"/>
      <c r="D673" s="46"/>
      <c r="E673" s="46"/>
      <c r="F673" s="46"/>
    </row>
    <row r="674" spans="1:6" x14ac:dyDescent="0.2">
      <c r="A674" s="46"/>
      <c r="B674" s="46"/>
      <c r="C674" s="46"/>
      <c r="D674" s="46"/>
      <c r="E674" s="46"/>
      <c r="F674" s="46"/>
    </row>
    <row r="675" spans="1:6" x14ac:dyDescent="0.2">
      <c r="A675" s="46"/>
      <c r="B675" s="46"/>
      <c r="C675" s="46"/>
      <c r="D675" s="46"/>
      <c r="E675" s="46"/>
      <c r="F675" s="46"/>
    </row>
    <row r="676" spans="1:6" x14ac:dyDescent="0.2">
      <c r="A676" s="46"/>
      <c r="B676" s="46"/>
      <c r="C676" s="46"/>
      <c r="D676" s="46"/>
      <c r="E676" s="46"/>
      <c r="F676" s="46"/>
    </row>
    <row r="677" spans="1:6" x14ac:dyDescent="0.2">
      <c r="A677" s="46"/>
      <c r="B677" s="46"/>
      <c r="C677" s="46"/>
      <c r="D677" s="46"/>
      <c r="E677" s="46"/>
      <c r="F677" s="46"/>
    </row>
    <row r="678" spans="1:6" x14ac:dyDescent="0.2">
      <c r="A678" s="46"/>
      <c r="B678" s="46"/>
      <c r="C678" s="46"/>
      <c r="D678" s="46"/>
      <c r="E678" s="46"/>
      <c r="F678" s="46"/>
    </row>
    <row r="679" spans="1:6" x14ac:dyDescent="0.2">
      <c r="A679" s="46"/>
      <c r="B679" s="46"/>
      <c r="C679" s="46"/>
      <c r="D679" s="46"/>
      <c r="E679" s="46"/>
      <c r="F679" s="46"/>
    </row>
    <row r="680" spans="1:6" x14ac:dyDescent="0.2">
      <c r="A680" s="46"/>
      <c r="B680" s="46"/>
      <c r="C680" s="46"/>
      <c r="D680" s="46"/>
      <c r="E680" s="46"/>
      <c r="F680" s="46"/>
    </row>
    <row r="681" spans="1:6" x14ac:dyDescent="0.2">
      <c r="A681" s="46"/>
      <c r="B681" s="46"/>
      <c r="C681" s="46"/>
      <c r="D681" s="46"/>
      <c r="E681" s="46"/>
      <c r="F681" s="46"/>
    </row>
    <row r="682" spans="1:6" x14ac:dyDescent="0.2">
      <c r="A682" s="46"/>
      <c r="B682" s="46"/>
      <c r="C682" s="46"/>
      <c r="D682" s="46"/>
      <c r="E682" s="46"/>
      <c r="F682" s="46"/>
    </row>
    <row r="683" spans="1:6" x14ac:dyDescent="0.2">
      <c r="A683" s="46"/>
      <c r="B683" s="46"/>
      <c r="C683" s="46"/>
      <c r="D683" s="46"/>
      <c r="E683" s="46"/>
      <c r="F683" s="46"/>
    </row>
    <row r="684" spans="1:6" x14ac:dyDescent="0.2">
      <c r="A684" s="46"/>
      <c r="B684" s="46"/>
      <c r="C684" s="46"/>
      <c r="D684" s="46"/>
      <c r="E684" s="46"/>
      <c r="F684" s="46"/>
    </row>
    <row r="685" spans="1:6" x14ac:dyDescent="0.2">
      <c r="A685" s="46"/>
      <c r="B685" s="46"/>
      <c r="C685" s="46"/>
      <c r="D685" s="46"/>
      <c r="E685" s="46"/>
      <c r="F685" s="46"/>
    </row>
    <row r="686" spans="1:6" x14ac:dyDescent="0.2">
      <c r="A686" s="46"/>
      <c r="B686" s="46"/>
      <c r="C686" s="46"/>
      <c r="D686" s="46"/>
      <c r="E686" s="46"/>
      <c r="F686" s="46"/>
    </row>
    <row r="687" spans="1:6" x14ac:dyDescent="0.2">
      <c r="A687" s="46"/>
      <c r="B687" s="46"/>
      <c r="C687" s="46"/>
      <c r="D687" s="46"/>
      <c r="E687" s="46"/>
      <c r="F687" s="46"/>
    </row>
    <row r="688" spans="1:6" x14ac:dyDescent="0.2">
      <c r="A688" s="46"/>
      <c r="B688" s="46"/>
      <c r="C688" s="46"/>
      <c r="D688" s="46"/>
      <c r="E688" s="46"/>
      <c r="F688" s="46"/>
    </row>
    <row r="689" spans="1:6" x14ac:dyDescent="0.2">
      <c r="A689" s="46"/>
      <c r="B689" s="46"/>
      <c r="C689" s="46"/>
      <c r="D689" s="46"/>
      <c r="E689" s="46"/>
      <c r="F689" s="46"/>
    </row>
    <row r="690" spans="1:6" x14ac:dyDescent="0.2">
      <c r="A690" s="46"/>
      <c r="B690" s="46"/>
      <c r="C690" s="46"/>
      <c r="D690" s="46"/>
      <c r="E690" s="46"/>
      <c r="F690" s="46"/>
    </row>
    <row r="691" spans="1:6" x14ac:dyDescent="0.2">
      <c r="A691" s="46"/>
      <c r="B691" s="46"/>
      <c r="C691" s="46"/>
      <c r="D691" s="46"/>
      <c r="E691" s="46"/>
      <c r="F691" s="46"/>
    </row>
    <row r="692" spans="1:6" x14ac:dyDescent="0.2">
      <c r="A692" s="46"/>
      <c r="B692" s="46"/>
      <c r="C692" s="46"/>
      <c r="D692" s="46"/>
      <c r="E692" s="46"/>
      <c r="F692" s="46"/>
    </row>
    <row r="693" spans="1:6" x14ac:dyDescent="0.2">
      <c r="A693" s="46"/>
      <c r="B693" s="46"/>
      <c r="C693" s="46"/>
      <c r="D693" s="46"/>
      <c r="E693" s="46"/>
      <c r="F693" s="46"/>
    </row>
    <row r="694" spans="1:6" x14ac:dyDescent="0.2">
      <c r="A694" s="46"/>
      <c r="B694" s="46"/>
      <c r="C694" s="46"/>
      <c r="D694" s="46"/>
      <c r="E694" s="46"/>
      <c r="F694" s="46"/>
    </row>
    <row r="695" spans="1:6" x14ac:dyDescent="0.2">
      <c r="A695" s="46"/>
      <c r="B695" s="46"/>
      <c r="C695" s="46"/>
      <c r="D695" s="46"/>
      <c r="E695" s="46"/>
      <c r="F695" s="46"/>
    </row>
    <row r="696" spans="1:6" x14ac:dyDescent="0.2">
      <c r="A696" s="46"/>
      <c r="B696" s="46"/>
      <c r="C696" s="46"/>
      <c r="D696" s="46"/>
      <c r="E696" s="46"/>
      <c r="F696" s="46"/>
    </row>
    <row r="697" spans="1:6" x14ac:dyDescent="0.2">
      <c r="A697" s="46"/>
      <c r="B697" s="46"/>
      <c r="C697" s="46"/>
      <c r="D697" s="46"/>
      <c r="E697" s="46"/>
      <c r="F697" s="46"/>
    </row>
    <row r="698" spans="1:6" x14ac:dyDescent="0.2">
      <c r="A698" s="46"/>
      <c r="B698" s="46"/>
      <c r="C698" s="46"/>
      <c r="D698" s="46"/>
      <c r="E698" s="46"/>
      <c r="F698" s="46"/>
    </row>
    <row r="699" spans="1:6" x14ac:dyDescent="0.2">
      <c r="A699" s="46"/>
      <c r="B699" s="46"/>
      <c r="C699" s="46"/>
      <c r="D699" s="46"/>
      <c r="E699" s="46"/>
      <c r="F699" s="46"/>
    </row>
    <row r="700" spans="1:6" x14ac:dyDescent="0.2">
      <c r="A700" s="46"/>
      <c r="B700" s="46"/>
      <c r="C700" s="46"/>
      <c r="D700" s="46"/>
      <c r="E700" s="46"/>
      <c r="F700" s="46"/>
    </row>
    <row r="701" spans="1:6" x14ac:dyDescent="0.2">
      <c r="A701" s="46"/>
      <c r="B701" s="46"/>
      <c r="C701" s="46"/>
      <c r="D701" s="46"/>
      <c r="E701" s="46"/>
      <c r="F701" s="46"/>
    </row>
    <row r="702" spans="1:6" x14ac:dyDescent="0.2">
      <c r="A702" s="46"/>
      <c r="B702" s="46"/>
      <c r="C702" s="46"/>
      <c r="D702" s="46"/>
      <c r="E702" s="46"/>
      <c r="F702" s="46"/>
    </row>
    <row r="703" spans="1:6" x14ac:dyDescent="0.2">
      <c r="A703" s="46"/>
      <c r="B703" s="46"/>
      <c r="C703" s="46"/>
      <c r="D703" s="46"/>
      <c r="E703" s="46"/>
      <c r="F703" s="46"/>
    </row>
    <row r="704" spans="1:6" x14ac:dyDescent="0.2">
      <c r="A704" s="46"/>
      <c r="B704" s="46"/>
      <c r="C704" s="46"/>
      <c r="D704" s="46"/>
      <c r="E704" s="46"/>
      <c r="F704" s="46"/>
    </row>
    <row r="705" spans="1:6" x14ac:dyDescent="0.2">
      <c r="A705" s="46"/>
      <c r="B705" s="46"/>
      <c r="C705" s="46"/>
      <c r="D705" s="46"/>
      <c r="E705" s="46"/>
      <c r="F705" s="46"/>
    </row>
    <row r="706" spans="1:6" x14ac:dyDescent="0.2">
      <c r="A706" s="46"/>
      <c r="B706" s="46"/>
      <c r="C706" s="46"/>
      <c r="D706" s="46"/>
      <c r="E706" s="46"/>
      <c r="F706" s="46"/>
    </row>
    <row r="707" spans="1:6" x14ac:dyDescent="0.2">
      <c r="A707" s="46"/>
      <c r="B707" s="46"/>
      <c r="C707" s="46"/>
      <c r="D707" s="46"/>
      <c r="E707" s="46"/>
      <c r="F707" s="46"/>
    </row>
    <row r="708" spans="1:6" x14ac:dyDescent="0.2">
      <c r="A708" s="46"/>
      <c r="B708" s="46"/>
      <c r="C708" s="46"/>
      <c r="D708" s="46"/>
      <c r="E708" s="46"/>
      <c r="F708" s="46"/>
    </row>
    <row r="709" spans="1:6" x14ac:dyDescent="0.2">
      <c r="A709" s="46"/>
      <c r="B709" s="46"/>
      <c r="C709" s="46"/>
      <c r="D709" s="46"/>
      <c r="E709" s="46"/>
      <c r="F709" s="46"/>
    </row>
    <row r="710" spans="1:6" x14ac:dyDescent="0.2">
      <c r="A710" s="46"/>
      <c r="B710" s="46"/>
      <c r="C710" s="46"/>
      <c r="D710" s="46"/>
      <c r="E710" s="46"/>
      <c r="F710" s="46"/>
    </row>
    <row r="711" spans="1:6" x14ac:dyDescent="0.2">
      <c r="A711" s="46"/>
      <c r="B711" s="46"/>
      <c r="C711" s="46"/>
      <c r="D711" s="46"/>
      <c r="E711" s="46"/>
      <c r="F711" s="46"/>
    </row>
    <row r="712" spans="1:6" x14ac:dyDescent="0.2">
      <c r="A712" s="46"/>
      <c r="B712" s="46"/>
      <c r="C712" s="46"/>
      <c r="D712" s="46"/>
      <c r="E712" s="46"/>
      <c r="F712" s="46"/>
    </row>
    <row r="713" spans="1:6" x14ac:dyDescent="0.2">
      <c r="A713" s="46"/>
      <c r="B713" s="46"/>
      <c r="C713" s="46"/>
      <c r="D713" s="46"/>
      <c r="E713" s="46"/>
      <c r="F713" s="46"/>
    </row>
    <row r="714" spans="1:6" x14ac:dyDescent="0.2">
      <c r="A714" s="46"/>
      <c r="B714" s="46"/>
      <c r="C714" s="46"/>
      <c r="D714" s="46"/>
      <c r="E714" s="46"/>
      <c r="F714" s="46"/>
    </row>
    <row r="715" spans="1:6" x14ac:dyDescent="0.2">
      <c r="A715" s="46"/>
      <c r="B715" s="46"/>
      <c r="C715" s="46"/>
      <c r="D715" s="46"/>
      <c r="E715" s="46"/>
      <c r="F715" s="46"/>
    </row>
    <row r="716" spans="1:6" x14ac:dyDescent="0.2">
      <c r="A716" s="46"/>
      <c r="B716" s="46"/>
      <c r="C716" s="46"/>
      <c r="D716" s="46"/>
      <c r="E716" s="46"/>
      <c r="F716" s="46"/>
    </row>
    <row r="717" spans="1:6" x14ac:dyDescent="0.2">
      <c r="A717" s="46"/>
      <c r="B717" s="46"/>
      <c r="C717" s="46"/>
      <c r="D717" s="46"/>
      <c r="E717" s="46"/>
      <c r="F717" s="46"/>
    </row>
    <row r="718" spans="1:6" x14ac:dyDescent="0.2">
      <c r="A718" s="46"/>
      <c r="B718" s="46"/>
      <c r="C718" s="46"/>
      <c r="D718" s="46"/>
      <c r="E718" s="46"/>
      <c r="F718" s="46"/>
    </row>
    <row r="719" spans="1:6" x14ac:dyDescent="0.2">
      <c r="A719" s="46"/>
      <c r="B719" s="46"/>
      <c r="C719" s="46"/>
      <c r="D719" s="46"/>
      <c r="E719" s="46"/>
      <c r="F719" s="46"/>
    </row>
    <row r="720" spans="1:6" x14ac:dyDescent="0.2">
      <c r="A720" s="46"/>
      <c r="B720" s="46"/>
      <c r="C720" s="46"/>
      <c r="D720" s="46"/>
      <c r="E720" s="46"/>
      <c r="F720" s="46"/>
    </row>
    <row r="721" spans="1:6" x14ac:dyDescent="0.2">
      <c r="A721" s="46"/>
      <c r="B721" s="46"/>
      <c r="C721" s="46"/>
      <c r="D721" s="46"/>
      <c r="E721" s="46"/>
      <c r="F721" s="46"/>
    </row>
    <row r="722" spans="1:6" x14ac:dyDescent="0.2">
      <c r="A722" s="46"/>
      <c r="B722" s="46"/>
      <c r="C722" s="46"/>
      <c r="D722" s="46"/>
      <c r="E722" s="46"/>
      <c r="F722" s="46"/>
    </row>
    <row r="723" spans="1:6" x14ac:dyDescent="0.2">
      <c r="A723" s="46"/>
      <c r="B723" s="46"/>
      <c r="C723" s="46"/>
      <c r="D723" s="46"/>
      <c r="E723" s="46"/>
      <c r="F723" s="46"/>
    </row>
    <row r="724" spans="1:6" x14ac:dyDescent="0.2">
      <c r="A724" s="46"/>
      <c r="B724" s="46"/>
      <c r="C724" s="46"/>
      <c r="D724" s="46"/>
      <c r="E724" s="46"/>
      <c r="F724" s="46"/>
    </row>
    <row r="725" spans="1:6" x14ac:dyDescent="0.2">
      <c r="A725" s="46"/>
      <c r="B725" s="46"/>
      <c r="C725" s="46"/>
      <c r="D725" s="46"/>
      <c r="E725" s="46"/>
      <c r="F725" s="46"/>
    </row>
    <row r="726" spans="1:6" x14ac:dyDescent="0.2">
      <c r="A726" s="46"/>
      <c r="B726" s="46"/>
      <c r="C726" s="46"/>
      <c r="D726" s="46"/>
      <c r="E726" s="46"/>
      <c r="F726" s="46"/>
    </row>
    <row r="727" spans="1:6" x14ac:dyDescent="0.2">
      <c r="A727" s="46"/>
      <c r="B727" s="46"/>
      <c r="C727" s="46"/>
      <c r="D727" s="46"/>
      <c r="E727" s="46"/>
      <c r="F727" s="46"/>
    </row>
    <row r="728" spans="1:6" x14ac:dyDescent="0.2">
      <c r="A728" s="46"/>
      <c r="B728" s="46"/>
      <c r="C728" s="46"/>
      <c r="D728" s="46"/>
      <c r="E728" s="46"/>
      <c r="F728" s="46"/>
    </row>
    <row r="729" spans="1:6" x14ac:dyDescent="0.2">
      <c r="A729" s="46"/>
      <c r="B729" s="46"/>
      <c r="C729" s="46"/>
      <c r="D729" s="46"/>
      <c r="E729" s="46"/>
      <c r="F729" s="46"/>
    </row>
    <row r="730" spans="1:6" x14ac:dyDescent="0.2">
      <c r="A730" s="46"/>
      <c r="B730" s="46"/>
      <c r="C730" s="46"/>
      <c r="D730" s="46"/>
      <c r="E730" s="46"/>
      <c r="F730" s="46"/>
    </row>
    <row r="731" spans="1:6" x14ac:dyDescent="0.2">
      <c r="A731" s="46"/>
      <c r="B731" s="46"/>
      <c r="C731" s="46"/>
      <c r="D731" s="46"/>
      <c r="E731" s="46"/>
      <c r="F731" s="46"/>
    </row>
    <row r="732" spans="1:6" x14ac:dyDescent="0.2">
      <c r="A732" s="46"/>
      <c r="B732" s="46"/>
      <c r="C732" s="46"/>
      <c r="D732" s="46"/>
      <c r="E732" s="46"/>
      <c r="F732" s="46"/>
    </row>
    <row r="733" spans="1:6" x14ac:dyDescent="0.2">
      <c r="A733" s="46"/>
      <c r="B733" s="46"/>
      <c r="C733" s="46"/>
      <c r="D733" s="46"/>
      <c r="E733" s="46"/>
      <c r="F733" s="46"/>
    </row>
    <row r="734" spans="1:6" x14ac:dyDescent="0.2">
      <c r="A734" s="46"/>
      <c r="B734" s="46"/>
      <c r="C734" s="46"/>
      <c r="D734" s="46"/>
      <c r="E734" s="46"/>
      <c r="F734" s="46"/>
    </row>
    <row r="735" spans="1:6" x14ac:dyDescent="0.2">
      <c r="A735" s="46"/>
      <c r="B735" s="46"/>
      <c r="C735" s="46"/>
      <c r="D735" s="46"/>
      <c r="E735" s="46"/>
      <c r="F735" s="46"/>
    </row>
    <row r="736" spans="1:6" x14ac:dyDescent="0.2">
      <c r="A736" s="46"/>
      <c r="B736" s="46"/>
      <c r="C736" s="46"/>
      <c r="D736" s="46"/>
      <c r="E736" s="46"/>
      <c r="F736" s="46"/>
    </row>
    <row r="737" spans="1:6" x14ac:dyDescent="0.2">
      <c r="A737" s="46"/>
      <c r="B737" s="46"/>
      <c r="C737" s="46"/>
      <c r="D737" s="46"/>
      <c r="E737" s="46"/>
      <c r="F737" s="46"/>
    </row>
    <row r="738" spans="1:6" x14ac:dyDescent="0.2">
      <c r="A738" s="46"/>
      <c r="B738" s="46"/>
      <c r="C738" s="46"/>
      <c r="D738" s="46"/>
      <c r="E738" s="46"/>
      <c r="F738" s="46"/>
    </row>
    <row r="739" spans="1:6" x14ac:dyDescent="0.2">
      <c r="A739" s="46"/>
      <c r="B739" s="46"/>
      <c r="C739" s="46"/>
      <c r="D739" s="46"/>
      <c r="E739" s="46"/>
      <c r="F739" s="46"/>
    </row>
    <row r="740" spans="1:6" x14ac:dyDescent="0.2">
      <c r="A740" s="46"/>
      <c r="B740" s="46"/>
      <c r="C740" s="46"/>
      <c r="D740" s="46"/>
      <c r="E740" s="46"/>
      <c r="F740" s="46"/>
    </row>
    <row r="741" spans="1:6" x14ac:dyDescent="0.2">
      <c r="A741" s="46"/>
      <c r="B741" s="46"/>
      <c r="C741" s="46"/>
      <c r="D741" s="46"/>
      <c r="E741" s="46"/>
      <c r="F741" s="46"/>
    </row>
    <row r="742" spans="1:6" x14ac:dyDescent="0.2">
      <c r="A742" s="46"/>
      <c r="B742" s="46"/>
      <c r="C742" s="46"/>
      <c r="D742" s="46"/>
      <c r="E742" s="46"/>
      <c r="F742" s="46"/>
    </row>
    <row r="743" spans="1:6" x14ac:dyDescent="0.2">
      <c r="A743" s="46"/>
      <c r="B743" s="46"/>
      <c r="C743" s="46"/>
      <c r="D743" s="46"/>
      <c r="E743" s="46"/>
      <c r="F743" s="46"/>
    </row>
    <row r="744" spans="1:6" x14ac:dyDescent="0.2">
      <c r="A744" s="46"/>
      <c r="B744" s="46"/>
      <c r="C744" s="46"/>
      <c r="D744" s="46"/>
      <c r="E744" s="46"/>
      <c r="F744" s="46"/>
    </row>
    <row r="745" spans="1:6" x14ac:dyDescent="0.2">
      <c r="A745" s="46"/>
      <c r="B745" s="46"/>
      <c r="C745" s="46"/>
      <c r="D745" s="46"/>
      <c r="E745" s="46"/>
      <c r="F745" s="46"/>
    </row>
    <row r="746" spans="1:6" x14ac:dyDescent="0.2">
      <c r="A746" s="46"/>
      <c r="B746" s="46"/>
      <c r="C746" s="46"/>
      <c r="D746" s="46"/>
      <c r="E746" s="46"/>
      <c r="F746" s="46"/>
    </row>
    <row r="747" spans="1:6" x14ac:dyDescent="0.2">
      <c r="A747" s="46"/>
      <c r="B747" s="46"/>
      <c r="C747" s="46"/>
      <c r="D747" s="46"/>
      <c r="E747" s="46"/>
      <c r="F747" s="46"/>
    </row>
    <row r="748" spans="1:6" x14ac:dyDescent="0.2">
      <c r="A748" s="46"/>
      <c r="B748" s="46"/>
      <c r="C748" s="46"/>
      <c r="D748" s="46"/>
      <c r="E748" s="46"/>
      <c r="F748" s="46"/>
    </row>
    <row r="749" spans="1:6" x14ac:dyDescent="0.2">
      <c r="A749" s="46"/>
      <c r="B749" s="46"/>
      <c r="C749" s="46"/>
      <c r="D749" s="46"/>
      <c r="E749" s="46"/>
      <c r="F749" s="46"/>
    </row>
    <row r="750" spans="1:6" x14ac:dyDescent="0.2">
      <c r="A750" s="46"/>
      <c r="B750" s="46"/>
      <c r="C750" s="46"/>
      <c r="D750" s="46"/>
      <c r="E750" s="46"/>
      <c r="F750" s="46"/>
    </row>
    <row r="751" spans="1:6" x14ac:dyDescent="0.2">
      <c r="A751" s="46"/>
      <c r="B751" s="46"/>
      <c r="C751" s="46"/>
      <c r="D751" s="46"/>
      <c r="E751" s="46"/>
      <c r="F751" s="46"/>
    </row>
    <row r="752" spans="1:6" x14ac:dyDescent="0.2">
      <c r="A752" s="46"/>
      <c r="B752" s="46"/>
      <c r="C752" s="46"/>
      <c r="D752" s="46"/>
      <c r="E752" s="46"/>
      <c r="F752" s="46"/>
    </row>
    <row r="753" spans="1:6" x14ac:dyDescent="0.2">
      <c r="A753" s="46"/>
      <c r="B753" s="46"/>
      <c r="C753" s="46"/>
      <c r="D753" s="46"/>
      <c r="E753" s="46"/>
      <c r="F753" s="46"/>
    </row>
    <row r="754" spans="1:6" x14ac:dyDescent="0.2">
      <c r="A754" s="46"/>
      <c r="B754" s="46"/>
      <c r="C754" s="46"/>
      <c r="D754" s="46"/>
      <c r="E754" s="46"/>
      <c r="F754" s="46"/>
    </row>
    <row r="755" spans="1:6" x14ac:dyDescent="0.2">
      <c r="A755" s="46"/>
      <c r="B755" s="46"/>
      <c r="C755" s="46"/>
      <c r="D755" s="46"/>
      <c r="E755" s="46"/>
      <c r="F755" s="46"/>
    </row>
    <row r="756" spans="1:6" x14ac:dyDescent="0.2">
      <c r="A756" s="46"/>
      <c r="B756" s="46"/>
      <c r="C756" s="46"/>
      <c r="D756" s="46"/>
      <c r="E756" s="46"/>
      <c r="F756" s="46"/>
    </row>
    <row r="757" spans="1:6" x14ac:dyDescent="0.2">
      <c r="A757" s="46"/>
      <c r="B757" s="46"/>
      <c r="C757" s="46"/>
      <c r="D757" s="46"/>
      <c r="E757" s="46"/>
      <c r="F757" s="46"/>
    </row>
    <row r="758" spans="1:6" x14ac:dyDescent="0.2">
      <c r="A758" s="46"/>
      <c r="B758" s="46"/>
      <c r="C758" s="46"/>
      <c r="D758" s="46"/>
      <c r="E758" s="46"/>
      <c r="F758" s="46"/>
    </row>
    <row r="759" spans="1:6" x14ac:dyDescent="0.2">
      <c r="A759" s="46"/>
      <c r="B759" s="46"/>
      <c r="C759" s="46"/>
      <c r="D759" s="46"/>
      <c r="E759" s="46"/>
      <c r="F759" s="46"/>
    </row>
    <row r="760" spans="1:6" x14ac:dyDescent="0.2">
      <c r="A760" s="46"/>
      <c r="B760" s="46"/>
      <c r="C760" s="46"/>
      <c r="D760" s="46"/>
      <c r="E760" s="46"/>
      <c r="F760" s="46"/>
    </row>
    <row r="761" spans="1:6" x14ac:dyDescent="0.2">
      <c r="A761" s="46"/>
      <c r="B761" s="46"/>
      <c r="C761" s="46"/>
      <c r="D761" s="46"/>
      <c r="E761" s="46"/>
      <c r="F761" s="46"/>
    </row>
    <row r="762" spans="1:6" x14ac:dyDescent="0.2">
      <c r="A762" s="46"/>
      <c r="B762" s="46"/>
      <c r="C762" s="46"/>
      <c r="D762" s="46"/>
      <c r="E762" s="46"/>
      <c r="F762" s="46"/>
    </row>
    <row r="763" spans="1:6" x14ac:dyDescent="0.2">
      <c r="A763" s="46"/>
      <c r="B763" s="46"/>
      <c r="C763" s="46"/>
      <c r="D763" s="46"/>
      <c r="E763" s="46"/>
      <c r="F763" s="46"/>
    </row>
    <row r="764" spans="1:6" x14ac:dyDescent="0.2">
      <c r="A764" s="46"/>
      <c r="B764" s="46"/>
      <c r="C764" s="46"/>
      <c r="D764" s="46"/>
      <c r="E764" s="46"/>
      <c r="F764" s="46"/>
    </row>
    <row r="765" spans="1:6" x14ac:dyDescent="0.2">
      <c r="A765" s="46"/>
      <c r="B765" s="46"/>
      <c r="C765" s="46"/>
      <c r="D765" s="46"/>
      <c r="E765" s="46"/>
      <c r="F765" s="46"/>
    </row>
    <row r="766" spans="1:6" x14ac:dyDescent="0.2">
      <c r="A766" s="46"/>
      <c r="B766" s="46"/>
      <c r="C766" s="46"/>
      <c r="D766" s="46"/>
      <c r="E766" s="46"/>
      <c r="F766" s="46"/>
    </row>
    <row r="767" spans="1:6" x14ac:dyDescent="0.2">
      <c r="A767" s="46"/>
      <c r="B767" s="46"/>
      <c r="C767" s="46"/>
      <c r="D767" s="46"/>
      <c r="E767" s="46"/>
      <c r="F767" s="46"/>
    </row>
    <row r="768" spans="1:6" x14ac:dyDescent="0.2">
      <c r="A768" s="46"/>
      <c r="B768" s="46"/>
      <c r="C768" s="46"/>
      <c r="D768" s="46"/>
      <c r="E768" s="46"/>
      <c r="F768" s="46"/>
    </row>
    <row r="769" spans="1:6" x14ac:dyDescent="0.2">
      <c r="A769" s="46"/>
      <c r="B769" s="46"/>
      <c r="C769" s="46"/>
      <c r="D769" s="46"/>
      <c r="E769" s="46"/>
      <c r="F769" s="46"/>
    </row>
    <row r="770" spans="1:6" x14ac:dyDescent="0.2">
      <c r="A770" s="46"/>
      <c r="B770" s="46"/>
      <c r="C770" s="46"/>
      <c r="D770" s="46"/>
      <c r="E770" s="46"/>
      <c r="F770" s="46"/>
    </row>
    <row r="771" spans="1:6" x14ac:dyDescent="0.2">
      <c r="A771" s="46"/>
      <c r="B771" s="46"/>
      <c r="C771" s="46"/>
      <c r="D771" s="46"/>
      <c r="E771" s="46"/>
      <c r="F771" s="46"/>
    </row>
    <row r="772" spans="1:6" x14ac:dyDescent="0.2">
      <c r="A772" s="46"/>
      <c r="B772" s="46"/>
      <c r="C772" s="46"/>
      <c r="D772" s="46"/>
      <c r="E772" s="46"/>
      <c r="F772" s="46"/>
    </row>
    <row r="773" spans="1:6" x14ac:dyDescent="0.2">
      <c r="A773" s="46"/>
      <c r="B773" s="46"/>
      <c r="C773" s="46"/>
      <c r="D773" s="46"/>
      <c r="E773" s="46"/>
      <c r="F773" s="46"/>
    </row>
    <row r="774" spans="1:6" x14ac:dyDescent="0.2">
      <c r="A774" s="46"/>
      <c r="B774" s="46"/>
      <c r="C774" s="46"/>
      <c r="D774" s="46"/>
      <c r="E774" s="46"/>
      <c r="F774" s="46"/>
    </row>
    <row r="775" spans="1:6" x14ac:dyDescent="0.2">
      <c r="A775" s="46"/>
      <c r="B775" s="46"/>
      <c r="C775" s="46"/>
      <c r="D775" s="46"/>
      <c r="E775" s="46"/>
      <c r="F775" s="46"/>
    </row>
    <row r="776" spans="1:6" x14ac:dyDescent="0.2">
      <c r="A776" s="46"/>
      <c r="B776" s="46"/>
      <c r="C776" s="46"/>
      <c r="D776" s="46"/>
      <c r="E776" s="46"/>
      <c r="F776" s="46"/>
    </row>
    <row r="777" spans="1:6" x14ac:dyDescent="0.2">
      <c r="A777" s="46"/>
      <c r="B777" s="46"/>
      <c r="C777" s="46"/>
      <c r="D777" s="46"/>
      <c r="E777" s="46"/>
      <c r="F777" s="46"/>
    </row>
    <row r="778" spans="1:6" x14ac:dyDescent="0.2">
      <c r="A778" s="46"/>
      <c r="B778" s="46"/>
      <c r="C778" s="46"/>
      <c r="D778" s="46"/>
      <c r="E778" s="46"/>
      <c r="F778" s="46"/>
    </row>
    <row r="779" spans="1:6" x14ac:dyDescent="0.2">
      <c r="A779" s="46"/>
      <c r="B779" s="46"/>
      <c r="C779" s="46"/>
      <c r="D779" s="46"/>
      <c r="E779" s="46"/>
      <c r="F779" s="46"/>
    </row>
    <row r="780" spans="1:6" x14ac:dyDescent="0.2">
      <c r="A780" s="46"/>
      <c r="B780" s="46"/>
      <c r="C780" s="46"/>
      <c r="D780" s="46"/>
      <c r="E780" s="46"/>
      <c r="F780" s="46"/>
    </row>
    <row r="781" spans="1:6" x14ac:dyDescent="0.2">
      <c r="A781" s="46"/>
      <c r="B781" s="46"/>
      <c r="C781" s="46"/>
      <c r="D781" s="46"/>
      <c r="E781" s="46"/>
      <c r="F781" s="46"/>
    </row>
    <row r="782" spans="1:6" x14ac:dyDescent="0.2">
      <c r="A782" s="46"/>
      <c r="B782" s="46"/>
      <c r="C782" s="46"/>
      <c r="D782" s="46"/>
      <c r="E782" s="46"/>
      <c r="F782" s="46"/>
    </row>
    <row r="783" spans="1:6" x14ac:dyDescent="0.2">
      <c r="A783" s="46"/>
      <c r="B783" s="46"/>
      <c r="C783" s="46"/>
      <c r="D783" s="46"/>
      <c r="E783" s="46"/>
      <c r="F783" s="46"/>
    </row>
    <row r="784" spans="1:6" x14ac:dyDescent="0.2">
      <c r="A784" s="46"/>
      <c r="B784" s="46"/>
      <c r="C784" s="46"/>
      <c r="D784" s="46"/>
      <c r="E784" s="46"/>
      <c r="F784" s="46"/>
    </row>
    <row r="785" spans="1:6" x14ac:dyDescent="0.2">
      <c r="A785" s="46"/>
      <c r="B785" s="46"/>
      <c r="C785" s="46"/>
      <c r="D785" s="46"/>
      <c r="E785" s="46"/>
      <c r="F785" s="46"/>
    </row>
    <row r="786" spans="1:6" x14ac:dyDescent="0.2">
      <c r="A786" s="46"/>
      <c r="B786" s="46"/>
      <c r="C786" s="46"/>
      <c r="D786" s="46"/>
      <c r="E786" s="46"/>
      <c r="F786" s="46"/>
    </row>
    <row r="787" spans="1:6" x14ac:dyDescent="0.2">
      <c r="A787" s="46"/>
      <c r="B787" s="46"/>
      <c r="C787" s="46"/>
      <c r="D787" s="46"/>
      <c r="E787" s="46"/>
      <c r="F787" s="46"/>
    </row>
    <row r="788" spans="1:6" x14ac:dyDescent="0.2">
      <c r="A788" s="46"/>
      <c r="B788" s="46"/>
      <c r="C788" s="46"/>
      <c r="D788" s="46"/>
      <c r="E788" s="46"/>
      <c r="F788" s="46"/>
    </row>
    <row r="789" spans="1:6" x14ac:dyDescent="0.2">
      <c r="A789" s="46"/>
      <c r="B789" s="46"/>
      <c r="C789" s="46"/>
      <c r="D789" s="46"/>
      <c r="E789" s="46"/>
      <c r="F789" s="46"/>
    </row>
    <row r="790" spans="1:6" x14ac:dyDescent="0.2">
      <c r="A790" s="46"/>
      <c r="B790" s="46"/>
      <c r="C790" s="46"/>
      <c r="D790" s="46"/>
      <c r="E790" s="46"/>
      <c r="F790" s="46"/>
    </row>
    <row r="791" spans="1:6" x14ac:dyDescent="0.2">
      <c r="A791" s="46"/>
      <c r="B791" s="46"/>
      <c r="C791" s="46"/>
      <c r="D791" s="46"/>
      <c r="E791" s="46"/>
      <c r="F791" s="46"/>
    </row>
    <row r="792" spans="1:6" x14ac:dyDescent="0.2">
      <c r="A792" s="46"/>
      <c r="B792" s="46"/>
      <c r="C792" s="46"/>
      <c r="D792" s="46"/>
      <c r="E792" s="46"/>
      <c r="F792" s="46"/>
    </row>
    <row r="793" spans="1:6" x14ac:dyDescent="0.2">
      <c r="A793" s="46"/>
      <c r="B793" s="46"/>
      <c r="C793" s="46"/>
      <c r="D793" s="46"/>
      <c r="E793" s="46"/>
      <c r="F793" s="46"/>
    </row>
    <row r="794" spans="1:6" x14ac:dyDescent="0.2">
      <c r="A794" s="46"/>
      <c r="B794" s="46"/>
      <c r="C794" s="46"/>
      <c r="D794" s="46"/>
      <c r="E794" s="46"/>
      <c r="F794" s="46"/>
    </row>
    <row r="795" spans="1:6" x14ac:dyDescent="0.2">
      <c r="A795" s="46"/>
      <c r="B795" s="46"/>
      <c r="C795" s="46"/>
      <c r="D795" s="46"/>
      <c r="E795" s="46"/>
      <c r="F795" s="46"/>
    </row>
    <row r="796" spans="1:6" x14ac:dyDescent="0.2">
      <c r="A796" s="46"/>
      <c r="B796" s="46"/>
      <c r="C796" s="46"/>
      <c r="D796" s="46"/>
      <c r="E796" s="46"/>
      <c r="F796" s="46"/>
    </row>
    <row r="797" spans="1:6" x14ac:dyDescent="0.2">
      <c r="A797" s="46"/>
      <c r="B797" s="46"/>
      <c r="C797" s="46"/>
      <c r="D797" s="46"/>
      <c r="E797" s="46"/>
      <c r="F797" s="46"/>
    </row>
    <row r="798" spans="1:6" x14ac:dyDescent="0.2">
      <c r="A798" s="46"/>
      <c r="B798" s="46"/>
      <c r="C798" s="46"/>
      <c r="D798" s="46"/>
      <c r="E798" s="46"/>
      <c r="F798" s="46"/>
    </row>
    <row r="799" spans="1:6" x14ac:dyDescent="0.2">
      <c r="A799" s="46"/>
      <c r="B799" s="46"/>
      <c r="C799" s="46"/>
      <c r="D799" s="46"/>
      <c r="E799" s="46"/>
      <c r="F799" s="46"/>
    </row>
    <row r="800" spans="1:6" x14ac:dyDescent="0.2">
      <c r="A800" s="46"/>
      <c r="B800" s="46"/>
      <c r="C800" s="46"/>
      <c r="D800" s="46"/>
      <c r="E800" s="46"/>
      <c r="F800" s="46"/>
    </row>
    <row r="801" spans="1:6" x14ac:dyDescent="0.2">
      <c r="A801" s="46"/>
      <c r="B801" s="46"/>
      <c r="C801" s="46"/>
      <c r="D801" s="46"/>
      <c r="E801" s="46"/>
      <c r="F801" s="46"/>
    </row>
    <row r="802" spans="1:6" x14ac:dyDescent="0.2">
      <c r="A802" s="46"/>
      <c r="B802" s="46"/>
      <c r="C802" s="46"/>
      <c r="D802" s="46"/>
      <c r="E802" s="46"/>
      <c r="F802" s="46"/>
    </row>
    <row r="803" spans="1:6" x14ac:dyDescent="0.2">
      <c r="A803" s="46"/>
      <c r="B803" s="46"/>
      <c r="C803" s="46"/>
      <c r="D803" s="46"/>
      <c r="E803" s="46"/>
      <c r="F803" s="46"/>
    </row>
    <row r="804" spans="1:6" x14ac:dyDescent="0.2">
      <c r="A804" s="46"/>
      <c r="B804" s="46"/>
      <c r="C804" s="46"/>
      <c r="D804" s="46"/>
      <c r="E804" s="46"/>
      <c r="F804" s="46"/>
    </row>
    <row r="805" spans="1:6" x14ac:dyDescent="0.2">
      <c r="A805" s="46"/>
      <c r="B805" s="46"/>
      <c r="C805" s="46"/>
      <c r="D805" s="46"/>
      <c r="E805" s="46"/>
      <c r="F805" s="46"/>
    </row>
    <row r="806" spans="1:6" x14ac:dyDescent="0.2">
      <c r="A806" s="46"/>
      <c r="B806" s="46"/>
      <c r="C806" s="46"/>
      <c r="D806" s="46"/>
      <c r="E806" s="46"/>
      <c r="F806" s="46"/>
    </row>
    <row r="807" spans="1:6" x14ac:dyDescent="0.2">
      <c r="A807" s="46"/>
      <c r="B807" s="46"/>
      <c r="C807" s="46"/>
      <c r="D807" s="46"/>
      <c r="E807" s="46"/>
      <c r="F807" s="46"/>
    </row>
    <row r="808" spans="1:6" x14ac:dyDescent="0.2">
      <c r="A808" s="46"/>
      <c r="B808" s="46"/>
      <c r="C808" s="46"/>
      <c r="D808" s="46"/>
      <c r="E808" s="46"/>
      <c r="F808" s="46"/>
    </row>
    <row r="809" spans="1:6" x14ac:dyDescent="0.2">
      <c r="A809" s="46"/>
      <c r="B809" s="46"/>
      <c r="C809" s="46"/>
      <c r="D809" s="46"/>
      <c r="E809" s="46"/>
      <c r="F809" s="46"/>
    </row>
    <row r="810" spans="1:6" x14ac:dyDescent="0.2">
      <c r="A810" s="46"/>
      <c r="B810" s="46"/>
      <c r="C810" s="46"/>
      <c r="D810" s="46"/>
      <c r="E810" s="46"/>
      <c r="F810" s="46"/>
    </row>
    <row r="811" spans="1:6" x14ac:dyDescent="0.2">
      <c r="A811" s="46"/>
      <c r="B811" s="46"/>
      <c r="C811" s="46"/>
      <c r="D811" s="46"/>
      <c r="E811" s="46"/>
      <c r="F811" s="46"/>
    </row>
    <row r="812" spans="1:6" x14ac:dyDescent="0.2">
      <c r="A812" s="46"/>
      <c r="B812" s="46"/>
      <c r="C812" s="46"/>
      <c r="D812" s="46"/>
      <c r="E812" s="46"/>
      <c r="F812" s="46"/>
    </row>
    <row r="813" spans="1:6" x14ac:dyDescent="0.2">
      <c r="A813" s="46"/>
      <c r="B813" s="46"/>
      <c r="C813" s="46"/>
      <c r="D813" s="46"/>
      <c r="E813" s="46"/>
      <c r="F813" s="46"/>
    </row>
    <row r="814" spans="1:6" x14ac:dyDescent="0.2">
      <c r="A814" s="46"/>
      <c r="B814" s="46"/>
      <c r="C814" s="46"/>
      <c r="D814" s="46"/>
      <c r="E814" s="46"/>
      <c r="F814" s="46"/>
    </row>
    <row r="815" spans="1:6" x14ac:dyDescent="0.2">
      <c r="A815" s="46"/>
      <c r="B815" s="46"/>
      <c r="C815" s="46"/>
      <c r="D815" s="46"/>
      <c r="E815" s="46"/>
      <c r="F815" s="46"/>
    </row>
    <row r="816" spans="1:6" x14ac:dyDescent="0.2">
      <c r="A816" s="46"/>
      <c r="B816" s="46"/>
      <c r="C816" s="46"/>
      <c r="D816" s="46"/>
      <c r="E816" s="46"/>
      <c r="F816" s="46"/>
    </row>
    <row r="817" spans="1:6" x14ac:dyDescent="0.2">
      <c r="A817" s="46"/>
      <c r="B817" s="46"/>
      <c r="C817" s="46"/>
      <c r="D817" s="46"/>
      <c r="E817" s="46"/>
      <c r="F817" s="46"/>
    </row>
    <row r="818" spans="1:6" x14ac:dyDescent="0.2">
      <c r="A818" s="46"/>
      <c r="B818" s="46"/>
      <c r="C818" s="46"/>
      <c r="D818" s="46"/>
      <c r="E818" s="46"/>
      <c r="F818" s="46"/>
    </row>
    <row r="819" spans="1:6" x14ac:dyDescent="0.2">
      <c r="A819" s="46"/>
      <c r="B819" s="46"/>
      <c r="C819" s="46"/>
      <c r="D819" s="46"/>
      <c r="E819" s="46"/>
      <c r="F819" s="46"/>
    </row>
    <row r="820" spans="1:6" x14ac:dyDescent="0.2">
      <c r="A820" s="46"/>
      <c r="B820" s="46"/>
      <c r="C820" s="46"/>
      <c r="D820" s="46"/>
      <c r="E820" s="46"/>
      <c r="F820" s="46"/>
    </row>
    <row r="821" spans="1:6" x14ac:dyDescent="0.2">
      <c r="A821" s="46"/>
      <c r="B821" s="46"/>
      <c r="C821" s="46"/>
      <c r="D821" s="46"/>
      <c r="E821" s="46"/>
      <c r="F821" s="46"/>
    </row>
    <row r="822" spans="1:6" x14ac:dyDescent="0.2">
      <c r="A822" s="46"/>
      <c r="B822" s="46"/>
      <c r="C822" s="46"/>
      <c r="D822" s="46"/>
      <c r="E822" s="46"/>
      <c r="F822" s="46"/>
    </row>
    <row r="823" spans="1:6" x14ac:dyDescent="0.2">
      <c r="A823" s="46"/>
      <c r="B823" s="46"/>
      <c r="C823" s="46"/>
      <c r="D823" s="46"/>
      <c r="E823" s="46"/>
      <c r="F823" s="46"/>
    </row>
    <row r="824" spans="1:6" x14ac:dyDescent="0.2">
      <c r="A824" s="46"/>
      <c r="B824" s="46"/>
      <c r="C824" s="46"/>
      <c r="D824" s="46"/>
      <c r="E824" s="46"/>
      <c r="F824" s="46"/>
    </row>
    <row r="825" spans="1:6" x14ac:dyDescent="0.2">
      <c r="A825" s="46"/>
      <c r="B825" s="46"/>
      <c r="C825" s="46"/>
      <c r="D825" s="46"/>
      <c r="E825" s="46"/>
      <c r="F825" s="46"/>
    </row>
    <row r="826" spans="1:6" x14ac:dyDescent="0.2">
      <c r="A826" s="46"/>
      <c r="B826" s="46"/>
      <c r="C826" s="46"/>
      <c r="D826" s="46"/>
      <c r="E826" s="46"/>
      <c r="F826" s="46"/>
    </row>
    <row r="827" spans="1:6" x14ac:dyDescent="0.2">
      <c r="A827" s="46"/>
      <c r="B827" s="46"/>
      <c r="C827" s="46"/>
      <c r="D827" s="46"/>
      <c r="E827" s="46"/>
      <c r="F827" s="46"/>
    </row>
    <row r="828" spans="1:6" x14ac:dyDescent="0.2">
      <c r="A828" s="46"/>
      <c r="B828" s="46"/>
      <c r="C828" s="46"/>
      <c r="D828" s="46"/>
      <c r="E828" s="46"/>
      <c r="F828" s="46"/>
    </row>
    <row r="829" spans="1:6" x14ac:dyDescent="0.2">
      <c r="A829" s="46"/>
      <c r="B829" s="46"/>
      <c r="C829" s="46"/>
      <c r="D829" s="46"/>
      <c r="E829" s="46"/>
      <c r="F829" s="46"/>
    </row>
    <row r="830" spans="1:6" x14ac:dyDescent="0.2">
      <c r="A830" s="46"/>
      <c r="B830" s="46"/>
      <c r="C830" s="46"/>
      <c r="D830" s="46"/>
      <c r="E830" s="46"/>
      <c r="F830" s="46"/>
    </row>
    <row r="831" spans="1:6" x14ac:dyDescent="0.2">
      <c r="A831" s="46"/>
      <c r="B831" s="46"/>
      <c r="C831" s="46"/>
      <c r="D831" s="46"/>
      <c r="E831" s="46"/>
      <c r="F831" s="46"/>
    </row>
    <row r="832" spans="1:6" x14ac:dyDescent="0.2">
      <c r="A832" s="46"/>
      <c r="B832" s="46"/>
      <c r="C832" s="46"/>
      <c r="D832" s="46"/>
      <c r="E832" s="46"/>
      <c r="F832" s="46"/>
    </row>
    <row r="833" spans="1:6" x14ac:dyDescent="0.2">
      <c r="A833" s="46"/>
      <c r="B833" s="46"/>
      <c r="C833" s="46"/>
      <c r="D833" s="46"/>
      <c r="E833" s="46"/>
      <c r="F833" s="46"/>
    </row>
    <row r="834" spans="1:6" x14ac:dyDescent="0.2">
      <c r="A834" s="46"/>
      <c r="B834" s="46"/>
      <c r="C834" s="46"/>
      <c r="D834" s="46"/>
      <c r="E834" s="46"/>
      <c r="F834" s="46"/>
    </row>
    <row r="835" spans="1:6" x14ac:dyDescent="0.2">
      <c r="A835" s="46"/>
      <c r="B835" s="46"/>
      <c r="C835" s="46"/>
      <c r="D835" s="46"/>
      <c r="E835" s="46"/>
      <c r="F835" s="46"/>
    </row>
    <row r="836" spans="1:6" x14ac:dyDescent="0.2">
      <c r="A836" s="46"/>
      <c r="B836" s="46"/>
      <c r="C836" s="46"/>
      <c r="D836" s="46"/>
      <c r="E836" s="46"/>
      <c r="F836" s="46"/>
    </row>
    <row r="837" spans="1:6" x14ac:dyDescent="0.2">
      <c r="A837" s="46"/>
      <c r="B837" s="46"/>
      <c r="C837" s="46"/>
      <c r="D837" s="46"/>
      <c r="E837" s="46"/>
      <c r="F837" s="46"/>
    </row>
    <row r="838" spans="1:6" x14ac:dyDescent="0.2">
      <c r="A838" s="46"/>
      <c r="B838" s="46"/>
      <c r="C838" s="46"/>
      <c r="D838" s="46"/>
      <c r="E838" s="46"/>
      <c r="F838" s="46"/>
    </row>
    <row r="839" spans="1:6" x14ac:dyDescent="0.2">
      <c r="A839" s="46"/>
      <c r="B839" s="46"/>
      <c r="C839" s="46"/>
      <c r="D839" s="46"/>
      <c r="E839" s="46"/>
      <c r="F839" s="46"/>
    </row>
    <row r="840" spans="1:6" x14ac:dyDescent="0.2">
      <c r="A840" s="46"/>
      <c r="B840" s="46"/>
      <c r="C840" s="46"/>
      <c r="D840" s="46"/>
      <c r="E840" s="46"/>
      <c r="F840" s="46"/>
    </row>
    <row r="841" spans="1:6" x14ac:dyDescent="0.2">
      <c r="A841" s="46"/>
      <c r="B841" s="46"/>
      <c r="C841" s="46"/>
      <c r="D841" s="46"/>
      <c r="E841" s="46"/>
      <c r="F841" s="46"/>
    </row>
    <row r="842" spans="1:6" x14ac:dyDescent="0.2">
      <c r="A842" s="46"/>
      <c r="B842" s="46"/>
      <c r="C842" s="46"/>
      <c r="D842" s="46"/>
      <c r="E842" s="46"/>
      <c r="F842" s="46"/>
    </row>
    <row r="843" spans="1:6" x14ac:dyDescent="0.2">
      <c r="A843" s="46"/>
      <c r="B843" s="46"/>
      <c r="C843" s="46"/>
      <c r="D843" s="46"/>
      <c r="E843" s="46"/>
      <c r="F843" s="46"/>
    </row>
    <row r="844" spans="1:6" x14ac:dyDescent="0.2">
      <c r="A844" s="46"/>
      <c r="B844" s="46"/>
      <c r="C844" s="46"/>
      <c r="D844" s="46"/>
      <c r="E844" s="46"/>
      <c r="F844" s="46"/>
    </row>
    <row r="845" spans="1:6" x14ac:dyDescent="0.2">
      <c r="A845" s="46"/>
      <c r="B845" s="46"/>
      <c r="C845" s="46"/>
      <c r="D845" s="46"/>
      <c r="E845" s="46"/>
      <c r="F845" s="46"/>
    </row>
    <row r="846" spans="1:6" x14ac:dyDescent="0.2">
      <c r="A846" s="46"/>
      <c r="B846" s="46"/>
      <c r="C846" s="46"/>
      <c r="D846" s="46"/>
      <c r="E846" s="46"/>
      <c r="F846" s="46"/>
    </row>
    <row r="847" spans="1:6" x14ac:dyDescent="0.2">
      <c r="A847" s="46"/>
      <c r="B847" s="46"/>
      <c r="C847" s="46"/>
      <c r="D847" s="46"/>
      <c r="E847" s="46"/>
      <c r="F847" s="46"/>
    </row>
    <row r="848" spans="1:6" x14ac:dyDescent="0.2">
      <c r="A848" s="46"/>
      <c r="B848" s="46"/>
      <c r="C848" s="46"/>
      <c r="D848" s="46"/>
      <c r="E848" s="46"/>
      <c r="F848" s="46"/>
    </row>
    <row r="849" spans="1:6" x14ac:dyDescent="0.2">
      <c r="A849" s="46"/>
      <c r="B849" s="46"/>
      <c r="C849" s="46"/>
      <c r="D849" s="46"/>
      <c r="E849" s="46"/>
      <c r="F849" s="46"/>
    </row>
    <row r="850" spans="1:6" x14ac:dyDescent="0.2">
      <c r="A850" s="46"/>
      <c r="B850" s="46"/>
      <c r="C850" s="46"/>
      <c r="D850" s="46"/>
      <c r="E850" s="46"/>
      <c r="F850" s="46"/>
    </row>
    <row r="851" spans="1:6" x14ac:dyDescent="0.2">
      <c r="A851" s="46"/>
      <c r="B851" s="46"/>
      <c r="C851" s="46"/>
      <c r="D851" s="46"/>
      <c r="E851" s="46"/>
      <c r="F851" s="46"/>
    </row>
    <row r="852" spans="1:6" x14ac:dyDescent="0.2">
      <c r="A852" s="46"/>
      <c r="B852" s="46"/>
      <c r="C852" s="46"/>
      <c r="D852" s="46"/>
      <c r="E852" s="46"/>
      <c r="F852" s="46"/>
    </row>
    <row r="853" spans="1:6" x14ac:dyDescent="0.2">
      <c r="A853" s="46"/>
      <c r="B853" s="46"/>
      <c r="C853" s="46"/>
      <c r="D853" s="46"/>
      <c r="E853" s="46"/>
      <c r="F853" s="46"/>
    </row>
    <row r="854" spans="1:6" x14ac:dyDescent="0.2">
      <c r="A854" s="46"/>
      <c r="B854" s="46"/>
      <c r="C854" s="46"/>
      <c r="D854" s="46"/>
      <c r="E854" s="46"/>
      <c r="F854" s="46"/>
    </row>
    <row r="855" spans="1:6" x14ac:dyDescent="0.2">
      <c r="A855" s="46"/>
      <c r="B855" s="46"/>
      <c r="C855" s="46"/>
      <c r="D855" s="46"/>
      <c r="E855" s="46"/>
      <c r="F855" s="46"/>
    </row>
    <row r="856" spans="1:6" x14ac:dyDescent="0.2">
      <c r="A856" s="46"/>
      <c r="B856" s="46"/>
      <c r="C856" s="46"/>
      <c r="D856" s="46"/>
      <c r="E856" s="46"/>
      <c r="F856" s="46"/>
    </row>
    <row r="857" spans="1:6" x14ac:dyDescent="0.2">
      <c r="A857" s="46"/>
      <c r="B857" s="46"/>
      <c r="C857" s="46"/>
      <c r="D857" s="46"/>
      <c r="E857" s="46"/>
      <c r="F857" s="46"/>
    </row>
    <row r="858" spans="1:6" x14ac:dyDescent="0.2">
      <c r="A858" s="46"/>
      <c r="B858" s="46"/>
      <c r="C858" s="46"/>
      <c r="D858" s="46"/>
      <c r="E858" s="46"/>
      <c r="F858" s="46"/>
    </row>
    <row r="859" spans="1:6" x14ac:dyDescent="0.2">
      <c r="A859" s="46"/>
      <c r="B859" s="46"/>
      <c r="C859" s="46"/>
      <c r="D859" s="46"/>
      <c r="E859" s="46"/>
      <c r="F859" s="46"/>
    </row>
    <row r="860" spans="1:6" x14ac:dyDescent="0.2">
      <c r="A860" s="46"/>
      <c r="B860" s="46"/>
      <c r="C860" s="46"/>
      <c r="D860" s="46"/>
      <c r="E860" s="46"/>
      <c r="F860" s="46"/>
    </row>
    <row r="861" spans="1:6" x14ac:dyDescent="0.2">
      <c r="A861" s="46"/>
      <c r="B861" s="46"/>
      <c r="C861" s="46"/>
      <c r="D861" s="46"/>
      <c r="E861" s="46"/>
      <c r="F861" s="46"/>
    </row>
    <row r="862" spans="1:6" x14ac:dyDescent="0.2">
      <c r="A862" s="46"/>
      <c r="B862" s="46"/>
      <c r="C862" s="46"/>
      <c r="D862" s="46"/>
      <c r="E862" s="46"/>
      <c r="F862" s="46"/>
    </row>
    <row r="863" spans="1:6" x14ac:dyDescent="0.2">
      <c r="A863" s="46"/>
      <c r="B863" s="46"/>
      <c r="C863" s="46"/>
      <c r="D863" s="46"/>
      <c r="E863" s="46"/>
      <c r="F863" s="46"/>
    </row>
    <row r="864" spans="1:6" x14ac:dyDescent="0.2">
      <c r="A864" s="46"/>
      <c r="B864" s="46"/>
      <c r="C864" s="46"/>
      <c r="D864" s="46"/>
      <c r="E864" s="46"/>
      <c r="F864" s="46"/>
    </row>
    <row r="865" spans="1:6" x14ac:dyDescent="0.2">
      <c r="A865" s="46"/>
      <c r="B865" s="46"/>
      <c r="C865" s="46"/>
      <c r="D865" s="46"/>
      <c r="E865" s="46"/>
      <c r="F865" s="46"/>
    </row>
    <row r="866" spans="1:6" x14ac:dyDescent="0.2">
      <c r="A866" s="46"/>
      <c r="B866" s="46"/>
      <c r="C866" s="46"/>
      <c r="D866" s="46"/>
      <c r="E866" s="46"/>
      <c r="F866" s="46"/>
    </row>
    <row r="867" spans="1:6" x14ac:dyDescent="0.2">
      <c r="A867" s="46"/>
      <c r="B867" s="46"/>
      <c r="C867" s="46"/>
      <c r="D867" s="46"/>
      <c r="E867" s="46"/>
      <c r="F867" s="46"/>
    </row>
    <row r="868" spans="1:6" x14ac:dyDescent="0.2">
      <c r="A868" s="46"/>
      <c r="B868" s="46"/>
      <c r="C868" s="46"/>
      <c r="D868" s="46"/>
      <c r="E868" s="46"/>
      <c r="F868" s="46"/>
    </row>
    <row r="869" spans="1:6" x14ac:dyDescent="0.2">
      <c r="A869" s="46"/>
      <c r="B869" s="46"/>
      <c r="C869" s="46"/>
      <c r="D869" s="46"/>
      <c r="E869" s="46"/>
      <c r="F869" s="46"/>
    </row>
    <row r="870" spans="1:6" x14ac:dyDescent="0.2">
      <c r="A870" s="46"/>
      <c r="B870" s="46"/>
      <c r="C870" s="46"/>
      <c r="D870" s="46"/>
      <c r="E870" s="46"/>
      <c r="F870" s="46"/>
    </row>
    <row r="871" spans="1:6" x14ac:dyDescent="0.2">
      <c r="A871" s="46"/>
      <c r="B871" s="46"/>
      <c r="C871" s="46"/>
      <c r="D871" s="46"/>
      <c r="E871" s="46"/>
      <c r="F871" s="46"/>
    </row>
    <row r="872" spans="1:6" x14ac:dyDescent="0.2">
      <c r="A872" s="46"/>
      <c r="B872" s="46"/>
      <c r="C872" s="46"/>
      <c r="D872" s="46"/>
      <c r="E872" s="46"/>
      <c r="F872" s="46"/>
    </row>
    <row r="873" spans="1:6" x14ac:dyDescent="0.2">
      <c r="A873" s="46"/>
      <c r="B873" s="46"/>
      <c r="C873" s="46"/>
      <c r="D873" s="46"/>
      <c r="E873" s="46"/>
      <c r="F873" s="46"/>
    </row>
    <row r="874" spans="1:6" x14ac:dyDescent="0.2">
      <c r="A874" s="46"/>
      <c r="B874" s="46"/>
      <c r="C874" s="46"/>
      <c r="D874" s="46"/>
      <c r="E874" s="46"/>
      <c r="F874" s="46"/>
    </row>
    <row r="875" spans="1:6" x14ac:dyDescent="0.2">
      <c r="A875" s="46"/>
      <c r="B875" s="46"/>
      <c r="C875" s="46"/>
      <c r="D875" s="46"/>
      <c r="E875" s="46"/>
      <c r="F875" s="46"/>
    </row>
    <row r="876" spans="1:6" x14ac:dyDescent="0.2">
      <c r="A876" s="46"/>
      <c r="B876" s="46"/>
      <c r="C876" s="46"/>
      <c r="D876" s="46"/>
      <c r="E876" s="46"/>
      <c r="F876" s="46"/>
    </row>
    <row r="877" spans="1:6" x14ac:dyDescent="0.2">
      <c r="A877" s="46"/>
      <c r="B877" s="46"/>
      <c r="C877" s="46"/>
      <c r="D877" s="46"/>
      <c r="E877" s="46"/>
      <c r="F877" s="46"/>
    </row>
    <row r="878" spans="1:6" x14ac:dyDescent="0.2">
      <c r="A878" s="46"/>
      <c r="B878" s="46"/>
      <c r="C878" s="46"/>
      <c r="D878" s="46"/>
      <c r="E878" s="46"/>
      <c r="F878" s="46"/>
    </row>
    <row r="879" spans="1:6" x14ac:dyDescent="0.2">
      <c r="A879" s="46"/>
      <c r="B879" s="46"/>
      <c r="C879" s="46"/>
      <c r="D879" s="46"/>
      <c r="E879" s="46"/>
      <c r="F879" s="46"/>
    </row>
    <row r="880" spans="1:6" x14ac:dyDescent="0.2">
      <c r="A880" s="46"/>
      <c r="B880" s="46"/>
      <c r="C880" s="46"/>
      <c r="D880" s="46"/>
      <c r="E880" s="46"/>
      <c r="F880" s="46"/>
    </row>
    <row r="881" spans="1:6" x14ac:dyDescent="0.2">
      <c r="A881" s="46"/>
      <c r="B881" s="46"/>
      <c r="C881" s="46"/>
      <c r="D881" s="46"/>
      <c r="E881" s="46"/>
      <c r="F881" s="46"/>
    </row>
    <row r="882" spans="1:6" x14ac:dyDescent="0.2">
      <c r="A882" s="46"/>
      <c r="B882" s="46"/>
      <c r="C882" s="46"/>
      <c r="D882" s="46"/>
      <c r="E882" s="46"/>
      <c r="F882" s="46"/>
    </row>
    <row r="883" spans="1:6" x14ac:dyDescent="0.2">
      <c r="A883" s="46"/>
      <c r="B883" s="46"/>
      <c r="C883" s="46"/>
      <c r="D883" s="46"/>
      <c r="E883" s="46"/>
      <c r="F883" s="46"/>
    </row>
    <row r="884" spans="1:6" x14ac:dyDescent="0.2">
      <c r="A884" s="46"/>
      <c r="B884" s="46"/>
      <c r="C884" s="46"/>
      <c r="D884" s="46"/>
      <c r="E884" s="46"/>
      <c r="F884" s="46"/>
    </row>
    <row r="885" spans="1:6" x14ac:dyDescent="0.2">
      <c r="A885" s="46"/>
      <c r="B885" s="46"/>
      <c r="C885" s="46"/>
      <c r="D885" s="46"/>
      <c r="E885" s="46"/>
      <c r="F885" s="46"/>
    </row>
    <row r="886" spans="1:6" x14ac:dyDescent="0.2">
      <c r="A886" s="46"/>
      <c r="B886" s="46"/>
      <c r="C886" s="46"/>
      <c r="D886" s="46"/>
      <c r="E886" s="46"/>
      <c r="F886" s="46"/>
    </row>
    <row r="887" spans="1:6" x14ac:dyDescent="0.2">
      <c r="A887" s="46"/>
      <c r="B887" s="46"/>
      <c r="C887" s="46"/>
      <c r="D887" s="46"/>
      <c r="E887" s="46"/>
      <c r="F887" s="46"/>
    </row>
    <row r="888" spans="1:6" x14ac:dyDescent="0.2">
      <c r="A888" s="46"/>
      <c r="B888" s="46"/>
      <c r="C888" s="46"/>
      <c r="D888" s="46"/>
      <c r="E888" s="46"/>
      <c r="F888" s="46"/>
    </row>
    <row r="889" spans="1:6" x14ac:dyDescent="0.2">
      <c r="A889" s="46"/>
      <c r="B889" s="46"/>
      <c r="C889" s="46"/>
      <c r="D889" s="46"/>
      <c r="E889" s="46"/>
      <c r="F889" s="46"/>
    </row>
    <row r="890" spans="1:6" x14ac:dyDescent="0.2">
      <c r="A890" s="46"/>
      <c r="B890" s="46"/>
      <c r="C890" s="46"/>
      <c r="D890" s="46"/>
      <c r="E890" s="46"/>
      <c r="F890" s="46"/>
    </row>
    <row r="891" spans="1:6" x14ac:dyDescent="0.2">
      <c r="A891" s="46"/>
      <c r="B891" s="46"/>
      <c r="C891" s="46"/>
      <c r="D891" s="46"/>
      <c r="E891" s="46"/>
      <c r="F891" s="46"/>
    </row>
    <row r="892" spans="1:6" x14ac:dyDescent="0.2">
      <c r="A892" s="46"/>
      <c r="B892" s="46"/>
      <c r="C892" s="46"/>
      <c r="D892" s="46"/>
      <c r="E892" s="46"/>
      <c r="F892" s="46"/>
    </row>
    <row r="893" spans="1:6" x14ac:dyDescent="0.2">
      <c r="A893" s="46"/>
      <c r="B893" s="46"/>
      <c r="C893" s="46"/>
      <c r="D893" s="46"/>
      <c r="E893" s="46"/>
      <c r="F893" s="46"/>
    </row>
    <row r="894" spans="1:6" x14ac:dyDescent="0.2">
      <c r="A894" s="46"/>
      <c r="B894" s="46"/>
      <c r="C894" s="46"/>
      <c r="D894" s="46"/>
      <c r="E894" s="46"/>
      <c r="F894" s="46"/>
    </row>
    <row r="895" spans="1:6" x14ac:dyDescent="0.2">
      <c r="A895" s="46"/>
      <c r="B895" s="46"/>
      <c r="C895" s="46"/>
      <c r="D895" s="46"/>
      <c r="E895" s="46"/>
      <c r="F895" s="46"/>
    </row>
    <row r="896" spans="1:6" x14ac:dyDescent="0.2">
      <c r="A896" s="46"/>
      <c r="B896" s="46"/>
      <c r="C896" s="46"/>
      <c r="D896" s="46"/>
      <c r="E896" s="46"/>
      <c r="F896" s="46"/>
    </row>
    <row r="897" spans="1:6" x14ac:dyDescent="0.2">
      <c r="A897" s="46"/>
      <c r="B897" s="46"/>
      <c r="C897" s="46"/>
      <c r="D897" s="46"/>
      <c r="E897" s="46"/>
      <c r="F897" s="46"/>
    </row>
    <row r="898" spans="1:6" x14ac:dyDescent="0.2">
      <c r="A898" s="46"/>
      <c r="B898" s="46"/>
      <c r="C898" s="46"/>
      <c r="D898" s="46"/>
      <c r="E898" s="46"/>
      <c r="F898" s="46"/>
    </row>
    <row r="899" spans="1:6" x14ac:dyDescent="0.2">
      <c r="A899" s="46"/>
      <c r="B899" s="46"/>
      <c r="C899" s="46"/>
      <c r="D899" s="46"/>
      <c r="E899" s="46"/>
      <c r="F899" s="46"/>
    </row>
    <row r="900" spans="1:6" x14ac:dyDescent="0.2">
      <c r="A900" s="46"/>
      <c r="B900" s="46"/>
      <c r="C900" s="46"/>
      <c r="D900" s="46"/>
      <c r="E900" s="46"/>
      <c r="F900" s="46"/>
    </row>
    <row r="901" spans="1:6" x14ac:dyDescent="0.2">
      <c r="A901" s="46"/>
      <c r="B901" s="46"/>
      <c r="C901" s="46"/>
      <c r="D901" s="46"/>
      <c r="E901" s="46"/>
      <c r="F901" s="46"/>
    </row>
    <row r="902" spans="1:6" x14ac:dyDescent="0.2">
      <c r="A902" s="46"/>
      <c r="B902" s="46"/>
      <c r="C902" s="46"/>
      <c r="D902" s="46"/>
      <c r="E902" s="46"/>
      <c r="F902" s="46"/>
    </row>
    <row r="903" spans="1:6" x14ac:dyDescent="0.2">
      <c r="A903" s="46"/>
      <c r="B903" s="46"/>
      <c r="C903" s="46"/>
      <c r="D903" s="46"/>
      <c r="E903" s="46"/>
      <c r="F903" s="46"/>
    </row>
    <row r="904" spans="1:6" x14ac:dyDescent="0.2">
      <c r="A904" s="46"/>
      <c r="B904" s="46"/>
      <c r="C904" s="46"/>
      <c r="D904" s="46"/>
      <c r="E904" s="46"/>
      <c r="F904" s="46"/>
    </row>
    <row r="905" spans="1:6" x14ac:dyDescent="0.2">
      <c r="A905" s="46"/>
      <c r="B905" s="46"/>
      <c r="C905" s="46"/>
      <c r="D905" s="46"/>
      <c r="E905" s="46"/>
      <c r="F905" s="46"/>
    </row>
    <row r="906" spans="1:6" x14ac:dyDescent="0.2">
      <c r="A906" s="46"/>
      <c r="B906" s="46"/>
      <c r="C906" s="46"/>
      <c r="D906" s="46"/>
      <c r="E906" s="46"/>
      <c r="F906" s="46"/>
    </row>
    <row r="907" spans="1:6" x14ac:dyDescent="0.2">
      <c r="A907" s="46"/>
      <c r="B907" s="46"/>
      <c r="C907" s="46"/>
      <c r="D907" s="46"/>
      <c r="E907" s="46"/>
      <c r="F907" s="46"/>
    </row>
    <row r="908" spans="1:6" x14ac:dyDescent="0.2">
      <c r="A908" s="46"/>
      <c r="B908" s="46"/>
      <c r="C908" s="46"/>
      <c r="D908" s="46"/>
      <c r="E908" s="46"/>
      <c r="F908" s="46"/>
    </row>
    <row r="909" spans="1:6" x14ac:dyDescent="0.2">
      <c r="A909" s="46"/>
      <c r="B909" s="46"/>
      <c r="C909" s="46"/>
      <c r="D909" s="46"/>
      <c r="E909" s="46"/>
      <c r="F909" s="46"/>
    </row>
    <row r="910" spans="1:6" x14ac:dyDescent="0.2">
      <c r="A910" s="46"/>
      <c r="B910" s="46"/>
      <c r="C910" s="46"/>
      <c r="D910" s="46"/>
      <c r="E910" s="46"/>
      <c r="F910" s="46"/>
    </row>
    <row r="911" spans="1:6" x14ac:dyDescent="0.2">
      <c r="A911" s="46"/>
      <c r="B911" s="46"/>
      <c r="C911" s="46"/>
      <c r="D911" s="46"/>
      <c r="E911" s="46"/>
      <c r="F911" s="46"/>
    </row>
    <row r="912" spans="1:6" x14ac:dyDescent="0.2">
      <c r="A912" s="46"/>
      <c r="B912" s="46"/>
      <c r="C912" s="46"/>
      <c r="D912" s="46"/>
      <c r="E912" s="46"/>
      <c r="F912" s="46"/>
    </row>
    <row r="913" spans="1:6" x14ac:dyDescent="0.2">
      <c r="A913" s="46"/>
      <c r="B913" s="46"/>
      <c r="C913" s="46"/>
      <c r="D913" s="46"/>
      <c r="E913" s="46"/>
      <c r="F913" s="46"/>
    </row>
    <row r="914" spans="1:6" x14ac:dyDescent="0.2">
      <c r="A914" s="46"/>
      <c r="B914" s="46"/>
      <c r="C914" s="46"/>
      <c r="D914" s="46"/>
      <c r="E914" s="46"/>
      <c r="F914" s="46"/>
    </row>
    <row r="915" spans="1:6" x14ac:dyDescent="0.2">
      <c r="A915" s="46"/>
      <c r="B915" s="46"/>
      <c r="C915" s="46"/>
      <c r="D915" s="46"/>
      <c r="E915" s="46"/>
      <c r="F915" s="46"/>
    </row>
    <row r="916" spans="1:6" x14ac:dyDescent="0.2">
      <c r="A916" s="46"/>
      <c r="B916" s="46"/>
      <c r="C916" s="46"/>
      <c r="D916" s="46"/>
      <c r="E916" s="46"/>
      <c r="F916" s="46"/>
    </row>
    <row r="917" spans="1:6" x14ac:dyDescent="0.2">
      <c r="A917" s="46"/>
      <c r="B917" s="46"/>
      <c r="C917" s="46"/>
      <c r="D917" s="46"/>
      <c r="E917" s="46"/>
      <c r="F917" s="46"/>
    </row>
    <row r="918" spans="1:6" x14ac:dyDescent="0.2">
      <c r="A918" s="46"/>
      <c r="B918" s="46"/>
      <c r="C918" s="46"/>
      <c r="D918" s="46"/>
      <c r="E918" s="46"/>
      <c r="F918" s="46"/>
    </row>
    <row r="919" spans="1:6" x14ac:dyDescent="0.2">
      <c r="A919" s="46"/>
      <c r="B919" s="46"/>
      <c r="C919" s="46"/>
      <c r="D919" s="46"/>
      <c r="E919" s="46"/>
      <c r="F919" s="46"/>
    </row>
    <row r="920" spans="1:6" x14ac:dyDescent="0.2">
      <c r="A920" s="46"/>
      <c r="B920" s="46"/>
      <c r="C920" s="46"/>
      <c r="D920" s="46"/>
      <c r="E920" s="46"/>
      <c r="F920" s="46"/>
    </row>
    <row r="921" spans="1:6" x14ac:dyDescent="0.2">
      <c r="A921" s="46"/>
      <c r="B921" s="46"/>
      <c r="C921" s="46"/>
      <c r="D921" s="46"/>
      <c r="E921" s="46"/>
      <c r="F921" s="46"/>
    </row>
    <row r="922" spans="1:6" x14ac:dyDescent="0.2">
      <c r="A922" s="46"/>
      <c r="B922" s="46"/>
      <c r="C922" s="46"/>
      <c r="D922" s="46"/>
      <c r="E922" s="46"/>
      <c r="F922" s="46"/>
    </row>
    <row r="923" spans="1:6" x14ac:dyDescent="0.2">
      <c r="A923" s="46"/>
      <c r="B923" s="46"/>
      <c r="C923" s="46"/>
      <c r="D923" s="46"/>
      <c r="E923" s="46"/>
      <c r="F923" s="46"/>
    </row>
    <row r="924" spans="1:6" x14ac:dyDescent="0.2">
      <c r="A924" s="46"/>
      <c r="B924" s="46"/>
      <c r="C924" s="46"/>
      <c r="D924" s="46"/>
      <c r="E924" s="46"/>
      <c r="F924" s="46"/>
    </row>
    <row r="925" spans="1:6" x14ac:dyDescent="0.2">
      <c r="A925" s="46"/>
      <c r="B925" s="46"/>
      <c r="C925" s="46"/>
      <c r="D925" s="46"/>
      <c r="E925" s="46"/>
      <c r="F925" s="46"/>
    </row>
    <row r="926" spans="1:6" x14ac:dyDescent="0.2">
      <c r="A926" s="46"/>
      <c r="B926" s="46"/>
      <c r="C926" s="46"/>
      <c r="D926" s="46"/>
      <c r="E926" s="46"/>
      <c r="F926" s="46"/>
    </row>
    <row r="927" spans="1:6" x14ac:dyDescent="0.2">
      <c r="A927" s="46"/>
      <c r="B927" s="46"/>
      <c r="C927" s="46"/>
      <c r="D927" s="46"/>
      <c r="E927" s="46"/>
      <c r="F927" s="46"/>
    </row>
    <row r="928" spans="1:6" x14ac:dyDescent="0.2">
      <c r="A928" s="46"/>
      <c r="B928" s="46"/>
      <c r="C928" s="46"/>
      <c r="D928" s="46"/>
      <c r="E928" s="46"/>
      <c r="F928" s="46"/>
    </row>
    <row r="929" spans="1:6" x14ac:dyDescent="0.2">
      <c r="A929" s="46"/>
      <c r="B929" s="46"/>
      <c r="C929" s="46"/>
      <c r="D929" s="46"/>
      <c r="E929" s="46"/>
      <c r="F929" s="46"/>
    </row>
    <row r="930" spans="1:6" x14ac:dyDescent="0.2">
      <c r="A930" s="46"/>
      <c r="B930" s="46"/>
      <c r="C930" s="46"/>
      <c r="D930" s="46"/>
      <c r="E930" s="46"/>
      <c r="F930" s="46"/>
    </row>
    <row r="931" spans="1:6" x14ac:dyDescent="0.2">
      <c r="A931" s="46"/>
      <c r="B931" s="46"/>
      <c r="C931" s="46"/>
      <c r="D931" s="46"/>
      <c r="E931" s="46"/>
      <c r="F931" s="46"/>
    </row>
    <row r="932" spans="1:6" x14ac:dyDescent="0.2">
      <c r="A932" s="46"/>
      <c r="B932" s="46"/>
      <c r="C932" s="46"/>
      <c r="D932" s="46"/>
      <c r="E932" s="46"/>
      <c r="F932" s="46"/>
    </row>
    <row r="933" spans="1:6" x14ac:dyDescent="0.2">
      <c r="A933" s="46"/>
      <c r="B933" s="46"/>
      <c r="C933" s="46"/>
      <c r="D933" s="46"/>
      <c r="E933" s="46"/>
      <c r="F933" s="46"/>
    </row>
    <row r="934" spans="1:6" x14ac:dyDescent="0.2">
      <c r="A934" s="46"/>
      <c r="B934" s="46"/>
      <c r="C934" s="46"/>
      <c r="D934" s="46"/>
      <c r="E934" s="46"/>
      <c r="F934" s="46"/>
    </row>
    <row r="935" spans="1:6" x14ac:dyDescent="0.2">
      <c r="A935" s="46"/>
      <c r="B935" s="46"/>
      <c r="C935" s="46"/>
      <c r="D935" s="46"/>
      <c r="E935" s="46"/>
      <c r="F935" s="46"/>
    </row>
    <row r="936" spans="1:6" x14ac:dyDescent="0.2">
      <c r="A936" s="46"/>
      <c r="B936" s="46"/>
      <c r="C936" s="46"/>
      <c r="D936" s="46"/>
      <c r="E936" s="46"/>
      <c r="F936" s="46"/>
    </row>
    <row r="937" spans="1:6" x14ac:dyDescent="0.2">
      <c r="A937" s="46"/>
      <c r="B937" s="46"/>
      <c r="C937" s="46"/>
      <c r="D937" s="46"/>
      <c r="E937" s="46"/>
      <c r="F937" s="46"/>
    </row>
    <row r="938" spans="1:6" x14ac:dyDescent="0.2">
      <c r="A938" s="46"/>
      <c r="B938" s="46"/>
      <c r="C938" s="46"/>
      <c r="D938" s="46"/>
      <c r="E938" s="46"/>
      <c r="F938" s="46"/>
    </row>
    <row r="939" spans="1:6" x14ac:dyDescent="0.2">
      <c r="A939" s="46"/>
      <c r="B939" s="46"/>
      <c r="C939" s="46"/>
      <c r="D939" s="46"/>
      <c r="E939" s="46"/>
      <c r="F939" s="46"/>
    </row>
    <row r="940" spans="1:6" x14ac:dyDescent="0.2">
      <c r="A940" s="46"/>
      <c r="B940" s="46"/>
      <c r="C940" s="46"/>
      <c r="D940" s="46"/>
      <c r="E940" s="46"/>
      <c r="F940" s="46"/>
    </row>
    <row r="941" spans="1:6" x14ac:dyDescent="0.2">
      <c r="A941" s="46"/>
      <c r="B941" s="46"/>
      <c r="C941" s="46"/>
      <c r="D941" s="46"/>
      <c r="E941" s="46"/>
      <c r="F941" s="46"/>
    </row>
    <row r="942" spans="1:6" x14ac:dyDescent="0.2">
      <c r="A942" s="46"/>
      <c r="B942" s="46"/>
      <c r="C942" s="46"/>
      <c r="D942" s="46"/>
      <c r="E942" s="46"/>
      <c r="F942" s="46"/>
    </row>
    <row r="943" spans="1:6" x14ac:dyDescent="0.2">
      <c r="A943" s="46"/>
      <c r="B943" s="46"/>
      <c r="C943" s="46"/>
      <c r="D943" s="46"/>
      <c r="E943" s="46"/>
      <c r="F943" s="46"/>
    </row>
    <row r="944" spans="1:6" x14ac:dyDescent="0.2">
      <c r="A944" s="46"/>
      <c r="B944" s="46"/>
      <c r="C944" s="46"/>
      <c r="D944" s="46"/>
      <c r="E944" s="46"/>
      <c r="F944" s="46"/>
    </row>
    <row r="945" spans="1:6" x14ac:dyDescent="0.2">
      <c r="A945" s="46"/>
      <c r="B945" s="46"/>
      <c r="C945" s="46"/>
      <c r="D945" s="46"/>
      <c r="E945" s="46"/>
      <c r="F945" s="46"/>
    </row>
    <row r="946" spans="1:6" x14ac:dyDescent="0.2">
      <c r="A946" s="46"/>
      <c r="B946" s="46"/>
      <c r="C946" s="46"/>
      <c r="D946" s="46"/>
      <c r="E946" s="46"/>
      <c r="F946" s="46"/>
    </row>
    <row r="947" spans="1:6" x14ac:dyDescent="0.2">
      <c r="A947" s="46"/>
      <c r="B947" s="46"/>
      <c r="C947" s="46"/>
      <c r="D947" s="46"/>
      <c r="E947" s="46"/>
      <c r="F947" s="46"/>
    </row>
    <row r="948" spans="1:6" x14ac:dyDescent="0.2">
      <c r="A948" s="46"/>
      <c r="B948" s="46"/>
      <c r="C948" s="46"/>
      <c r="D948" s="46"/>
      <c r="E948" s="46"/>
      <c r="F948" s="46"/>
    </row>
    <row r="949" spans="1:6" x14ac:dyDescent="0.2">
      <c r="A949" s="46"/>
      <c r="B949" s="46"/>
      <c r="C949" s="46"/>
      <c r="D949" s="46"/>
      <c r="E949" s="46"/>
      <c r="F949" s="46"/>
    </row>
    <row r="950" spans="1:6" x14ac:dyDescent="0.2">
      <c r="A950" s="46"/>
      <c r="B950" s="46"/>
      <c r="C950" s="46"/>
      <c r="D950" s="46"/>
      <c r="E950" s="46"/>
      <c r="F950" s="46"/>
    </row>
    <row r="951" spans="1:6" x14ac:dyDescent="0.2">
      <c r="A951" s="46"/>
      <c r="B951" s="46"/>
      <c r="C951" s="46"/>
      <c r="D951" s="46"/>
      <c r="E951" s="46"/>
      <c r="F951" s="46"/>
    </row>
    <row r="952" spans="1:6" x14ac:dyDescent="0.2">
      <c r="A952" s="46"/>
      <c r="B952" s="46"/>
      <c r="C952" s="46"/>
      <c r="D952" s="46"/>
      <c r="E952" s="46"/>
      <c r="F952" s="46"/>
    </row>
    <row r="953" spans="1:6" x14ac:dyDescent="0.2">
      <c r="A953" s="46"/>
      <c r="B953" s="46"/>
      <c r="C953" s="46"/>
      <c r="D953" s="46"/>
      <c r="E953" s="46"/>
      <c r="F953" s="46"/>
    </row>
    <row r="954" spans="1:6" x14ac:dyDescent="0.2">
      <c r="A954" s="46"/>
      <c r="B954" s="46"/>
      <c r="C954" s="46"/>
      <c r="D954" s="46"/>
      <c r="E954" s="46"/>
      <c r="F954" s="46"/>
    </row>
    <row r="955" spans="1:6" x14ac:dyDescent="0.2">
      <c r="A955" s="46"/>
      <c r="B955" s="46"/>
      <c r="C955" s="46"/>
      <c r="D955" s="46"/>
      <c r="E955" s="46"/>
      <c r="F955" s="46"/>
    </row>
    <row r="956" spans="1:6" x14ac:dyDescent="0.2">
      <c r="A956" s="46"/>
      <c r="B956" s="46"/>
      <c r="C956" s="46"/>
      <c r="D956" s="46"/>
      <c r="E956" s="46"/>
      <c r="F956" s="46"/>
    </row>
    <row r="957" spans="1:6" x14ac:dyDescent="0.2">
      <c r="A957" s="46"/>
      <c r="B957" s="46"/>
      <c r="C957" s="46"/>
      <c r="D957" s="46"/>
      <c r="E957" s="46"/>
      <c r="F957" s="46"/>
    </row>
    <row r="958" spans="1:6" x14ac:dyDescent="0.2">
      <c r="A958" s="46"/>
      <c r="B958" s="46"/>
      <c r="C958" s="46"/>
      <c r="D958" s="46"/>
      <c r="E958" s="46"/>
      <c r="F958" s="46"/>
    </row>
    <row r="959" spans="1:6" x14ac:dyDescent="0.2">
      <c r="A959" s="46"/>
      <c r="B959" s="46"/>
      <c r="C959" s="46"/>
      <c r="D959" s="46"/>
      <c r="E959" s="46"/>
      <c r="F959" s="46"/>
    </row>
    <row r="960" spans="1:6" x14ac:dyDescent="0.2">
      <c r="A960" s="46"/>
      <c r="B960" s="46"/>
      <c r="C960" s="46"/>
      <c r="D960" s="46"/>
      <c r="E960" s="46"/>
      <c r="F960" s="46"/>
    </row>
    <row r="961" spans="1:6" x14ac:dyDescent="0.2">
      <c r="A961" s="46"/>
      <c r="B961" s="46"/>
      <c r="C961" s="46"/>
      <c r="D961" s="46"/>
      <c r="E961" s="46"/>
      <c r="F961" s="46"/>
    </row>
    <row r="962" spans="1:6" x14ac:dyDescent="0.2">
      <c r="A962" s="46"/>
      <c r="B962" s="46"/>
      <c r="C962" s="46"/>
      <c r="D962" s="46"/>
      <c r="E962" s="46"/>
      <c r="F962" s="46"/>
    </row>
    <row r="963" spans="1:6" x14ac:dyDescent="0.2">
      <c r="A963" s="46"/>
      <c r="B963" s="46"/>
      <c r="C963" s="46"/>
      <c r="D963" s="46"/>
      <c r="E963" s="46"/>
      <c r="F963" s="46"/>
    </row>
    <row r="964" spans="1:6" x14ac:dyDescent="0.2">
      <c r="A964" s="46"/>
      <c r="B964" s="46"/>
      <c r="C964" s="46"/>
      <c r="D964" s="46"/>
      <c r="E964" s="46"/>
      <c r="F964" s="46"/>
    </row>
    <row r="965" spans="1:6" x14ac:dyDescent="0.2">
      <c r="A965" s="46"/>
      <c r="B965" s="46"/>
      <c r="C965" s="46"/>
      <c r="D965" s="46"/>
      <c r="E965" s="46"/>
      <c r="F965" s="46"/>
    </row>
    <row r="966" spans="1:6" x14ac:dyDescent="0.2">
      <c r="A966" s="46"/>
      <c r="B966" s="46"/>
      <c r="C966" s="46"/>
      <c r="D966" s="46"/>
      <c r="E966" s="46"/>
      <c r="F966" s="46"/>
    </row>
    <row r="967" spans="1:6" x14ac:dyDescent="0.2">
      <c r="A967" s="46"/>
      <c r="B967" s="46"/>
      <c r="C967" s="46"/>
      <c r="D967" s="46"/>
      <c r="E967" s="46"/>
      <c r="F967" s="46"/>
    </row>
    <row r="968" spans="1:6" x14ac:dyDescent="0.2">
      <c r="A968" s="46"/>
      <c r="B968" s="46"/>
      <c r="C968" s="46"/>
      <c r="D968" s="46"/>
      <c r="E968" s="46"/>
      <c r="F968" s="46"/>
    </row>
    <row r="969" spans="1:6" x14ac:dyDescent="0.2">
      <c r="A969" s="46"/>
      <c r="B969" s="46"/>
      <c r="C969" s="46"/>
      <c r="D969" s="46"/>
      <c r="E969" s="46"/>
      <c r="F969" s="46"/>
    </row>
    <row r="970" spans="1:6" x14ac:dyDescent="0.2">
      <c r="A970" s="46"/>
      <c r="B970" s="46"/>
      <c r="C970" s="46"/>
      <c r="D970" s="46"/>
      <c r="E970" s="46"/>
      <c r="F970" s="46"/>
    </row>
    <row r="971" spans="1:6" x14ac:dyDescent="0.2">
      <c r="A971" s="46"/>
      <c r="B971" s="46"/>
      <c r="C971" s="46"/>
      <c r="D971" s="46"/>
      <c r="E971" s="46"/>
      <c r="F971" s="46"/>
    </row>
    <row r="972" spans="1:6" x14ac:dyDescent="0.2">
      <c r="A972" s="46"/>
      <c r="B972" s="46"/>
      <c r="C972" s="46"/>
      <c r="D972" s="46"/>
      <c r="E972" s="46"/>
      <c r="F972" s="46"/>
    </row>
    <row r="973" spans="1:6" x14ac:dyDescent="0.2">
      <c r="A973" s="46"/>
      <c r="B973" s="46"/>
      <c r="C973" s="46"/>
      <c r="D973" s="46"/>
      <c r="E973" s="46"/>
      <c r="F973" s="46"/>
    </row>
    <row r="974" spans="1:6" x14ac:dyDescent="0.2">
      <c r="A974" s="46"/>
      <c r="B974" s="46"/>
      <c r="C974" s="46"/>
      <c r="D974" s="46"/>
      <c r="E974" s="46"/>
      <c r="F974" s="46"/>
    </row>
    <row r="975" spans="1:6" x14ac:dyDescent="0.2">
      <c r="A975" s="46"/>
      <c r="B975" s="46"/>
      <c r="C975" s="46"/>
      <c r="D975" s="46"/>
      <c r="E975" s="46"/>
      <c r="F975" s="46"/>
    </row>
    <row r="976" spans="1:6" x14ac:dyDescent="0.2">
      <c r="A976" s="46"/>
      <c r="B976" s="46"/>
      <c r="C976" s="46"/>
      <c r="D976" s="46"/>
      <c r="E976" s="46"/>
      <c r="F976" s="46"/>
    </row>
    <row r="977" spans="1:6" x14ac:dyDescent="0.2">
      <c r="A977" s="46"/>
      <c r="B977" s="46"/>
      <c r="C977" s="46"/>
      <c r="D977" s="46"/>
      <c r="E977" s="46"/>
      <c r="F977" s="46"/>
    </row>
    <row r="978" spans="1:6" x14ac:dyDescent="0.2">
      <c r="A978" s="46"/>
      <c r="B978" s="46"/>
      <c r="C978" s="46"/>
      <c r="D978" s="46"/>
      <c r="E978" s="46"/>
      <c r="F978" s="46"/>
    </row>
    <row r="979" spans="1:6" x14ac:dyDescent="0.2">
      <c r="A979" s="46"/>
      <c r="B979" s="46"/>
      <c r="C979" s="46"/>
      <c r="D979" s="46"/>
      <c r="E979" s="46"/>
      <c r="F979" s="46"/>
    </row>
    <row r="980" spans="1:6" x14ac:dyDescent="0.2">
      <c r="A980" s="46"/>
      <c r="B980" s="46"/>
      <c r="C980" s="46"/>
      <c r="D980" s="46"/>
      <c r="E980" s="46"/>
      <c r="F980" s="46"/>
    </row>
    <row r="981" spans="1:6" x14ac:dyDescent="0.2">
      <c r="A981" s="46"/>
      <c r="B981" s="46"/>
      <c r="C981" s="46"/>
      <c r="D981" s="46"/>
      <c r="E981" s="46"/>
      <c r="F981" s="46"/>
    </row>
    <row r="982" spans="1:6" x14ac:dyDescent="0.2">
      <c r="A982" s="46"/>
      <c r="B982" s="46"/>
      <c r="C982" s="46"/>
      <c r="D982" s="46"/>
      <c r="E982" s="46"/>
      <c r="F982" s="46"/>
    </row>
    <row r="983" spans="1:6" x14ac:dyDescent="0.2">
      <c r="A983" s="46"/>
      <c r="B983" s="46"/>
      <c r="C983" s="46"/>
      <c r="D983" s="46"/>
      <c r="E983" s="46"/>
      <c r="F983" s="46"/>
    </row>
    <row r="984" spans="1:6" x14ac:dyDescent="0.2">
      <c r="A984" s="46"/>
      <c r="B984" s="46"/>
      <c r="C984" s="46"/>
      <c r="D984" s="46"/>
      <c r="E984" s="46"/>
      <c r="F984" s="46"/>
    </row>
    <row r="985" spans="1:6" x14ac:dyDescent="0.2">
      <c r="A985" s="46"/>
      <c r="B985" s="46"/>
      <c r="C985" s="46"/>
      <c r="D985" s="46"/>
      <c r="E985" s="46"/>
      <c r="F985" s="46"/>
    </row>
    <row r="986" spans="1:6" x14ac:dyDescent="0.2">
      <c r="A986" s="46"/>
      <c r="B986" s="46"/>
      <c r="C986" s="46"/>
      <c r="D986" s="46"/>
      <c r="E986" s="46"/>
      <c r="F986" s="46"/>
    </row>
    <row r="987" spans="1:6" x14ac:dyDescent="0.2">
      <c r="A987" s="46"/>
      <c r="B987" s="46"/>
      <c r="C987" s="46"/>
      <c r="D987" s="46"/>
      <c r="E987" s="46"/>
      <c r="F987" s="46"/>
    </row>
    <row r="988" spans="1:6" x14ac:dyDescent="0.2">
      <c r="A988" s="46"/>
      <c r="B988" s="46"/>
      <c r="C988" s="46"/>
      <c r="D988" s="46"/>
      <c r="E988" s="46"/>
      <c r="F988" s="46"/>
    </row>
    <row r="989" spans="1:6" x14ac:dyDescent="0.2">
      <c r="A989" s="46"/>
      <c r="B989" s="46"/>
      <c r="C989" s="46"/>
      <c r="D989" s="46"/>
      <c r="E989" s="46"/>
      <c r="F989" s="46"/>
    </row>
    <row r="990" spans="1:6" x14ac:dyDescent="0.2">
      <c r="A990" s="46"/>
      <c r="B990" s="46"/>
      <c r="C990" s="46"/>
      <c r="D990" s="46"/>
      <c r="E990" s="46"/>
      <c r="F990" s="46"/>
    </row>
    <row r="991" spans="1:6" x14ac:dyDescent="0.2">
      <c r="A991" s="46"/>
      <c r="B991" s="46"/>
      <c r="C991" s="46"/>
      <c r="D991" s="46"/>
      <c r="E991" s="46"/>
      <c r="F991" s="46"/>
    </row>
    <row r="992" spans="1:6" x14ac:dyDescent="0.2">
      <c r="A992" s="46"/>
      <c r="B992" s="46"/>
      <c r="C992" s="46"/>
      <c r="D992" s="46"/>
      <c r="E992" s="46"/>
      <c r="F992" s="46"/>
    </row>
    <row r="993" spans="1:6" x14ac:dyDescent="0.2">
      <c r="A993" s="46"/>
      <c r="B993" s="46"/>
      <c r="C993" s="46"/>
      <c r="D993" s="46"/>
      <c r="E993" s="46"/>
      <c r="F993" s="46"/>
    </row>
    <row r="994" spans="1:6" x14ac:dyDescent="0.2">
      <c r="A994" s="46"/>
      <c r="B994" s="46"/>
      <c r="C994" s="46"/>
      <c r="D994" s="46"/>
      <c r="E994" s="46"/>
      <c r="F994" s="46"/>
    </row>
    <row r="995" spans="1:6" x14ac:dyDescent="0.2">
      <c r="A995" s="46"/>
      <c r="B995" s="46"/>
      <c r="C995" s="46"/>
      <c r="D995" s="46"/>
      <c r="E995" s="46"/>
      <c r="F995" s="46"/>
    </row>
    <row r="996" spans="1:6" x14ac:dyDescent="0.2">
      <c r="A996" s="46"/>
      <c r="B996" s="46"/>
      <c r="C996" s="46"/>
      <c r="D996" s="46"/>
      <c r="E996" s="46"/>
      <c r="F996" s="46"/>
    </row>
    <row r="997" spans="1:6" x14ac:dyDescent="0.2">
      <c r="A997" s="46"/>
      <c r="B997" s="46"/>
      <c r="C997" s="46"/>
      <c r="D997" s="46"/>
      <c r="E997" s="46"/>
      <c r="F997" s="46"/>
    </row>
    <row r="998" spans="1:6" x14ac:dyDescent="0.2">
      <c r="A998" s="46"/>
      <c r="B998" s="46"/>
      <c r="C998" s="46"/>
      <c r="D998" s="46"/>
      <c r="E998" s="46"/>
      <c r="F998" s="46"/>
    </row>
    <row r="999" spans="1:6" x14ac:dyDescent="0.2">
      <c r="A999" s="46"/>
      <c r="B999" s="46"/>
      <c r="C999" s="46"/>
      <c r="D999" s="46"/>
      <c r="E999" s="46"/>
      <c r="F999" s="46"/>
    </row>
    <row r="1000" spans="1:6" x14ac:dyDescent="0.2">
      <c r="A1000" s="46"/>
      <c r="B1000" s="46"/>
      <c r="C1000" s="46"/>
      <c r="D1000" s="46"/>
      <c r="E1000" s="46"/>
      <c r="F1000" s="46"/>
    </row>
    <row r="1001" spans="1:6" x14ac:dyDescent="0.2">
      <c r="A1001" s="46"/>
      <c r="B1001" s="46"/>
      <c r="C1001" s="46"/>
      <c r="D1001" s="46"/>
      <c r="E1001" s="46"/>
      <c r="F1001" s="46"/>
    </row>
    <row r="1002" spans="1:6" x14ac:dyDescent="0.2">
      <c r="A1002" s="46"/>
      <c r="B1002" s="46"/>
      <c r="C1002" s="46"/>
      <c r="D1002" s="46"/>
      <c r="E1002" s="46"/>
      <c r="F1002" s="46"/>
    </row>
    <row r="1003" spans="1:6" x14ac:dyDescent="0.2">
      <c r="A1003" s="46"/>
      <c r="B1003" s="46"/>
      <c r="C1003" s="46"/>
      <c r="D1003" s="46"/>
      <c r="E1003" s="46"/>
      <c r="F1003" s="46"/>
    </row>
    <row r="1004" spans="1:6" x14ac:dyDescent="0.2">
      <c r="A1004" s="46"/>
      <c r="B1004" s="46"/>
      <c r="C1004" s="46"/>
      <c r="D1004" s="46"/>
      <c r="E1004" s="46"/>
      <c r="F1004" s="46"/>
    </row>
    <row r="1005" spans="1:6" x14ac:dyDescent="0.2">
      <c r="A1005" s="46"/>
      <c r="B1005" s="46"/>
      <c r="C1005" s="46"/>
      <c r="D1005" s="46"/>
      <c r="E1005" s="46"/>
      <c r="F1005" s="46"/>
    </row>
    <row r="1006" spans="1:6" x14ac:dyDescent="0.2">
      <c r="A1006" s="46"/>
      <c r="B1006" s="46"/>
      <c r="C1006" s="46"/>
      <c r="D1006" s="46"/>
      <c r="E1006" s="46"/>
      <c r="F1006" s="46"/>
    </row>
    <row r="1007" spans="1:6" x14ac:dyDescent="0.2">
      <c r="A1007" s="46"/>
      <c r="B1007" s="46"/>
      <c r="C1007" s="46"/>
      <c r="D1007" s="46"/>
      <c r="E1007" s="46"/>
      <c r="F1007" s="46"/>
    </row>
    <row r="1008" spans="1:6" x14ac:dyDescent="0.2">
      <c r="A1008" s="46"/>
      <c r="B1008" s="46"/>
      <c r="C1008" s="46"/>
      <c r="D1008" s="46"/>
      <c r="E1008" s="46"/>
      <c r="F1008" s="46"/>
    </row>
    <row r="1009" spans="1:6" x14ac:dyDescent="0.2">
      <c r="A1009" s="46"/>
      <c r="B1009" s="46"/>
      <c r="C1009" s="46"/>
      <c r="D1009" s="46"/>
      <c r="E1009" s="46"/>
      <c r="F1009" s="46"/>
    </row>
    <row r="1010" spans="1:6" x14ac:dyDescent="0.2">
      <c r="A1010" s="46"/>
      <c r="B1010" s="46"/>
      <c r="C1010" s="46"/>
      <c r="D1010" s="46"/>
      <c r="E1010" s="46"/>
      <c r="F1010" s="46"/>
    </row>
    <row r="1011" spans="1:6" x14ac:dyDescent="0.2">
      <c r="A1011" s="46"/>
      <c r="B1011" s="46"/>
      <c r="C1011" s="46"/>
      <c r="D1011" s="46"/>
      <c r="E1011" s="46"/>
      <c r="F1011" s="46"/>
    </row>
    <row r="1012" spans="1:6" x14ac:dyDescent="0.2">
      <c r="A1012" s="46"/>
      <c r="B1012" s="46"/>
      <c r="C1012" s="46"/>
      <c r="D1012" s="46"/>
      <c r="E1012" s="46"/>
      <c r="F1012" s="46"/>
    </row>
    <row r="1013" spans="1:6" x14ac:dyDescent="0.2">
      <c r="A1013" s="46"/>
      <c r="B1013" s="46"/>
      <c r="C1013" s="46"/>
      <c r="D1013" s="46"/>
      <c r="E1013" s="46"/>
      <c r="F1013" s="46"/>
    </row>
    <row r="1014" spans="1:6" x14ac:dyDescent="0.2">
      <c r="A1014" s="46"/>
      <c r="B1014" s="46"/>
      <c r="C1014" s="46"/>
      <c r="D1014" s="46"/>
      <c r="E1014" s="46"/>
      <c r="F1014" s="46"/>
    </row>
    <row r="1015" spans="1:6" x14ac:dyDescent="0.2">
      <c r="A1015" s="46"/>
      <c r="B1015" s="46"/>
      <c r="C1015" s="46"/>
      <c r="D1015" s="46"/>
      <c r="E1015" s="46"/>
      <c r="F1015" s="46"/>
    </row>
    <row r="1016" spans="1:6" x14ac:dyDescent="0.2">
      <c r="A1016" s="46"/>
      <c r="B1016" s="46"/>
      <c r="C1016" s="46"/>
      <c r="D1016" s="46"/>
      <c r="E1016" s="46"/>
      <c r="F1016" s="46"/>
    </row>
    <row r="1017" spans="1:6" x14ac:dyDescent="0.2">
      <c r="A1017" s="46"/>
      <c r="B1017" s="46"/>
      <c r="C1017" s="46"/>
      <c r="D1017" s="46"/>
      <c r="E1017" s="46"/>
      <c r="F1017" s="46"/>
    </row>
    <row r="1018" spans="1:6" x14ac:dyDescent="0.2">
      <c r="A1018" s="46"/>
      <c r="B1018" s="46"/>
      <c r="C1018" s="46"/>
      <c r="D1018" s="46"/>
      <c r="E1018" s="46"/>
      <c r="F1018" s="46"/>
    </row>
    <row r="1019" spans="1:6" x14ac:dyDescent="0.2">
      <c r="A1019" s="46"/>
      <c r="B1019" s="46"/>
      <c r="C1019" s="46"/>
      <c r="D1019" s="46"/>
      <c r="E1019" s="46"/>
      <c r="F1019" s="46"/>
    </row>
    <row r="1020" spans="1:6" x14ac:dyDescent="0.2">
      <c r="A1020" s="46"/>
      <c r="B1020" s="46"/>
      <c r="C1020" s="46"/>
      <c r="D1020" s="46"/>
      <c r="E1020" s="46"/>
      <c r="F1020" s="46"/>
    </row>
    <row r="1021" spans="1:6" x14ac:dyDescent="0.2">
      <c r="A1021" s="46"/>
      <c r="B1021" s="46"/>
      <c r="C1021" s="46"/>
      <c r="D1021" s="46"/>
      <c r="E1021" s="46"/>
      <c r="F1021" s="46"/>
    </row>
    <row r="1022" spans="1:6" x14ac:dyDescent="0.2">
      <c r="A1022" s="46"/>
      <c r="B1022" s="46"/>
      <c r="C1022" s="46"/>
      <c r="D1022" s="46"/>
      <c r="E1022" s="46"/>
      <c r="F1022" s="46"/>
    </row>
    <row r="1023" spans="1:6" x14ac:dyDescent="0.2">
      <c r="A1023" s="46"/>
      <c r="B1023" s="46"/>
      <c r="C1023" s="46"/>
      <c r="D1023" s="46"/>
      <c r="E1023" s="46"/>
      <c r="F1023" s="46"/>
    </row>
    <row r="1024" spans="1:6" x14ac:dyDescent="0.2">
      <c r="A1024" s="46"/>
      <c r="B1024" s="46"/>
      <c r="C1024" s="46"/>
      <c r="D1024" s="46"/>
      <c r="E1024" s="46"/>
      <c r="F1024" s="46"/>
    </row>
    <row r="1025" spans="1:6" x14ac:dyDescent="0.2">
      <c r="A1025" s="46"/>
      <c r="B1025" s="46"/>
      <c r="C1025" s="46"/>
      <c r="D1025" s="46"/>
      <c r="E1025" s="46"/>
      <c r="F1025" s="46"/>
    </row>
    <row r="1026" spans="1:6" x14ac:dyDescent="0.2">
      <c r="A1026" s="46"/>
      <c r="B1026" s="46"/>
      <c r="C1026" s="46"/>
      <c r="D1026" s="46"/>
      <c r="E1026" s="46"/>
      <c r="F1026" s="46"/>
    </row>
    <row r="1027" spans="1:6" x14ac:dyDescent="0.2">
      <c r="A1027" s="46"/>
      <c r="B1027" s="46"/>
      <c r="C1027" s="46"/>
      <c r="D1027" s="46"/>
      <c r="E1027" s="46"/>
      <c r="F1027" s="46"/>
    </row>
    <row r="1028" spans="1:6" x14ac:dyDescent="0.2">
      <c r="A1028" s="46"/>
      <c r="B1028" s="46"/>
      <c r="C1028" s="46"/>
      <c r="D1028" s="46"/>
      <c r="E1028" s="46"/>
      <c r="F1028" s="46"/>
    </row>
    <row r="1029" spans="1:6" x14ac:dyDescent="0.2">
      <c r="A1029" s="46"/>
      <c r="B1029" s="46"/>
      <c r="C1029" s="46"/>
      <c r="D1029" s="46"/>
      <c r="E1029" s="46"/>
      <c r="F1029" s="46"/>
    </row>
    <row r="1030" spans="1:6" x14ac:dyDescent="0.2">
      <c r="A1030" s="46"/>
      <c r="B1030" s="46"/>
      <c r="C1030" s="46"/>
      <c r="D1030" s="46"/>
      <c r="E1030" s="46"/>
      <c r="F1030" s="46"/>
    </row>
    <row r="1031" spans="1:6" x14ac:dyDescent="0.2">
      <c r="A1031" s="46"/>
      <c r="B1031" s="46"/>
      <c r="C1031" s="46"/>
      <c r="D1031" s="46"/>
      <c r="E1031" s="46"/>
      <c r="F1031" s="46"/>
    </row>
    <row r="1032" spans="1:6" x14ac:dyDescent="0.2">
      <c r="A1032" s="46"/>
      <c r="B1032" s="46"/>
      <c r="C1032" s="46"/>
      <c r="D1032" s="46"/>
      <c r="E1032" s="46"/>
      <c r="F1032" s="46"/>
    </row>
    <row r="1033" spans="1:6" x14ac:dyDescent="0.2">
      <c r="A1033" s="46"/>
      <c r="B1033" s="46"/>
      <c r="C1033" s="46"/>
      <c r="D1033" s="46"/>
      <c r="E1033" s="46"/>
      <c r="F1033" s="46"/>
    </row>
    <row r="1034" spans="1:6" x14ac:dyDescent="0.2">
      <c r="A1034" s="46"/>
      <c r="B1034" s="46"/>
      <c r="C1034" s="46"/>
      <c r="D1034" s="46"/>
      <c r="E1034" s="46"/>
      <c r="F1034" s="46"/>
    </row>
    <row r="1035" spans="1:6" x14ac:dyDescent="0.2">
      <c r="A1035" s="46"/>
      <c r="B1035" s="46"/>
      <c r="C1035" s="46"/>
      <c r="D1035" s="46"/>
      <c r="E1035" s="46"/>
      <c r="F1035" s="46"/>
    </row>
    <row r="1036" spans="1:6" x14ac:dyDescent="0.2">
      <c r="A1036" s="46"/>
      <c r="B1036" s="46"/>
      <c r="C1036" s="46"/>
      <c r="D1036" s="46"/>
      <c r="E1036" s="46"/>
      <c r="F1036" s="46"/>
    </row>
    <row r="1037" spans="1:6" x14ac:dyDescent="0.2">
      <c r="A1037" s="46"/>
      <c r="B1037" s="46"/>
      <c r="C1037" s="46"/>
      <c r="D1037" s="46"/>
      <c r="E1037" s="46"/>
      <c r="F1037" s="46"/>
    </row>
    <row r="1038" spans="1:6" x14ac:dyDescent="0.2">
      <c r="A1038" s="46"/>
      <c r="B1038" s="46"/>
      <c r="C1038" s="46"/>
      <c r="D1038" s="46"/>
      <c r="E1038" s="46"/>
      <c r="F1038" s="46"/>
    </row>
    <row r="1039" spans="1:6" x14ac:dyDescent="0.2">
      <c r="A1039" s="46"/>
      <c r="B1039" s="46"/>
      <c r="C1039" s="46"/>
      <c r="D1039" s="46"/>
      <c r="E1039" s="46"/>
      <c r="F1039" s="46"/>
    </row>
    <row r="1040" spans="1:6" x14ac:dyDescent="0.2">
      <c r="A1040" s="46"/>
      <c r="B1040" s="46"/>
      <c r="C1040" s="46"/>
      <c r="D1040" s="46"/>
      <c r="E1040" s="46"/>
      <c r="F1040" s="46"/>
    </row>
    <row r="1041" spans="1:6" x14ac:dyDescent="0.2">
      <c r="A1041" s="46"/>
      <c r="B1041" s="46"/>
      <c r="C1041" s="46"/>
      <c r="D1041" s="46"/>
      <c r="E1041" s="46"/>
      <c r="F1041" s="46"/>
    </row>
    <row r="1042" spans="1:6" x14ac:dyDescent="0.2">
      <c r="A1042" s="46"/>
      <c r="B1042" s="46"/>
      <c r="C1042" s="46"/>
      <c r="D1042" s="46"/>
      <c r="E1042" s="46"/>
      <c r="F1042" s="46"/>
    </row>
    <row r="1043" spans="1:6" x14ac:dyDescent="0.2">
      <c r="A1043" s="46"/>
      <c r="B1043" s="46"/>
      <c r="C1043" s="46"/>
      <c r="D1043" s="46"/>
      <c r="E1043" s="46"/>
      <c r="F1043" s="46"/>
    </row>
    <row r="1044" spans="1:6" x14ac:dyDescent="0.2">
      <c r="A1044" s="46"/>
      <c r="B1044" s="46"/>
      <c r="C1044" s="46"/>
      <c r="D1044" s="46"/>
      <c r="E1044" s="46"/>
      <c r="F1044" s="46"/>
    </row>
    <row r="1045" spans="1:6" x14ac:dyDescent="0.2">
      <c r="A1045" s="46"/>
      <c r="B1045" s="46"/>
      <c r="C1045" s="46"/>
      <c r="D1045" s="46"/>
      <c r="E1045" s="46"/>
      <c r="F1045" s="46"/>
    </row>
    <row r="1046" spans="1:6" x14ac:dyDescent="0.2">
      <c r="A1046" s="46"/>
      <c r="B1046" s="46"/>
      <c r="C1046" s="46"/>
      <c r="D1046" s="46"/>
      <c r="E1046" s="46"/>
      <c r="F1046" s="46"/>
    </row>
    <row r="1047" spans="1:6" x14ac:dyDescent="0.2">
      <c r="A1047" s="46"/>
      <c r="B1047" s="46"/>
      <c r="C1047" s="46"/>
      <c r="D1047" s="46"/>
      <c r="E1047" s="46"/>
      <c r="F1047" s="46"/>
    </row>
    <row r="1048" spans="1:6" x14ac:dyDescent="0.2">
      <c r="A1048" s="46"/>
      <c r="B1048" s="46"/>
      <c r="C1048" s="46"/>
      <c r="D1048" s="46"/>
      <c r="E1048" s="46"/>
      <c r="F1048" s="46"/>
    </row>
    <row r="1049" spans="1:6" x14ac:dyDescent="0.2">
      <c r="A1049" s="46"/>
      <c r="B1049" s="46"/>
      <c r="C1049" s="46"/>
      <c r="D1049" s="46"/>
      <c r="E1049" s="46"/>
      <c r="F1049" s="46"/>
    </row>
    <row r="1050" spans="1:6" x14ac:dyDescent="0.2">
      <c r="A1050" s="46"/>
      <c r="B1050" s="46"/>
      <c r="C1050" s="46"/>
      <c r="D1050" s="46"/>
      <c r="E1050" s="46"/>
      <c r="F1050" s="46"/>
    </row>
    <row r="1051" spans="1:6" x14ac:dyDescent="0.2">
      <c r="A1051" s="46"/>
      <c r="B1051" s="46"/>
      <c r="C1051" s="46"/>
      <c r="D1051" s="46"/>
      <c r="E1051" s="46"/>
      <c r="F1051" s="46"/>
    </row>
    <row r="1052" spans="1:6" x14ac:dyDescent="0.2">
      <c r="A1052" s="46"/>
      <c r="B1052" s="46"/>
      <c r="C1052" s="46"/>
      <c r="D1052" s="46"/>
      <c r="E1052" s="46"/>
      <c r="F1052" s="46"/>
    </row>
    <row r="1053" spans="1:6" x14ac:dyDescent="0.2">
      <c r="A1053" s="46"/>
      <c r="B1053" s="46"/>
      <c r="C1053" s="46"/>
      <c r="D1053" s="46"/>
      <c r="E1053" s="46"/>
      <c r="F1053" s="46"/>
    </row>
    <row r="1054" spans="1:6" x14ac:dyDescent="0.2">
      <c r="A1054" s="46"/>
      <c r="B1054" s="46"/>
      <c r="C1054" s="46"/>
      <c r="D1054" s="46"/>
      <c r="E1054" s="46"/>
      <c r="F1054" s="46"/>
    </row>
    <row r="1055" spans="1:6" x14ac:dyDescent="0.2">
      <c r="A1055" s="46"/>
      <c r="B1055" s="46"/>
      <c r="C1055" s="46"/>
      <c r="D1055" s="46"/>
      <c r="E1055" s="46"/>
      <c r="F1055" s="46"/>
    </row>
    <row r="1056" spans="1:6" x14ac:dyDescent="0.2">
      <c r="A1056" s="46"/>
      <c r="B1056" s="46"/>
      <c r="C1056" s="46"/>
      <c r="D1056" s="46"/>
      <c r="E1056" s="46"/>
      <c r="F1056" s="46"/>
    </row>
    <row r="1057" spans="1:6" x14ac:dyDescent="0.2">
      <c r="A1057" s="46"/>
      <c r="B1057" s="46"/>
      <c r="C1057" s="46"/>
      <c r="D1057" s="46"/>
      <c r="E1057" s="46"/>
      <c r="F1057" s="46"/>
    </row>
    <row r="1058" spans="1:6" x14ac:dyDescent="0.2">
      <c r="A1058" s="46"/>
      <c r="B1058" s="46"/>
      <c r="C1058" s="46"/>
      <c r="D1058" s="46"/>
      <c r="E1058" s="46"/>
      <c r="F1058" s="46"/>
    </row>
    <row r="1059" spans="1:6" x14ac:dyDescent="0.2">
      <c r="A1059" s="46"/>
      <c r="B1059" s="46"/>
      <c r="C1059" s="46"/>
      <c r="D1059" s="46"/>
      <c r="E1059" s="46"/>
      <c r="F1059" s="46"/>
    </row>
    <row r="1060" spans="1:6" x14ac:dyDescent="0.2">
      <c r="A1060" s="46"/>
      <c r="B1060" s="46"/>
      <c r="C1060" s="46"/>
      <c r="D1060" s="46"/>
      <c r="E1060" s="46"/>
      <c r="F1060" s="46"/>
    </row>
    <row r="1061" spans="1:6" x14ac:dyDescent="0.2">
      <c r="A1061" s="46"/>
      <c r="B1061" s="46"/>
      <c r="C1061" s="46"/>
      <c r="D1061" s="46"/>
      <c r="E1061" s="46"/>
      <c r="F1061" s="46"/>
    </row>
    <row r="1062" spans="1:6" x14ac:dyDescent="0.2">
      <c r="A1062" s="46"/>
      <c r="B1062" s="46"/>
      <c r="C1062" s="46"/>
      <c r="D1062" s="46"/>
      <c r="E1062" s="46"/>
      <c r="F1062" s="46"/>
    </row>
    <row r="1063" spans="1:6" x14ac:dyDescent="0.2">
      <c r="A1063" s="46"/>
      <c r="B1063" s="46"/>
      <c r="C1063" s="46"/>
      <c r="D1063" s="46"/>
      <c r="E1063" s="46"/>
      <c r="F1063" s="46"/>
    </row>
    <row r="1064" spans="1:6" x14ac:dyDescent="0.2">
      <c r="A1064" s="46"/>
      <c r="B1064" s="46"/>
      <c r="C1064" s="46"/>
      <c r="D1064" s="46"/>
      <c r="E1064" s="46"/>
      <c r="F1064" s="46"/>
    </row>
    <row r="1065" spans="1:6" x14ac:dyDescent="0.2">
      <c r="A1065" s="46"/>
      <c r="B1065" s="46"/>
      <c r="C1065" s="46"/>
      <c r="D1065" s="46"/>
      <c r="E1065" s="46"/>
      <c r="F1065" s="46"/>
    </row>
    <row r="1066" spans="1:6" x14ac:dyDescent="0.2">
      <c r="A1066" s="46"/>
      <c r="B1066" s="46"/>
      <c r="C1066" s="46"/>
      <c r="D1066" s="46"/>
      <c r="E1066" s="46"/>
      <c r="F1066" s="46"/>
    </row>
    <row r="1067" spans="1:6" x14ac:dyDescent="0.2">
      <c r="A1067" s="46"/>
      <c r="B1067" s="46"/>
      <c r="C1067" s="46"/>
      <c r="D1067" s="46"/>
      <c r="E1067" s="46"/>
      <c r="F1067" s="46"/>
    </row>
    <row r="1068" spans="1:6" x14ac:dyDescent="0.2">
      <c r="A1068" s="46"/>
      <c r="B1068" s="46"/>
      <c r="C1068" s="46"/>
      <c r="D1068" s="46"/>
      <c r="E1068" s="46"/>
      <c r="F1068" s="46"/>
    </row>
    <row r="1069" spans="1:6" x14ac:dyDescent="0.2">
      <c r="A1069" s="46"/>
      <c r="B1069" s="46"/>
      <c r="C1069" s="46"/>
      <c r="D1069" s="46"/>
      <c r="E1069" s="46"/>
      <c r="F1069" s="46"/>
    </row>
    <row r="1070" spans="1:6" x14ac:dyDescent="0.2">
      <c r="A1070" s="46"/>
      <c r="B1070" s="46"/>
      <c r="C1070" s="46"/>
      <c r="D1070" s="46"/>
      <c r="E1070" s="46"/>
      <c r="F1070" s="46"/>
    </row>
    <row r="1071" spans="1:6" x14ac:dyDescent="0.2">
      <c r="A1071" s="46"/>
      <c r="B1071" s="46"/>
      <c r="C1071" s="46"/>
      <c r="D1071" s="46"/>
      <c r="E1071" s="46"/>
      <c r="F1071" s="46"/>
    </row>
    <row r="1072" spans="1:6" x14ac:dyDescent="0.2">
      <c r="A1072" s="46"/>
      <c r="B1072" s="46"/>
      <c r="C1072" s="46"/>
      <c r="D1072" s="46"/>
      <c r="E1072" s="46"/>
      <c r="F1072" s="46"/>
    </row>
    <row r="1073" spans="1:6" x14ac:dyDescent="0.2">
      <c r="A1073" s="46"/>
      <c r="B1073" s="46"/>
      <c r="C1073" s="46"/>
      <c r="D1073" s="46"/>
      <c r="E1073" s="46"/>
      <c r="F1073" s="46"/>
    </row>
    <row r="1074" spans="1:6" x14ac:dyDescent="0.2">
      <c r="A1074" s="46"/>
      <c r="B1074" s="46"/>
      <c r="C1074" s="46"/>
      <c r="D1074" s="46"/>
      <c r="E1074" s="46"/>
      <c r="F1074" s="46"/>
    </row>
    <row r="1075" spans="1:6" x14ac:dyDescent="0.2">
      <c r="A1075" s="46"/>
      <c r="B1075" s="46"/>
      <c r="C1075" s="46"/>
      <c r="D1075" s="46"/>
      <c r="E1075" s="46"/>
      <c r="F1075" s="46"/>
    </row>
    <row r="1076" spans="1:6" x14ac:dyDescent="0.2">
      <c r="A1076" s="46"/>
      <c r="B1076" s="46"/>
      <c r="C1076" s="46"/>
      <c r="D1076" s="46"/>
      <c r="E1076" s="46"/>
      <c r="F1076" s="46"/>
    </row>
    <row r="1077" spans="1:6" x14ac:dyDescent="0.2">
      <c r="A1077" s="46"/>
      <c r="B1077" s="46"/>
      <c r="C1077" s="46"/>
      <c r="D1077" s="46"/>
      <c r="E1077" s="46"/>
      <c r="F1077" s="46"/>
    </row>
    <row r="1078" spans="1:6" x14ac:dyDescent="0.2">
      <c r="A1078" s="46"/>
      <c r="B1078" s="46"/>
      <c r="C1078" s="46"/>
      <c r="D1078" s="46"/>
      <c r="E1078" s="46"/>
      <c r="F1078" s="46"/>
    </row>
    <row r="1079" spans="1:6" x14ac:dyDescent="0.2">
      <c r="A1079" s="46"/>
      <c r="B1079" s="46"/>
      <c r="C1079" s="46"/>
      <c r="D1079" s="46"/>
      <c r="E1079" s="46"/>
      <c r="F1079" s="46"/>
    </row>
    <row r="1080" spans="1:6" x14ac:dyDescent="0.2">
      <c r="A1080" s="46"/>
      <c r="B1080" s="46"/>
      <c r="C1080" s="46"/>
      <c r="D1080" s="46"/>
      <c r="E1080" s="46"/>
      <c r="F1080" s="46"/>
    </row>
    <row r="1081" spans="1:6" x14ac:dyDescent="0.2">
      <c r="A1081" s="46"/>
      <c r="B1081" s="46"/>
      <c r="C1081" s="46"/>
      <c r="D1081" s="46"/>
      <c r="E1081" s="46"/>
      <c r="F1081" s="46"/>
    </row>
    <row r="1082" spans="1:6" x14ac:dyDescent="0.2">
      <c r="A1082" s="46"/>
      <c r="B1082" s="46"/>
      <c r="C1082" s="46"/>
      <c r="D1082" s="46"/>
      <c r="E1082" s="46"/>
      <c r="F1082" s="46"/>
    </row>
    <row r="1083" spans="1:6" x14ac:dyDescent="0.2">
      <c r="A1083" s="46"/>
      <c r="B1083" s="46"/>
      <c r="C1083" s="46"/>
      <c r="D1083" s="46"/>
      <c r="E1083" s="46"/>
      <c r="F1083" s="46"/>
    </row>
    <row r="1084" spans="1:6" x14ac:dyDescent="0.2">
      <c r="A1084" s="46"/>
      <c r="B1084" s="46"/>
      <c r="C1084" s="46"/>
      <c r="D1084" s="46"/>
      <c r="E1084" s="46"/>
      <c r="F1084" s="46"/>
    </row>
    <row r="1085" spans="1:6" x14ac:dyDescent="0.2">
      <c r="A1085" s="46"/>
      <c r="B1085" s="46"/>
      <c r="C1085" s="46"/>
      <c r="D1085" s="46"/>
      <c r="E1085" s="46"/>
      <c r="F1085" s="46"/>
    </row>
    <row r="1086" spans="1:6" x14ac:dyDescent="0.2">
      <c r="A1086" s="46"/>
      <c r="B1086" s="46"/>
      <c r="C1086" s="46"/>
      <c r="D1086" s="46"/>
      <c r="E1086" s="46"/>
      <c r="F1086" s="46"/>
    </row>
    <row r="1087" spans="1:6" x14ac:dyDescent="0.2">
      <c r="A1087" s="46"/>
      <c r="B1087" s="46"/>
      <c r="C1087" s="46"/>
      <c r="D1087" s="46"/>
      <c r="E1087" s="46"/>
      <c r="F1087" s="46"/>
    </row>
    <row r="1088" spans="1:6" x14ac:dyDescent="0.2">
      <c r="A1088" s="46"/>
      <c r="B1088" s="46"/>
      <c r="C1088" s="46"/>
      <c r="D1088" s="46"/>
      <c r="E1088" s="46"/>
      <c r="F1088" s="46"/>
    </row>
    <row r="1089" spans="1:6" x14ac:dyDescent="0.2">
      <c r="A1089" s="46"/>
      <c r="B1089" s="46"/>
      <c r="C1089" s="46"/>
      <c r="D1089" s="46"/>
      <c r="E1089" s="46"/>
      <c r="F1089" s="46"/>
    </row>
    <row r="1090" spans="1:6" x14ac:dyDescent="0.2">
      <c r="A1090" s="46"/>
      <c r="B1090" s="46"/>
      <c r="C1090" s="46"/>
      <c r="D1090" s="46"/>
      <c r="E1090" s="46"/>
      <c r="F1090" s="46"/>
    </row>
    <row r="1091" spans="1:6" x14ac:dyDescent="0.2">
      <c r="A1091" s="46"/>
      <c r="B1091" s="46"/>
      <c r="C1091" s="46"/>
      <c r="D1091" s="46"/>
      <c r="E1091" s="46"/>
      <c r="F1091" s="46"/>
    </row>
    <row r="1092" spans="1:6" x14ac:dyDescent="0.2">
      <c r="A1092" s="46"/>
      <c r="B1092" s="46"/>
      <c r="C1092" s="46"/>
      <c r="D1092" s="46"/>
      <c r="E1092" s="46"/>
      <c r="F1092" s="46"/>
    </row>
    <row r="1093" spans="1:6" x14ac:dyDescent="0.2">
      <c r="A1093" s="46"/>
      <c r="B1093" s="46"/>
      <c r="C1093" s="46"/>
      <c r="D1093" s="46"/>
      <c r="E1093" s="46"/>
      <c r="F1093" s="46"/>
    </row>
    <row r="1094" spans="1:6" x14ac:dyDescent="0.2">
      <c r="A1094" s="46"/>
      <c r="B1094" s="46"/>
      <c r="C1094" s="46"/>
      <c r="D1094" s="46"/>
      <c r="E1094" s="46"/>
      <c r="F1094" s="46"/>
    </row>
    <row r="1095" spans="1:6" x14ac:dyDescent="0.2">
      <c r="A1095" s="46"/>
      <c r="B1095" s="46"/>
      <c r="C1095" s="46"/>
      <c r="D1095" s="46"/>
      <c r="E1095" s="46"/>
      <c r="F1095" s="46"/>
    </row>
    <row r="1096" spans="1:6" x14ac:dyDescent="0.2">
      <c r="A1096" s="46"/>
      <c r="B1096" s="46"/>
      <c r="C1096" s="46"/>
      <c r="D1096" s="46"/>
      <c r="E1096" s="46"/>
      <c r="F1096" s="46"/>
    </row>
    <row r="1097" spans="1:6" x14ac:dyDescent="0.2">
      <c r="A1097" s="46"/>
      <c r="B1097" s="46"/>
      <c r="C1097" s="46"/>
      <c r="D1097" s="46"/>
      <c r="E1097" s="46"/>
      <c r="F1097" s="46"/>
    </row>
    <row r="1098" spans="1:6" x14ac:dyDescent="0.2">
      <c r="A1098" s="46"/>
      <c r="B1098" s="46"/>
      <c r="C1098" s="46"/>
      <c r="D1098" s="46"/>
      <c r="E1098" s="46"/>
      <c r="F1098" s="46"/>
    </row>
    <row r="1099" spans="1:6" x14ac:dyDescent="0.2">
      <c r="A1099" s="46"/>
      <c r="B1099" s="46"/>
      <c r="C1099" s="46"/>
      <c r="D1099" s="46"/>
      <c r="E1099" s="46"/>
      <c r="F1099" s="46"/>
    </row>
    <row r="1100" spans="1:6" x14ac:dyDescent="0.2">
      <c r="A1100" s="46"/>
      <c r="B1100" s="46"/>
      <c r="C1100" s="46"/>
      <c r="D1100" s="46"/>
      <c r="E1100" s="46"/>
      <c r="F1100" s="46"/>
    </row>
    <row r="1101" spans="1:6" x14ac:dyDescent="0.2">
      <c r="A1101" s="46"/>
      <c r="B1101" s="46"/>
      <c r="C1101" s="46"/>
      <c r="D1101" s="46"/>
      <c r="E1101" s="46"/>
      <c r="F1101" s="46"/>
    </row>
    <row r="1102" spans="1:6" x14ac:dyDescent="0.2">
      <c r="A1102" s="46"/>
      <c r="B1102" s="46"/>
      <c r="C1102" s="46"/>
      <c r="D1102" s="46"/>
      <c r="E1102" s="46"/>
      <c r="F1102" s="46"/>
    </row>
    <row r="1103" spans="1:6" x14ac:dyDescent="0.2">
      <c r="A1103" s="46"/>
      <c r="B1103" s="46"/>
      <c r="C1103" s="46"/>
      <c r="D1103" s="46"/>
      <c r="E1103" s="46"/>
      <c r="F1103" s="46"/>
    </row>
    <row r="1104" spans="1:6" x14ac:dyDescent="0.2">
      <c r="A1104" s="46"/>
      <c r="B1104" s="46"/>
      <c r="C1104" s="46"/>
      <c r="D1104" s="46"/>
      <c r="E1104" s="46"/>
      <c r="F1104" s="46"/>
    </row>
    <row r="1105" spans="1:6" x14ac:dyDescent="0.2">
      <c r="A1105" s="46"/>
      <c r="B1105" s="46"/>
      <c r="C1105" s="46"/>
      <c r="D1105" s="46"/>
      <c r="E1105" s="46"/>
      <c r="F1105" s="46"/>
    </row>
    <row r="1106" spans="1:6" x14ac:dyDescent="0.2">
      <c r="A1106" s="46"/>
      <c r="B1106" s="46"/>
      <c r="C1106" s="46"/>
      <c r="D1106" s="46"/>
      <c r="E1106" s="46"/>
      <c r="F1106" s="46"/>
    </row>
    <row r="1107" spans="1:6" x14ac:dyDescent="0.2">
      <c r="A1107" s="46"/>
      <c r="B1107" s="46"/>
      <c r="C1107" s="46"/>
      <c r="D1107" s="46"/>
      <c r="E1107" s="46"/>
      <c r="F1107" s="46"/>
    </row>
    <row r="1108" spans="1:6" x14ac:dyDescent="0.2">
      <c r="A1108" s="46"/>
      <c r="B1108" s="46"/>
      <c r="C1108" s="46"/>
      <c r="D1108" s="46"/>
      <c r="E1108" s="46"/>
      <c r="F1108" s="46"/>
    </row>
    <row r="1109" spans="1:6" x14ac:dyDescent="0.2">
      <c r="A1109" s="46"/>
      <c r="B1109" s="46"/>
      <c r="C1109" s="46"/>
      <c r="D1109" s="46"/>
      <c r="E1109" s="46"/>
      <c r="F1109" s="46"/>
    </row>
    <row r="1110" spans="1:6" x14ac:dyDescent="0.2">
      <c r="A1110" s="46"/>
      <c r="B1110" s="46"/>
      <c r="C1110" s="46"/>
      <c r="D1110" s="46"/>
      <c r="E1110" s="46"/>
      <c r="F1110" s="46"/>
    </row>
    <row r="1111" spans="1:6" x14ac:dyDescent="0.2">
      <c r="A1111" s="46"/>
      <c r="B1111" s="46"/>
      <c r="C1111" s="46"/>
      <c r="D1111" s="46"/>
      <c r="E1111" s="46"/>
      <c r="F1111" s="46"/>
    </row>
    <row r="1112" spans="1:6" x14ac:dyDescent="0.2">
      <c r="A1112" s="46"/>
      <c r="B1112" s="46"/>
      <c r="C1112" s="46"/>
      <c r="D1112" s="46"/>
      <c r="E1112" s="46"/>
      <c r="F1112" s="46"/>
    </row>
    <row r="1113" spans="1:6" x14ac:dyDescent="0.2">
      <c r="A1113" s="46"/>
      <c r="B1113" s="46"/>
      <c r="C1113" s="46"/>
      <c r="D1113" s="46"/>
      <c r="E1113" s="46"/>
      <c r="F1113" s="46"/>
    </row>
    <row r="1114" spans="1:6" x14ac:dyDescent="0.2">
      <c r="A1114" s="46"/>
      <c r="B1114" s="46"/>
      <c r="C1114" s="46"/>
      <c r="D1114" s="46"/>
      <c r="E1114" s="46"/>
      <c r="F1114" s="46"/>
    </row>
    <row r="1115" spans="1:6" x14ac:dyDescent="0.2">
      <c r="A1115" s="46"/>
      <c r="B1115" s="46"/>
      <c r="C1115" s="46"/>
      <c r="D1115" s="46"/>
      <c r="E1115" s="46"/>
      <c r="F1115" s="46"/>
    </row>
    <row r="1116" spans="1:6" x14ac:dyDescent="0.2">
      <c r="A1116" s="46"/>
      <c r="B1116" s="46"/>
      <c r="C1116" s="46"/>
      <c r="D1116" s="46"/>
      <c r="E1116" s="46"/>
      <c r="F1116" s="46"/>
    </row>
    <row r="1117" spans="1:6" x14ac:dyDescent="0.2">
      <c r="A1117" s="46"/>
      <c r="B1117" s="46"/>
      <c r="C1117" s="46"/>
      <c r="D1117" s="46"/>
      <c r="E1117" s="46"/>
      <c r="F1117" s="46"/>
    </row>
    <row r="1118" spans="1:6" x14ac:dyDescent="0.2">
      <c r="A1118" s="46"/>
      <c r="B1118" s="46"/>
      <c r="C1118" s="46"/>
      <c r="D1118" s="46"/>
      <c r="E1118" s="46"/>
      <c r="F1118" s="46"/>
    </row>
    <row r="1119" spans="1:6" x14ac:dyDescent="0.2">
      <c r="A1119" s="46"/>
      <c r="B1119" s="46"/>
      <c r="C1119" s="46"/>
      <c r="D1119" s="46"/>
      <c r="E1119" s="46"/>
      <c r="F1119" s="46"/>
    </row>
    <row r="1120" spans="1:6" x14ac:dyDescent="0.2">
      <c r="A1120" s="46"/>
      <c r="B1120" s="46"/>
      <c r="C1120" s="46"/>
      <c r="D1120" s="46"/>
      <c r="E1120" s="46"/>
      <c r="F1120" s="46"/>
    </row>
    <row r="1121" spans="1:6" x14ac:dyDescent="0.2">
      <c r="A1121" s="46"/>
      <c r="B1121" s="46"/>
      <c r="C1121" s="46"/>
      <c r="D1121" s="46"/>
      <c r="E1121" s="46"/>
      <c r="F1121" s="46"/>
    </row>
    <row r="1122" spans="1:6" x14ac:dyDescent="0.2">
      <c r="A1122" s="46"/>
      <c r="B1122" s="46"/>
      <c r="C1122" s="46"/>
      <c r="D1122" s="46"/>
      <c r="E1122" s="46"/>
      <c r="F1122" s="46"/>
    </row>
    <row r="1123" spans="1:6" x14ac:dyDescent="0.2">
      <c r="A1123" s="46"/>
      <c r="B1123" s="46"/>
      <c r="C1123" s="46"/>
      <c r="D1123" s="46"/>
      <c r="E1123" s="46"/>
      <c r="F1123" s="46"/>
    </row>
    <row r="1124" spans="1:6" x14ac:dyDescent="0.2">
      <c r="A1124" s="46"/>
      <c r="B1124" s="46"/>
      <c r="C1124" s="46"/>
      <c r="D1124" s="46"/>
      <c r="E1124" s="46"/>
      <c r="F1124" s="46"/>
    </row>
    <row r="1125" spans="1:6" x14ac:dyDescent="0.2">
      <c r="A1125" s="46"/>
      <c r="B1125" s="46"/>
      <c r="C1125" s="46"/>
      <c r="D1125" s="46"/>
      <c r="E1125" s="46"/>
      <c r="F1125" s="46"/>
    </row>
    <row r="1126" spans="1:6" x14ac:dyDescent="0.2">
      <c r="A1126" s="46"/>
      <c r="B1126" s="46"/>
      <c r="C1126" s="46"/>
      <c r="D1126" s="46"/>
      <c r="E1126" s="46"/>
      <c r="F1126" s="46"/>
    </row>
    <row r="1127" spans="1:6" x14ac:dyDescent="0.2">
      <c r="A1127" s="46"/>
      <c r="B1127" s="46"/>
      <c r="C1127" s="46"/>
      <c r="D1127" s="46"/>
      <c r="E1127" s="46"/>
      <c r="F1127" s="46"/>
    </row>
    <row r="1128" spans="1:6" x14ac:dyDescent="0.2">
      <c r="A1128" s="46"/>
      <c r="B1128" s="46"/>
      <c r="C1128" s="46"/>
      <c r="D1128" s="46"/>
      <c r="E1128" s="46"/>
      <c r="F1128" s="46"/>
    </row>
    <row r="1129" spans="1:6" x14ac:dyDescent="0.2">
      <c r="A1129" s="46"/>
      <c r="B1129" s="46"/>
      <c r="C1129" s="46"/>
      <c r="D1129" s="46"/>
      <c r="E1129" s="46"/>
      <c r="F1129" s="46"/>
    </row>
    <row r="1130" spans="1:6" x14ac:dyDescent="0.2">
      <c r="A1130" s="46"/>
      <c r="B1130" s="46"/>
      <c r="C1130" s="46"/>
      <c r="D1130" s="46"/>
      <c r="E1130" s="46"/>
      <c r="F1130" s="46"/>
    </row>
    <row r="1131" spans="1:6" x14ac:dyDescent="0.2">
      <c r="A1131" s="46"/>
      <c r="B1131" s="46"/>
      <c r="C1131" s="46"/>
      <c r="D1131" s="46"/>
      <c r="E1131" s="46"/>
      <c r="F1131" s="46"/>
    </row>
    <row r="1132" spans="1:6" x14ac:dyDescent="0.2">
      <c r="A1132" s="46"/>
      <c r="B1132" s="46"/>
      <c r="C1132" s="46"/>
      <c r="D1132" s="46"/>
      <c r="E1132" s="46"/>
      <c r="F1132" s="46"/>
    </row>
    <row r="1133" spans="1:6" x14ac:dyDescent="0.2">
      <c r="A1133" s="46"/>
      <c r="B1133" s="46"/>
      <c r="C1133" s="46"/>
      <c r="D1133" s="46"/>
      <c r="E1133" s="46"/>
      <c r="F1133" s="46"/>
    </row>
    <row r="1134" spans="1:6" x14ac:dyDescent="0.2">
      <c r="A1134" s="46"/>
      <c r="B1134" s="46"/>
      <c r="C1134" s="46"/>
      <c r="D1134" s="46"/>
      <c r="E1134" s="46"/>
      <c r="F1134" s="46"/>
    </row>
    <row r="1135" spans="1:6" x14ac:dyDescent="0.2">
      <c r="A1135" s="46"/>
      <c r="B1135" s="46"/>
      <c r="C1135" s="46"/>
      <c r="D1135" s="46"/>
      <c r="E1135" s="46"/>
      <c r="F1135" s="46"/>
    </row>
    <row r="1136" spans="1:6" x14ac:dyDescent="0.2">
      <c r="A1136" s="46"/>
      <c r="B1136" s="46"/>
      <c r="C1136" s="46"/>
      <c r="D1136" s="46"/>
      <c r="E1136" s="46"/>
      <c r="F1136" s="46"/>
    </row>
    <row r="1137" spans="1:6" x14ac:dyDescent="0.2">
      <c r="A1137" s="46"/>
      <c r="B1137" s="46"/>
      <c r="C1137" s="46"/>
      <c r="D1137" s="46"/>
      <c r="E1137" s="46"/>
      <c r="F1137" s="46"/>
    </row>
    <row r="1138" spans="1:6" x14ac:dyDescent="0.2">
      <c r="A1138" s="46"/>
      <c r="B1138" s="46"/>
      <c r="C1138" s="46"/>
      <c r="D1138" s="46"/>
      <c r="E1138" s="46"/>
      <c r="F1138" s="46"/>
    </row>
    <row r="1139" spans="1:6" x14ac:dyDescent="0.2">
      <c r="A1139" s="46"/>
      <c r="B1139" s="46"/>
      <c r="C1139" s="46"/>
      <c r="D1139" s="46"/>
      <c r="E1139" s="46"/>
      <c r="F1139" s="46"/>
    </row>
    <row r="1140" spans="1:6" x14ac:dyDescent="0.2">
      <c r="A1140" s="46"/>
      <c r="B1140" s="46"/>
      <c r="C1140" s="46"/>
      <c r="D1140" s="46"/>
      <c r="E1140" s="46"/>
      <c r="F1140" s="46"/>
    </row>
    <row r="1141" spans="1:6" x14ac:dyDescent="0.2">
      <c r="A1141" s="46"/>
      <c r="B1141" s="46"/>
      <c r="C1141" s="46"/>
      <c r="D1141" s="46"/>
      <c r="E1141" s="46"/>
      <c r="F1141" s="46"/>
    </row>
    <row r="1142" spans="1:6" x14ac:dyDescent="0.2">
      <c r="A1142" s="46"/>
      <c r="B1142" s="46"/>
      <c r="C1142" s="46"/>
      <c r="D1142" s="46"/>
      <c r="E1142" s="46"/>
      <c r="F1142" s="46"/>
    </row>
    <row r="1143" spans="1:6" x14ac:dyDescent="0.2">
      <c r="A1143" s="46"/>
      <c r="B1143" s="46"/>
      <c r="C1143" s="46"/>
      <c r="D1143" s="46"/>
      <c r="E1143" s="46"/>
      <c r="F1143" s="46"/>
    </row>
    <row r="1144" spans="1:6" x14ac:dyDescent="0.2">
      <c r="A1144" s="46"/>
      <c r="B1144" s="46"/>
      <c r="C1144" s="46"/>
      <c r="D1144" s="46"/>
      <c r="E1144" s="46"/>
      <c r="F1144" s="46"/>
    </row>
    <row r="1145" spans="1:6" x14ac:dyDescent="0.2">
      <c r="A1145" s="46"/>
      <c r="B1145" s="46"/>
      <c r="C1145" s="46"/>
      <c r="D1145" s="46"/>
      <c r="E1145" s="46"/>
      <c r="F1145" s="46"/>
    </row>
    <row r="1146" spans="1:6" x14ac:dyDescent="0.2">
      <c r="A1146" s="46"/>
      <c r="B1146" s="46"/>
      <c r="C1146" s="46"/>
      <c r="D1146" s="46"/>
      <c r="E1146" s="46"/>
      <c r="F1146" s="46"/>
    </row>
    <row r="1147" spans="1:6" x14ac:dyDescent="0.2">
      <c r="A1147" s="46"/>
      <c r="B1147" s="46"/>
      <c r="C1147" s="46"/>
      <c r="D1147" s="46"/>
      <c r="E1147" s="46"/>
      <c r="F1147" s="46"/>
    </row>
    <row r="1148" spans="1:6" x14ac:dyDescent="0.2">
      <c r="A1148" s="46"/>
      <c r="B1148" s="46"/>
      <c r="C1148" s="46"/>
      <c r="D1148" s="46"/>
      <c r="E1148" s="46"/>
      <c r="F1148" s="46"/>
    </row>
    <row r="1149" spans="1:6" x14ac:dyDescent="0.2">
      <c r="A1149" s="46"/>
      <c r="B1149" s="46"/>
      <c r="C1149" s="46"/>
      <c r="D1149" s="46"/>
      <c r="E1149" s="46"/>
      <c r="F1149" s="46"/>
    </row>
    <row r="1150" spans="1:6" x14ac:dyDescent="0.2">
      <c r="A1150" s="46"/>
      <c r="B1150" s="46"/>
      <c r="C1150" s="46"/>
      <c r="D1150" s="46"/>
      <c r="E1150" s="46"/>
      <c r="F1150" s="46"/>
    </row>
    <row r="1151" spans="1:6" x14ac:dyDescent="0.2">
      <c r="A1151" s="46"/>
      <c r="B1151" s="46"/>
      <c r="C1151" s="46"/>
      <c r="D1151" s="46"/>
      <c r="E1151" s="46"/>
      <c r="F1151" s="46"/>
    </row>
    <row r="1152" spans="1:6" x14ac:dyDescent="0.2">
      <c r="A1152" s="46"/>
      <c r="B1152" s="46"/>
      <c r="C1152" s="46"/>
      <c r="D1152" s="46"/>
      <c r="E1152" s="46"/>
      <c r="F1152" s="46"/>
    </row>
    <row r="1153" spans="1:6" x14ac:dyDescent="0.2">
      <c r="A1153" s="46"/>
      <c r="B1153" s="46"/>
      <c r="C1153" s="46"/>
      <c r="D1153" s="46"/>
      <c r="E1153" s="46"/>
      <c r="F1153" s="46"/>
    </row>
    <row r="1154" spans="1:6" x14ac:dyDescent="0.2">
      <c r="A1154" s="46"/>
      <c r="B1154" s="46"/>
      <c r="C1154" s="46"/>
      <c r="D1154" s="46"/>
      <c r="E1154" s="46"/>
      <c r="F1154" s="46"/>
    </row>
    <row r="1155" spans="1:6" x14ac:dyDescent="0.2">
      <c r="A1155" s="46"/>
      <c r="B1155" s="46"/>
      <c r="C1155" s="46"/>
      <c r="D1155" s="46"/>
      <c r="E1155" s="46"/>
      <c r="F1155" s="46"/>
    </row>
    <row r="1156" spans="1:6" x14ac:dyDescent="0.2">
      <c r="A1156" s="46"/>
      <c r="B1156" s="46"/>
      <c r="C1156" s="46"/>
      <c r="D1156" s="46"/>
      <c r="E1156" s="46"/>
      <c r="F1156" s="46"/>
    </row>
    <row r="1157" spans="1:6" x14ac:dyDescent="0.2">
      <c r="A1157" s="46"/>
      <c r="B1157" s="46"/>
      <c r="C1157" s="46"/>
      <c r="D1157" s="46"/>
      <c r="E1157" s="46"/>
      <c r="F1157" s="46"/>
    </row>
    <row r="1158" spans="1:6" x14ac:dyDescent="0.2">
      <c r="A1158" s="46"/>
      <c r="B1158" s="46"/>
      <c r="C1158" s="46"/>
      <c r="D1158" s="46"/>
      <c r="E1158" s="46"/>
      <c r="F1158" s="46"/>
    </row>
    <row r="1159" spans="1:6" x14ac:dyDescent="0.2">
      <c r="A1159" s="46"/>
      <c r="B1159" s="46"/>
      <c r="C1159" s="46"/>
      <c r="D1159" s="46"/>
      <c r="E1159" s="46"/>
      <c r="F1159" s="46"/>
    </row>
    <row r="1160" spans="1:6" x14ac:dyDescent="0.2">
      <c r="A1160" s="46"/>
      <c r="B1160" s="46"/>
      <c r="C1160" s="46"/>
      <c r="D1160" s="46"/>
      <c r="E1160" s="46"/>
      <c r="F1160" s="46"/>
    </row>
    <row r="1161" spans="1:6" x14ac:dyDescent="0.2">
      <c r="A1161" s="46"/>
      <c r="B1161" s="46"/>
      <c r="C1161" s="46"/>
      <c r="D1161" s="46"/>
      <c r="E1161" s="46"/>
      <c r="F1161" s="46"/>
    </row>
    <row r="1162" spans="1:6" x14ac:dyDescent="0.2">
      <c r="A1162" s="46"/>
      <c r="B1162" s="46"/>
      <c r="C1162" s="46"/>
      <c r="D1162" s="46"/>
      <c r="E1162" s="46"/>
      <c r="F1162" s="46"/>
    </row>
    <row r="1163" spans="1:6" x14ac:dyDescent="0.2">
      <c r="A1163" s="46"/>
      <c r="B1163" s="46"/>
      <c r="C1163" s="46"/>
      <c r="D1163" s="46"/>
      <c r="E1163" s="46"/>
      <c r="F1163" s="46"/>
    </row>
    <row r="1164" spans="1:6" x14ac:dyDescent="0.2">
      <c r="A1164" s="46"/>
      <c r="B1164" s="46"/>
      <c r="C1164" s="46"/>
      <c r="D1164" s="46"/>
      <c r="E1164" s="46"/>
      <c r="F1164" s="46"/>
    </row>
    <row r="1165" spans="1:6" x14ac:dyDescent="0.2">
      <c r="A1165" s="46"/>
      <c r="B1165" s="46"/>
      <c r="C1165" s="46"/>
      <c r="D1165" s="46"/>
      <c r="E1165" s="46"/>
      <c r="F1165" s="46"/>
    </row>
    <row r="1166" spans="1:6" x14ac:dyDescent="0.2">
      <c r="A1166" s="46"/>
      <c r="B1166" s="46"/>
      <c r="C1166" s="46"/>
      <c r="D1166" s="46"/>
      <c r="E1166" s="46"/>
      <c r="F1166" s="46"/>
    </row>
    <row r="1167" spans="1:6" x14ac:dyDescent="0.2">
      <c r="A1167" s="46"/>
      <c r="B1167" s="46"/>
      <c r="C1167" s="46"/>
      <c r="D1167" s="46"/>
      <c r="E1167" s="46"/>
      <c r="F1167" s="46"/>
    </row>
    <row r="1168" spans="1:6" x14ac:dyDescent="0.2">
      <c r="A1168" s="46"/>
      <c r="B1168" s="46"/>
      <c r="C1168" s="46"/>
      <c r="D1168" s="46"/>
      <c r="E1168" s="46"/>
      <c r="F1168" s="46"/>
    </row>
    <row r="1169" spans="1:6" x14ac:dyDescent="0.2">
      <c r="A1169" s="46"/>
      <c r="B1169" s="46"/>
      <c r="C1169" s="46"/>
      <c r="D1169" s="46"/>
      <c r="E1169" s="46"/>
      <c r="F1169" s="46"/>
    </row>
    <row r="1170" spans="1:6" x14ac:dyDescent="0.2">
      <c r="A1170" s="46"/>
      <c r="B1170" s="46"/>
      <c r="C1170" s="46"/>
      <c r="D1170" s="46"/>
      <c r="E1170" s="46"/>
      <c r="F1170" s="46"/>
    </row>
    <row r="1171" spans="1:6" x14ac:dyDescent="0.2">
      <c r="A1171" s="46"/>
      <c r="B1171" s="46"/>
      <c r="C1171" s="46"/>
      <c r="D1171" s="46"/>
      <c r="E1171" s="46"/>
      <c r="F1171" s="46"/>
    </row>
    <row r="1172" spans="1:6" x14ac:dyDescent="0.2">
      <c r="A1172" s="46"/>
      <c r="B1172" s="46"/>
      <c r="C1172" s="46"/>
      <c r="D1172" s="46"/>
      <c r="E1172" s="46"/>
      <c r="F1172" s="46"/>
    </row>
    <row r="1173" spans="1:6" x14ac:dyDescent="0.2">
      <c r="A1173" s="46"/>
      <c r="B1173" s="46"/>
      <c r="C1173" s="46"/>
      <c r="D1173" s="46"/>
      <c r="E1173" s="46"/>
      <c r="F1173" s="46"/>
    </row>
    <row r="1174" spans="1:6" x14ac:dyDescent="0.2">
      <c r="A1174" s="46"/>
      <c r="B1174" s="46"/>
      <c r="C1174" s="46"/>
      <c r="D1174" s="46"/>
      <c r="E1174" s="46"/>
      <c r="F1174" s="46"/>
    </row>
    <row r="1175" spans="1:6" x14ac:dyDescent="0.2">
      <c r="A1175" s="46"/>
      <c r="B1175" s="46"/>
      <c r="C1175" s="46"/>
      <c r="D1175" s="46"/>
      <c r="E1175" s="46"/>
      <c r="F1175" s="46"/>
    </row>
    <row r="1176" spans="1:6" x14ac:dyDescent="0.2">
      <c r="A1176" s="46"/>
      <c r="B1176" s="46"/>
      <c r="C1176" s="46"/>
      <c r="D1176" s="46"/>
      <c r="E1176" s="46"/>
      <c r="F1176" s="46"/>
    </row>
    <row r="1177" spans="1:6" x14ac:dyDescent="0.2">
      <c r="A1177" s="46"/>
      <c r="B1177" s="46"/>
      <c r="C1177" s="46"/>
      <c r="D1177" s="46"/>
      <c r="E1177" s="46"/>
      <c r="F1177" s="46"/>
    </row>
    <row r="1178" spans="1:6" x14ac:dyDescent="0.2">
      <c r="A1178" s="46"/>
      <c r="B1178" s="46"/>
      <c r="C1178" s="46"/>
      <c r="D1178" s="46"/>
      <c r="E1178" s="46"/>
      <c r="F1178" s="46"/>
    </row>
    <row r="1179" spans="1:6" x14ac:dyDescent="0.2">
      <c r="A1179" s="46"/>
      <c r="B1179" s="46"/>
      <c r="C1179" s="46"/>
      <c r="D1179" s="46"/>
      <c r="E1179" s="46"/>
      <c r="F1179" s="46"/>
    </row>
    <row r="1180" spans="1:6" x14ac:dyDescent="0.2">
      <c r="A1180" s="46"/>
      <c r="B1180" s="46"/>
      <c r="C1180" s="46"/>
      <c r="D1180" s="46"/>
      <c r="E1180" s="46"/>
      <c r="F1180" s="46"/>
    </row>
    <row r="1181" spans="1:6" x14ac:dyDescent="0.2">
      <c r="A1181" s="46"/>
      <c r="B1181" s="46"/>
      <c r="C1181" s="46"/>
      <c r="D1181" s="46"/>
      <c r="E1181" s="46"/>
      <c r="F1181" s="46"/>
    </row>
    <row r="1182" spans="1:6" x14ac:dyDescent="0.2">
      <c r="A1182" s="46"/>
      <c r="B1182" s="46"/>
      <c r="C1182" s="46"/>
      <c r="D1182" s="46"/>
      <c r="E1182" s="46"/>
      <c r="F1182" s="46"/>
    </row>
    <row r="1183" spans="1:6" x14ac:dyDescent="0.2">
      <c r="A1183" s="46"/>
      <c r="B1183" s="46"/>
      <c r="C1183" s="46"/>
      <c r="D1183" s="46"/>
      <c r="E1183" s="46"/>
      <c r="F1183" s="46"/>
    </row>
    <row r="1184" spans="1:6" x14ac:dyDescent="0.2">
      <c r="A1184" s="46"/>
      <c r="B1184" s="46"/>
      <c r="C1184" s="46"/>
      <c r="D1184" s="46"/>
      <c r="E1184" s="46"/>
      <c r="F1184" s="46"/>
    </row>
    <row r="1185" spans="1:6" x14ac:dyDescent="0.2">
      <c r="A1185" s="46"/>
      <c r="B1185" s="46"/>
      <c r="C1185" s="46"/>
      <c r="D1185" s="46"/>
      <c r="E1185" s="46"/>
      <c r="F1185" s="46"/>
    </row>
    <row r="1186" spans="1:6" x14ac:dyDescent="0.2">
      <c r="A1186" s="46"/>
      <c r="B1186" s="46"/>
      <c r="C1186" s="46"/>
      <c r="D1186" s="46"/>
      <c r="E1186" s="46"/>
      <c r="F1186" s="46"/>
    </row>
    <row r="1187" spans="1:6" x14ac:dyDescent="0.2">
      <c r="A1187" s="46"/>
      <c r="B1187" s="46"/>
      <c r="C1187" s="46"/>
      <c r="D1187" s="46"/>
      <c r="E1187" s="46"/>
      <c r="F1187" s="46"/>
    </row>
    <row r="1188" spans="1:6" x14ac:dyDescent="0.2">
      <c r="A1188" s="46"/>
      <c r="B1188" s="46"/>
      <c r="C1188" s="46"/>
      <c r="D1188" s="46"/>
      <c r="E1188" s="46"/>
      <c r="F1188" s="46"/>
    </row>
    <row r="1189" spans="1:6" x14ac:dyDescent="0.2">
      <c r="A1189" s="46"/>
      <c r="B1189" s="46"/>
      <c r="C1189" s="46"/>
      <c r="D1189" s="46"/>
      <c r="E1189" s="46"/>
      <c r="F1189" s="46"/>
    </row>
    <row r="1190" spans="1:6" x14ac:dyDescent="0.2">
      <c r="A1190" s="46"/>
      <c r="B1190" s="46"/>
      <c r="C1190" s="46"/>
      <c r="D1190" s="46"/>
      <c r="E1190" s="46"/>
      <c r="F1190" s="46"/>
    </row>
    <row r="1191" spans="1:6" x14ac:dyDescent="0.2">
      <c r="A1191" s="46"/>
      <c r="B1191" s="46"/>
      <c r="C1191" s="46"/>
      <c r="D1191" s="46"/>
      <c r="E1191" s="46"/>
      <c r="F1191" s="46"/>
    </row>
    <row r="1192" spans="1:6" x14ac:dyDescent="0.2">
      <c r="A1192" s="46"/>
      <c r="B1192" s="46"/>
      <c r="C1192" s="46"/>
      <c r="D1192" s="46"/>
      <c r="E1192" s="46"/>
      <c r="F1192" s="46"/>
    </row>
    <row r="1193" spans="1:6" x14ac:dyDescent="0.2">
      <c r="A1193" s="46"/>
      <c r="B1193" s="46"/>
      <c r="C1193" s="46"/>
      <c r="D1193" s="46"/>
      <c r="E1193" s="46"/>
      <c r="F1193" s="46"/>
    </row>
    <row r="1194" spans="1:6" x14ac:dyDescent="0.2">
      <c r="A1194" s="46"/>
      <c r="B1194" s="46"/>
      <c r="C1194" s="46"/>
      <c r="D1194" s="46"/>
      <c r="E1194" s="46"/>
      <c r="F1194" s="46"/>
    </row>
    <row r="1195" spans="1:6" x14ac:dyDescent="0.2">
      <c r="A1195" s="46"/>
      <c r="B1195" s="46"/>
      <c r="C1195" s="46"/>
      <c r="D1195" s="46"/>
      <c r="E1195" s="46"/>
      <c r="F1195" s="46"/>
    </row>
    <row r="1196" spans="1:6" x14ac:dyDescent="0.2">
      <c r="A1196" s="46"/>
      <c r="B1196" s="46"/>
      <c r="C1196" s="46"/>
      <c r="D1196" s="46"/>
      <c r="E1196" s="46"/>
      <c r="F1196" s="46"/>
    </row>
    <row r="1197" spans="1:6" x14ac:dyDescent="0.2">
      <c r="A1197" s="46"/>
      <c r="B1197" s="46"/>
      <c r="C1197" s="46"/>
      <c r="D1197" s="46"/>
      <c r="E1197" s="46"/>
      <c r="F1197" s="46"/>
    </row>
    <row r="1198" spans="1:6" x14ac:dyDescent="0.2">
      <c r="A1198" s="46"/>
      <c r="B1198" s="46"/>
      <c r="C1198" s="46"/>
      <c r="D1198" s="46"/>
      <c r="E1198" s="46"/>
      <c r="F1198" s="46"/>
    </row>
    <row r="1199" spans="1:6" x14ac:dyDescent="0.2">
      <c r="A1199" s="46"/>
      <c r="B1199" s="46"/>
      <c r="C1199" s="46"/>
      <c r="D1199" s="46"/>
      <c r="E1199" s="46"/>
      <c r="F1199" s="46"/>
    </row>
    <row r="1200" spans="1:6" x14ac:dyDescent="0.2">
      <c r="A1200" s="46"/>
      <c r="B1200" s="46"/>
      <c r="C1200" s="46"/>
      <c r="D1200" s="46"/>
      <c r="E1200" s="46"/>
      <c r="F1200" s="46"/>
    </row>
    <row r="1201" spans="1:6" x14ac:dyDescent="0.2">
      <c r="A1201" s="46"/>
      <c r="B1201" s="46"/>
      <c r="C1201" s="46"/>
      <c r="D1201" s="46"/>
      <c r="E1201" s="46"/>
      <c r="F1201" s="46"/>
    </row>
    <row r="1202" spans="1:6" x14ac:dyDescent="0.2">
      <c r="A1202" s="46"/>
      <c r="B1202" s="46"/>
      <c r="C1202" s="46"/>
      <c r="D1202" s="46"/>
      <c r="E1202" s="46"/>
      <c r="F1202" s="46"/>
    </row>
    <row r="1203" spans="1:6" x14ac:dyDescent="0.2">
      <c r="A1203" s="46"/>
      <c r="B1203" s="46"/>
      <c r="C1203" s="46"/>
      <c r="D1203" s="46"/>
      <c r="E1203" s="46"/>
      <c r="F1203" s="46"/>
    </row>
    <row r="1204" spans="1:6" x14ac:dyDescent="0.2">
      <c r="A1204" s="46"/>
      <c r="B1204" s="46"/>
      <c r="C1204" s="46"/>
      <c r="D1204" s="46"/>
      <c r="E1204" s="46"/>
      <c r="F1204" s="46"/>
    </row>
    <row r="1205" spans="1:6" x14ac:dyDescent="0.2">
      <c r="A1205" s="46"/>
      <c r="B1205" s="46"/>
      <c r="C1205" s="46"/>
      <c r="D1205" s="46"/>
      <c r="E1205" s="46"/>
      <c r="F1205" s="46"/>
    </row>
    <row r="1206" spans="1:6" x14ac:dyDescent="0.2">
      <c r="A1206" s="46"/>
      <c r="B1206" s="46"/>
      <c r="C1206" s="46"/>
      <c r="D1206" s="46"/>
      <c r="E1206" s="46"/>
      <c r="F1206" s="46"/>
    </row>
    <row r="1207" spans="1:6" x14ac:dyDescent="0.2">
      <c r="A1207" s="46"/>
      <c r="B1207" s="46"/>
      <c r="C1207" s="46"/>
      <c r="D1207" s="46"/>
      <c r="E1207" s="46"/>
      <c r="F1207" s="46"/>
    </row>
    <row r="1208" spans="1:6" x14ac:dyDescent="0.2">
      <c r="A1208" s="46"/>
      <c r="B1208" s="46"/>
      <c r="C1208" s="46"/>
      <c r="D1208" s="46"/>
      <c r="E1208" s="46"/>
      <c r="F1208" s="46"/>
    </row>
    <row r="1209" spans="1:6" x14ac:dyDescent="0.2">
      <c r="A1209" s="46"/>
      <c r="B1209" s="46"/>
      <c r="C1209" s="46"/>
      <c r="D1209" s="46"/>
      <c r="E1209" s="46"/>
      <c r="F1209" s="46"/>
    </row>
    <row r="1210" spans="1:6" x14ac:dyDescent="0.2">
      <c r="A1210" s="46"/>
      <c r="B1210" s="46"/>
      <c r="C1210" s="46"/>
      <c r="D1210" s="46"/>
      <c r="E1210" s="46"/>
      <c r="F1210" s="46"/>
    </row>
    <row r="1211" spans="1:6" x14ac:dyDescent="0.2">
      <c r="A1211" s="46"/>
      <c r="B1211" s="46"/>
      <c r="C1211" s="46"/>
      <c r="D1211" s="46"/>
      <c r="E1211" s="46"/>
      <c r="F1211" s="46"/>
    </row>
    <row r="1212" spans="1:6" x14ac:dyDescent="0.2">
      <c r="A1212" s="46"/>
      <c r="B1212" s="46"/>
      <c r="C1212" s="46"/>
      <c r="D1212" s="46"/>
      <c r="E1212" s="46"/>
      <c r="F1212" s="46"/>
    </row>
    <row r="1213" spans="1:6" x14ac:dyDescent="0.2">
      <c r="A1213" s="46"/>
      <c r="B1213" s="46"/>
      <c r="C1213" s="46"/>
      <c r="D1213" s="46"/>
      <c r="E1213" s="46"/>
      <c r="F1213" s="46"/>
    </row>
    <row r="1214" spans="1:6" x14ac:dyDescent="0.2">
      <c r="A1214" s="46"/>
      <c r="B1214" s="46"/>
      <c r="C1214" s="46"/>
      <c r="D1214" s="46"/>
      <c r="E1214" s="46"/>
      <c r="F1214" s="46"/>
    </row>
    <row r="1215" spans="1:6" x14ac:dyDescent="0.2">
      <c r="A1215" s="46"/>
      <c r="B1215" s="46"/>
      <c r="C1215" s="46"/>
      <c r="D1215" s="46"/>
      <c r="E1215" s="46"/>
      <c r="F1215" s="46"/>
    </row>
    <row r="1216" spans="1:6" x14ac:dyDescent="0.2">
      <c r="A1216" s="46"/>
      <c r="B1216" s="46"/>
      <c r="C1216" s="46"/>
      <c r="D1216" s="46"/>
      <c r="E1216" s="46"/>
      <c r="F1216" s="46"/>
    </row>
    <row r="1217" spans="1:6" x14ac:dyDescent="0.2">
      <c r="A1217" s="46"/>
      <c r="B1217" s="46"/>
      <c r="C1217" s="46"/>
      <c r="D1217" s="46"/>
      <c r="E1217" s="46"/>
      <c r="F1217" s="46"/>
    </row>
    <row r="1218" spans="1:6" x14ac:dyDescent="0.2">
      <c r="A1218" s="46"/>
      <c r="B1218" s="46"/>
      <c r="C1218" s="46"/>
      <c r="D1218" s="46"/>
      <c r="E1218" s="46"/>
      <c r="F1218" s="46"/>
    </row>
    <row r="1219" spans="1:6" x14ac:dyDescent="0.2">
      <c r="A1219" s="46"/>
      <c r="B1219" s="46"/>
      <c r="C1219" s="46"/>
      <c r="D1219" s="46"/>
      <c r="E1219" s="46"/>
      <c r="F1219" s="46"/>
    </row>
    <row r="1220" spans="1:6" x14ac:dyDescent="0.2">
      <c r="A1220" s="46"/>
      <c r="B1220" s="46"/>
      <c r="C1220" s="46"/>
      <c r="D1220" s="46"/>
      <c r="E1220" s="46"/>
      <c r="F1220" s="46"/>
    </row>
    <row r="1221" spans="1:6" x14ac:dyDescent="0.2">
      <c r="A1221" s="46"/>
      <c r="B1221" s="46"/>
      <c r="C1221" s="46"/>
      <c r="D1221" s="46"/>
      <c r="E1221" s="46"/>
      <c r="F1221" s="46"/>
    </row>
    <row r="1222" spans="1:6" x14ac:dyDescent="0.2">
      <c r="A1222" s="46"/>
      <c r="B1222" s="46"/>
      <c r="C1222" s="46"/>
      <c r="D1222" s="46"/>
      <c r="E1222" s="46"/>
      <c r="F1222" s="46"/>
    </row>
    <row r="1223" spans="1:6" x14ac:dyDescent="0.2">
      <c r="A1223" s="46"/>
      <c r="B1223" s="46"/>
      <c r="C1223" s="46"/>
      <c r="D1223" s="46"/>
      <c r="E1223" s="46"/>
      <c r="F1223" s="46"/>
    </row>
    <row r="1224" spans="1:6" x14ac:dyDescent="0.2">
      <c r="A1224" s="46"/>
      <c r="B1224" s="46"/>
      <c r="C1224" s="46"/>
      <c r="D1224" s="46"/>
      <c r="E1224" s="46"/>
      <c r="F1224" s="46"/>
    </row>
    <row r="1225" spans="1:6" x14ac:dyDescent="0.2">
      <c r="A1225" s="46"/>
      <c r="B1225" s="46"/>
      <c r="C1225" s="46"/>
      <c r="D1225" s="46"/>
      <c r="E1225" s="46"/>
      <c r="F1225" s="46"/>
    </row>
    <row r="1226" spans="1:6" x14ac:dyDescent="0.2">
      <c r="A1226" s="46"/>
      <c r="B1226" s="46"/>
      <c r="C1226" s="46"/>
      <c r="D1226" s="46"/>
      <c r="E1226" s="46"/>
      <c r="F1226" s="46"/>
    </row>
    <row r="1227" spans="1:6" x14ac:dyDescent="0.2">
      <c r="A1227" s="46"/>
      <c r="B1227" s="46"/>
      <c r="C1227" s="46"/>
      <c r="D1227" s="46"/>
      <c r="E1227" s="46"/>
      <c r="F1227" s="46"/>
    </row>
    <row r="1228" spans="1:6" x14ac:dyDescent="0.2">
      <c r="A1228" s="46"/>
      <c r="B1228" s="46"/>
      <c r="C1228" s="46"/>
      <c r="D1228" s="46"/>
      <c r="E1228" s="46"/>
      <c r="F1228" s="46"/>
    </row>
    <row r="1229" spans="1:6" x14ac:dyDescent="0.2">
      <c r="A1229" s="46"/>
      <c r="B1229" s="46"/>
      <c r="C1229" s="46"/>
      <c r="D1229" s="46"/>
      <c r="E1229" s="46"/>
      <c r="F1229" s="46"/>
    </row>
    <row r="1230" spans="1:6" x14ac:dyDescent="0.2">
      <c r="A1230" s="46"/>
      <c r="B1230" s="46"/>
      <c r="C1230" s="46"/>
      <c r="D1230" s="46"/>
      <c r="E1230" s="46"/>
      <c r="F1230" s="46"/>
    </row>
    <row r="1231" spans="1:6" x14ac:dyDescent="0.2">
      <c r="A1231" s="46"/>
      <c r="B1231" s="46"/>
      <c r="C1231" s="46"/>
      <c r="D1231" s="46"/>
      <c r="E1231" s="46"/>
      <c r="F1231" s="46"/>
    </row>
    <row r="1232" spans="1:6" x14ac:dyDescent="0.2">
      <c r="A1232" s="46"/>
      <c r="B1232" s="46"/>
      <c r="C1232" s="46"/>
      <c r="D1232" s="46"/>
      <c r="E1232" s="46"/>
      <c r="F1232" s="46"/>
    </row>
    <row r="1233" spans="1:6" x14ac:dyDescent="0.2">
      <c r="A1233" s="46"/>
      <c r="B1233" s="46"/>
      <c r="C1233" s="46"/>
      <c r="D1233" s="46"/>
      <c r="E1233" s="46"/>
      <c r="F1233" s="46"/>
    </row>
    <row r="1234" spans="1:6" x14ac:dyDescent="0.2">
      <c r="A1234" s="46"/>
      <c r="B1234" s="46"/>
      <c r="C1234" s="46"/>
      <c r="D1234" s="46"/>
      <c r="E1234" s="46"/>
      <c r="F1234" s="46"/>
    </row>
    <row r="1235" spans="1:6" x14ac:dyDescent="0.2">
      <c r="A1235" s="46"/>
      <c r="B1235" s="46"/>
      <c r="C1235" s="46"/>
      <c r="D1235" s="46"/>
      <c r="E1235" s="46"/>
      <c r="F1235" s="46"/>
    </row>
    <row r="1236" spans="1:6" x14ac:dyDescent="0.2">
      <c r="A1236" s="46"/>
      <c r="B1236" s="46"/>
      <c r="C1236" s="46"/>
      <c r="D1236" s="46"/>
      <c r="E1236" s="46"/>
      <c r="F1236" s="46"/>
    </row>
    <row r="1237" spans="1:6" x14ac:dyDescent="0.2">
      <c r="A1237" s="46"/>
      <c r="B1237" s="46"/>
      <c r="C1237" s="46"/>
      <c r="D1237" s="46"/>
      <c r="E1237" s="46"/>
      <c r="F1237" s="46"/>
    </row>
    <row r="1238" spans="1:6" x14ac:dyDescent="0.2">
      <c r="A1238" s="46"/>
      <c r="B1238" s="46"/>
      <c r="C1238" s="46"/>
      <c r="D1238" s="46"/>
      <c r="E1238" s="46"/>
      <c r="F1238" s="46"/>
    </row>
    <row r="1239" spans="1:6" x14ac:dyDescent="0.2">
      <c r="A1239" s="46"/>
      <c r="B1239" s="46"/>
      <c r="C1239" s="46"/>
      <c r="D1239" s="46"/>
      <c r="E1239" s="46"/>
      <c r="F1239" s="46"/>
    </row>
    <row r="1240" spans="1:6" x14ac:dyDescent="0.2">
      <c r="A1240" s="46"/>
      <c r="B1240" s="46"/>
      <c r="C1240" s="46"/>
      <c r="D1240" s="46"/>
      <c r="E1240" s="46"/>
      <c r="F1240" s="46"/>
    </row>
    <row r="1241" spans="1:6" x14ac:dyDescent="0.2">
      <c r="A1241" s="46"/>
      <c r="B1241" s="46"/>
      <c r="C1241" s="46"/>
      <c r="D1241" s="46"/>
      <c r="E1241" s="46"/>
      <c r="F1241" s="46"/>
    </row>
    <row r="1242" spans="1:6" x14ac:dyDescent="0.2">
      <c r="A1242" s="46"/>
      <c r="B1242" s="46"/>
      <c r="C1242" s="46"/>
      <c r="D1242" s="46"/>
      <c r="E1242" s="46"/>
      <c r="F1242" s="46"/>
    </row>
    <row r="1243" spans="1:6" x14ac:dyDescent="0.2">
      <c r="A1243" s="46"/>
      <c r="B1243" s="46"/>
      <c r="C1243" s="46"/>
      <c r="D1243" s="46"/>
      <c r="E1243" s="46"/>
      <c r="F1243" s="46"/>
    </row>
    <row r="1244" spans="1:6" x14ac:dyDescent="0.2">
      <c r="A1244" s="46"/>
      <c r="B1244" s="46"/>
      <c r="C1244" s="46"/>
      <c r="D1244" s="46"/>
      <c r="E1244" s="46"/>
      <c r="F1244" s="46"/>
    </row>
    <row r="1245" spans="1:6" x14ac:dyDescent="0.2">
      <c r="A1245" s="46"/>
      <c r="B1245" s="46"/>
      <c r="C1245" s="46"/>
      <c r="D1245" s="46"/>
      <c r="E1245" s="46"/>
      <c r="F1245" s="46"/>
    </row>
    <row r="1246" spans="1:6" x14ac:dyDescent="0.2">
      <c r="A1246" s="46"/>
      <c r="B1246" s="46"/>
      <c r="C1246" s="46"/>
      <c r="D1246" s="46"/>
      <c r="E1246" s="46"/>
      <c r="F1246" s="46"/>
    </row>
    <row r="1247" spans="1:6" x14ac:dyDescent="0.2">
      <c r="A1247" s="46"/>
      <c r="B1247" s="46"/>
      <c r="C1247" s="46"/>
      <c r="D1247" s="46"/>
      <c r="E1247" s="46"/>
      <c r="F1247" s="46"/>
    </row>
    <row r="1248" spans="1:6" x14ac:dyDescent="0.2">
      <c r="A1248" s="46"/>
      <c r="B1248" s="46"/>
      <c r="C1248" s="46"/>
      <c r="D1248" s="46"/>
      <c r="E1248" s="46"/>
      <c r="F1248" s="46"/>
    </row>
    <row r="1249" spans="1:6" x14ac:dyDescent="0.2">
      <c r="A1249" s="46"/>
      <c r="B1249" s="46"/>
      <c r="C1249" s="46"/>
      <c r="D1249" s="46"/>
      <c r="E1249" s="46"/>
      <c r="F1249" s="46"/>
    </row>
    <row r="1250" spans="1:6" x14ac:dyDescent="0.2">
      <c r="A1250" s="46"/>
      <c r="B1250" s="46"/>
      <c r="C1250" s="46"/>
      <c r="D1250" s="46"/>
      <c r="E1250" s="46"/>
      <c r="F1250" s="46"/>
    </row>
    <row r="1251" spans="1:6" x14ac:dyDescent="0.2">
      <c r="A1251" s="46"/>
      <c r="B1251" s="46"/>
      <c r="C1251" s="46"/>
      <c r="D1251" s="46"/>
      <c r="E1251" s="46"/>
      <c r="F1251" s="46"/>
    </row>
    <row r="1252" spans="1:6" x14ac:dyDescent="0.2">
      <c r="A1252" s="46"/>
      <c r="B1252" s="46"/>
      <c r="C1252" s="46"/>
      <c r="D1252" s="46"/>
      <c r="E1252" s="46"/>
      <c r="F1252" s="46"/>
    </row>
    <row r="1253" spans="1:6" x14ac:dyDescent="0.2">
      <c r="A1253" s="46"/>
      <c r="B1253" s="46"/>
      <c r="C1253" s="46"/>
      <c r="D1253" s="46"/>
      <c r="E1253" s="46"/>
      <c r="F1253" s="46"/>
    </row>
    <row r="1254" spans="1:6" x14ac:dyDescent="0.2">
      <c r="A1254" s="46"/>
      <c r="B1254" s="46"/>
      <c r="C1254" s="46"/>
      <c r="D1254" s="46"/>
      <c r="E1254" s="46"/>
      <c r="F1254" s="46"/>
    </row>
    <row r="1255" spans="1:6" x14ac:dyDescent="0.2">
      <c r="A1255" s="46"/>
      <c r="B1255" s="46"/>
      <c r="C1255" s="46"/>
      <c r="D1255" s="46"/>
      <c r="E1255" s="46"/>
      <c r="F1255" s="46"/>
    </row>
    <row r="1256" spans="1:6" x14ac:dyDescent="0.2">
      <c r="A1256" s="46"/>
      <c r="B1256" s="46"/>
      <c r="C1256" s="46"/>
      <c r="D1256" s="46"/>
      <c r="E1256" s="46"/>
      <c r="F1256" s="46"/>
    </row>
    <row r="1257" spans="1:6" x14ac:dyDescent="0.2">
      <c r="A1257" s="46"/>
      <c r="B1257" s="46"/>
      <c r="C1257" s="46"/>
      <c r="D1257" s="46"/>
      <c r="E1257" s="46"/>
      <c r="F1257" s="46"/>
    </row>
    <row r="1258" spans="1:6" x14ac:dyDescent="0.2">
      <c r="A1258" s="46"/>
      <c r="B1258" s="46"/>
      <c r="C1258" s="46"/>
      <c r="D1258" s="46"/>
      <c r="E1258" s="46"/>
      <c r="F1258" s="46"/>
    </row>
    <row r="1259" spans="1:6" x14ac:dyDescent="0.2">
      <c r="A1259" s="46"/>
      <c r="B1259" s="46"/>
      <c r="C1259" s="46"/>
      <c r="D1259" s="46"/>
      <c r="E1259" s="46"/>
      <c r="F1259" s="46"/>
    </row>
    <row r="1260" spans="1:6" x14ac:dyDescent="0.2">
      <c r="A1260" s="46"/>
      <c r="B1260" s="46"/>
      <c r="C1260" s="46"/>
      <c r="D1260" s="46"/>
      <c r="E1260" s="46"/>
      <c r="F1260" s="46"/>
    </row>
    <row r="1261" spans="1:6" x14ac:dyDescent="0.2">
      <c r="A1261" s="46"/>
      <c r="B1261" s="46"/>
      <c r="C1261" s="46"/>
      <c r="D1261" s="46"/>
      <c r="E1261" s="46"/>
      <c r="F1261" s="46"/>
    </row>
    <row r="1262" spans="1:6" x14ac:dyDescent="0.2">
      <c r="A1262" s="46"/>
      <c r="B1262" s="46"/>
      <c r="C1262" s="46"/>
      <c r="D1262" s="46"/>
      <c r="E1262" s="46"/>
      <c r="F1262" s="46"/>
    </row>
    <row r="1263" spans="1:6" x14ac:dyDescent="0.2">
      <c r="A1263" s="46"/>
      <c r="B1263" s="46"/>
      <c r="C1263" s="46"/>
      <c r="D1263" s="46"/>
      <c r="E1263" s="46"/>
      <c r="F1263" s="46"/>
    </row>
    <row r="1264" spans="1:6" x14ac:dyDescent="0.2">
      <c r="A1264" s="46"/>
      <c r="B1264" s="46"/>
      <c r="C1264" s="46"/>
      <c r="D1264" s="46"/>
      <c r="E1264" s="46"/>
      <c r="F1264" s="46"/>
    </row>
    <row r="1265" spans="1:6" x14ac:dyDescent="0.2">
      <c r="A1265" s="46"/>
      <c r="B1265" s="46"/>
      <c r="C1265" s="46"/>
      <c r="D1265" s="46"/>
      <c r="E1265" s="46"/>
      <c r="F1265" s="46"/>
    </row>
    <row r="1266" spans="1:6" x14ac:dyDescent="0.2">
      <c r="A1266" s="46"/>
      <c r="B1266" s="46"/>
      <c r="C1266" s="46"/>
      <c r="D1266" s="46"/>
      <c r="E1266" s="46"/>
      <c r="F1266" s="46"/>
    </row>
    <row r="1267" spans="1:6" x14ac:dyDescent="0.2">
      <c r="A1267" s="46"/>
      <c r="B1267" s="46"/>
      <c r="C1267" s="46"/>
      <c r="D1267" s="46"/>
      <c r="E1267" s="46"/>
      <c r="F1267" s="46"/>
    </row>
    <row r="1268" spans="1:6" x14ac:dyDescent="0.2">
      <c r="A1268" s="46"/>
      <c r="B1268" s="46"/>
      <c r="C1268" s="46"/>
      <c r="D1268" s="46"/>
      <c r="E1268" s="46"/>
      <c r="F1268" s="46"/>
    </row>
    <row r="1269" spans="1:6" x14ac:dyDescent="0.2">
      <c r="A1269" s="46"/>
      <c r="B1269" s="46"/>
      <c r="C1269" s="46"/>
      <c r="D1269" s="46"/>
      <c r="E1269" s="46"/>
      <c r="F1269" s="46"/>
    </row>
    <row r="1270" spans="1:6" x14ac:dyDescent="0.2">
      <c r="A1270" s="46"/>
      <c r="B1270" s="46"/>
      <c r="C1270" s="46"/>
      <c r="D1270" s="46"/>
      <c r="E1270" s="46"/>
      <c r="F1270" s="46"/>
    </row>
    <row r="1271" spans="1:6" x14ac:dyDescent="0.2">
      <c r="A1271" s="46"/>
      <c r="B1271" s="46"/>
      <c r="C1271" s="46"/>
      <c r="D1271" s="46"/>
      <c r="E1271" s="46"/>
      <c r="F1271" s="46"/>
    </row>
    <row r="1272" spans="1:6" x14ac:dyDescent="0.2">
      <c r="A1272" s="46"/>
      <c r="B1272" s="46"/>
      <c r="C1272" s="46"/>
      <c r="D1272" s="46"/>
      <c r="E1272" s="46"/>
      <c r="F1272" s="46"/>
    </row>
    <row r="1273" spans="1:6" x14ac:dyDescent="0.2">
      <c r="A1273" s="46"/>
      <c r="B1273" s="46"/>
      <c r="C1273" s="46"/>
      <c r="D1273" s="46"/>
      <c r="E1273" s="46"/>
      <c r="F1273" s="46"/>
    </row>
    <row r="1274" spans="1:6" x14ac:dyDescent="0.2">
      <c r="A1274" s="46"/>
      <c r="B1274" s="46"/>
      <c r="C1274" s="46"/>
      <c r="D1274" s="46"/>
      <c r="E1274" s="46"/>
      <c r="F1274" s="46"/>
    </row>
    <row r="1275" spans="1:6" x14ac:dyDescent="0.2">
      <c r="A1275" s="46"/>
      <c r="B1275" s="46"/>
      <c r="C1275" s="46"/>
      <c r="D1275" s="46"/>
      <c r="E1275" s="46"/>
      <c r="F1275" s="46"/>
    </row>
    <row r="1276" spans="1:6" x14ac:dyDescent="0.2">
      <c r="A1276" s="46"/>
      <c r="B1276" s="46"/>
      <c r="C1276" s="46"/>
      <c r="D1276" s="46"/>
      <c r="E1276" s="46"/>
      <c r="F1276" s="46"/>
    </row>
    <row r="1277" spans="1:6" x14ac:dyDescent="0.2">
      <c r="A1277" s="46"/>
      <c r="B1277" s="46"/>
      <c r="C1277" s="46"/>
      <c r="D1277" s="46"/>
      <c r="E1277" s="46"/>
      <c r="F1277" s="46"/>
    </row>
    <row r="1278" spans="1:6" x14ac:dyDescent="0.2">
      <c r="A1278" s="46"/>
      <c r="B1278" s="46"/>
      <c r="C1278" s="46"/>
      <c r="D1278" s="46"/>
      <c r="E1278" s="46"/>
      <c r="F1278" s="46"/>
    </row>
    <row r="1279" spans="1:6" x14ac:dyDescent="0.2">
      <c r="A1279" s="46"/>
      <c r="B1279" s="46"/>
      <c r="C1279" s="46"/>
      <c r="D1279" s="46"/>
      <c r="E1279" s="46"/>
      <c r="F1279" s="46"/>
    </row>
    <row r="1280" spans="1:6" x14ac:dyDescent="0.2">
      <c r="A1280" s="46"/>
      <c r="B1280" s="46"/>
      <c r="C1280" s="46"/>
      <c r="D1280" s="46"/>
      <c r="E1280" s="46"/>
      <c r="F1280" s="46"/>
    </row>
    <row r="1281" spans="1:6" x14ac:dyDescent="0.2">
      <c r="A1281" s="46"/>
      <c r="B1281" s="46"/>
      <c r="C1281" s="46"/>
      <c r="D1281" s="46"/>
      <c r="E1281" s="46"/>
      <c r="F1281" s="46"/>
    </row>
    <row r="1282" spans="1:6" x14ac:dyDescent="0.2">
      <c r="A1282" s="46"/>
      <c r="B1282" s="46"/>
      <c r="C1282" s="46"/>
      <c r="D1282" s="46"/>
      <c r="E1282" s="46"/>
      <c r="F1282" s="46"/>
    </row>
    <row r="1283" spans="1:6" x14ac:dyDescent="0.2">
      <c r="A1283" s="46"/>
      <c r="B1283" s="46"/>
      <c r="C1283" s="46"/>
      <c r="D1283" s="46"/>
      <c r="E1283" s="46"/>
      <c r="F1283" s="46"/>
    </row>
    <row r="1284" spans="1:6" x14ac:dyDescent="0.2">
      <c r="A1284" s="46"/>
      <c r="B1284" s="46"/>
      <c r="C1284" s="46"/>
      <c r="D1284" s="46"/>
      <c r="E1284" s="46"/>
      <c r="F1284" s="46"/>
    </row>
    <row r="1285" spans="1:6" x14ac:dyDescent="0.2">
      <c r="A1285" s="46"/>
      <c r="B1285" s="46"/>
      <c r="C1285" s="46"/>
      <c r="D1285" s="46"/>
      <c r="E1285" s="46"/>
      <c r="F1285" s="46"/>
    </row>
    <row r="1286" spans="1:6" x14ac:dyDescent="0.2">
      <c r="A1286" s="46"/>
      <c r="B1286" s="46"/>
      <c r="C1286" s="46"/>
      <c r="D1286" s="46"/>
      <c r="E1286" s="46"/>
      <c r="F1286" s="46"/>
    </row>
    <row r="1287" spans="1:6" x14ac:dyDescent="0.2">
      <c r="A1287" s="46"/>
      <c r="B1287" s="46"/>
      <c r="C1287" s="46"/>
      <c r="D1287" s="46"/>
      <c r="E1287" s="46"/>
      <c r="F1287" s="46"/>
    </row>
    <row r="1288" spans="1:6" x14ac:dyDescent="0.2">
      <c r="A1288" s="46"/>
      <c r="B1288" s="46"/>
      <c r="C1288" s="46"/>
      <c r="D1288" s="46"/>
      <c r="E1288" s="46"/>
      <c r="F1288" s="46"/>
    </row>
    <row r="1289" spans="1:6" x14ac:dyDescent="0.2">
      <c r="A1289" s="46"/>
      <c r="B1289" s="46"/>
      <c r="C1289" s="46"/>
      <c r="D1289" s="46"/>
      <c r="E1289" s="46"/>
      <c r="F1289" s="46"/>
    </row>
    <row r="1290" spans="1:6" x14ac:dyDescent="0.2">
      <c r="A1290" s="46"/>
      <c r="B1290" s="46"/>
      <c r="C1290" s="46"/>
      <c r="D1290" s="46"/>
      <c r="E1290" s="46"/>
      <c r="F1290" s="46"/>
    </row>
    <row r="1291" spans="1:6" x14ac:dyDescent="0.2">
      <c r="A1291" s="46"/>
      <c r="B1291" s="46"/>
      <c r="C1291" s="46"/>
      <c r="D1291" s="46"/>
      <c r="E1291" s="46"/>
      <c r="F1291" s="46"/>
    </row>
    <row r="1292" spans="1:6" x14ac:dyDescent="0.2">
      <c r="A1292" s="46"/>
      <c r="B1292" s="46"/>
      <c r="C1292" s="46"/>
      <c r="D1292" s="46"/>
      <c r="E1292" s="46"/>
      <c r="F1292" s="46"/>
    </row>
    <row r="1293" spans="1:6" x14ac:dyDescent="0.2">
      <c r="A1293" s="46"/>
      <c r="B1293" s="46"/>
      <c r="C1293" s="46"/>
      <c r="D1293" s="46"/>
      <c r="E1293" s="46"/>
      <c r="F1293" s="46"/>
    </row>
    <row r="1294" spans="1:6" x14ac:dyDescent="0.2">
      <c r="A1294" s="46"/>
      <c r="B1294" s="46"/>
      <c r="C1294" s="46"/>
      <c r="D1294" s="46"/>
      <c r="E1294" s="46"/>
      <c r="F1294" s="46"/>
    </row>
    <row r="1295" spans="1:6" x14ac:dyDescent="0.2">
      <c r="A1295" s="46"/>
      <c r="B1295" s="46"/>
      <c r="C1295" s="46"/>
      <c r="D1295" s="46"/>
      <c r="E1295" s="46"/>
      <c r="F1295" s="46"/>
    </row>
    <row r="1296" spans="1:6" x14ac:dyDescent="0.2">
      <c r="A1296" s="46"/>
      <c r="B1296" s="46"/>
      <c r="C1296" s="46"/>
      <c r="D1296" s="46"/>
      <c r="E1296" s="46"/>
      <c r="F1296" s="46"/>
    </row>
    <row r="1297" spans="1:6" x14ac:dyDescent="0.2">
      <c r="A1297" s="46"/>
      <c r="B1297" s="46"/>
      <c r="C1297" s="46"/>
      <c r="D1297" s="46"/>
      <c r="E1297" s="46"/>
      <c r="F1297" s="46"/>
    </row>
    <row r="1298" spans="1:6" x14ac:dyDescent="0.2">
      <c r="A1298" s="46"/>
      <c r="B1298" s="46"/>
      <c r="C1298" s="46"/>
      <c r="D1298" s="46"/>
      <c r="E1298" s="46"/>
      <c r="F1298" s="46"/>
    </row>
    <row r="1299" spans="1:6" x14ac:dyDescent="0.2">
      <c r="A1299" s="46"/>
      <c r="B1299" s="46"/>
      <c r="C1299" s="46"/>
      <c r="D1299" s="46"/>
      <c r="E1299" s="46"/>
      <c r="F1299" s="46"/>
    </row>
    <row r="1300" spans="1:6" x14ac:dyDescent="0.2">
      <c r="A1300" s="46"/>
      <c r="B1300" s="46"/>
      <c r="C1300" s="46"/>
      <c r="D1300" s="46"/>
      <c r="E1300" s="46"/>
      <c r="F1300" s="46"/>
    </row>
    <row r="1301" spans="1:6" x14ac:dyDescent="0.2">
      <c r="A1301" s="46"/>
      <c r="B1301" s="46"/>
      <c r="C1301" s="46"/>
      <c r="D1301" s="46"/>
      <c r="E1301" s="46"/>
      <c r="F1301" s="46"/>
    </row>
    <row r="1302" spans="1:6" x14ac:dyDescent="0.2">
      <c r="A1302" s="46"/>
      <c r="B1302" s="46"/>
      <c r="C1302" s="46"/>
      <c r="D1302" s="46"/>
      <c r="E1302" s="46"/>
      <c r="F1302" s="46"/>
    </row>
    <row r="1303" spans="1:6" x14ac:dyDescent="0.2">
      <c r="A1303" s="46"/>
      <c r="B1303" s="46"/>
      <c r="C1303" s="46"/>
      <c r="D1303" s="46"/>
      <c r="E1303" s="46"/>
      <c r="F1303" s="46"/>
    </row>
    <row r="1304" spans="1:6" x14ac:dyDescent="0.2">
      <c r="A1304" s="46"/>
      <c r="B1304" s="46"/>
      <c r="C1304" s="46"/>
      <c r="D1304" s="46"/>
      <c r="E1304" s="46"/>
      <c r="F1304" s="46"/>
    </row>
    <row r="1305" spans="1:6" x14ac:dyDescent="0.2">
      <c r="A1305" s="46"/>
      <c r="B1305" s="46"/>
      <c r="C1305" s="46"/>
      <c r="D1305" s="46"/>
      <c r="E1305" s="46"/>
      <c r="F1305" s="46"/>
    </row>
    <row r="1306" spans="1:6" x14ac:dyDescent="0.2">
      <c r="A1306" s="46"/>
      <c r="B1306" s="46"/>
      <c r="C1306" s="46"/>
      <c r="D1306" s="46"/>
      <c r="E1306" s="46"/>
      <c r="F1306" s="4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32</vt:i4>
      </vt:variant>
    </vt:vector>
  </HeadingPairs>
  <TitlesOfParts>
    <vt:vector size="50" baseType="lpstr">
      <vt:lpstr>GAS DAILY</vt:lpstr>
      <vt:lpstr>STRADDLES</vt:lpstr>
      <vt:lpstr>EXTENDABLE</vt:lpstr>
      <vt:lpstr>hh-weighted</vt:lpstr>
      <vt:lpstr>Sheet2</vt:lpstr>
      <vt:lpstr>Sheet1</vt:lpstr>
      <vt:lpstr>opt calc</vt:lpstr>
      <vt:lpstr>BASIS OPT 2</vt:lpstr>
      <vt:lpstr>pipes</vt:lpstr>
      <vt:lpstr>SWAPTION</vt:lpstr>
      <vt:lpstr>nymex</vt:lpstr>
      <vt:lpstr>Skews</vt:lpstr>
      <vt:lpstr>basis settles</vt:lpstr>
      <vt:lpstr>BASIS GAS DAILY</vt:lpstr>
      <vt:lpstr>curves</vt:lpstr>
      <vt:lpstr>vols</vt:lpstr>
      <vt:lpstr>correlation</vt:lpstr>
      <vt:lpstr>expiry</vt:lpstr>
      <vt:lpstr>aproct</vt:lpstr>
      <vt:lpstr>CAL7VOL</vt:lpstr>
      <vt:lpstr>CAL8VOL</vt:lpstr>
      <vt:lpstr>CAL9VOL</vt:lpstr>
      <vt:lpstr>CORETABLE</vt:lpstr>
      <vt:lpstr>curvesettle</vt:lpstr>
      <vt:lpstr>CurveTable</vt:lpstr>
      <vt:lpstr>datelook</vt:lpstr>
      <vt:lpstr>ExpDates</vt:lpstr>
      <vt:lpstr>expiration</vt:lpstr>
      <vt:lpstr>interest_y_n</vt:lpstr>
      <vt:lpstr>PARAMS</vt:lpstr>
      <vt:lpstr>'BASIS OPT 2'!Print_Area</vt:lpstr>
      <vt:lpstr>'basis settles'!Print_Area</vt:lpstr>
      <vt:lpstr>nymex!Print_Area</vt:lpstr>
      <vt:lpstr>RATES</vt:lpstr>
      <vt:lpstr>SkewTable</vt:lpstr>
      <vt:lpstr>STRADDLE</vt:lpstr>
      <vt:lpstr>summerstrip</vt:lpstr>
      <vt:lpstr>SWAPTIONBASIS1</vt:lpstr>
      <vt:lpstr>SWAPTIONBASIS2</vt:lpstr>
      <vt:lpstr>SWAPTIONBASIS3</vt:lpstr>
      <vt:lpstr>SWAPTIONSWAP1</vt:lpstr>
      <vt:lpstr>SWAPTIONSWAP2</vt:lpstr>
      <vt:lpstr>SWAPTIONSWAP3</vt:lpstr>
      <vt:lpstr>SWAPTIONVOL1</vt:lpstr>
      <vt:lpstr>SWAPTIONVOL2</vt:lpstr>
      <vt:lpstr>SWAPTIONVOL3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cp:lastModifiedBy>Havlíček Jan</cp:lastModifiedBy>
  <cp:lastPrinted>2000-08-22T13:02:29Z</cp:lastPrinted>
  <dcterms:created xsi:type="dcterms:W3CDTF">1999-08-13T14:02:41Z</dcterms:created>
  <dcterms:modified xsi:type="dcterms:W3CDTF">2023-09-10T11:06:55Z</dcterms:modified>
</cp:coreProperties>
</file>