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0" windowWidth="11292" windowHeight="6396"/>
  </bookViews>
  <sheets>
    <sheet name="Turbine" sheetId="1" r:id="rId1"/>
    <sheet name="Gen Engines" sheetId="2" r:id="rId2"/>
    <sheet name="Netting" sheetId="3" r:id="rId3"/>
    <sheet name="2000 EIQ" sheetId="4" r:id="rId4"/>
    <sheet name="1999 EIQ" sheetId="5" r:id="rId5"/>
    <sheet name="Alternative" sheetId="6" r:id="rId6"/>
    <sheet name="Summary" sheetId="7" r:id="rId7"/>
    <sheet name="Example" sheetId="8" r:id="rId8"/>
    <sheet name="I" sheetId="9" r:id="rId9"/>
    <sheet name="J" sheetId="10" r:id="rId10"/>
  </sheets>
  <calcPr calcId="0"/>
</workbook>
</file>

<file path=xl/calcChain.xml><?xml version="1.0" encoding="utf-8"?>
<calcChain xmlns="http://schemas.openxmlformats.org/spreadsheetml/2006/main">
  <c r="F12" i="5" l="1"/>
  <c r="G12" i="5"/>
  <c r="J12" i="5"/>
  <c r="K12" i="5"/>
  <c r="L12" i="5"/>
  <c r="M12" i="5"/>
  <c r="N12" i="5"/>
  <c r="O12" i="5"/>
  <c r="F13" i="5"/>
  <c r="G13" i="5"/>
  <c r="J13" i="5"/>
  <c r="K13" i="5"/>
  <c r="L13" i="5"/>
  <c r="M13" i="5"/>
  <c r="N13" i="5"/>
  <c r="O13" i="5"/>
  <c r="F14" i="5"/>
  <c r="G14" i="5"/>
  <c r="H14" i="5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B32" i="5"/>
  <c r="C32" i="5"/>
  <c r="D32" i="5"/>
  <c r="E32" i="5"/>
  <c r="B33" i="5"/>
  <c r="C33" i="5"/>
  <c r="D33" i="5"/>
  <c r="E33" i="5"/>
  <c r="B36" i="5"/>
  <c r="C36" i="5"/>
  <c r="D36" i="5"/>
  <c r="E36" i="5"/>
  <c r="B37" i="5"/>
  <c r="C37" i="5"/>
  <c r="D37" i="5"/>
  <c r="E37" i="5"/>
  <c r="B40" i="5"/>
  <c r="C40" i="5"/>
  <c r="D40" i="5"/>
  <c r="E40" i="5"/>
  <c r="B41" i="5"/>
  <c r="C41" i="5"/>
  <c r="D41" i="5"/>
  <c r="E41" i="5"/>
  <c r="F12" i="4"/>
  <c r="G12" i="4"/>
  <c r="J12" i="4"/>
  <c r="K12" i="4"/>
  <c r="L12" i="4"/>
  <c r="M12" i="4"/>
  <c r="N12" i="4"/>
  <c r="O12" i="4"/>
  <c r="F13" i="4"/>
  <c r="G13" i="4"/>
  <c r="J13" i="4"/>
  <c r="K13" i="4"/>
  <c r="L13" i="4"/>
  <c r="M13" i="4"/>
  <c r="N13" i="4"/>
  <c r="O13" i="4"/>
  <c r="F14" i="4"/>
  <c r="G14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E31" i="4"/>
  <c r="E32" i="4"/>
  <c r="E35" i="4"/>
  <c r="E36" i="4"/>
  <c r="E39" i="4"/>
  <c r="E40" i="4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J32" i="6"/>
  <c r="F33" i="6"/>
  <c r="F34" i="6"/>
  <c r="G35" i="6"/>
  <c r="D36" i="6"/>
  <c r="F36" i="6"/>
  <c r="H36" i="6"/>
  <c r="A13" i="8"/>
  <c r="A15" i="8"/>
  <c r="A19" i="8"/>
  <c r="A21" i="8"/>
  <c r="A25" i="8"/>
  <c r="A27" i="8"/>
  <c r="A31" i="8"/>
  <c r="A34" i="8"/>
  <c r="A38" i="8"/>
  <c r="A41" i="8"/>
  <c r="A45" i="8"/>
  <c r="A48" i="8"/>
  <c r="B14" i="2"/>
  <c r="B15" i="2"/>
  <c r="B17" i="2"/>
  <c r="B18" i="2"/>
  <c r="B34" i="2"/>
  <c r="C34" i="2"/>
  <c r="B35" i="2"/>
  <c r="C35" i="2"/>
  <c r="B36" i="2"/>
  <c r="C36" i="2"/>
  <c r="B37" i="2"/>
  <c r="C37" i="2"/>
  <c r="B38" i="2"/>
  <c r="C38" i="2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4" i="3"/>
  <c r="C34" i="3"/>
  <c r="D34" i="3"/>
  <c r="B35" i="3"/>
  <c r="C35" i="3"/>
  <c r="D35" i="3"/>
  <c r="B36" i="3"/>
  <c r="C36" i="3"/>
  <c r="D36" i="3"/>
  <c r="B39" i="3"/>
  <c r="C39" i="3"/>
  <c r="D39" i="3"/>
  <c r="B42" i="3"/>
  <c r="C42" i="3"/>
  <c r="D42" i="3"/>
  <c r="D18" i="7"/>
  <c r="E18" i="7"/>
  <c r="F18" i="7"/>
  <c r="G18" i="7"/>
  <c r="H18" i="7"/>
  <c r="I18" i="7"/>
  <c r="J18" i="7"/>
  <c r="K18" i="7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L20" i="7"/>
  <c r="M20" i="7"/>
  <c r="E26" i="7"/>
  <c r="G26" i="7"/>
  <c r="I26" i="7"/>
  <c r="K26" i="7"/>
  <c r="M26" i="7"/>
  <c r="E27" i="7"/>
  <c r="G27" i="7"/>
  <c r="I27" i="7"/>
  <c r="K27" i="7"/>
  <c r="M27" i="7"/>
  <c r="E28" i="7"/>
  <c r="G28" i="7"/>
  <c r="I28" i="7"/>
  <c r="K28" i="7"/>
  <c r="M28" i="7"/>
  <c r="E29" i="7"/>
  <c r="G29" i="7"/>
  <c r="I29" i="7"/>
  <c r="K29" i="7"/>
  <c r="M29" i="7"/>
  <c r="E31" i="7"/>
  <c r="G31" i="7"/>
  <c r="I31" i="7"/>
  <c r="K31" i="7"/>
  <c r="M31" i="7"/>
  <c r="D32" i="7"/>
  <c r="E32" i="7"/>
  <c r="F32" i="7"/>
  <c r="G32" i="7"/>
  <c r="H32" i="7"/>
  <c r="I32" i="7"/>
  <c r="J32" i="7"/>
  <c r="K32" i="7"/>
  <c r="L32" i="7"/>
  <c r="M32" i="7"/>
  <c r="B19" i="1"/>
  <c r="B21" i="1"/>
  <c r="B23" i="1"/>
  <c r="B24" i="1"/>
  <c r="B25" i="1"/>
  <c r="D30" i="1"/>
  <c r="F30" i="1"/>
  <c r="H30" i="1"/>
  <c r="D31" i="1"/>
  <c r="F31" i="1"/>
  <c r="H31" i="1"/>
  <c r="D32" i="1"/>
  <c r="F32" i="1"/>
  <c r="H32" i="1"/>
  <c r="D33" i="1"/>
  <c r="F33" i="1"/>
  <c r="H33" i="1"/>
  <c r="D34" i="1"/>
  <c r="F34" i="1"/>
  <c r="H34" i="1"/>
  <c r="D35" i="1"/>
  <c r="F35" i="1"/>
  <c r="H35" i="1"/>
  <c r="D36" i="1"/>
  <c r="F36" i="1"/>
  <c r="H36" i="1"/>
  <c r="D37" i="1"/>
  <c r="F37" i="1"/>
  <c r="H37" i="1"/>
  <c r="D38" i="1"/>
  <c r="F38" i="1"/>
  <c r="H38" i="1"/>
  <c r="D39" i="1"/>
  <c r="F39" i="1"/>
  <c r="H39" i="1"/>
  <c r="D40" i="1"/>
  <c r="F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B52" i="1"/>
  <c r="C52" i="1"/>
  <c r="B53" i="1"/>
  <c r="C53" i="1"/>
  <c r="B54" i="1"/>
  <c r="C54" i="1"/>
  <c r="B55" i="1"/>
  <c r="C55" i="1"/>
  <c r="B56" i="1"/>
  <c r="C56" i="1"/>
  <c r="B57" i="1"/>
  <c r="C57" i="1"/>
  <c r="B62" i="1"/>
  <c r="C62" i="1"/>
  <c r="B63" i="1"/>
  <c r="C63" i="1"/>
  <c r="B64" i="1"/>
  <c r="C64" i="1"/>
  <c r="B65" i="1"/>
  <c r="C65" i="1"/>
  <c r="B66" i="1"/>
  <c r="C66" i="1"/>
  <c r="B67" i="1"/>
  <c r="C67" i="1"/>
</calcChain>
</file>

<file path=xl/sharedStrings.xml><?xml version="1.0" encoding="utf-8"?>
<sst xmlns="http://schemas.openxmlformats.org/spreadsheetml/2006/main" count="525" uniqueCount="216">
  <si>
    <t>TRANSWESTERN PIPELINE COMPANY</t>
  </si>
  <si>
    <t>RED ROCK EXPANSION PROJECT</t>
  </si>
  <si>
    <t>FLAGSTAFF COMPRESSOR STATION</t>
  </si>
  <si>
    <t>Table 1</t>
  </si>
  <si>
    <t>TURBINE INFORMATION</t>
  </si>
  <si>
    <t>Manufacturer:</t>
  </si>
  <si>
    <t>GE LM2500</t>
  </si>
  <si>
    <t>Fuel Type:</t>
  </si>
  <si>
    <t>Sweet Natural Gas</t>
  </si>
  <si>
    <t>HHV:</t>
  </si>
  <si>
    <t>Btu/scf</t>
  </si>
  <si>
    <t>Site Elevation:</t>
  </si>
  <si>
    <t>Inlet Loss:</t>
  </si>
  <si>
    <t>in H2O</t>
  </si>
  <si>
    <t>Exhaust Loss:</t>
  </si>
  <si>
    <t>Shaft Power:</t>
  </si>
  <si>
    <t>hp @ 12.8oF (Base Load)</t>
  </si>
  <si>
    <t>hp @ 60oF (Base Load)</t>
  </si>
  <si>
    <t>Max Heat Rate:</t>
  </si>
  <si>
    <t>Btu/hp-hr @95oF (50% Load)</t>
  </si>
  <si>
    <t>MMBtu/hr</t>
  </si>
  <si>
    <t>(Max Heat Rate x shp@12.8oF)</t>
  </si>
  <si>
    <t>Avg Heat Rate:</t>
  </si>
  <si>
    <t>Btu/hp-hr @60oF (Base Load)</t>
  </si>
  <si>
    <t>(Avg Heat Rate x shp@60oF)</t>
  </si>
  <si>
    <t>Speed:</t>
  </si>
  <si>
    <t>rpm</t>
  </si>
  <si>
    <t>Max Hourly Fuel:</t>
  </si>
  <si>
    <t>MMscf/hr</t>
  </si>
  <si>
    <t>(Max Heat Rate / HHV)</t>
  </si>
  <si>
    <t>Avg Hourly Fuel:</t>
  </si>
  <si>
    <t>(Avg Heat Rate / HHV)</t>
  </si>
  <si>
    <t>Annual Fuel:</t>
  </si>
  <si>
    <t>MMscf/yr</t>
  </si>
  <si>
    <t>(Avg Fuel x 8760)</t>
  </si>
  <si>
    <t>Potential Emissions</t>
  </si>
  <si>
    <t>Temp</t>
  </si>
  <si>
    <t>Turbine</t>
  </si>
  <si>
    <t>NOx (as NO2)</t>
  </si>
  <si>
    <t>CO</t>
  </si>
  <si>
    <t>THC</t>
  </si>
  <si>
    <t>(oF)</t>
  </si>
  <si>
    <t>Load (%)</t>
  </si>
  <si>
    <t>(lb/hr)</t>
  </si>
  <si>
    <t>(tpy)</t>
  </si>
  <si>
    <t>Base</t>
  </si>
  <si>
    <t>Max Hourly</t>
  </si>
  <si>
    <t>Base Load Max</t>
  </si>
  <si>
    <t>AP-42 Emission Factors (04/00)</t>
  </si>
  <si>
    <t>PM</t>
  </si>
  <si>
    <t>lb/MMBtu</t>
  </si>
  <si>
    <t>SO2</t>
  </si>
  <si>
    <t>Formaldehyde</t>
  </si>
  <si>
    <t>Proposed Turbine Emissions</t>
  </si>
  <si>
    <t>Maximum</t>
  </si>
  <si>
    <t>Annual</t>
  </si>
  <si>
    <t>Pollutant</t>
  </si>
  <si>
    <t>NOX</t>
  </si>
  <si>
    <t>operating at 64% load 100% of time</t>
  </si>
  <si>
    <t>VOC</t>
  </si>
  <si>
    <t>Proposed Turbine Emissions Plus 15% Safety Factor</t>
  </si>
  <si>
    <t>Table 2</t>
  </si>
  <si>
    <t>GENERATOR ENGINES</t>
  </si>
  <si>
    <t>Caterpillar 3508</t>
  </si>
  <si>
    <t>Rated Power:</t>
  </si>
  <si>
    <t>hp @100% Load</t>
  </si>
  <si>
    <t>Fuel Flow Rate:</t>
  </si>
  <si>
    <t>scf/min</t>
  </si>
  <si>
    <t>(mfr data)</t>
  </si>
  <si>
    <t>scf/hr</t>
  </si>
  <si>
    <t>HHV</t>
  </si>
  <si>
    <t>(estimate)</t>
  </si>
  <si>
    <t>Heat Rate:</t>
  </si>
  <si>
    <t>Btu/hp-hr</t>
  </si>
  <si>
    <t>Operating Schedule:</t>
  </si>
  <si>
    <t>hours/yr</t>
  </si>
  <si>
    <t>Emission Factors</t>
  </si>
  <si>
    <t>Rate</t>
  </si>
  <si>
    <t>Units</t>
  </si>
  <si>
    <t>Source</t>
  </si>
  <si>
    <t>NOx</t>
  </si>
  <si>
    <t>lb/hr</t>
  </si>
  <si>
    <t>Mfr</t>
  </si>
  <si>
    <t>NMHC</t>
  </si>
  <si>
    <t>AP-42</t>
  </si>
  <si>
    <t>Proposed Generator Engine  Emissions</t>
  </si>
  <si>
    <t>Note:</t>
  </si>
  <si>
    <t>1.  TWP will install two Caterpillar G3508 generator engines.  However, only one unit will be run at a time</t>
  </si>
  <si>
    <t xml:space="preserve">      with the second unit in standby.  TWP requests the flexiblity to operate either engine.</t>
  </si>
  <si>
    <t>1999 Emissions Based on Test Data</t>
  </si>
  <si>
    <t>Unit</t>
  </si>
  <si>
    <t>Nox (tpy)</t>
  </si>
  <si>
    <t>CO (tpy)</t>
  </si>
  <si>
    <t>VOC (tpy)</t>
  </si>
  <si>
    <t>Total</t>
  </si>
  <si>
    <t>2000 Emissions Based on Test Data</t>
  </si>
  <si>
    <t xml:space="preserve">Last 2-Year Emissions Average </t>
  </si>
  <si>
    <t>Proposed Emission Increases (tpy)</t>
  </si>
  <si>
    <t>Gen Engines</t>
  </si>
  <si>
    <t>TOTAL</t>
  </si>
  <si>
    <t>Contemporaneous Emission Decreases (tpy)</t>
  </si>
  <si>
    <t>Net Change (Increase - Decrease) (tpy)</t>
  </si>
  <si>
    <t>Notes:</t>
  </si>
  <si>
    <t>(1) Proposed NOx, CO, and VOC emissions based on turbine being operated at 64% load 100% of the time</t>
  </si>
  <si>
    <t>(2) Proposed increases are from proposed turbine and generator engines.</t>
  </si>
  <si>
    <t xml:space="preserve">    Only one generator engine will be run at a time.</t>
  </si>
  <si>
    <t>(3) Contemporaneous decreases are from permanent shutdown of Units 201, 202, 203, 221, and 222.</t>
  </si>
  <si>
    <t xml:space="preserve">FLAGSTAFF COMPRESSOR STATION #2 </t>
  </si>
  <si>
    <t xml:space="preserve">2000 ARIZONA AIR EMISSIONS </t>
  </si>
  <si>
    <t xml:space="preserve"> </t>
  </si>
  <si>
    <t>ANNUAL ENGINE EMISSIONS FROM NATURAL GAS COMBUSTION BASED ON TEST DATA</t>
  </si>
  <si>
    <t>EMISSION FACTORS</t>
  </si>
  <si>
    <t>STACK</t>
  </si>
  <si>
    <t>FUEL</t>
  </si>
  <si>
    <t>RATED</t>
  </si>
  <si>
    <t>(lb/hr) and (lb/MMBtu)</t>
  </si>
  <si>
    <t>ANNUAL EMISSIONS (TONS/YR)</t>
  </si>
  <si>
    <t>I.D.</t>
  </si>
  <si>
    <t>CONSUMP</t>
  </si>
  <si>
    <t>ANNUAL</t>
  </si>
  <si>
    <t>HORSE</t>
  </si>
  <si>
    <t>(2)</t>
  </si>
  <si>
    <t>(1)</t>
  </si>
  <si>
    <t>(3)</t>
  </si>
  <si>
    <t>% Run</t>
  </si>
  <si>
    <t>#</t>
  </si>
  <si>
    <t>(MMscf/yr)</t>
  </si>
  <si>
    <t>HOURS</t>
  </si>
  <si>
    <t>POWER</t>
  </si>
  <si>
    <t>nm-VOC</t>
  </si>
  <si>
    <t>PM10</t>
  </si>
  <si>
    <t>NOTES:</t>
  </si>
  <si>
    <t>(1) Emission factors for Units 201, 202, and 203 are from NOx, CO, and nmVOC are from stack testing.</t>
  </si>
  <si>
    <t>(2) Analysis of natural gas shows virtually no sulfur.</t>
  </si>
  <si>
    <t>(3) Particulate emissions is from AP-42, Table 3.2-3, 100% of Total Outlet particulate is assumed to be PM10.</t>
  </si>
  <si>
    <t>(4) Engines 201, 202, and 203 are Ingersoll-Rand 616KVT .  (4-cycle, rich burn)</t>
  </si>
  <si>
    <t>(5) Engines 221 and 222 are Waukesha LRZ.  (4-cycle, rich burn)</t>
  </si>
  <si>
    <t>(6) Emissions factors for Units 221 and 222 for NOx and CO are from emissions testing conducted on July 21-23, 1998.</t>
  </si>
  <si>
    <t>Emission factors for PM are from AP42 Table 3.2-3 dated 7/00.</t>
  </si>
  <si>
    <t>TEST DATA</t>
  </si>
  <si>
    <t>TEST 1</t>
  </si>
  <si>
    <t>TEST 2</t>
  </si>
  <si>
    <t>TEST 3</t>
  </si>
  <si>
    <t xml:space="preserve">AVG </t>
  </si>
  <si>
    <t>UNIT 201</t>
  </si>
  <si>
    <t>UNIT 202</t>
  </si>
  <si>
    <t>UNIT 203</t>
  </si>
  <si>
    <t>* NOx and CO data were obtained from the emission test conducted between July 21-23, 1998</t>
  </si>
  <si>
    <t xml:space="preserve">1999 ARIZONA AIR EMISSIONS </t>
  </si>
  <si>
    <t>(lb/MMBtu) and (lb/hr)</t>
  </si>
  <si>
    <t>Table 4</t>
  </si>
  <si>
    <t>ALTERNATIVE OPERATING SCENARIO EMISSIONS</t>
  </si>
  <si>
    <t>Engine Data</t>
  </si>
  <si>
    <t>Operating Hours:</t>
  </si>
  <si>
    <t>hours</t>
  </si>
  <si>
    <t>Comp Engine Rated hp:</t>
  </si>
  <si>
    <t>hp</t>
  </si>
  <si>
    <t>Gen Engine Rated hp:</t>
  </si>
  <si>
    <t>AP-42 Emissions Factors (07/00) for 4-Cycle Rich &lt;90% Load</t>
  </si>
  <si>
    <t>Proposed Emissions (tpy)</t>
  </si>
  <si>
    <t>221/222</t>
  </si>
  <si>
    <t>1. TWP will operate either 221 or 222, but not both at the same time.</t>
  </si>
  <si>
    <t>Alternative scenario operating limit.</t>
  </si>
  <si>
    <t xml:space="preserve">Alternative scenario should not result in 12-month rolling emissions &gt; actuals + 40 tpy = </t>
  </si>
  <si>
    <t>tpy</t>
  </si>
  <si>
    <t>For six months emissions should not be &gt;</t>
  </si>
  <si>
    <t>For six months emissions from proposed project =</t>
  </si>
  <si>
    <t>For six months emissions, alternative scenario should not be &gt;</t>
  </si>
  <si>
    <t>As seen in the table, NOX for</t>
  </si>
  <si>
    <t>&lt;</t>
  </si>
  <si>
    <t>Table 5</t>
  </si>
  <si>
    <t>SUMMARY OF STATION EMISSIONS</t>
  </si>
  <si>
    <t>PRIMARY OPERATING SCENARIO</t>
  </si>
  <si>
    <t>Source Name</t>
  </si>
  <si>
    <t>Source ID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</si>
  <si>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</si>
  <si>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</si>
  <si>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</si>
  <si>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</si>
  <si>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</si>
  <si>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</si>
  <si>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</si>
  <si>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</si>
  <si>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</si>
  <si>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</si>
  <si>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</si>
  <si>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</si>
  <si>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223/224</t>
  </si>
  <si>
    <t>Generator Engines</t>
  </si>
  <si>
    <t>P8/P9</t>
  </si>
  <si>
    <t>ALTERNATIVE OPERATING SCENARIO</t>
  </si>
  <si>
    <t>Generator Engines 1/2</t>
  </si>
  <si>
    <t>P4/P5</t>
  </si>
  <si>
    <t>Generator Engines 3/4</t>
  </si>
  <si>
    <t>1.  Under the proposed alternative scenario TWP will operate either one of the existing units (221 or 222) in tandem with one of the new units (223 or 224).</t>
  </si>
  <si>
    <t xml:space="preserve">     At the end of the six month period TWP will abandon both 221 and 222, and will operate either 223 or 224.  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</si>
  <si>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</si>
  <si>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</si>
  <si>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</si>
  <si>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</si>
  <si>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</si>
  <si>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</si>
  <si>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maximum hourly emission rate at 64% load at 00F x 1.15</t>
  </si>
  <si>
    <t>Annual (ton per year)</t>
  </si>
  <si>
    <t>tpy =</t>
  </si>
  <si>
    <t>Max hourly (lb/hr) x 8760 hrs/yr x 1/2000 tons/lb</t>
  </si>
  <si>
    <t>CO Emissions</t>
  </si>
  <si>
    <t>VOC Emissions</t>
  </si>
  <si>
    <t>maximum hourly emission rate at 64% load at 0oF x 10% NMHC x 1.15</t>
  </si>
  <si>
    <t>Particulate Emissions</t>
  </si>
  <si>
    <t>maximum heat rate at 50% load at 95oF x AP42 factor lb/MMBtu x 1.15</t>
  </si>
  <si>
    <t>352.24 MMBtu/hr x 6.6E-3 lb/MMBtu x 1.15</t>
  </si>
  <si>
    <t>SO2 Emissions</t>
  </si>
  <si>
    <t>352.24 MMBtu/hr x 3.4E-3 lb/MMBtu x 1.15</t>
  </si>
  <si>
    <t>Formaldehyde Emissions</t>
  </si>
  <si>
    <t>352.24 MMBtu/hr x 7.1E-4 lb/MMBtu x 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</si>
</sst>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.0%"/>
    <numFmt numFmtId="168" formatCode="0.000000"/>
  </numFmts>
  <fonts count="9" x14ac:knownFonts="1">
    <font>
      <sz val="10"/>
      <name val="Arial"/>
      <charset val="238"/>
    </font>
    <font>
      <b/>
      <sz val="12"/>
      <name val="Arial"/>
      <charset val="238"/>
    </font>
    <font>
      <sz val="12"/>
      <name val="Arial"/>
      <charset val="238"/>
    </font>
    <font>
      <b/>
      <sz val="14"/>
      <name val="Arial"/>
      <charset val="238"/>
    </font>
    <font>
      <b/>
      <sz val="10"/>
      <name val="Arial"/>
      <charset val="238"/>
    </font>
    <font>
      <b/>
      <sz val="18"/>
      <name val="Arial"/>
      <charset val="238"/>
    </font>
    <font>
      <b/>
      <sz val="16"/>
      <name val="Arial"/>
      <charset val="238"/>
    </font>
    <font>
      <sz val="14"/>
      <name val="Arial"/>
      <charset val="238"/>
    </font>
    <font>
      <sz val="10"/>
      <name val="Arial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</patternFill>
    </fill>
  </fills>
  <borders count="4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 style="thick">
        <color indexed="0"/>
      </top>
      <bottom style="thin">
        <color indexed="0"/>
      </bottom>
      <diagonal/>
    </border>
    <border>
      <left/>
      <right/>
      <top style="thick">
        <color indexed="0"/>
      </top>
      <bottom style="thin">
        <color indexed="0"/>
      </bottom>
      <diagonal/>
    </border>
    <border>
      <left/>
      <right style="thin">
        <color indexed="0"/>
      </right>
      <top style="thick">
        <color indexed="0"/>
      </top>
      <bottom style="thin">
        <color indexed="0"/>
      </bottom>
      <diagonal/>
    </border>
    <border>
      <left style="double">
        <color indexed="0"/>
      </left>
      <right/>
      <top style="double">
        <color indexed="0"/>
      </top>
      <bottom style="thin">
        <color indexed="0"/>
      </bottom>
      <diagonal/>
    </border>
    <border>
      <left/>
      <right/>
      <top style="double">
        <color indexed="0"/>
      </top>
      <bottom style="thin">
        <color indexed="0"/>
      </bottom>
      <diagonal/>
    </border>
    <border>
      <left/>
      <right style="double">
        <color indexed="0"/>
      </right>
      <top style="double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double">
        <color indexed="0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double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thin">
        <color indexed="0"/>
      </right>
      <top/>
      <bottom style="double">
        <color indexed="0"/>
      </bottom>
      <diagonal/>
    </border>
    <border>
      <left style="double">
        <color indexed="0"/>
      </left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ck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ck">
        <color indexed="0"/>
      </left>
      <right style="thin">
        <color indexed="0"/>
      </right>
      <top style="thick">
        <color indexed="0"/>
      </top>
      <bottom/>
      <diagonal/>
    </border>
    <border>
      <left style="thick">
        <color indexed="0"/>
      </left>
      <right style="thick">
        <color indexed="0"/>
      </right>
      <top style="thin">
        <color indexed="0"/>
      </top>
      <bottom style="thin">
        <color indexed="0"/>
      </bottom>
      <diagonal/>
    </border>
    <border>
      <left style="thick">
        <color indexed="0"/>
      </left>
      <right style="thick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ck">
        <color indexed="0"/>
      </right>
      <top style="thin">
        <color indexed="0"/>
      </top>
      <bottom/>
      <diagonal/>
    </border>
    <border>
      <left style="thick">
        <color indexed="0"/>
      </left>
      <right style="thick">
        <color indexed="0"/>
      </right>
      <top style="thick">
        <color indexed="0"/>
      </top>
      <bottom style="thin">
        <color indexed="0"/>
      </bottom>
      <diagonal/>
    </border>
    <border>
      <left style="thick">
        <color indexed="0"/>
      </left>
      <right style="thick">
        <color indexed="0"/>
      </right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double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double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</borders>
  <cellStyleXfs count="3">
    <xf numFmtId="0" fontId="0" fillId="0" borderId="0">
      <alignment vertical="top"/>
    </xf>
    <xf numFmtId="3" fontId="8" fillId="0" borderId="0" applyFont="0" applyFill="0" applyBorder="0" applyAlignment="0" applyProtection="0"/>
    <xf numFmtId="0" fontId="8" fillId="0" borderId="0" applyFont="0" applyFill="0" applyBorder="0" applyAlignment="0" applyProtection="0"/>
  </cellStyleXfs>
  <cellXfs count="148">
    <xf numFmtId="0" fontId="0" fillId="0" borderId="0" xfId="0" applyAlignment="1"/>
    <xf numFmtId="0" fontId="1" fillId="0" borderId="0" xfId="0" applyFont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2" fontId="2" fillId="0" borderId="0" xfId="0" applyNumberFormat="1" applyFont="1" applyBorder="1" applyAlignment="1"/>
    <xf numFmtId="0" fontId="2" fillId="0" borderId="1" xfId="0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horizontal="center"/>
    </xf>
    <xf numFmtId="0" fontId="0" fillId="0" borderId="0" xfId="0" applyFont="1" applyAlignment="1" applyProtection="1">
      <alignment horizontal="left"/>
    </xf>
    <xf numFmtId="2" fontId="0" fillId="0" borderId="0" xfId="0" applyNumberFormat="1" applyAlignment="1" applyProtection="1"/>
    <xf numFmtId="165" fontId="2" fillId="0" borderId="1" xfId="0" applyNumberFormat="1" applyFont="1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" fontId="1" fillId="0" borderId="4" xfId="0" applyNumberFormat="1" applyFont="1" applyFill="1" applyBorder="1" applyAlignment="1" applyProtection="1"/>
    <xf numFmtId="0" fontId="1" fillId="0" borderId="4" xfId="0" applyFont="1" applyFill="1" applyBorder="1" applyAlignment="1"/>
    <xf numFmtId="164" fontId="1" fillId="0" borderId="4" xfId="0" applyNumberFormat="1" applyFont="1" applyFill="1" applyBorder="1" applyAlignment="1" applyProtection="1">
      <alignment horizontal="left"/>
    </xf>
    <xf numFmtId="2" fontId="1" fillId="0" borderId="4" xfId="0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/>
    <xf numFmtId="0" fontId="2" fillId="3" borderId="9" xfId="0" applyFont="1" applyFill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Continuous"/>
    </xf>
    <xf numFmtId="0" fontId="2" fillId="3" borderId="10" xfId="0" applyFont="1" applyFill="1" applyBorder="1" applyAlignment="1">
      <alignment horizontal="centerContinuous"/>
    </xf>
    <xf numFmtId="0" fontId="2" fillId="3" borderId="12" xfId="0" applyFont="1" applyFill="1" applyBorder="1" applyAlignment="1">
      <alignment horizontal="centerContinuous"/>
    </xf>
    <xf numFmtId="0" fontId="2" fillId="3" borderId="2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/>
    <xf numFmtId="0" fontId="2" fillId="3" borderId="0" xfId="0" applyFont="1" applyFill="1" applyBorder="1" applyAlignment="1"/>
    <xf numFmtId="0" fontId="2" fillId="3" borderId="14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center"/>
    </xf>
    <xf numFmtId="0" fontId="2" fillId="3" borderId="16" xfId="0" applyFont="1" applyFill="1" applyBorder="1" applyAlignment="1" applyProtection="1">
      <alignment horizontal="center"/>
    </xf>
    <xf numFmtId="0" fontId="2" fillId="3" borderId="17" xfId="0" applyFont="1" applyFill="1" applyBorder="1" applyAlignment="1" applyProtection="1">
      <alignment horizontal="center"/>
    </xf>
    <xf numFmtId="0" fontId="2" fillId="3" borderId="18" xfId="0" applyFont="1" applyFill="1" applyBorder="1" applyAlignment="1" applyProtection="1">
      <alignment horizontal="center"/>
    </xf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2" fillId="0" borderId="13" xfId="0" applyFont="1" applyFill="1" applyBorder="1" applyAlignment="1"/>
    <xf numFmtId="165" fontId="2" fillId="0" borderId="13" xfId="0" applyNumberFormat="1" applyFont="1" applyFill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left"/>
    </xf>
    <xf numFmtId="2" fontId="2" fillId="0" borderId="13" xfId="0" applyNumberFormat="1" applyFont="1" applyFill="1" applyBorder="1" applyAlignment="1" applyProtection="1"/>
    <xf numFmtId="2" fontId="2" fillId="0" borderId="0" xfId="0" applyNumberFormat="1" applyFont="1" applyBorder="1" applyAlignment="1" applyProtection="1"/>
    <xf numFmtId="0" fontId="2" fillId="0" borderId="14" xfId="0" applyFont="1" applyFill="1" applyBorder="1" applyAlignment="1"/>
    <xf numFmtId="1" fontId="2" fillId="0" borderId="2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1" fontId="2" fillId="0" borderId="13" xfId="0" applyNumberFormat="1" applyFont="1" applyFill="1" applyBorder="1" applyAlignment="1" applyProtection="1">
      <alignment horizontal="center"/>
    </xf>
    <xf numFmtId="1" fontId="2" fillId="0" borderId="0" xfId="0" applyNumberFormat="1" applyFont="1" applyBorder="1" applyAlignment="1" applyProtection="1">
      <alignment horizontal="center"/>
    </xf>
    <xf numFmtId="2" fontId="2" fillId="0" borderId="13" xfId="0" applyNumberFormat="1" applyFont="1" applyFill="1" applyBorder="1" applyAlignment="1" applyProtection="1">
      <alignment horizontal="center"/>
    </xf>
    <xf numFmtId="166" fontId="2" fillId="0" borderId="0" xfId="0" applyNumberFormat="1" applyFont="1" applyBorder="1" applyAlignment="1" applyProtection="1">
      <alignment horizontal="center"/>
    </xf>
    <xf numFmtId="2" fontId="2" fillId="0" borderId="14" xfId="0" applyNumberFormat="1" applyFont="1" applyFill="1" applyBorder="1" applyAlignment="1" applyProtection="1">
      <alignment horizontal="center"/>
    </xf>
    <xf numFmtId="167" fontId="2" fillId="0" borderId="0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1" fontId="2" fillId="0" borderId="19" xfId="0" applyNumberFormat="1" applyFont="1" applyFill="1" applyBorder="1" applyAlignment="1" applyProtection="1">
      <alignment horizontal="center"/>
    </xf>
    <xf numFmtId="2" fontId="2" fillId="0" borderId="19" xfId="0" applyNumberFormat="1" applyFont="1" applyFill="1" applyBorder="1" applyAlignment="1" applyProtection="1">
      <alignment horizontal="center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66" fontId="2" fillId="0" borderId="0" xfId="0" applyNumberFormat="1" applyFont="1" applyBorder="1" applyAlignment="1" applyProtection="1"/>
    <xf numFmtId="165" fontId="2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0" fontId="3" fillId="0" borderId="0" xfId="0" applyFont="1" applyBorder="1" applyAlignment="1" applyProtection="1">
      <alignment horizontal="left"/>
    </xf>
    <xf numFmtId="2" fontId="1" fillId="0" borderId="4" xfId="0" applyNumberFormat="1" applyFont="1" applyFill="1" applyBorder="1" applyAlignment="1" applyProtection="1">
      <alignment horizontal="left"/>
    </xf>
    <xf numFmtId="166" fontId="1" fillId="0" borderId="4" xfId="0" applyNumberFormat="1" applyFont="1" applyFill="1" applyBorder="1" applyAlignment="1" applyProtection="1">
      <alignment horizontal="left"/>
    </xf>
    <xf numFmtId="2" fontId="2" fillId="0" borderId="0" xfId="0" applyNumberFormat="1" applyFont="1" applyBorder="1" applyAlignment="1" applyProtection="1">
      <alignment horizontal="center"/>
    </xf>
    <xf numFmtId="0" fontId="4" fillId="0" borderId="20" xfId="0" applyFont="1" applyFill="1" applyBorder="1" applyAlignment="1">
      <alignment horizontal="centerContinuous"/>
    </xf>
    <xf numFmtId="0" fontId="4" fillId="0" borderId="21" xfId="0" applyFont="1" applyFill="1" applyBorder="1" applyAlignment="1">
      <alignment horizontal="centerContinuous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Continuous"/>
    </xf>
    <xf numFmtId="0" fontId="2" fillId="0" borderId="28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4" fillId="0" borderId="33" xfId="0" applyFont="1" applyFill="1" applyBorder="1" applyAlignment="1"/>
    <xf numFmtId="0" fontId="0" fillId="0" borderId="0" xfId="0" applyNumberFormat="1" applyFont="1" applyFill="1" applyBorder="1" applyAlignment="1" applyProtection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/>
    <xf numFmtId="0" fontId="2" fillId="0" borderId="9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5" xfId="0" applyFont="1" applyFill="1" applyBorder="1" applyAlignment="1"/>
    <xf numFmtId="0" fontId="2" fillId="0" borderId="36" xfId="0" applyFont="1" applyFill="1" applyBorder="1" applyAlignment="1"/>
    <xf numFmtId="0" fontId="2" fillId="0" borderId="9" xfId="0" applyFont="1" applyFill="1" applyBorder="1" applyAlignment="1"/>
    <xf numFmtId="164" fontId="2" fillId="0" borderId="0" xfId="0" applyNumberFormat="1" applyFont="1" applyBorder="1" applyAlignment="1"/>
    <xf numFmtId="0" fontId="2" fillId="0" borderId="3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1" fontId="2" fillId="0" borderId="1" xfId="0" applyNumberFormat="1" applyFont="1" applyFill="1" applyBorder="1" applyAlignment="1"/>
    <xf numFmtId="2" fontId="2" fillId="0" borderId="1" xfId="0" applyNumberFormat="1" applyFont="1" applyFill="1" applyBorder="1" applyAlignment="1"/>
    <xf numFmtId="0" fontId="2" fillId="0" borderId="37" xfId="0" applyFont="1" applyFill="1" applyBorder="1" applyAlignment="1">
      <alignment horizontal="center"/>
    </xf>
    <xf numFmtId="0" fontId="0" fillId="0" borderId="38" xfId="0" applyFill="1" applyBorder="1" applyAlignment="1"/>
    <xf numFmtId="0" fontId="2" fillId="0" borderId="0" xfId="0" applyFont="1" applyBorder="1" applyAlignment="1">
      <alignment horizontal="center"/>
    </xf>
    <xf numFmtId="2" fontId="2" fillId="0" borderId="34" xfId="0" applyNumberFormat="1" applyFont="1" applyFill="1" applyBorder="1" applyAlignment="1"/>
    <xf numFmtId="2" fontId="2" fillId="0" borderId="35" xfId="0" applyNumberFormat="1" applyFont="1" applyFill="1" applyBorder="1" applyAlignment="1"/>
    <xf numFmtId="0" fontId="2" fillId="0" borderId="38" xfId="0" applyFont="1" applyFill="1" applyBorder="1" applyAlignment="1">
      <alignment horizontal="center"/>
    </xf>
    <xf numFmtId="0" fontId="2" fillId="0" borderId="34" xfId="0" applyFont="1" applyFill="1" applyBorder="1" applyAlignment="1"/>
    <xf numFmtId="0" fontId="6" fillId="0" borderId="0" xfId="0" applyFont="1" applyBorder="1" applyAlignment="1"/>
    <xf numFmtId="1" fontId="2" fillId="0" borderId="0" xfId="0" applyNumberFormat="1" applyFont="1" applyBorder="1" applyAlignment="1"/>
    <xf numFmtId="166" fontId="2" fillId="0" borderId="1" xfId="0" applyNumberFormat="1" applyFont="1" applyFill="1" applyBorder="1" applyAlignment="1"/>
    <xf numFmtId="168" fontId="2" fillId="0" borderId="1" xfId="0" applyNumberFormat="1" applyFont="1" applyFill="1" applyBorder="1" applyAlignment="1"/>
    <xf numFmtId="165" fontId="2" fillId="0" borderId="1" xfId="0" applyNumberFormat="1" applyFont="1" applyFill="1" applyBorder="1" applyAlignment="1"/>
    <xf numFmtId="0" fontId="3" fillId="0" borderId="0" xfId="0" applyFont="1" applyBorder="1" applyAlignment="1"/>
    <xf numFmtId="0" fontId="2" fillId="0" borderId="30" xfId="0" applyFont="1" applyFill="1" applyBorder="1" applyAlignment="1"/>
    <xf numFmtId="0" fontId="2" fillId="0" borderId="39" xfId="0" applyFont="1" applyFill="1" applyBorder="1" applyAlignment="1"/>
    <xf numFmtId="0" fontId="2" fillId="0" borderId="40" xfId="0" applyFont="1" applyFill="1" applyBorder="1" applyAlignment="1"/>
    <xf numFmtId="0" fontId="2" fillId="0" borderId="39" xfId="0" applyFont="1" applyFill="1" applyBorder="1" applyAlignment="1">
      <alignment horizontal="right"/>
    </xf>
    <xf numFmtId="0" fontId="5" fillId="0" borderId="0" xfId="0" applyFont="1" applyBorder="1" applyAlignment="1"/>
    <xf numFmtId="0" fontId="2" fillId="0" borderId="16" xfId="0" applyFont="1" applyFill="1" applyBorder="1" applyAlignment="1">
      <alignment horizontal="center"/>
    </xf>
    <xf numFmtId="2" fontId="2" fillId="0" borderId="16" xfId="0" applyNumberFormat="1" applyFont="1" applyFill="1" applyBorder="1" applyAlignment="1"/>
    <xf numFmtId="2" fontId="2" fillId="0" borderId="41" xfId="0" applyNumberFormat="1" applyFont="1" applyFill="1" applyBorder="1" applyAlignment="1"/>
    <xf numFmtId="2" fontId="2" fillId="0" borderId="40" xfId="0" applyNumberFormat="1" applyFont="1" applyFill="1" applyBorder="1" applyAlignment="1"/>
    <xf numFmtId="2" fontId="2" fillId="0" borderId="39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4" xfId="0" applyNumberFormat="1" applyFont="1" applyFill="1" applyBorder="1" applyAlignment="1"/>
    <xf numFmtId="2" fontId="2" fillId="0" borderId="42" xfId="0" applyNumberFormat="1" applyFont="1" applyFill="1" applyBorder="1" applyAlignment="1"/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5" xfId="0" applyFont="1" applyFill="1" applyBorder="1" applyAlignment="1"/>
    <xf numFmtId="0" fontId="2" fillId="0" borderId="39" xfId="0" applyFont="1" applyFill="1" applyBorder="1" applyAlignment="1">
      <alignment horizontal="center"/>
    </xf>
    <xf numFmtId="0" fontId="0" fillId="0" borderId="30" xfId="0" applyFill="1" applyBorder="1" applyAlignment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3">
    <cellStyle name="Comma0" xfId="1"/>
    <cellStyle name="Currency0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"/>
  <sheetViews>
    <sheetView tabSelected="1" workbookViewId="0">
      <selection activeCell="A11" sqref="A11"/>
    </sheetView>
  </sheetViews>
  <sheetFormatPr defaultRowHeight="13.2" x14ac:dyDescent="0.25"/>
  <cols>
    <col min="1" max="1" width="19.5546875" customWidth="1"/>
    <col min="2" max="2" width="11.44140625" customWidth="1"/>
  </cols>
  <sheetData>
    <row r="1" spans="1:11" ht="22.8" x14ac:dyDescent="0.4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22.8" x14ac:dyDescent="0.4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ht="22.8" x14ac:dyDescent="0.4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</row>
    <row r="5" spans="1:11" ht="17.399999999999999" x14ac:dyDescent="0.3">
      <c r="A5" s="74" t="s">
        <v>3</v>
      </c>
    </row>
    <row r="6" spans="1:11" ht="17.399999999999999" x14ac:dyDescent="0.3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</row>
    <row r="7" spans="1:11" ht="21" x14ac:dyDescent="0.4">
      <c r="A7" s="101" t="s">
        <v>4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</row>
    <row r="10" spans="1:11" ht="17.399999999999999" x14ac:dyDescent="0.3">
      <c r="A10" s="9" t="s">
        <v>5</v>
      </c>
      <c r="B10" s="9" t="s">
        <v>6</v>
      </c>
      <c r="C10" s="9"/>
      <c r="D10" s="9"/>
      <c r="E10" s="9"/>
      <c r="F10" s="102"/>
      <c r="G10" s="102"/>
      <c r="H10" s="102"/>
      <c r="I10" s="102"/>
      <c r="J10" s="9"/>
      <c r="K10" s="9"/>
    </row>
    <row r="11" spans="1:11" ht="17.399999999999999" x14ac:dyDescent="0.3">
      <c r="A11" s="9" t="s">
        <v>7</v>
      </c>
      <c r="B11" s="9" t="s">
        <v>8</v>
      </c>
      <c r="C11" s="9"/>
      <c r="D11" s="9"/>
      <c r="E11" s="9"/>
      <c r="F11" s="102"/>
      <c r="G11" s="102"/>
      <c r="H11" s="102"/>
      <c r="I11" s="102"/>
      <c r="J11" s="9"/>
      <c r="K11" s="9"/>
    </row>
    <row r="12" spans="1:11" ht="17.399999999999999" x14ac:dyDescent="0.3">
      <c r="A12" s="9" t="s">
        <v>9</v>
      </c>
      <c r="B12" s="9">
        <v>1050</v>
      </c>
      <c r="C12" s="9" t="s">
        <v>10</v>
      </c>
      <c r="D12" s="9"/>
      <c r="E12" s="9"/>
      <c r="F12" s="102"/>
      <c r="G12" s="102"/>
      <c r="H12" s="102"/>
      <c r="I12" s="102"/>
      <c r="J12" s="9"/>
      <c r="K12" s="9"/>
    </row>
    <row r="13" spans="1:11" ht="17.399999999999999" x14ac:dyDescent="0.3">
      <c r="A13" s="9" t="s">
        <v>11</v>
      </c>
      <c r="B13" s="9">
        <v>7458</v>
      </c>
      <c r="C13" s="9"/>
      <c r="D13" s="9"/>
      <c r="E13" s="9"/>
      <c r="F13" s="102"/>
      <c r="G13" s="102"/>
      <c r="H13" s="102"/>
      <c r="I13" s="102"/>
      <c r="J13" s="9"/>
      <c r="K13" s="9"/>
    </row>
    <row r="14" spans="1:11" ht="17.399999999999999" x14ac:dyDescent="0.3">
      <c r="A14" s="9" t="s">
        <v>12</v>
      </c>
      <c r="B14" s="108">
        <v>4</v>
      </c>
      <c r="C14" s="9" t="s">
        <v>13</v>
      </c>
      <c r="D14" s="9"/>
      <c r="E14" s="9"/>
      <c r="F14" s="102"/>
      <c r="G14" s="102"/>
      <c r="H14" s="102"/>
      <c r="I14" s="102"/>
      <c r="J14" s="9"/>
      <c r="K14" s="9"/>
    </row>
    <row r="15" spans="1:11" ht="17.399999999999999" x14ac:dyDescent="0.3">
      <c r="A15" s="9" t="s">
        <v>14</v>
      </c>
      <c r="B15" s="108">
        <v>4</v>
      </c>
      <c r="C15" s="9" t="s">
        <v>13</v>
      </c>
      <c r="D15" s="9"/>
      <c r="E15" s="9"/>
      <c r="F15" s="102"/>
      <c r="G15" s="102"/>
      <c r="H15" s="102"/>
      <c r="I15" s="102"/>
      <c r="J15" s="9"/>
      <c r="K15" s="9"/>
    </row>
    <row r="16" spans="1:11" ht="17.399999999999999" x14ac:dyDescent="0.3">
      <c r="A16" s="9" t="s">
        <v>15</v>
      </c>
      <c r="B16" s="9">
        <v>37270</v>
      </c>
      <c r="C16" s="9" t="s">
        <v>16</v>
      </c>
      <c r="D16" s="9"/>
      <c r="E16" s="9"/>
      <c r="F16" s="102"/>
      <c r="G16" s="102"/>
      <c r="H16" s="102"/>
      <c r="I16" s="102"/>
      <c r="J16" s="9"/>
      <c r="K16" s="9"/>
    </row>
    <row r="17" spans="1:11" ht="17.399999999999999" x14ac:dyDescent="0.3">
      <c r="A17" s="9"/>
      <c r="B17" s="9">
        <v>30565</v>
      </c>
      <c r="C17" s="9" t="s">
        <v>17</v>
      </c>
      <c r="D17" s="9"/>
      <c r="E17" s="9"/>
      <c r="F17" s="102"/>
      <c r="G17" s="102"/>
      <c r="H17" s="102"/>
      <c r="I17" s="102"/>
      <c r="J17" s="9"/>
      <c r="K17" s="9"/>
    </row>
    <row r="18" spans="1:11" ht="17.399999999999999" x14ac:dyDescent="0.3">
      <c r="A18" s="9" t="s">
        <v>18</v>
      </c>
      <c r="B18" s="9">
        <v>9451</v>
      </c>
      <c r="C18" s="9" t="s">
        <v>19</v>
      </c>
      <c r="D18" s="9"/>
      <c r="E18" s="9"/>
      <c r="F18" s="102"/>
      <c r="G18" s="102"/>
      <c r="H18" s="102"/>
      <c r="I18" s="102"/>
      <c r="J18" s="9"/>
      <c r="K18" s="9"/>
    </row>
    <row r="19" spans="1:11" ht="17.399999999999999" x14ac:dyDescent="0.3">
      <c r="A19" s="9"/>
      <c r="B19" s="10">
        <f>+B16*B18/1000000</f>
        <v>352.23876999999999</v>
      </c>
      <c r="C19" s="9" t="s">
        <v>20</v>
      </c>
      <c r="D19" s="9" t="s">
        <v>21</v>
      </c>
      <c r="E19" s="9"/>
      <c r="F19" s="102"/>
      <c r="G19" s="102"/>
      <c r="H19" s="102"/>
      <c r="I19" s="102"/>
      <c r="J19" s="9"/>
      <c r="K19" s="9"/>
    </row>
    <row r="20" spans="1:11" ht="17.399999999999999" x14ac:dyDescent="0.3">
      <c r="A20" s="9" t="s">
        <v>22</v>
      </c>
      <c r="B20" s="10">
        <v>6308</v>
      </c>
      <c r="C20" s="9" t="s">
        <v>23</v>
      </c>
      <c r="D20" s="9"/>
      <c r="E20" s="9"/>
      <c r="F20" s="102"/>
      <c r="G20" s="102"/>
      <c r="H20" s="102"/>
      <c r="I20" s="102"/>
      <c r="J20" s="9"/>
      <c r="K20" s="9"/>
    </row>
    <row r="21" spans="1:11" ht="17.399999999999999" x14ac:dyDescent="0.3">
      <c r="A21" s="9"/>
      <c r="B21" s="10">
        <f>+B20*B17/1000000</f>
        <v>192.80402000000001</v>
      </c>
      <c r="C21" s="9" t="s">
        <v>20</v>
      </c>
      <c r="D21" s="9" t="s">
        <v>24</v>
      </c>
      <c r="E21" s="9"/>
      <c r="F21" s="102"/>
      <c r="G21" s="102"/>
      <c r="H21" s="102"/>
      <c r="I21" s="102"/>
      <c r="J21" s="9"/>
      <c r="K21" s="9"/>
    </row>
    <row r="22" spans="1:11" ht="17.399999999999999" x14ac:dyDescent="0.3">
      <c r="A22" s="9" t="s">
        <v>25</v>
      </c>
      <c r="B22" s="9">
        <v>6100</v>
      </c>
      <c r="C22" s="9" t="s">
        <v>26</v>
      </c>
      <c r="D22" s="9"/>
      <c r="E22" s="9"/>
      <c r="F22" s="102"/>
      <c r="G22" s="102"/>
      <c r="H22" s="102"/>
      <c r="I22" s="102"/>
      <c r="J22" s="9"/>
      <c r="K22" s="9"/>
    </row>
    <row r="23" spans="1:11" ht="17.399999999999999" x14ac:dyDescent="0.3">
      <c r="A23" s="9" t="s">
        <v>27</v>
      </c>
      <c r="B23" s="10">
        <f>+B19/B12</f>
        <v>0.33546549523809521</v>
      </c>
      <c r="C23" s="9" t="s">
        <v>28</v>
      </c>
      <c r="D23" s="9" t="s">
        <v>29</v>
      </c>
      <c r="E23" s="9"/>
      <c r="F23" s="102"/>
      <c r="G23" s="102"/>
      <c r="H23" s="102"/>
      <c r="I23" s="102"/>
      <c r="J23" s="9"/>
      <c r="K23" s="9"/>
    </row>
    <row r="24" spans="1:11" ht="17.399999999999999" x14ac:dyDescent="0.3">
      <c r="A24" s="9" t="s">
        <v>30</v>
      </c>
      <c r="B24" s="10">
        <f>+B21/B12</f>
        <v>0.18362287619047621</v>
      </c>
      <c r="C24" s="9" t="s">
        <v>28</v>
      </c>
      <c r="D24" s="9" t="s">
        <v>31</v>
      </c>
      <c r="E24" s="9"/>
      <c r="F24" s="102"/>
      <c r="G24" s="102"/>
      <c r="H24" s="102"/>
      <c r="I24" s="102"/>
      <c r="J24" s="9"/>
      <c r="K24" s="9"/>
    </row>
    <row r="25" spans="1:11" ht="17.399999999999999" x14ac:dyDescent="0.3">
      <c r="A25" s="9" t="s">
        <v>32</v>
      </c>
      <c r="B25" s="10">
        <f>+B24*8760</f>
        <v>1608.5363954285715</v>
      </c>
      <c r="C25" s="9" t="s">
        <v>33</v>
      </c>
      <c r="D25" s="9" t="s">
        <v>34</v>
      </c>
      <c r="E25" s="9"/>
      <c r="F25" s="102"/>
      <c r="G25" s="102"/>
      <c r="H25" s="102"/>
      <c r="I25" s="102"/>
      <c r="J25" s="9"/>
      <c r="K25" s="9"/>
    </row>
    <row r="26" spans="1:11" ht="17.399999999999999" x14ac:dyDescent="0.3">
      <c r="A26" s="102"/>
      <c r="B26" s="102"/>
      <c r="C26" s="102"/>
      <c r="D26" s="102"/>
      <c r="E26" s="102"/>
      <c r="F26" s="102"/>
      <c r="G26" s="102"/>
      <c r="H26" s="102"/>
      <c r="I26" s="102"/>
      <c r="J26" s="9"/>
      <c r="K26" s="9"/>
    </row>
    <row r="27" spans="1:11" ht="17.399999999999999" x14ac:dyDescent="0.3">
      <c r="A27" s="102" t="s">
        <v>35</v>
      </c>
      <c r="B27" s="102"/>
      <c r="C27" s="102"/>
      <c r="D27" s="102"/>
      <c r="E27" s="102"/>
      <c r="F27" s="102"/>
      <c r="G27" s="102"/>
      <c r="H27" s="102"/>
      <c r="I27" s="102"/>
      <c r="J27" s="9"/>
      <c r="K27" s="9"/>
    </row>
    <row r="28" spans="1:11" ht="17.399999999999999" x14ac:dyDescent="0.3">
      <c r="A28" s="103" t="s">
        <v>36</v>
      </c>
      <c r="B28" s="109" t="s">
        <v>37</v>
      </c>
      <c r="C28" s="113" t="s">
        <v>38</v>
      </c>
      <c r="D28" s="114"/>
      <c r="E28" s="113" t="s">
        <v>39</v>
      </c>
      <c r="F28" s="114"/>
      <c r="G28" s="118" t="s">
        <v>40</v>
      </c>
      <c r="H28" s="114"/>
      <c r="I28" s="102"/>
      <c r="J28" s="9"/>
      <c r="K28" s="9"/>
    </row>
    <row r="29" spans="1:11" ht="17.399999999999999" x14ac:dyDescent="0.3">
      <c r="A29" s="3" t="s">
        <v>41</v>
      </c>
      <c r="B29" s="110" t="s">
        <v>42</v>
      </c>
      <c r="C29" s="115" t="s">
        <v>43</v>
      </c>
      <c r="D29" s="2" t="s">
        <v>44</v>
      </c>
      <c r="E29" s="2" t="s">
        <v>43</v>
      </c>
      <c r="F29" s="2" t="s">
        <v>44</v>
      </c>
      <c r="G29" s="2" t="s">
        <v>43</v>
      </c>
      <c r="H29" s="2" t="s">
        <v>44</v>
      </c>
      <c r="I29" s="102"/>
    </row>
    <row r="30" spans="1:11" ht="17.399999999999999" x14ac:dyDescent="0.3">
      <c r="A30" s="2">
        <v>0</v>
      </c>
      <c r="B30" s="2" t="s">
        <v>45</v>
      </c>
      <c r="C30" s="112">
        <v>22.400000000000002</v>
      </c>
      <c r="D30" s="112">
        <f t="shared" ref="D30:D40" si="0">+C30*8760/2000</f>
        <v>98.112000000000009</v>
      </c>
      <c r="E30" s="112">
        <v>13.6</v>
      </c>
      <c r="F30" s="112">
        <f t="shared" ref="F30:F40" si="1">+E30*8760/2000</f>
        <v>59.567999999999998</v>
      </c>
      <c r="G30" s="11">
        <v>4.6000000000000005</v>
      </c>
      <c r="H30" s="112">
        <f t="shared" ref="H30:H40" si="2">+G30*8760/2000</f>
        <v>20.148000000000003</v>
      </c>
      <c r="I30" s="102"/>
    </row>
    <row r="31" spans="1:11" ht="17.399999999999999" x14ac:dyDescent="0.3">
      <c r="A31" s="2">
        <v>0</v>
      </c>
      <c r="B31" s="2">
        <v>64</v>
      </c>
      <c r="C31" s="112">
        <v>25.3</v>
      </c>
      <c r="D31" s="112">
        <f t="shared" si="0"/>
        <v>110.81399999999999</v>
      </c>
      <c r="E31" s="112">
        <v>15.4</v>
      </c>
      <c r="F31" s="112">
        <f t="shared" si="1"/>
        <v>67.451999999999998</v>
      </c>
      <c r="G31" s="11">
        <v>5.4</v>
      </c>
      <c r="H31" s="112">
        <f t="shared" si="2"/>
        <v>23.652000000000001</v>
      </c>
      <c r="I31" s="102"/>
    </row>
    <row r="32" spans="1:11" ht="17.399999999999999" x14ac:dyDescent="0.3">
      <c r="A32" s="2">
        <v>0</v>
      </c>
      <c r="B32" s="2">
        <v>50</v>
      </c>
      <c r="C32" s="112">
        <v>23</v>
      </c>
      <c r="D32" s="112">
        <f t="shared" si="0"/>
        <v>100.74</v>
      </c>
      <c r="E32" s="112">
        <v>14</v>
      </c>
      <c r="F32" s="112">
        <f t="shared" si="1"/>
        <v>61.32</v>
      </c>
      <c r="G32" s="11">
        <v>4.9000000000000004</v>
      </c>
      <c r="H32" s="112">
        <f t="shared" si="2"/>
        <v>21.462</v>
      </c>
      <c r="I32" s="102"/>
    </row>
    <row r="33" spans="1:11" ht="17.399999999999999" x14ac:dyDescent="0.3">
      <c r="A33" s="2">
        <v>12.8</v>
      </c>
      <c r="B33" s="2" t="s">
        <v>45</v>
      </c>
      <c r="C33" s="112">
        <v>22.7</v>
      </c>
      <c r="D33" s="112">
        <f t="shared" si="0"/>
        <v>99.426000000000002</v>
      </c>
      <c r="E33" s="112">
        <v>13.8</v>
      </c>
      <c r="F33" s="112">
        <f t="shared" si="1"/>
        <v>60.444000000000003</v>
      </c>
      <c r="G33" s="11">
        <v>4.7</v>
      </c>
      <c r="H33" s="112">
        <f t="shared" si="2"/>
        <v>20.585999999999999</v>
      </c>
      <c r="I33" s="102"/>
    </row>
    <row r="34" spans="1:11" ht="17.399999999999999" x14ac:dyDescent="0.3">
      <c r="A34" s="2">
        <v>12.8</v>
      </c>
      <c r="B34" s="2">
        <v>50</v>
      </c>
      <c r="C34" s="112">
        <v>22.6</v>
      </c>
      <c r="D34" s="112">
        <f t="shared" si="0"/>
        <v>98.988</v>
      </c>
      <c r="E34" s="112">
        <v>13.700000000000001</v>
      </c>
      <c r="F34" s="112">
        <f t="shared" si="1"/>
        <v>60.006000000000007</v>
      </c>
      <c r="G34" s="11">
        <v>4.8</v>
      </c>
      <c r="H34" s="112">
        <f t="shared" si="2"/>
        <v>21.024000000000001</v>
      </c>
      <c r="I34" s="102"/>
    </row>
    <row r="35" spans="1:11" ht="17.399999999999999" x14ac:dyDescent="0.3">
      <c r="A35" s="2">
        <v>40</v>
      </c>
      <c r="B35" s="2" t="s">
        <v>45</v>
      </c>
      <c r="C35" s="112">
        <v>20.8</v>
      </c>
      <c r="D35" s="112">
        <f t="shared" si="0"/>
        <v>91.103999999999999</v>
      </c>
      <c r="E35" s="112">
        <v>12.6</v>
      </c>
      <c r="F35" s="112">
        <f t="shared" si="1"/>
        <v>55.188000000000002</v>
      </c>
      <c r="G35" s="11">
        <v>4.3</v>
      </c>
      <c r="H35" s="112">
        <f t="shared" si="2"/>
        <v>18.834</v>
      </c>
      <c r="I35" s="102"/>
    </row>
    <row r="36" spans="1:11" ht="17.399999999999999" x14ac:dyDescent="0.3">
      <c r="A36" s="2">
        <v>40</v>
      </c>
      <c r="B36" s="2">
        <v>50</v>
      </c>
      <c r="C36" s="112">
        <v>20.5</v>
      </c>
      <c r="D36" s="112">
        <f t="shared" si="0"/>
        <v>89.79</v>
      </c>
      <c r="E36" s="112">
        <v>12.5</v>
      </c>
      <c r="F36" s="112">
        <f t="shared" si="1"/>
        <v>54.75</v>
      </c>
      <c r="G36" s="11">
        <v>4.4000000000000004</v>
      </c>
      <c r="H36" s="112">
        <f t="shared" si="2"/>
        <v>19.271999999999998</v>
      </c>
      <c r="I36" s="102"/>
    </row>
    <row r="37" spans="1:11" ht="17.399999999999999" x14ac:dyDescent="0.3">
      <c r="A37" s="2">
        <v>60</v>
      </c>
      <c r="B37" s="2" t="s">
        <v>45</v>
      </c>
      <c r="C37" s="112">
        <v>19.400000000000002</v>
      </c>
      <c r="D37" s="112">
        <f t="shared" si="0"/>
        <v>84.972000000000008</v>
      </c>
      <c r="E37" s="112">
        <v>11.8</v>
      </c>
      <c r="F37" s="112">
        <f t="shared" si="1"/>
        <v>51.683999999999997</v>
      </c>
      <c r="G37" s="11">
        <v>4</v>
      </c>
      <c r="H37" s="112">
        <f t="shared" si="2"/>
        <v>17.52</v>
      </c>
      <c r="I37" s="102"/>
    </row>
    <row r="38" spans="1:11" ht="17.399999999999999" x14ac:dyDescent="0.3">
      <c r="A38" s="2">
        <v>60</v>
      </c>
      <c r="B38" s="2">
        <v>50</v>
      </c>
      <c r="C38" s="112">
        <v>13.200000000000001</v>
      </c>
      <c r="D38" s="112">
        <f t="shared" si="0"/>
        <v>57.81600000000001</v>
      </c>
      <c r="E38" s="112">
        <v>8.1</v>
      </c>
      <c r="F38" s="112">
        <f t="shared" si="1"/>
        <v>35.478000000000002</v>
      </c>
      <c r="G38" s="11">
        <v>2.7</v>
      </c>
      <c r="H38" s="112">
        <f t="shared" si="2"/>
        <v>11.826000000000001</v>
      </c>
      <c r="I38" s="102"/>
    </row>
    <row r="39" spans="1:11" ht="17.399999999999999" x14ac:dyDescent="0.3">
      <c r="A39" s="2">
        <v>95</v>
      </c>
      <c r="B39" s="2" t="s">
        <v>45</v>
      </c>
      <c r="C39" s="112">
        <v>16.899999999999999</v>
      </c>
      <c r="D39" s="112">
        <f t="shared" si="0"/>
        <v>74.022000000000006</v>
      </c>
      <c r="E39" s="112">
        <v>10.3</v>
      </c>
      <c r="F39" s="112">
        <f t="shared" si="1"/>
        <v>45.113999999999997</v>
      </c>
      <c r="G39" s="11">
        <v>3.5</v>
      </c>
      <c r="H39" s="112">
        <f t="shared" si="2"/>
        <v>15.33</v>
      </c>
      <c r="I39" s="102"/>
    </row>
    <row r="40" spans="1:11" ht="17.399999999999999" x14ac:dyDescent="0.3">
      <c r="A40" s="104">
        <v>95</v>
      </c>
      <c r="B40" s="104">
        <v>50</v>
      </c>
      <c r="C40" s="116">
        <v>11.9</v>
      </c>
      <c r="D40" s="116">
        <f t="shared" si="0"/>
        <v>52.122</v>
      </c>
      <c r="E40" s="116">
        <v>7.3</v>
      </c>
      <c r="F40" s="116">
        <f t="shared" si="1"/>
        <v>31.974</v>
      </c>
      <c r="G40" s="119">
        <v>2.5</v>
      </c>
      <c r="H40" s="116">
        <f t="shared" si="2"/>
        <v>10.95</v>
      </c>
      <c r="I40" s="102"/>
    </row>
    <row r="41" spans="1:11" ht="17.399999999999999" x14ac:dyDescent="0.3">
      <c r="A41" s="105"/>
      <c r="B41" s="105" t="s">
        <v>46</v>
      </c>
      <c r="C41" s="117">
        <f t="shared" ref="C41:H41" si="3">MAX(C30:C40)</f>
        <v>25.3</v>
      </c>
      <c r="D41" s="117">
        <f t="shared" si="3"/>
        <v>110.81399999999999</v>
      </c>
      <c r="E41" s="117">
        <f t="shared" si="3"/>
        <v>15.4</v>
      </c>
      <c r="F41" s="117">
        <f t="shared" si="3"/>
        <v>67.451999999999998</v>
      </c>
      <c r="G41" s="117">
        <f t="shared" si="3"/>
        <v>5.4</v>
      </c>
      <c r="H41" s="117">
        <f t="shared" si="3"/>
        <v>23.652000000000001</v>
      </c>
      <c r="I41" s="102"/>
    </row>
    <row r="42" spans="1:11" ht="17.399999999999999" x14ac:dyDescent="0.3">
      <c r="A42" s="106"/>
      <c r="B42" s="11" t="s">
        <v>47</v>
      </c>
      <c r="C42" s="112">
        <f>+C33</f>
        <v>22.7</v>
      </c>
      <c r="D42" s="112">
        <f>+C42*4.38</f>
        <v>99.425999999999988</v>
      </c>
      <c r="E42" s="112">
        <f>+E33</f>
        <v>13.8</v>
      </c>
      <c r="F42" s="112">
        <f>+E42*4.38</f>
        <v>60.444000000000003</v>
      </c>
      <c r="G42" s="112">
        <f>+G33</f>
        <v>4.7</v>
      </c>
      <c r="H42" s="112">
        <f>+G42*4.38</f>
        <v>20.585999999999999</v>
      </c>
      <c r="I42" s="102"/>
    </row>
    <row r="43" spans="1:11" ht="17.399999999999999" x14ac:dyDescent="0.3">
      <c r="G43" s="102"/>
      <c r="H43" s="102"/>
      <c r="I43" s="102"/>
    </row>
    <row r="44" spans="1:11" ht="15" x14ac:dyDescent="0.25">
      <c r="A44" s="9" t="s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ht="15" x14ac:dyDescent="0.25">
      <c r="A45" s="11" t="s">
        <v>49</v>
      </c>
      <c r="B45" s="111">
        <v>6.6E-3</v>
      </c>
      <c r="C45" s="11" t="s">
        <v>50</v>
      </c>
      <c r="D45" s="11"/>
      <c r="E45" s="9"/>
      <c r="F45" s="9"/>
      <c r="G45" s="9"/>
      <c r="H45" s="9"/>
      <c r="I45" s="9"/>
      <c r="J45" s="9"/>
      <c r="K45" s="9"/>
    </row>
    <row r="46" spans="1:11" ht="15" x14ac:dyDescent="0.25">
      <c r="A46" s="11" t="s">
        <v>51</v>
      </c>
      <c r="B46" s="111">
        <v>3.3999999999999998E-3</v>
      </c>
      <c r="C46" s="11" t="s">
        <v>50</v>
      </c>
      <c r="D46" s="11"/>
      <c r="E46" s="9"/>
      <c r="F46" s="9"/>
      <c r="G46" s="9"/>
      <c r="H46" s="9"/>
      <c r="I46" s="9"/>
      <c r="J46" s="9"/>
      <c r="K46" s="9"/>
    </row>
    <row r="47" spans="1:11" ht="15" x14ac:dyDescent="0.25">
      <c r="A47" s="11" t="s">
        <v>52</v>
      </c>
      <c r="B47" s="111">
        <v>7.1000000000000002E-4</v>
      </c>
      <c r="C47" s="11" t="s">
        <v>50</v>
      </c>
      <c r="D47" s="11"/>
      <c r="E47" s="9"/>
      <c r="F47" s="9"/>
      <c r="G47" s="9"/>
      <c r="H47" s="9"/>
      <c r="I47" s="9"/>
      <c r="J47" s="9"/>
      <c r="K47" s="9"/>
    </row>
    <row r="48" spans="1:11" ht="1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ht="15.6" x14ac:dyDescent="0.3">
      <c r="A49" s="1" t="s">
        <v>53</v>
      </c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" x14ac:dyDescent="0.25">
      <c r="A50" s="107"/>
      <c r="B50" s="109" t="s">
        <v>54</v>
      </c>
      <c r="C50" s="109" t="s">
        <v>55</v>
      </c>
      <c r="D50" s="9"/>
    </row>
    <row r="51" spans="1:11" ht="15" x14ac:dyDescent="0.25">
      <c r="A51" s="106" t="s">
        <v>56</v>
      </c>
      <c r="B51" s="110" t="s">
        <v>43</v>
      </c>
      <c r="C51" s="110" t="s">
        <v>44</v>
      </c>
      <c r="D51" s="9"/>
    </row>
    <row r="52" spans="1:11" ht="15" x14ac:dyDescent="0.25">
      <c r="A52" s="11" t="s">
        <v>57</v>
      </c>
      <c r="B52" s="112">
        <f>+C41</f>
        <v>25.3</v>
      </c>
      <c r="C52" s="112">
        <f t="shared" ref="C52:C57" si="4">B52*4.38</f>
        <v>110.81400000000001</v>
      </c>
      <c r="D52" s="9" t="s">
        <v>58</v>
      </c>
    </row>
    <row r="53" spans="1:11" ht="15" x14ac:dyDescent="0.25">
      <c r="A53" s="11" t="s">
        <v>39</v>
      </c>
      <c r="B53" s="112">
        <f>+E41</f>
        <v>15.4</v>
      </c>
      <c r="C53" s="112">
        <f t="shared" si="4"/>
        <v>67.451999999999998</v>
      </c>
      <c r="D53" s="9" t="s">
        <v>58</v>
      </c>
    </row>
    <row r="54" spans="1:11" ht="15" x14ac:dyDescent="0.25">
      <c r="A54" s="11" t="s">
        <v>59</v>
      </c>
      <c r="B54" s="112">
        <f>+G41*0.1</f>
        <v>0.54</v>
      </c>
      <c r="C54" s="112">
        <f t="shared" si="4"/>
        <v>2.3652000000000002</v>
      </c>
      <c r="D54" s="9" t="s">
        <v>58</v>
      </c>
    </row>
    <row r="55" spans="1:11" ht="15" x14ac:dyDescent="0.25">
      <c r="A55" s="11" t="s">
        <v>49</v>
      </c>
      <c r="B55" s="112">
        <f>+B45*$B$19</f>
        <v>2.324775882</v>
      </c>
      <c r="C55" s="112">
        <f t="shared" si="4"/>
        <v>10.18251836316</v>
      </c>
      <c r="D55" s="9"/>
    </row>
    <row r="56" spans="1:11" ht="15" x14ac:dyDescent="0.25">
      <c r="A56" s="11" t="s">
        <v>51</v>
      </c>
      <c r="B56" s="112">
        <f>+B46*$B$19</f>
        <v>1.1976118179999999</v>
      </c>
      <c r="C56" s="112">
        <f t="shared" si="4"/>
        <v>5.24553976284</v>
      </c>
      <c r="D56" s="9"/>
    </row>
    <row r="57" spans="1:11" ht="15" x14ac:dyDescent="0.25">
      <c r="A57" s="11" t="s">
        <v>52</v>
      </c>
      <c r="B57" s="112">
        <f>+B47*B19</f>
        <v>0.25008952670000001</v>
      </c>
      <c r="C57" s="112">
        <f t="shared" si="4"/>
        <v>1.0953921269460001</v>
      </c>
      <c r="D57" s="9"/>
    </row>
    <row r="59" spans="1:11" ht="15.6" x14ac:dyDescent="0.3">
      <c r="A59" s="1" t="s">
        <v>60</v>
      </c>
      <c r="B59" s="9"/>
      <c r="C59" s="9"/>
    </row>
    <row r="60" spans="1:11" ht="15" x14ac:dyDescent="0.25">
      <c r="A60" s="107"/>
      <c r="B60" s="109" t="s">
        <v>54</v>
      </c>
      <c r="C60" s="109" t="s">
        <v>55</v>
      </c>
    </row>
    <row r="61" spans="1:11" ht="15" x14ac:dyDescent="0.25">
      <c r="A61" s="106" t="s">
        <v>56</v>
      </c>
      <c r="B61" s="110" t="s">
        <v>43</v>
      </c>
      <c r="C61" s="110" t="s">
        <v>44</v>
      </c>
    </row>
    <row r="62" spans="1:11" ht="15" x14ac:dyDescent="0.25">
      <c r="A62" s="11" t="s">
        <v>57</v>
      </c>
      <c r="B62" s="112">
        <f t="shared" ref="B62:C67" si="5">+B52*1.15</f>
        <v>29.094999999999999</v>
      </c>
      <c r="C62" s="112">
        <f t="shared" si="5"/>
        <v>127.4361</v>
      </c>
    </row>
    <row r="63" spans="1:11" ht="15" x14ac:dyDescent="0.25">
      <c r="A63" s="11" t="s">
        <v>39</v>
      </c>
      <c r="B63" s="112">
        <f t="shared" si="5"/>
        <v>17.709999999999997</v>
      </c>
      <c r="C63" s="112">
        <f t="shared" si="5"/>
        <v>77.569799999999987</v>
      </c>
    </row>
    <row r="64" spans="1:11" ht="15" x14ac:dyDescent="0.25">
      <c r="A64" s="11" t="s">
        <v>59</v>
      </c>
      <c r="B64" s="112">
        <f t="shared" si="5"/>
        <v>0.621</v>
      </c>
      <c r="C64" s="112">
        <f t="shared" si="5"/>
        <v>2.7199800000000001</v>
      </c>
    </row>
    <row r="65" spans="1:3" ht="15" x14ac:dyDescent="0.25">
      <c r="A65" s="11" t="s">
        <v>49</v>
      </c>
      <c r="B65" s="112">
        <f t="shared" si="5"/>
        <v>2.6734922642999996</v>
      </c>
      <c r="C65" s="112">
        <f t="shared" si="5"/>
        <v>11.709896117633999</v>
      </c>
    </row>
    <row r="66" spans="1:3" ht="15" x14ac:dyDescent="0.25">
      <c r="A66" s="11" t="s">
        <v>51</v>
      </c>
      <c r="B66" s="112">
        <f t="shared" si="5"/>
        <v>1.3772535906999999</v>
      </c>
      <c r="C66" s="112">
        <f t="shared" si="5"/>
        <v>6.0323707272659997</v>
      </c>
    </row>
    <row r="67" spans="1:3" ht="15" x14ac:dyDescent="0.25">
      <c r="A67" s="11" t="s">
        <v>52</v>
      </c>
      <c r="B67" s="112">
        <f t="shared" si="5"/>
        <v>0.287602955705</v>
      </c>
      <c r="C67" s="112">
        <f t="shared" si="5"/>
        <v>1.2597009459879001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opLeftCell="B30" workbookViewId="0">
      <selection activeCell="B22" sqref="B22"/>
    </sheetView>
  </sheetViews>
  <sheetFormatPr defaultRowHeight="13.2" x14ac:dyDescent="0.25"/>
  <cols>
    <col min="2" max="2" width="10.33203125" customWidth="1"/>
  </cols>
  <sheetData>
    <row r="1" spans="1:12" ht="22.8" x14ac:dyDescent="0.4">
      <c r="A1" s="73" t="s">
        <v>0</v>
      </c>
      <c r="B1" s="100"/>
      <c r="C1" s="100"/>
    </row>
    <row r="2" spans="1:12" ht="22.8" x14ac:dyDescent="0.4">
      <c r="A2" s="73" t="s">
        <v>1</v>
      </c>
      <c r="B2" s="100"/>
      <c r="C2" s="100"/>
    </row>
    <row r="3" spans="1:12" ht="22.8" x14ac:dyDescent="0.4">
      <c r="A3" s="73" t="s">
        <v>2</v>
      </c>
      <c r="B3" s="100"/>
      <c r="C3" s="100"/>
    </row>
    <row r="4" spans="1:12" x14ac:dyDescent="0.25">
      <c r="B4" s="100"/>
      <c r="C4" s="100"/>
    </row>
    <row r="5" spans="1:12" ht="17.399999999999999" x14ac:dyDescent="0.3">
      <c r="A5" s="74" t="s">
        <v>61</v>
      </c>
      <c r="K5" s="74"/>
      <c r="L5" s="74"/>
    </row>
    <row r="7" spans="1:12" ht="21" x14ac:dyDescent="0.4">
      <c r="A7" s="120" t="s">
        <v>62</v>
      </c>
    </row>
    <row r="9" spans="1:12" ht="17.399999999999999" x14ac:dyDescent="0.3">
      <c r="A9" s="9" t="s">
        <v>5</v>
      </c>
      <c r="B9" s="9" t="s">
        <v>63</v>
      </c>
      <c r="C9" s="9"/>
      <c r="D9" s="9"/>
      <c r="E9" s="9"/>
      <c r="F9" s="102"/>
      <c r="G9" s="102"/>
      <c r="H9" s="102"/>
    </row>
    <row r="10" spans="1:12" ht="17.399999999999999" x14ac:dyDescent="0.3">
      <c r="A10" s="9" t="s">
        <v>7</v>
      </c>
      <c r="B10" s="9" t="s">
        <v>8</v>
      </c>
      <c r="C10" s="9"/>
      <c r="D10" s="9"/>
      <c r="E10" s="9"/>
      <c r="F10" s="102"/>
      <c r="G10" s="102"/>
      <c r="H10" s="102"/>
    </row>
    <row r="11" spans="1:12" ht="17.399999999999999" x14ac:dyDescent="0.3">
      <c r="A11" s="9" t="s">
        <v>11</v>
      </c>
      <c r="B11" s="9">
        <v>7458</v>
      </c>
      <c r="C11" s="9"/>
      <c r="D11" s="9"/>
      <c r="E11" s="9"/>
      <c r="F11" s="102"/>
      <c r="G11" s="102"/>
      <c r="H11" s="102"/>
    </row>
    <row r="12" spans="1:12" ht="17.399999999999999" x14ac:dyDescent="0.3">
      <c r="A12" s="9" t="s">
        <v>64</v>
      </c>
      <c r="B12" s="9">
        <v>526</v>
      </c>
      <c r="C12" s="9" t="s">
        <v>65</v>
      </c>
      <c r="D12" s="9"/>
      <c r="E12" s="9"/>
      <c r="F12" s="102"/>
      <c r="G12" s="102"/>
      <c r="H12" s="102"/>
    </row>
    <row r="13" spans="1:12" ht="17.399999999999999" x14ac:dyDescent="0.3">
      <c r="A13" s="9" t="s">
        <v>66</v>
      </c>
      <c r="B13" s="9">
        <v>71</v>
      </c>
      <c r="C13" s="9" t="s">
        <v>67</v>
      </c>
      <c r="D13" s="9" t="s">
        <v>68</v>
      </c>
      <c r="E13" s="9"/>
      <c r="F13" s="102"/>
      <c r="G13" s="102"/>
      <c r="H13" s="102"/>
    </row>
    <row r="14" spans="1:12" ht="17.399999999999999" x14ac:dyDescent="0.3">
      <c r="A14" s="9"/>
      <c r="B14" s="9">
        <f>+B13*24</f>
        <v>1704</v>
      </c>
      <c r="C14" s="9" t="s">
        <v>69</v>
      </c>
      <c r="D14" s="9"/>
      <c r="E14" s="9"/>
      <c r="F14" s="102"/>
      <c r="G14" s="102"/>
      <c r="H14" s="102"/>
    </row>
    <row r="15" spans="1:12" ht="17.399999999999999" x14ac:dyDescent="0.3">
      <c r="A15" s="9"/>
      <c r="B15" s="10">
        <f>+B14*8760/1000000</f>
        <v>14.92704</v>
      </c>
      <c r="C15" s="9" t="s">
        <v>33</v>
      </c>
      <c r="D15" s="9"/>
      <c r="E15" s="9"/>
      <c r="F15" s="102"/>
      <c r="G15" s="102"/>
      <c r="H15" s="102"/>
    </row>
    <row r="16" spans="1:12" ht="17.399999999999999" x14ac:dyDescent="0.3">
      <c r="A16" s="9" t="s">
        <v>70</v>
      </c>
      <c r="B16" s="9">
        <v>1020</v>
      </c>
      <c r="C16" s="9" t="s">
        <v>10</v>
      </c>
      <c r="D16" s="9" t="s">
        <v>71</v>
      </c>
      <c r="E16" s="9"/>
      <c r="F16" s="102"/>
      <c r="G16" s="102"/>
      <c r="H16" s="102"/>
    </row>
    <row r="17" spans="1:8" ht="17.399999999999999" x14ac:dyDescent="0.3">
      <c r="A17" s="9" t="s">
        <v>72</v>
      </c>
      <c r="B17" s="121">
        <f>+B14*B16/B12</f>
        <v>3304.3346007604564</v>
      </c>
      <c r="C17" s="9" t="s">
        <v>73</v>
      </c>
      <c r="D17" s="9"/>
      <c r="E17" s="9"/>
      <c r="F17" s="102"/>
      <c r="G17" s="102"/>
      <c r="H17" s="102"/>
    </row>
    <row r="18" spans="1:8" ht="17.399999999999999" x14ac:dyDescent="0.3">
      <c r="A18" s="9"/>
      <c r="B18" s="10">
        <f>+B17*B12/1000000</f>
        <v>1.7380800000000001</v>
      </c>
      <c r="C18" s="9" t="s">
        <v>20</v>
      </c>
      <c r="D18" s="9"/>
      <c r="E18" s="9"/>
      <c r="F18" s="102"/>
      <c r="G18" s="102"/>
      <c r="H18" s="102"/>
    </row>
    <row r="19" spans="1:8" ht="17.399999999999999" x14ac:dyDescent="0.3">
      <c r="A19" s="9" t="s">
        <v>25</v>
      </c>
      <c r="B19" s="9">
        <v>1200</v>
      </c>
      <c r="C19" s="9" t="s">
        <v>26</v>
      </c>
      <c r="D19" s="9"/>
      <c r="E19" s="9"/>
      <c r="F19" s="102"/>
      <c r="G19" s="102"/>
      <c r="H19" s="102"/>
    </row>
    <row r="20" spans="1:8" ht="17.399999999999999" x14ac:dyDescent="0.3">
      <c r="A20" s="9"/>
      <c r="B20" s="9"/>
      <c r="C20" s="9"/>
      <c r="D20" s="9"/>
      <c r="E20" s="9"/>
      <c r="F20" s="102"/>
      <c r="G20" s="102"/>
      <c r="H20" s="102"/>
    </row>
    <row r="21" spans="1:8" ht="17.399999999999999" x14ac:dyDescent="0.3">
      <c r="A21" s="9" t="s">
        <v>74</v>
      </c>
      <c r="B21" s="9">
        <v>8760</v>
      </c>
      <c r="C21" s="9" t="s">
        <v>75</v>
      </c>
      <c r="D21" s="9"/>
      <c r="E21" s="9"/>
      <c r="F21" s="102"/>
      <c r="G21" s="102"/>
      <c r="H21" s="102"/>
    </row>
    <row r="22" spans="1:8" ht="17.399999999999999" x14ac:dyDescent="0.3">
      <c r="A22" s="102"/>
      <c r="B22" s="102"/>
      <c r="C22" s="102"/>
      <c r="D22" s="102"/>
      <c r="E22" s="102"/>
      <c r="F22" s="102"/>
      <c r="G22" s="102"/>
      <c r="H22" s="102"/>
    </row>
    <row r="23" spans="1:8" ht="17.399999999999999" x14ac:dyDescent="0.3">
      <c r="A23" s="9" t="s">
        <v>76</v>
      </c>
      <c r="G23" s="102"/>
      <c r="H23" s="102"/>
    </row>
    <row r="24" spans="1:8" ht="15" x14ac:dyDescent="0.25">
      <c r="A24" s="11" t="s">
        <v>56</v>
      </c>
      <c r="B24" s="2" t="s">
        <v>77</v>
      </c>
      <c r="C24" s="2" t="s">
        <v>78</v>
      </c>
      <c r="D24" s="2" t="s">
        <v>79</v>
      </c>
      <c r="E24" s="9"/>
      <c r="F24" s="9"/>
      <c r="G24" s="9"/>
      <c r="H24" s="9"/>
    </row>
    <row r="25" spans="1:8" ht="15" x14ac:dyDescent="0.25">
      <c r="A25" s="11" t="s">
        <v>80</v>
      </c>
      <c r="B25" s="11">
        <v>24.900000000000002</v>
      </c>
      <c r="C25" s="11" t="s">
        <v>81</v>
      </c>
      <c r="D25" s="11" t="s">
        <v>82</v>
      </c>
      <c r="E25" s="9"/>
      <c r="F25" s="9"/>
      <c r="G25" s="9"/>
      <c r="H25" s="9"/>
    </row>
    <row r="26" spans="1:8" ht="15" x14ac:dyDescent="0.25">
      <c r="A26" s="11" t="s">
        <v>39</v>
      </c>
      <c r="B26" s="11">
        <v>1.76</v>
      </c>
      <c r="C26" s="11" t="s">
        <v>81</v>
      </c>
      <c r="D26" s="11" t="s">
        <v>82</v>
      </c>
      <c r="E26" s="9"/>
      <c r="F26" s="9"/>
      <c r="G26" s="9"/>
      <c r="H26" s="9"/>
    </row>
    <row r="27" spans="1:8" ht="15" x14ac:dyDescent="0.25">
      <c r="A27" s="11" t="s">
        <v>83</v>
      </c>
      <c r="B27" s="11">
        <v>0.21</v>
      </c>
      <c r="C27" s="11" t="s">
        <v>81</v>
      </c>
      <c r="D27" s="11" t="s">
        <v>82</v>
      </c>
      <c r="E27" s="9"/>
      <c r="F27" s="9"/>
      <c r="G27" s="9"/>
      <c r="H27" s="9"/>
    </row>
    <row r="28" spans="1:8" ht="15" x14ac:dyDescent="0.25">
      <c r="A28" s="11" t="s">
        <v>49</v>
      </c>
      <c r="B28" s="122">
        <v>4.8309999999999999E-2</v>
      </c>
      <c r="C28" s="11" t="s">
        <v>50</v>
      </c>
      <c r="D28" s="11" t="s">
        <v>84</v>
      </c>
      <c r="E28" s="9"/>
      <c r="F28" s="9"/>
      <c r="G28" s="9"/>
      <c r="H28" s="9"/>
    </row>
    <row r="29" spans="1:8" ht="15" x14ac:dyDescent="0.25">
      <c r="A29" s="11" t="s">
        <v>51</v>
      </c>
      <c r="B29" s="123">
        <v>5.8799999999999998E-4</v>
      </c>
      <c r="C29" s="11" t="s">
        <v>50</v>
      </c>
      <c r="D29" s="11" t="s">
        <v>84</v>
      </c>
      <c r="E29" s="9"/>
      <c r="F29" s="9"/>
      <c r="G29" s="9"/>
      <c r="H29" s="9"/>
    </row>
    <row r="30" spans="1:8" ht="15" x14ac:dyDescent="0.25">
      <c r="A30" s="9"/>
      <c r="B30" s="9"/>
      <c r="C30" s="9"/>
      <c r="D30" s="9"/>
      <c r="E30" s="9"/>
      <c r="F30" s="9"/>
      <c r="G30" s="9"/>
      <c r="H30" s="9"/>
    </row>
    <row r="31" spans="1:8" ht="15.6" x14ac:dyDescent="0.3">
      <c r="A31" s="1" t="s">
        <v>85</v>
      </c>
      <c r="B31" s="9"/>
      <c r="C31" s="9"/>
      <c r="D31" s="9"/>
      <c r="E31" s="9"/>
      <c r="F31" s="9"/>
      <c r="G31" s="9"/>
      <c r="H31" s="9"/>
    </row>
    <row r="32" spans="1:8" ht="15" x14ac:dyDescent="0.25">
      <c r="A32" s="107"/>
      <c r="B32" s="109" t="s">
        <v>54</v>
      </c>
      <c r="C32" s="109" t="s">
        <v>55</v>
      </c>
      <c r="D32" s="9"/>
    </row>
    <row r="33" spans="1:4" ht="15" x14ac:dyDescent="0.25">
      <c r="A33" s="106" t="s">
        <v>56</v>
      </c>
      <c r="B33" s="110" t="s">
        <v>43</v>
      </c>
      <c r="C33" s="110" t="s">
        <v>44</v>
      </c>
      <c r="D33" s="9"/>
    </row>
    <row r="34" spans="1:4" ht="15" x14ac:dyDescent="0.25">
      <c r="A34" s="11" t="s">
        <v>57</v>
      </c>
      <c r="B34" s="112">
        <f>+B25</f>
        <v>24.900000000000002</v>
      </c>
      <c r="C34" s="112">
        <f>+B34*$B$21/2000</f>
        <v>109.06200000000001</v>
      </c>
      <c r="D34" s="9"/>
    </row>
    <row r="35" spans="1:4" ht="15" x14ac:dyDescent="0.25">
      <c r="A35" s="11" t="s">
        <v>39</v>
      </c>
      <c r="B35" s="112">
        <f>+B26</f>
        <v>1.76</v>
      </c>
      <c r="C35" s="112">
        <f>+B35*$B$21/2000</f>
        <v>7.7088000000000001</v>
      </c>
      <c r="D35" s="9"/>
    </row>
    <row r="36" spans="1:4" ht="15" x14ac:dyDescent="0.25">
      <c r="A36" s="11" t="s">
        <v>59</v>
      </c>
      <c r="B36" s="112">
        <f>+B27</f>
        <v>0.21</v>
      </c>
      <c r="C36" s="112">
        <f>+B36*$B$21/2000</f>
        <v>0.91979999999999995</v>
      </c>
      <c r="D36" s="9"/>
    </row>
    <row r="37" spans="1:4" ht="15" x14ac:dyDescent="0.25">
      <c r="A37" s="11" t="s">
        <v>49</v>
      </c>
      <c r="B37" s="112">
        <f>+B28*B18</f>
        <v>8.3966644800000004E-2</v>
      </c>
      <c r="C37" s="112">
        <f>+B37*$B$21/2000</f>
        <v>0.36777390422400003</v>
      </c>
      <c r="D37" s="9"/>
    </row>
    <row r="38" spans="1:4" ht="15" x14ac:dyDescent="0.25">
      <c r="A38" s="11" t="s">
        <v>51</v>
      </c>
      <c r="B38" s="124">
        <f>+B29*B18</f>
        <v>1.0219910399999999E-3</v>
      </c>
      <c r="C38" s="112">
        <f>+B38*$B$21/2000</f>
        <v>4.4763207551999995E-3</v>
      </c>
      <c r="D38" s="9"/>
    </row>
    <row r="40" spans="1:4" ht="15" x14ac:dyDescent="0.25">
      <c r="A40" s="9" t="s">
        <v>86</v>
      </c>
    </row>
    <row r="41" spans="1:4" ht="15" x14ac:dyDescent="0.25">
      <c r="A41" s="9" t="s">
        <v>87</v>
      </c>
    </row>
    <row r="42" spans="1:4" ht="15" x14ac:dyDescent="0.25">
      <c r="A42" s="9" t="s">
        <v>88</v>
      </c>
    </row>
    <row r="43" spans="1:4" ht="15" x14ac:dyDescent="0.25">
      <c r="A43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topLeftCell="A31" workbookViewId="0"/>
  </sheetViews>
  <sheetFormatPr defaultRowHeight="13.2" x14ac:dyDescent="0.25"/>
  <cols>
    <col min="1" max="1" width="15.5546875" customWidth="1"/>
    <col min="2" max="2" width="10.88671875" customWidth="1"/>
    <col min="3" max="3" width="10.109375" customWidth="1"/>
    <col min="4" max="4" width="11.5546875" customWidth="1"/>
  </cols>
  <sheetData>
    <row r="1" spans="1:6" ht="17.399999999999999" x14ac:dyDescent="0.3">
      <c r="A1" s="18" t="s">
        <v>0</v>
      </c>
      <c r="B1" s="9"/>
      <c r="C1" s="9"/>
      <c r="D1" s="9"/>
      <c r="E1" s="9"/>
      <c r="F1" s="9"/>
    </row>
    <row r="2" spans="1:6" ht="17.399999999999999" x14ac:dyDescent="0.3">
      <c r="A2" s="18" t="s">
        <v>1</v>
      </c>
      <c r="B2" s="9"/>
      <c r="C2" s="9"/>
      <c r="D2" s="9"/>
      <c r="E2" s="9"/>
      <c r="F2" s="9"/>
    </row>
    <row r="3" spans="1:6" ht="17.399999999999999" x14ac:dyDescent="0.3">
      <c r="A3" s="18" t="s">
        <v>2</v>
      </c>
      <c r="B3" s="9"/>
      <c r="C3" s="9"/>
      <c r="D3" s="9"/>
      <c r="E3" s="9"/>
      <c r="F3" s="9"/>
    </row>
    <row r="4" spans="1:6" ht="15" x14ac:dyDescent="0.25">
      <c r="A4" s="9"/>
      <c r="B4" s="9"/>
      <c r="C4" s="9"/>
      <c r="D4" s="9"/>
      <c r="E4" s="9"/>
      <c r="F4" s="9"/>
    </row>
    <row r="5" spans="1:6" ht="15" x14ac:dyDescent="0.25">
      <c r="A5" s="9"/>
      <c r="B5" s="9"/>
      <c r="C5" s="9"/>
      <c r="D5" s="9"/>
      <c r="E5" s="9"/>
      <c r="F5" s="9"/>
    </row>
    <row r="6" spans="1:6" ht="15.6" x14ac:dyDescent="0.3">
      <c r="A6" s="1" t="s">
        <v>89</v>
      </c>
      <c r="B6" s="9"/>
      <c r="C6" s="9"/>
      <c r="D6" s="9"/>
      <c r="E6" s="9"/>
      <c r="F6" s="9"/>
    </row>
    <row r="7" spans="1:6" ht="15" x14ac:dyDescent="0.25">
      <c r="A7" s="2" t="s">
        <v>90</v>
      </c>
      <c r="B7" s="2" t="s">
        <v>91</v>
      </c>
      <c r="C7" s="2" t="s">
        <v>92</v>
      </c>
      <c r="D7" s="2" t="s">
        <v>93</v>
      </c>
      <c r="E7" s="3"/>
      <c r="F7" s="9"/>
    </row>
    <row r="8" spans="1:6" ht="15" x14ac:dyDescent="0.25">
      <c r="A8" s="2">
        <v>201</v>
      </c>
      <c r="B8" s="4">
        <f>'1999 EIQ'!K12</f>
        <v>442.88766666666669</v>
      </c>
      <c r="C8" s="4">
        <f>'1999 EIQ'!L12</f>
        <v>43.267699999999998</v>
      </c>
      <c r="D8" s="16">
        <f>'1999 EIQ'!M12</f>
        <v>0.16081800000000002</v>
      </c>
      <c r="E8" s="5"/>
      <c r="F8" s="9"/>
    </row>
    <row r="9" spans="1:6" ht="15" x14ac:dyDescent="0.25">
      <c r="A9" s="2">
        <v>202</v>
      </c>
      <c r="B9" s="4">
        <f>'1999 EIQ'!K13</f>
        <v>420.50773333333336</v>
      </c>
      <c r="C9" s="4">
        <f>'1999 EIQ'!L13</f>
        <v>39.535883333333338</v>
      </c>
      <c r="D9" s="4">
        <f>'1999 EIQ'!M13</f>
        <v>0.12574449999999998</v>
      </c>
      <c r="E9" s="5"/>
      <c r="F9" s="9"/>
    </row>
    <row r="10" spans="1:6" ht="15" x14ac:dyDescent="0.25">
      <c r="A10" s="2">
        <v>203</v>
      </c>
      <c r="B10" s="4">
        <f>'1999 EIQ'!K14</f>
        <v>286.79501666666664</v>
      </c>
      <c r="C10" s="4">
        <f>'1999 EIQ'!L14</f>
        <v>45.566733333333332</v>
      </c>
      <c r="D10" s="4">
        <f>'1999 EIQ'!M14</f>
        <v>0.15021999999999999</v>
      </c>
      <c r="E10" s="5"/>
      <c r="F10" s="9"/>
    </row>
    <row r="11" spans="1:6" ht="15" x14ac:dyDescent="0.25">
      <c r="A11" s="2">
        <v>221</v>
      </c>
      <c r="B11" s="4">
        <f>'1999 EIQ'!K15</f>
        <v>10.571309999999999</v>
      </c>
      <c r="C11" s="4">
        <f>'1999 EIQ'!L15</f>
        <v>2.1594600000000002</v>
      </c>
      <c r="D11" s="4">
        <f>'1999 EIQ'!M15</f>
        <v>0.25122052800000005</v>
      </c>
      <c r="E11" s="5"/>
      <c r="F11" s="9"/>
    </row>
    <row r="12" spans="1:6" ht="15" x14ac:dyDescent="0.25">
      <c r="A12" s="2">
        <v>222</v>
      </c>
      <c r="B12" s="4">
        <f>'1999 EIQ'!K16</f>
        <v>6.3545999999999996</v>
      </c>
      <c r="C12" s="4">
        <f>'1999 EIQ'!L16</f>
        <v>1.1214</v>
      </c>
      <c r="D12" s="4">
        <f>'1999 EIQ'!M16</f>
        <v>0.186989712</v>
      </c>
      <c r="E12" s="5"/>
      <c r="F12" s="9"/>
    </row>
    <row r="13" spans="1:6" ht="15" x14ac:dyDescent="0.25">
      <c r="A13" s="2" t="s">
        <v>94</v>
      </c>
      <c r="B13" s="4">
        <f>SUM(B8:B12)</f>
        <v>1167.1163266666667</v>
      </c>
      <c r="C13" s="4">
        <f>SUM(C8:C12)</f>
        <v>131.65117666666666</v>
      </c>
      <c r="D13" s="4">
        <f>SUM(D8:D12)</f>
        <v>0.87499274000000005</v>
      </c>
      <c r="E13" s="5"/>
      <c r="F13" s="9"/>
    </row>
    <row r="14" spans="1:6" ht="15" x14ac:dyDescent="0.25">
      <c r="A14" s="6"/>
      <c r="B14" s="7"/>
      <c r="C14" s="7"/>
      <c r="D14" s="7"/>
      <c r="E14" s="8"/>
      <c r="F14" s="9"/>
    </row>
    <row r="15" spans="1:6" ht="15.6" x14ac:dyDescent="0.3">
      <c r="A15" s="1" t="s">
        <v>95</v>
      </c>
      <c r="B15" s="10"/>
      <c r="C15" s="10"/>
      <c r="D15" s="10"/>
      <c r="E15" s="8"/>
      <c r="F15" s="9"/>
    </row>
    <row r="16" spans="1:6" ht="15" x14ac:dyDescent="0.25">
      <c r="A16" s="2" t="s">
        <v>90</v>
      </c>
      <c r="B16" s="4" t="s">
        <v>91</v>
      </c>
      <c r="C16" s="4" t="s">
        <v>92</v>
      </c>
      <c r="D16" s="4" t="s">
        <v>93</v>
      </c>
      <c r="E16" s="8"/>
      <c r="F16" s="9"/>
    </row>
    <row r="17" spans="1:7" ht="15" x14ac:dyDescent="0.25">
      <c r="A17" s="2">
        <v>201</v>
      </c>
      <c r="B17" s="4">
        <f>'2000 EIQ'!K12</f>
        <v>434.791</v>
      </c>
      <c r="C17" s="4">
        <f>'2000 EIQ'!L12</f>
        <v>42.476699999999994</v>
      </c>
      <c r="D17" s="4">
        <f>'2000 EIQ'!M12</f>
        <v>0.15787800000000002</v>
      </c>
      <c r="E17" s="8"/>
      <c r="F17" s="9"/>
    </row>
    <row r="18" spans="1:7" ht="15" x14ac:dyDescent="0.25">
      <c r="A18" s="2">
        <v>202</v>
      </c>
      <c r="B18" s="4">
        <f>'2000 EIQ'!K13</f>
        <v>470.18666666666667</v>
      </c>
      <c r="C18" s="4">
        <f>'2000 EIQ'!L13</f>
        <v>44.206666666666671</v>
      </c>
      <c r="D18" s="4">
        <f>'2000 EIQ'!M13</f>
        <v>0.1406</v>
      </c>
      <c r="E18" s="8"/>
      <c r="F18" s="9"/>
    </row>
    <row r="19" spans="1:7" ht="15" x14ac:dyDescent="0.25">
      <c r="A19" s="2">
        <v>203</v>
      </c>
      <c r="B19" s="4">
        <f>'2000 EIQ'!K14</f>
        <v>316.76893333333328</v>
      </c>
      <c r="C19" s="4">
        <f>'2000 EIQ'!L14</f>
        <v>50.329066666666662</v>
      </c>
      <c r="D19" s="4">
        <f>'2000 EIQ'!M14</f>
        <v>0.16592000000000001</v>
      </c>
      <c r="E19" s="8"/>
      <c r="F19" s="9"/>
    </row>
    <row r="20" spans="1:7" ht="15" x14ac:dyDescent="0.25">
      <c r="A20" s="2">
        <v>221</v>
      </c>
      <c r="B20" s="4">
        <f>'2000 EIQ'!K15</f>
        <v>11.867989999999999</v>
      </c>
      <c r="C20" s="4">
        <f>'2000 EIQ'!L15</f>
        <v>2.4243399999999999</v>
      </c>
      <c r="D20" s="4">
        <f>'2000 EIQ'!M15</f>
        <v>0.28203531200000004</v>
      </c>
      <c r="E20" s="8"/>
      <c r="F20" s="9"/>
    </row>
    <row r="21" spans="1:7" ht="15" x14ac:dyDescent="0.25">
      <c r="A21" s="2">
        <v>222</v>
      </c>
      <c r="B21" s="4">
        <f>'2000 EIQ'!K16</f>
        <v>5.3481999999999994</v>
      </c>
      <c r="C21" s="4">
        <f>'2000 EIQ'!L16</f>
        <v>0.94379999999999997</v>
      </c>
      <c r="D21" s="4">
        <f>'2000 EIQ'!M16</f>
        <v>0.157375504</v>
      </c>
      <c r="E21" s="8"/>
      <c r="F21" s="9"/>
    </row>
    <row r="22" spans="1:7" ht="15" x14ac:dyDescent="0.25">
      <c r="A22" s="2" t="s">
        <v>94</v>
      </c>
      <c r="B22" s="4">
        <f>SUM(B17:B21)</f>
        <v>1238.9627899999998</v>
      </c>
      <c r="C22" s="4">
        <f>SUM(C17:C21)</f>
        <v>140.38057333333333</v>
      </c>
      <c r="D22" s="4">
        <f>SUM(D17:D21)</f>
        <v>0.90380881600000007</v>
      </c>
      <c r="E22" s="9"/>
      <c r="F22" s="9"/>
      <c r="G22" s="9"/>
    </row>
    <row r="23" spans="1:7" ht="15" x14ac:dyDescent="0.25">
      <c r="A23" s="6"/>
      <c r="B23" s="7"/>
      <c r="C23" s="7"/>
      <c r="D23" s="7"/>
      <c r="E23" s="9"/>
      <c r="F23" s="9"/>
      <c r="G23" s="9"/>
    </row>
    <row r="24" spans="1:7" ht="15.6" x14ac:dyDescent="0.3">
      <c r="A24" s="1" t="s">
        <v>96</v>
      </c>
      <c r="B24" s="10"/>
      <c r="C24" s="10"/>
      <c r="D24" s="10"/>
      <c r="E24" s="9"/>
      <c r="F24" s="9"/>
      <c r="G24" s="9"/>
    </row>
    <row r="25" spans="1:7" ht="15" x14ac:dyDescent="0.25">
      <c r="A25" s="2" t="s">
        <v>90</v>
      </c>
      <c r="B25" s="4" t="s">
        <v>91</v>
      </c>
      <c r="C25" s="4" t="s">
        <v>92</v>
      </c>
      <c r="D25" s="4" t="s">
        <v>93</v>
      </c>
      <c r="E25" s="9"/>
      <c r="F25" s="9"/>
    </row>
    <row r="26" spans="1:7" ht="15" x14ac:dyDescent="0.25">
      <c r="A26" s="2">
        <v>201</v>
      </c>
      <c r="B26" s="4">
        <f t="shared" ref="B26:D30" si="0">(B8+B17)/2</f>
        <v>438.83933333333334</v>
      </c>
      <c r="C26" s="4">
        <f t="shared" si="0"/>
        <v>42.872199999999992</v>
      </c>
      <c r="D26" s="4">
        <f t="shared" si="0"/>
        <v>0.15934800000000002</v>
      </c>
      <c r="E26" s="9"/>
      <c r="F26" s="9"/>
    </row>
    <row r="27" spans="1:7" ht="15" x14ac:dyDescent="0.25">
      <c r="A27" s="2">
        <v>202</v>
      </c>
      <c r="B27" s="4">
        <f t="shared" si="0"/>
        <v>445.34720000000004</v>
      </c>
      <c r="C27" s="4">
        <f t="shared" si="0"/>
        <v>41.871275000000004</v>
      </c>
      <c r="D27" s="4">
        <f t="shared" si="0"/>
        <v>0.13317224999999999</v>
      </c>
      <c r="E27" s="9"/>
      <c r="F27" s="9"/>
    </row>
    <row r="28" spans="1:7" ht="15" x14ac:dyDescent="0.25">
      <c r="A28" s="2">
        <v>203</v>
      </c>
      <c r="B28" s="4">
        <f t="shared" si="0"/>
        <v>301.78197499999999</v>
      </c>
      <c r="C28" s="4">
        <f t="shared" si="0"/>
        <v>47.947899999999997</v>
      </c>
      <c r="D28" s="4">
        <f t="shared" si="0"/>
        <v>0.15806999999999999</v>
      </c>
      <c r="E28" s="9"/>
      <c r="F28" s="9"/>
    </row>
    <row r="29" spans="1:7" ht="15" x14ac:dyDescent="0.25">
      <c r="A29" s="2">
        <v>221</v>
      </c>
      <c r="B29" s="4">
        <f t="shared" si="0"/>
        <v>11.219649999999998</v>
      </c>
      <c r="C29" s="4">
        <f t="shared" si="0"/>
        <v>2.2919</v>
      </c>
      <c r="D29" s="4">
        <f t="shared" si="0"/>
        <v>0.26662792000000002</v>
      </c>
      <c r="E29" s="9"/>
      <c r="F29" s="9"/>
    </row>
    <row r="30" spans="1:7" ht="15" x14ac:dyDescent="0.25">
      <c r="A30" s="2">
        <v>222</v>
      </c>
      <c r="B30" s="4">
        <f t="shared" si="0"/>
        <v>5.8513999999999999</v>
      </c>
      <c r="C30" s="4">
        <f t="shared" si="0"/>
        <v>1.0326</v>
      </c>
      <c r="D30" s="4">
        <f t="shared" si="0"/>
        <v>0.17218260800000001</v>
      </c>
      <c r="E30" s="9"/>
      <c r="F30" s="9"/>
    </row>
    <row r="31" spans="1:7" ht="15" x14ac:dyDescent="0.25">
      <c r="A31" s="2" t="s">
        <v>94</v>
      </c>
      <c r="B31" s="4">
        <f>SUM(B26:B30)</f>
        <v>1203.0395583333334</v>
      </c>
      <c r="C31" s="4">
        <f>SUM(C26:C30)</f>
        <v>136.01587499999999</v>
      </c>
      <c r="D31" s="4">
        <f>SUM(D26:D30)</f>
        <v>0.88940077799999995</v>
      </c>
      <c r="E31" s="9"/>
      <c r="F31" s="9"/>
    </row>
    <row r="32" spans="1:7" ht="15" x14ac:dyDescent="0.25">
      <c r="A32" s="9"/>
      <c r="B32" s="10"/>
      <c r="C32" s="10"/>
      <c r="D32" s="10"/>
      <c r="E32" s="9"/>
      <c r="F32" s="9"/>
      <c r="G32" s="9"/>
    </row>
    <row r="33" spans="1:7" ht="15.6" x14ac:dyDescent="0.3">
      <c r="A33" s="1" t="s">
        <v>97</v>
      </c>
      <c r="B33" s="10"/>
      <c r="C33" s="10"/>
      <c r="D33" s="10"/>
      <c r="E33" s="9"/>
      <c r="F33" s="9"/>
      <c r="G33" s="9"/>
    </row>
    <row r="34" spans="1:7" ht="15" x14ac:dyDescent="0.25">
      <c r="A34" s="11" t="s">
        <v>37</v>
      </c>
      <c r="B34" s="4">
        <f>Turbine!C62</f>
        <v>127.4361</v>
      </c>
      <c r="C34" s="4">
        <f>Turbine!C63</f>
        <v>77.569799999999987</v>
      </c>
      <c r="D34" s="4">
        <f>Turbine!C64</f>
        <v>2.7199800000000001</v>
      </c>
      <c r="E34" s="9"/>
      <c r="F34" s="9"/>
    </row>
    <row r="35" spans="1:7" ht="15" x14ac:dyDescent="0.25">
      <c r="A35" s="11" t="s">
        <v>98</v>
      </c>
      <c r="B35" s="4">
        <f>'Gen Engines'!C34</f>
        <v>109.06200000000001</v>
      </c>
      <c r="C35" s="4">
        <f>'Gen Engines'!C35</f>
        <v>7.7088000000000001</v>
      </c>
      <c r="D35" s="4">
        <f>'Gen Engines'!C36</f>
        <v>0.91979999999999995</v>
      </c>
      <c r="E35" s="9"/>
      <c r="F35" s="9"/>
      <c r="G35" s="9"/>
    </row>
    <row r="36" spans="1:7" ht="15" x14ac:dyDescent="0.25">
      <c r="A36" s="11" t="s">
        <v>99</v>
      </c>
      <c r="B36" s="4">
        <f>SUM(B34:B35)</f>
        <v>236.49810000000002</v>
      </c>
      <c r="C36" s="4">
        <f>SUM(C34:C35)</f>
        <v>85.278599999999983</v>
      </c>
      <c r="D36" s="4">
        <f>SUM(D34:D35)</f>
        <v>3.63978</v>
      </c>
      <c r="E36" s="9"/>
      <c r="F36" s="9"/>
    </row>
    <row r="37" spans="1:7" ht="15" x14ac:dyDescent="0.25">
      <c r="A37" s="9"/>
      <c r="B37" s="12"/>
      <c r="C37" s="12"/>
      <c r="D37" s="12"/>
      <c r="E37" s="9"/>
      <c r="F37" s="9"/>
    </row>
    <row r="38" spans="1:7" ht="15.6" x14ac:dyDescent="0.3">
      <c r="A38" s="1" t="s">
        <v>100</v>
      </c>
      <c r="B38" s="10"/>
      <c r="C38" s="10"/>
      <c r="D38" s="10"/>
      <c r="E38" s="9"/>
      <c r="F38" s="9"/>
    </row>
    <row r="39" spans="1:7" ht="15" x14ac:dyDescent="0.25">
      <c r="A39" s="9"/>
      <c r="B39" s="4">
        <f>+B31</f>
        <v>1203.0395583333334</v>
      </c>
      <c r="C39" s="4">
        <f>+C31</f>
        <v>136.01587499999999</v>
      </c>
      <c r="D39" s="4">
        <f>+D31</f>
        <v>0.88940077799999995</v>
      </c>
      <c r="E39" s="9"/>
      <c r="F39" s="9"/>
    </row>
    <row r="40" spans="1:7" ht="15" x14ac:dyDescent="0.25">
      <c r="A40" s="9"/>
      <c r="B40" s="13"/>
      <c r="C40" s="13"/>
      <c r="D40" s="13"/>
      <c r="E40" s="9"/>
      <c r="F40" s="9"/>
    </row>
    <row r="41" spans="1:7" ht="15.6" x14ac:dyDescent="0.3">
      <c r="A41" s="1" t="s">
        <v>101</v>
      </c>
      <c r="B41" s="13"/>
      <c r="C41" s="13"/>
      <c r="D41" s="13"/>
      <c r="E41" s="9"/>
      <c r="F41" s="9"/>
    </row>
    <row r="42" spans="1:7" ht="15" x14ac:dyDescent="0.25">
      <c r="A42" s="9"/>
      <c r="B42" s="4">
        <f>+B36-B39</f>
        <v>-966.54145833333337</v>
      </c>
      <c r="C42" s="4">
        <f>+C36-C39</f>
        <v>-50.737275000000011</v>
      </c>
      <c r="D42" s="4">
        <f>+D36-D39</f>
        <v>2.7503792220000003</v>
      </c>
      <c r="E42" s="9"/>
      <c r="F42" s="9"/>
    </row>
    <row r="43" spans="1:7" ht="15" x14ac:dyDescent="0.25">
      <c r="A43" s="9"/>
      <c r="B43" s="7"/>
      <c r="C43" s="7"/>
      <c r="D43" s="7"/>
      <c r="E43" s="9"/>
      <c r="F43" s="9"/>
    </row>
    <row r="44" spans="1:7" ht="15" x14ac:dyDescent="0.25">
      <c r="A44" s="19" t="s">
        <v>102</v>
      </c>
      <c r="B44" s="9"/>
      <c r="C44" s="9"/>
      <c r="D44" s="9"/>
      <c r="E44" s="9"/>
      <c r="F44" s="9"/>
    </row>
    <row r="45" spans="1:7" ht="15" x14ac:dyDescent="0.25">
      <c r="A45" s="17" t="s">
        <v>103</v>
      </c>
      <c r="B45" s="9"/>
      <c r="C45" s="9"/>
      <c r="D45" s="9"/>
      <c r="E45" s="9"/>
      <c r="F45" s="9"/>
    </row>
    <row r="46" spans="1:7" ht="15" x14ac:dyDescent="0.25">
      <c r="A46" s="17" t="s">
        <v>104</v>
      </c>
      <c r="B46" s="9"/>
      <c r="C46" s="9"/>
      <c r="D46" s="9"/>
      <c r="E46" s="9"/>
      <c r="F46" s="9"/>
    </row>
    <row r="47" spans="1:7" ht="15" x14ac:dyDescent="0.25">
      <c r="A47" s="17" t="s">
        <v>105</v>
      </c>
      <c r="B47" s="9"/>
      <c r="C47" s="9"/>
      <c r="D47" s="9"/>
      <c r="E47" s="9"/>
      <c r="F47" s="9"/>
    </row>
    <row r="48" spans="1:7" ht="15" x14ac:dyDescent="0.25">
      <c r="A48" s="17" t="s">
        <v>106</v>
      </c>
      <c r="B48" s="9"/>
      <c r="C48" s="9"/>
      <c r="D48" s="9"/>
      <c r="E48" s="9"/>
      <c r="F48" s="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topLeftCell="A27" workbookViewId="0"/>
  </sheetViews>
  <sheetFormatPr defaultRowHeight="13.2" x14ac:dyDescent="0.25"/>
  <cols>
    <col min="1" max="1" width="10" customWidth="1"/>
    <col min="2" max="2" width="16.33203125" customWidth="1"/>
    <col min="3" max="3" width="11.6640625" customWidth="1"/>
    <col min="4" max="4" width="10.88671875" customWidth="1"/>
    <col min="5" max="5" width="12.44140625" customWidth="1"/>
    <col min="6" max="6" width="11.6640625" customWidth="1"/>
    <col min="7" max="7" width="10.5546875" customWidth="1"/>
    <col min="8" max="8" width="9.5546875" customWidth="1"/>
    <col min="9" max="9" width="10.5546875" customWidth="1"/>
    <col min="11" max="11" width="12.33203125" customWidth="1"/>
    <col min="12" max="12" width="12" customWidth="1"/>
  </cols>
  <sheetData>
    <row r="1" spans="1:16" ht="17.399999999999999" x14ac:dyDescent="0.3">
      <c r="A1" s="78" t="s">
        <v>0</v>
      </c>
      <c r="B1" s="2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17.399999999999999" x14ac:dyDescent="0.3">
      <c r="A2" s="78" t="s">
        <v>107</v>
      </c>
      <c r="B2" s="2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17.399999999999999" x14ac:dyDescent="0.3">
      <c r="A3" s="78" t="s">
        <v>108</v>
      </c>
      <c r="B3" s="2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ht="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9" t="s">
        <v>109</v>
      </c>
      <c r="O4" s="29"/>
      <c r="P4" s="14"/>
    </row>
    <row r="5" spans="1:16" ht="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 ht="15.6" x14ac:dyDescent="0.3">
      <c r="A6" s="21" t="s">
        <v>110</v>
      </c>
      <c r="B6" s="2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5" x14ac:dyDescent="0.25">
      <c r="A7" s="9"/>
      <c r="B7" s="9"/>
      <c r="C7" s="9"/>
      <c r="D7" s="9"/>
      <c r="E7" s="30"/>
      <c r="F7" s="31"/>
      <c r="G7" s="31" t="s">
        <v>111</v>
      </c>
      <c r="H7" s="32"/>
      <c r="I7" s="33"/>
      <c r="J7" s="9"/>
      <c r="K7" s="9"/>
      <c r="L7" s="9"/>
      <c r="M7" s="9"/>
      <c r="N7" s="9"/>
      <c r="O7" s="9"/>
    </row>
    <row r="8" spans="1:16" ht="15" x14ac:dyDescent="0.25">
      <c r="A8" s="34" t="s">
        <v>112</v>
      </c>
      <c r="B8" s="35" t="s">
        <v>113</v>
      </c>
      <c r="C8" s="36" t="s">
        <v>99</v>
      </c>
      <c r="D8" s="35" t="s">
        <v>114</v>
      </c>
      <c r="E8" s="37" t="s">
        <v>115</v>
      </c>
      <c r="F8" s="38"/>
      <c r="G8" s="38"/>
      <c r="H8" s="38"/>
      <c r="I8" s="38"/>
      <c r="J8" s="37" t="s">
        <v>116</v>
      </c>
      <c r="K8" s="38"/>
      <c r="L8" s="38"/>
      <c r="M8" s="38"/>
      <c r="N8" s="39"/>
      <c r="O8" s="9"/>
    </row>
    <row r="9" spans="1:16" ht="15" x14ac:dyDescent="0.25">
      <c r="A9" s="40" t="s">
        <v>117</v>
      </c>
      <c r="B9" s="41" t="s">
        <v>118</v>
      </c>
      <c r="C9" s="42" t="s">
        <v>119</v>
      </c>
      <c r="D9" s="41" t="s">
        <v>120</v>
      </c>
      <c r="E9" s="42" t="s">
        <v>121</v>
      </c>
      <c r="F9" s="43" t="s">
        <v>122</v>
      </c>
      <c r="G9" s="43" t="s">
        <v>122</v>
      </c>
      <c r="H9" s="43" t="s">
        <v>122</v>
      </c>
      <c r="I9" s="41" t="s">
        <v>123</v>
      </c>
      <c r="J9" s="44"/>
      <c r="K9" s="45"/>
      <c r="L9" s="45"/>
      <c r="M9" s="45"/>
      <c r="N9" s="46" t="s">
        <v>109</v>
      </c>
      <c r="O9" s="47" t="s">
        <v>124</v>
      </c>
    </row>
    <row r="10" spans="1:16" ht="15" x14ac:dyDescent="0.25">
      <c r="A10" s="48" t="s">
        <v>125</v>
      </c>
      <c r="B10" s="49" t="s">
        <v>126</v>
      </c>
      <c r="C10" s="50" t="s">
        <v>127</v>
      </c>
      <c r="D10" s="49" t="s">
        <v>128</v>
      </c>
      <c r="E10" s="50" t="s">
        <v>51</v>
      </c>
      <c r="F10" s="49" t="s">
        <v>57</v>
      </c>
      <c r="G10" s="49" t="s">
        <v>39</v>
      </c>
      <c r="H10" s="49" t="s">
        <v>129</v>
      </c>
      <c r="I10" s="49" t="s">
        <v>130</v>
      </c>
      <c r="J10" s="50" t="s">
        <v>51</v>
      </c>
      <c r="K10" s="49" t="s">
        <v>57</v>
      </c>
      <c r="L10" s="49" t="s">
        <v>39</v>
      </c>
      <c r="M10" s="49" t="s">
        <v>129</v>
      </c>
      <c r="N10" s="51" t="s">
        <v>130</v>
      </c>
      <c r="O10" s="9"/>
    </row>
    <row r="11" spans="1:16" ht="15" x14ac:dyDescent="0.25">
      <c r="A11" s="52"/>
      <c r="B11" s="53"/>
      <c r="C11" s="54"/>
      <c r="D11" s="9"/>
      <c r="E11" s="55" t="s">
        <v>109</v>
      </c>
      <c r="F11" s="56" t="s">
        <v>109</v>
      </c>
      <c r="G11" s="56" t="s">
        <v>109</v>
      </c>
      <c r="H11" s="57" t="s">
        <v>109</v>
      </c>
      <c r="I11" s="9"/>
      <c r="J11" s="58"/>
      <c r="K11" s="59"/>
      <c r="L11" s="59"/>
      <c r="M11" s="59"/>
      <c r="N11" s="60"/>
      <c r="O11" s="9"/>
    </row>
    <row r="12" spans="1:16" ht="15" x14ac:dyDescent="0.25">
      <c r="A12" s="61">
        <v>201</v>
      </c>
      <c r="B12" s="62">
        <v>201.9</v>
      </c>
      <c r="C12" s="63">
        <v>7518</v>
      </c>
      <c r="D12" s="64">
        <v>4000</v>
      </c>
      <c r="E12" s="65">
        <v>0</v>
      </c>
      <c r="F12" s="47">
        <f>E31</f>
        <v>115.66666666666667</v>
      </c>
      <c r="G12" s="47">
        <f>E32</f>
        <v>11.299999999999999</v>
      </c>
      <c r="H12" s="66">
        <v>4.2000000000000003E-2</v>
      </c>
      <c r="I12" s="66">
        <v>9.4999999999999998E-3</v>
      </c>
      <c r="J12" s="65">
        <f>E12*7500/1000000*$D12*$C12/2000</f>
        <v>0</v>
      </c>
      <c r="K12" s="81">
        <f t="shared" ref="K12:M14" si="0">F12*$C12/2000</f>
        <v>434.791</v>
      </c>
      <c r="L12" s="81">
        <f t="shared" si="0"/>
        <v>42.476699999999994</v>
      </c>
      <c r="M12" s="81">
        <f t="shared" si="0"/>
        <v>0.15787800000000002</v>
      </c>
      <c r="N12" s="67">
        <f>I12*B12*1046/2000</f>
        <v>1.0031401500000001</v>
      </c>
      <c r="O12" s="68">
        <f>C12/8760</f>
        <v>0.85821917808219184</v>
      </c>
    </row>
    <row r="13" spans="1:16" ht="15" x14ac:dyDescent="0.25">
      <c r="A13" s="69">
        <v>202</v>
      </c>
      <c r="B13" s="70">
        <v>206.20000000000002</v>
      </c>
      <c r="C13" s="63">
        <v>7600</v>
      </c>
      <c r="D13" s="64">
        <v>4000</v>
      </c>
      <c r="E13" s="65">
        <v>0</v>
      </c>
      <c r="F13" s="47">
        <f>E35</f>
        <v>123.73333333333333</v>
      </c>
      <c r="G13" s="47">
        <f>E36</f>
        <v>11.633333333333335</v>
      </c>
      <c r="H13" s="66">
        <v>3.6999999999999998E-2</v>
      </c>
      <c r="I13" s="66">
        <v>9.4999999999999998E-3</v>
      </c>
      <c r="J13" s="65">
        <f>E13*7500/1000000*$D13*$C13/2000</f>
        <v>0</v>
      </c>
      <c r="K13" s="81">
        <f t="shared" si="0"/>
        <v>470.18666666666667</v>
      </c>
      <c r="L13" s="81">
        <f t="shared" si="0"/>
        <v>44.206666666666671</v>
      </c>
      <c r="M13" s="81">
        <f t="shared" si="0"/>
        <v>0.1406</v>
      </c>
      <c r="N13" s="67">
        <f>I13*B13*1046/2000</f>
        <v>1.0245047</v>
      </c>
      <c r="O13" s="68">
        <f>C13/8760</f>
        <v>0.86757990867579904</v>
      </c>
    </row>
    <row r="14" spans="1:16" ht="15" x14ac:dyDescent="0.25">
      <c r="A14" s="69">
        <v>203</v>
      </c>
      <c r="B14" s="70">
        <v>227.70000000000002</v>
      </c>
      <c r="C14" s="63">
        <v>8296</v>
      </c>
      <c r="D14" s="64">
        <v>4000</v>
      </c>
      <c r="E14" s="65">
        <v>0</v>
      </c>
      <c r="F14" s="47">
        <f>E39</f>
        <v>76.36666666666666</v>
      </c>
      <c r="G14" s="47">
        <f>E40</f>
        <v>12.133333333333333</v>
      </c>
      <c r="H14" s="66">
        <v>0.04</v>
      </c>
      <c r="I14" s="66">
        <v>9.4999999999999998E-3</v>
      </c>
      <c r="J14" s="65">
        <f>E14*7500/1000000*$D14*$C14/2000</f>
        <v>0</v>
      </c>
      <c r="K14" s="81">
        <f t="shared" si="0"/>
        <v>316.76893333333328</v>
      </c>
      <c r="L14" s="81">
        <f t="shared" si="0"/>
        <v>50.329066666666662</v>
      </c>
      <c r="M14" s="81">
        <f t="shared" si="0"/>
        <v>0.16592000000000001</v>
      </c>
      <c r="N14" s="67">
        <f>I14*B14*1046/2000</f>
        <v>1.1313274499999999</v>
      </c>
      <c r="O14" s="68">
        <f>C14/8760</f>
        <v>0.94703196347031959</v>
      </c>
    </row>
    <row r="15" spans="1:16" ht="15" x14ac:dyDescent="0.25">
      <c r="A15" s="69">
        <v>221</v>
      </c>
      <c r="B15" s="70">
        <v>8.1</v>
      </c>
      <c r="C15" s="63">
        <v>5638</v>
      </c>
      <c r="D15" s="64">
        <v>420</v>
      </c>
      <c r="E15" s="65">
        <v>0</v>
      </c>
      <c r="F15" s="47">
        <v>4.21</v>
      </c>
      <c r="G15" s="47">
        <v>0.86</v>
      </c>
      <c r="H15" s="66">
        <v>2.9600000000000001E-2</v>
      </c>
      <c r="I15" s="66">
        <v>9.4999999999999998E-3</v>
      </c>
      <c r="J15" s="65">
        <f>E15*7500/1000000*$D15*$C15/2000</f>
        <v>0</v>
      </c>
      <c r="K15" s="81">
        <f>F15*C15/2000</f>
        <v>11.867989999999999</v>
      </c>
      <c r="L15" s="81">
        <f>G15*C15/2000</f>
        <v>2.4243399999999999</v>
      </c>
      <c r="M15" s="81">
        <f>$C15*H15*3.38/2000</f>
        <v>0.28203531200000004</v>
      </c>
      <c r="N15" s="67">
        <f>I15*B15*1046/2000</f>
        <v>4.0244849999999992E-2</v>
      </c>
      <c r="O15" s="68">
        <f>C15/8760</f>
        <v>0.64360730593607307</v>
      </c>
    </row>
    <row r="16" spans="1:16" ht="15" x14ac:dyDescent="0.25">
      <c r="A16" s="69">
        <v>222</v>
      </c>
      <c r="B16" s="70">
        <v>4.3</v>
      </c>
      <c r="C16" s="71">
        <v>3146</v>
      </c>
      <c r="D16" s="64">
        <v>420</v>
      </c>
      <c r="E16" s="72">
        <v>0</v>
      </c>
      <c r="F16" s="47">
        <v>3.4</v>
      </c>
      <c r="G16" s="47">
        <v>0.6</v>
      </c>
      <c r="H16" s="66">
        <v>2.9600000000000001E-2</v>
      </c>
      <c r="I16" s="66">
        <v>9.4999999999999998E-3</v>
      </c>
      <c r="J16" s="72">
        <f>E16*7500/1000000*$D16*$C16/2000</f>
        <v>0</v>
      </c>
      <c r="K16" s="81">
        <f>F16*C16/2000</f>
        <v>5.3481999999999994</v>
      </c>
      <c r="L16" s="81">
        <f>G16*C16/2000</f>
        <v>0.94379999999999997</v>
      </c>
      <c r="M16" s="81">
        <f>$C16*H16*3.38/2000</f>
        <v>0.157375504</v>
      </c>
      <c r="N16" s="67">
        <f>I16*B16*1046/2000</f>
        <v>2.1364549999999996E-2</v>
      </c>
      <c r="O16" s="68">
        <f>C16/8760</f>
        <v>0.35913242009132418</v>
      </c>
    </row>
    <row r="17" spans="1:18" ht="15.6" x14ac:dyDescent="0.3">
      <c r="A17" s="22" t="s">
        <v>99</v>
      </c>
      <c r="B17" s="23"/>
      <c r="C17" s="24"/>
      <c r="D17" s="25"/>
      <c r="E17" s="26" t="s">
        <v>109</v>
      </c>
      <c r="F17" s="23" t="s">
        <v>109</v>
      </c>
      <c r="G17" s="23" t="s">
        <v>109</v>
      </c>
      <c r="H17" s="23"/>
      <c r="I17" s="23"/>
      <c r="J17" s="27">
        <f>SUM(J12:J15)</f>
        <v>0</v>
      </c>
      <c r="K17" s="27">
        <f>SUM(K12:K16)</f>
        <v>1238.9627899999998</v>
      </c>
      <c r="L17" s="27">
        <f>SUM(L12:L16)</f>
        <v>140.38057333333333</v>
      </c>
      <c r="M17" s="27">
        <f>SUM(M12:M16)</f>
        <v>0.90380881600000007</v>
      </c>
      <c r="N17" s="28">
        <f>SUM(N12:N16)</f>
        <v>3.2205817000000003</v>
      </c>
      <c r="O17" s="9"/>
    </row>
    <row r="18" spans="1:18" ht="15" x14ac:dyDescent="0.25">
      <c r="A18" s="9"/>
      <c r="B18" s="9"/>
      <c r="C18" s="9"/>
      <c r="D18" s="9"/>
      <c r="E18" s="9"/>
      <c r="F18" s="9"/>
      <c r="G18" s="9"/>
      <c r="H18" s="9"/>
      <c r="I18" s="9"/>
      <c r="J18" s="59"/>
      <c r="K18" s="75"/>
      <c r="L18" s="9"/>
      <c r="M18" s="9"/>
      <c r="N18" s="9"/>
      <c r="O18" s="9"/>
    </row>
    <row r="19" spans="1:18" ht="15" x14ac:dyDescent="0.25">
      <c r="A19" s="20" t="s">
        <v>131</v>
      </c>
      <c r="B19" s="29"/>
      <c r="C19" s="9"/>
      <c r="D19" s="9"/>
      <c r="E19" s="76"/>
      <c r="F19" s="77"/>
      <c r="G19" s="77"/>
      <c r="H19" s="77"/>
      <c r="I19" s="77"/>
      <c r="J19" s="9"/>
      <c r="K19" s="9"/>
      <c r="L19" s="9"/>
      <c r="M19" s="59"/>
      <c r="N19" s="59"/>
      <c r="O19" s="59"/>
      <c r="P19" s="15"/>
      <c r="Q19" s="15"/>
      <c r="R19" s="15"/>
    </row>
    <row r="20" spans="1:18" ht="15" x14ac:dyDescent="0.25">
      <c r="A20" s="20" t="s">
        <v>132</v>
      </c>
      <c r="B20" s="2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8" ht="15" x14ac:dyDescent="0.25">
      <c r="A21" s="20" t="s">
        <v>133</v>
      </c>
      <c r="B21" s="2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8" ht="15" x14ac:dyDescent="0.25">
      <c r="A22" s="20" t="s">
        <v>134</v>
      </c>
      <c r="B22" s="2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8" ht="15" x14ac:dyDescent="0.25">
      <c r="A23" s="20" t="s">
        <v>135</v>
      </c>
      <c r="B23" s="2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8" ht="15" x14ac:dyDescent="0.25">
      <c r="A24" s="20" t="s">
        <v>136</v>
      </c>
      <c r="B24" s="2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8" ht="15" x14ac:dyDescent="0.25">
      <c r="A25" s="17" t="s">
        <v>137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8" ht="15" x14ac:dyDescent="0.25">
      <c r="A26" t="s">
        <v>138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8" ht="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8" ht="15.6" x14ac:dyDescent="0.3">
      <c r="A28" s="89" t="s">
        <v>139</v>
      </c>
      <c r="B28" s="82"/>
      <c r="C28" s="82"/>
      <c r="D28" s="82"/>
      <c r="E28" s="83"/>
    </row>
    <row r="29" spans="1:18" ht="15.6" x14ac:dyDescent="0.3">
      <c r="A29" s="99"/>
      <c r="B29" s="92" t="s">
        <v>140</v>
      </c>
      <c r="C29" s="93" t="s">
        <v>141</v>
      </c>
      <c r="D29" s="93" t="s">
        <v>142</v>
      </c>
      <c r="E29" s="94" t="s">
        <v>143</v>
      </c>
    </row>
    <row r="30" spans="1:18" ht="15.6" x14ac:dyDescent="0.3">
      <c r="A30" s="95" t="s">
        <v>144</v>
      </c>
      <c r="B30" s="96" t="s">
        <v>43</v>
      </c>
      <c r="C30" s="97" t="s">
        <v>43</v>
      </c>
      <c r="D30" s="97" t="s">
        <v>43</v>
      </c>
      <c r="E30" s="98" t="s">
        <v>43</v>
      </c>
    </row>
    <row r="31" spans="1:18" ht="15" x14ac:dyDescent="0.25">
      <c r="A31" s="90" t="s">
        <v>80</v>
      </c>
      <c r="B31" s="87">
        <v>116.4</v>
      </c>
      <c r="C31" s="2">
        <v>125.9</v>
      </c>
      <c r="D31" s="2">
        <v>104.7</v>
      </c>
      <c r="E31" s="84">
        <f>AVERAGE(B31:D31)</f>
        <v>115.66666666666667</v>
      </c>
    </row>
    <row r="32" spans="1:18" ht="15" x14ac:dyDescent="0.25">
      <c r="A32" s="90" t="s">
        <v>39</v>
      </c>
      <c r="B32" s="87">
        <v>11</v>
      </c>
      <c r="C32" s="2">
        <v>9.6999999999999993</v>
      </c>
      <c r="D32" s="2">
        <v>13.2</v>
      </c>
      <c r="E32" s="84">
        <f>AVERAGE(B32:D32)</f>
        <v>11.299999999999999</v>
      </c>
    </row>
    <row r="33" spans="1:5" ht="15" x14ac:dyDescent="0.25">
      <c r="A33" s="91" t="s">
        <v>59</v>
      </c>
      <c r="B33" s="88">
        <v>4.3999999999999997E-2</v>
      </c>
      <c r="C33" s="85">
        <v>4.1000000000000002E-2</v>
      </c>
      <c r="D33" s="85">
        <v>0.04</v>
      </c>
      <c r="E33" s="86">
        <v>4.2000000000000003E-2</v>
      </c>
    </row>
    <row r="34" spans="1:5" ht="15.6" x14ac:dyDescent="0.3">
      <c r="A34" s="95" t="s">
        <v>145</v>
      </c>
      <c r="B34" s="96" t="s">
        <v>43</v>
      </c>
      <c r="C34" s="97" t="s">
        <v>43</v>
      </c>
      <c r="D34" s="97" t="s">
        <v>43</v>
      </c>
      <c r="E34" s="98" t="s">
        <v>43</v>
      </c>
    </row>
    <row r="35" spans="1:5" ht="15" x14ac:dyDescent="0.25">
      <c r="A35" s="90" t="s">
        <v>80</v>
      </c>
      <c r="B35" s="87">
        <v>123.5</v>
      </c>
      <c r="C35" s="2">
        <v>124.7</v>
      </c>
      <c r="D35" s="2">
        <v>123</v>
      </c>
      <c r="E35" s="84">
        <f>AVERAGE(B35:D35)</f>
        <v>123.73333333333333</v>
      </c>
    </row>
    <row r="36" spans="1:5" ht="15" x14ac:dyDescent="0.25">
      <c r="A36" s="90" t="s">
        <v>39</v>
      </c>
      <c r="B36" s="87">
        <v>11.2</v>
      </c>
      <c r="C36" s="2">
        <v>11.4</v>
      </c>
      <c r="D36" s="2">
        <v>12.3</v>
      </c>
      <c r="E36" s="84">
        <f>AVERAGE(B36:D36)</f>
        <v>11.633333333333335</v>
      </c>
    </row>
    <row r="37" spans="1:5" ht="15" x14ac:dyDescent="0.25">
      <c r="A37" s="91" t="s">
        <v>59</v>
      </c>
      <c r="B37" s="88">
        <v>3.9E-2</v>
      </c>
      <c r="C37" s="85">
        <v>3.6999999999999998E-2</v>
      </c>
      <c r="D37" s="85">
        <v>3.5999999999999997E-2</v>
      </c>
      <c r="E37" s="86">
        <v>3.6999999999999998E-2</v>
      </c>
    </row>
    <row r="38" spans="1:5" ht="15.6" x14ac:dyDescent="0.3">
      <c r="A38" s="95" t="s">
        <v>146</v>
      </c>
      <c r="B38" s="96" t="s">
        <v>43</v>
      </c>
      <c r="C38" s="97" t="s">
        <v>43</v>
      </c>
      <c r="D38" s="97" t="s">
        <v>43</v>
      </c>
      <c r="E38" s="98" t="s">
        <v>43</v>
      </c>
    </row>
    <row r="39" spans="1:5" ht="15" x14ac:dyDescent="0.25">
      <c r="A39" s="90" t="s">
        <v>80</v>
      </c>
      <c r="B39" s="87">
        <v>65.599999999999994</v>
      </c>
      <c r="C39" s="2">
        <v>79.099999999999994</v>
      </c>
      <c r="D39" s="2">
        <v>84.4</v>
      </c>
      <c r="E39" s="84">
        <f>AVERAGE(B39:D39)</f>
        <v>76.36666666666666</v>
      </c>
    </row>
    <row r="40" spans="1:5" ht="15" x14ac:dyDescent="0.25">
      <c r="A40" s="90" t="s">
        <v>39</v>
      </c>
      <c r="B40" s="87">
        <v>11.7</v>
      </c>
      <c r="C40" s="2">
        <v>12.1</v>
      </c>
      <c r="D40" s="2">
        <v>12.6</v>
      </c>
      <c r="E40" s="84">
        <f>AVERAGE(B40:D40)</f>
        <v>12.133333333333333</v>
      </c>
    </row>
    <row r="41" spans="1:5" ht="15" x14ac:dyDescent="0.25">
      <c r="A41" s="91" t="s">
        <v>59</v>
      </c>
      <c r="B41" s="88">
        <v>4.1000000000000002E-2</v>
      </c>
      <c r="C41" s="85">
        <v>4.2000000000000003E-2</v>
      </c>
      <c r="D41" s="85">
        <v>3.7999999999999999E-2</v>
      </c>
      <c r="E41" s="86">
        <v>0.04</v>
      </c>
    </row>
    <row r="42" spans="1:5" x14ac:dyDescent="0.25">
      <c r="A42" s="100" t="s">
        <v>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topLeftCell="A31" workbookViewId="0"/>
  </sheetViews>
  <sheetFormatPr defaultRowHeight="13.2" x14ac:dyDescent="0.25"/>
  <cols>
    <col min="1" max="1" width="13.5546875" customWidth="1"/>
    <col min="2" max="2" width="14" customWidth="1"/>
    <col min="3" max="3" width="12" customWidth="1"/>
    <col min="4" max="4" width="11" customWidth="1"/>
    <col min="8" max="8" width="10.5546875" customWidth="1"/>
    <col min="11" max="11" width="12" customWidth="1"/>
    <col min="12" max="12" width="9.5546875" customWidth="1"/>
    <col min="13" max="13" width="10.109375" customWidth="1"/>
    <col min="14" max="14" width="10.5546875" customWidth="1"/>
  </cols>
  <sheetData>
    <row r="1" spans="1:16" ht="17.399999999999999" x14ac:dyDescent="0.3">
      <c r="A1" s="78" t="s">
        <v>0</v>
      </c>
      <c r="B1" s="2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17.399999999999999" x14ac:dyDescent="0.3">
      <c r="A2" s="78" t="s">
        <v>107</v>
      </c>
      <c r="B2" s="2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17.399999999999999" x14ac:dyDescent="0.3">
      <c r="A3" s="78" t="s">
        <v>148</v>
      </c>
      <c r="B3" s="2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ht="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9" t="s">
        <v>109</v>
      </c>
      <c r="O4" s="29"/>
      <c r="P4" s="14"/>
    </row>
    <row r="5" spans="1:16" ht="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 ht="15.6" x14ac:dyDescent="0.3">
      <c r="A6" s="21" t="s">
        <v>110</v>
      </c>
      <c r="B6" s="2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5" x14ac:dyDescent="0.25">
      <c r="A7" s="9"/>
      <c r="B7" s="9"/>
      <c r="C7" s="9"/>
      <c r="D7" s="9"/>
      <c r="E7" s="30"/>
      <c r="F7" s="31"/>
      <c r="G7" s="31" t="s">
        <v>111</v>
      </c>
      <c r="H7" s="32"/>
      <c r="I7" s="33"/>
      <c r="J7" s="9"/>
      <c r="K7" s="9"/>
      <c r="L7" s="9"/>
      <c r="M7" s="9"/>
      <c r="N7" s="9"/>
      <c r="O7" s="9"/>
    </row>
    <row r="8" spans="1:16" ht="15" x14ac:dyDescent="0.25">
      <c r="A8" s="34" t="s">
        <v>112</v>
      </c>
      <c r="B8" s="35" t="s">
        <v>113</v>
      </c>
      <c r="C8" s="36" t="s">
        <v>99</v>
      </c>
      <c r="D8" s="35" t="s">
        <v>114</v>
      </c>
      <c r="E8" s="37" t="s">
        <v>149</v>
      </c>
      <c r="F8" s="38"/>
      <c r="G8" s="38"/>
      <c r="H8" s="38"/>
      <c r="I8" s="38"/>
      <c r="J8" s="37" t="s">
        <v>116</v>
      </c>
      <c r="K8" s="38"/>
      <c r="L8" s="38"/>
      <c r="M8" s="38"/>
      <c r="N8" s="39"/>
      <c r="O8" s="9"/>
    </row>
    <row r="9" spans="1:16" ht="15" x14ac:dyDescent="0.25">
      <c r="A9" s="40" t="s">
        <v>117</v>
      </c>
      <c r="B9" s="41" t="s">
        <v>118</v>
      </c>
      <c r="C9" s="42" t="s">
        <v>119</v>
      </c>
      <c r="D9" s="41" t="s">
        <v>120</v>
      </c>
      <c r="E9" s="42" t="s">
        <v>121</v>
      </c>
      <c r="F9" s="43" t="s">
        <v>122</v>
      </c>
      <c r="G9" s="43" t="s">
        <v>122</v>
      </c>
      <c r="H9" s="43" t="s">
        <v>122</v>
      </c>
      <c r="I9" s="41" t="s">
        <v>123</v>
      </c>
      <c r="J9" s="44"/>
      <c r="K9" s="45"/>
      <c r="L9" s="45"/>
      <c r="M9" s="45"/>
      <c r="N9" s="46" t="s">
        <v>109</v>
      </c>
      <c r="O9" s="47" t="s">
        <v>124</v>
      </c>
    </row>
    <row r="10" spans="1:16" ht="15" x14ac:dyDescent="0.25">
      <c r="A10" s="48" t="s">
        <v>125</v>
      </c>
      <c r="B10" s="49" t="s">
        <v>126</v>
      </c>
      <c r="C10" s="50" t="s">
        <v>127</v>
      </c>
      <c r="D10" s="49" t="s">
        <v>128</v>
      </c>
      <c r="E10" s="50" t="s">
        <v>51</v>
      </c>
      <c r="F10" s="49" t="s">
        <v>57</v>
      </c>
      <c r="G10" s="49" t="s">
        <v>39</v>
      </c>
      <c r="H10" s="49" t="s">
        <v>129</v>
      </c>
      <c r="I10" s="49" t="s">
        <v>130</v>
      </c>
      <c r="J10" s="50" t="s">
        <v>51</v>
      </c>
      <c r="K10" s="49" t="s">
        <v>57</v>
      </c>
      <c r="L10" s="49" t="s">
        <v>39</v>
      </c>
      <c r="M10" s="49" t="s">
        <v>129</v>
      </c>
      <c r="N10" s="51" t="s">
        <v>130</v>
      </c>
      <c r="O10" s="9"/>
    </row>
    <row r="11" spans="1:16" ht="15" x14ac:dyDescent="0.25">
      <c r="A11" s="52"/>
      <c r="B11" s="53"/>
      <c r="C11" s="54"/>
      <c r="D11" s="9"/>
      <c r="E11" s="55" t="s">
        <v>109</v>
      </c>
      <c r="F11" s="56" t="s">
        <v>109</v>
      </c>
      <c r="G11" s="56" t="s">
        <v>109</v>
      </c>
      <c r="H11" s="57" t="s">
        <v>109</v>
      </c>
      <c r="I11" s="9"/>
      <c r="J11" s="58"/>
      <c r="K11" s="59"/>
      <c r="L11" s="59"/>
      <c r="M11" s="59"/>
      <c r="N11" s="60"/>
      <c r="O11" s="9"/>
    </row>
    <row r="12" spans="1:16" ht="15" x14ac:dyDescent="0.25">
      <c r="A12" s="61">
        <v>201</v>
      </c>
      <c r="B12" s="62">
        <v>211.5</v>
      </c>
      <c r="C12" s="63">
        <v>7658</v>
      </c>
      <c r="D12" s="64">
        <v>4000</v>
      </c>
      <c r="E12" s="65">
        <v>0</v>
      </c>
      <c r="F12" s="47">
        <f>E32</f>
        <v>115.66666666666667</v>
      </c>
      <c r="G12" s="47">
        <f>E33</f>
        <v>11.299999999999999</v>
      </c>
      <c r="H12" s="66">
        <v>4.2000000000000003E-2</v>
      </c>
      <c r="I12" s="66">
        <v>9.4999999999999998E-3</v>
      </c>
      <c r="J12" s="65">
        <f>$B12*1050*E12/2000</f>
        <v>0</v>
      </c>
      <c r="K12" s="81">
        <f t="shared" ref="K12:M14" si="0">F12*$C12/2000</f>
        <v>442.88766666666669</v>
      </c>
      <c r="L12" s="81">
        <f t="shared" si="0"/>
        <v>43.267699999999998</v>
      </c>
      <c r="M12" s="81">
        <f t="shared" si="0"/>
        <v>0.16081800000000002</v>
      </c>
      <c r="N12" s="81">
        <f>I12*B12*1046/2000</f>
        <v>1.0508377499999999</v>
      </c>
      <c r="O12" s="68">
        <f>C12/8760</f>
        <v>0.8742009132420091</v>
      </c>
    </row>
    <row r="13" spans="1:16" ht="15" x14ac:dyDescent="0.25">
      <c r="A13" s="69">
        <v>202</v>
      </c>
      <c r="B13" s="70">
        <v>191</v>
      </c>
      <c r="C13" s="63">
        <v>6797</v>
      </c>
      <c r="D13" s="64">
        <v>4000</v>
      </c>
      <c r="E13" s="65">
        <v>0</v>
      </c>
      <c r="F13" s="47">
        <f>'2000 EIQ'!F13</f>
        <v>123.73333333333333</v>
      </c>
      <c r="G13" s="47">
        <f>'2000 EIQ'!G13</f>
        <v>11.633333333333335</v>
      </c>
      <c r="H13" s="66">
        <v>3.6999999999999998E-2</v>
      </c>
      <c r="I13" s="66">
        <v>9.4999999999999998E-3</v>
      </c>
      <c r="J13" s="65">
        <f>$B13*1050*E13/2000</f>
        <v>0</v>
      </c>
      <c r="K13" s="81">
        <f t="shared" si="0"/>
        <v>420.50773333333336</v>
      </c>
      <c r="L13" s="81">
        <f t="shared" si="0"/>
        <v>39.535883333333338</v>
      </c>
      <c r="M13" s="81">
        <f t="shared" si="0"/>
        <v>0.12574449999999998</v>
      </c>
      <c r="N13" s="81">
        <f>I13*B13*1046/2000</f>
        <v>0.94898350000000009</v>
      </c>
      <c r="O13" s="68">
        <f>C13/8760</f>
        <v>0.77591324200913248</v>
      </c>
    </row>
    <row r="14" spans="1:16" ht="15" x14ac:dyDescent="0.25">
      <c r="A14" s="69">
        <v>203</v>
      </c>
      <c r="B14" s="70">
        <v>210.8</v>
      </c>
      <c r="C14" s="63">
        <v>7511</v>
      </c>
      <c r="D14" s="64">
        <v>4000</v>
      </c>
      <c r="E14" s="65">
        <v>0</v>
      </c>
      <c r="F14" s="47">
        <f>'2000 EIQ'!F14</f>
        <v>76.36666666666666</v>
      </c>
      <c r="G14" s="47">
        <f>'2000 EIQ'!G14</f>
        <v>12.133333333333333</v>
      </c>
      <c r="H14" s="66">
        <f>E42</f>
        <v>0.04</v>
      </c>
      <c r="I14" s="66">
        <v>9.4999999999999998E-3</v>
      </c>
      <c r="J14" s="65">
        <f>$B14*1050*E14/2000</f>
        <v>0</v>
      </c>
      <c r="K14" s="81">
        <f t="shared" si="0"/>
        <v>286.79501666666664</v>
      </c>
      <c r="L14" s="81">
        <f t="shared" si="0"/>
        <v>45.566733333333332</v>
      </c>
      <c r="M14" s="81">
        <f t="shared" si="0"/>
        <v>0.15021999999999999</v>
      </c>
      <c r="N14" s="81">
        <f>I14*B14*1046/2000</f>
        <v>1.0473598000000002</v>
      </c>
      <c r="O14" s="68">
        <f>C14/8760</f>
        <v>0.85742009132420094</v>
      </c>
    </row>
    <row r="15" spans="1:16" ht="15" x14ac:dyDescent="0.25">
      <c r="A15" s="69">
        <v>221</v>
      </c>
      <c r="B15" s="70">
        <v>7.2</v>
      </c>
      <c r="C15" s="63">
        <v>5022</v>
      </c>
      <c r="D15" s="64">
        <v>420</v>
      </c>
      <c r="E15" s="65">
        <v>0</v>
      </c>
      <c r="F15" s="47">
        <v>4.21</v>
      </c>
      <c r="G15" s="47">
        <v>0.86</v>
      </c>
      <c r="H15" s="66">
        <v>2.9600000000000001E-2</v>
      </c>
      <c r="I15" s="66">
        <v>9.4999999999999998E-3</v>
      </c>
      <c r="J15" s="65">
        <f>E15*7500/1000000*$D15*$C15/2000</f>
        <v>0</v>
      </c>
      <c r="K15" s="81">
        <f>F15*C15/2000</f>
        <v>10.571309999999999</v>
      </c>
      <c r="L15" s="81">
        <f>G15*C15/2000</f>
        <v>2.1594600000000002</v>
      </c>
      <c r="M15" s="81">
        <f>$C15*H15*3.38/2000</f>
        <v>0.25122052800000005</v>
      </c>
      <c r="N15" s="81">
        <f>I15*B15*1046/2000</f>
        <v>3.5773200000000005E-2</v>
      </c>
      <c r="O15" s="68">
        <f>C15/8760</f>
        <v>0.57328767123287672</v>
      </c>
    </row>
    <row r="16" spans="1:16" ht="15" x14ac:dyDescent="0.25">
      <c r="A16" s="69">
        <v>222</v>
      </c>
      <c r="B16" s="70">
        <v>5.4</v>
      </c>
      <c r="C16" s="71">
        <v>3738</v>
      </c>
      <c r="D16" s="64">
        <v>420</v>
      </c>
      <c r="E16" s="72">
        <v>0</v>
      </c>
      <c r="F16" s="47">
        <v>3.4</v>
      </c>
      <c r="G16" s="47">
        <v>0.6</v>
      </c>
      <c r="H16" s="66">
        <v>2.9600000000000001E-2</v>
      </c>
      <c r="I16" s="66">
        <v>9.4999999999999998E-3</v>
      </c>
      <c r="J16" s="72">
        <f>E16*7500/1000000*$D16*$C16/2000</f>
        <v>0</v>
      </c>
      <c r="K16" s="81">
        <f>F16*C16/2000</f>
        <v>6.3545999999999996</v>
      </c>
      <c r="L16" s="81">
        <f>G16*C16/2000</f>
        <v>1.1214</v>
      </c>
      <c r="M16" s="81">
        <f>$C16*H16*3.38/2000</f>
        <v>0.186989712</v>
      </c>
      <c r="N16" s="81">
        <f>I16*B16*1046/2000</f>
        <v>2.6829900000000004E-2</v>
      </c>
      <c r="O16" s="68">
        <f>C16/8760</f>
        <v>0.42671232876712328</v>
      </c>
    </row>
    <row r="17" spans="1:18" ht="15.6" x14ac:dyDescent="0.3">
      <c r="A17" s="22" t="s">
        <v>99</v>
      </c>
      <c r="B17" s="23"/>
      <c r="C17" s="24"/>
      <c r="D17" s="25"/>
      <c r="E17" s="26" t="s">
        <v>109</v>
      </c>
      <c r="F17" s="23" t="s">
        <v>109</v>
      </c>
      <c r="G17" s="23" t="s">
        <v>109</v>
      </c>
      <c r="H17" s="79" t="s">
        <v>109</v>
      </c>
      <c r="I17" s="80" t="s">
        <v>109</v>
      </c>
      <c r="J17" s="27">
        <f>SUM(J12:J15)</f>
        <v>0</v>
      </c>
      <c r="K17" s="27">
        <f>SUM(K12:K16)</f>
        <v>1167.1163266666667</v>
      </c>
      <c r="L17" s="27">
        <f>SUM(L12:L16)</f>
        <v>131.65117666666666</v>
      </c>
      <c r="M17" s="27">
        <f>SUM(M12:M16)</f>
        <v>0.87499274000000005</v>
      </c>
      <c r="N17" s="28">
        <f>SUM(N12:N16)</f>
        <v>3.1097841500000003</v>
      </c>
      <c r="O17" s="9"/>
    </row>
    <row r="18" spans="1:18" ht="15" x14ac:dyDescent="0.25">
      <c r="A18" s="9"/>
      <c r="B18" s="9"/>
      <c r="C18" s="9"/>
      <c r="D18" s="9"/>
      <c r="E18" s="9"/>
      <c r="F18" s="9"/>
      <c r="G18" s="9"/>
      <c r="H18" s="9"/>
      <c r="I18" s="9"/>
      <c r="J18" s="59"/>
      <c r="K18" s="75"/>
      <c r="L18" s="9"/>
      <c r="M18" s="9"/>
      <c r="N18" s="9"/>
      <c r="O18" s="9"/>
    </row>
    <row r="19" spans="1:18" ht="15" x14ac:dyDescent="0.25">
      <c r="A19" s="20" t="s">
        <v>131</v>
      </c>
      <c r="B19" s="29"/>
      <c r="C19" s="9"/>
      <c r="D19" s="9"/>
      <c r="E19" s="76"/>
      <c r="F19" s="77"/>
      <c r="G19" s="77"/>
      <c r="H19" s="77"/>
      <c r="I19" s="77"/>
      <c r="J19" s="9"/>
      <c r="K19" s="9"/>
      <c r="L19" s="9"/>
      <c r="M19" s="59"/>
      <c r="N19" s="59"/>
      <c r="O19" s="59"/>
      <c r="P19" s="15"/>
      <c r="Q19" s="15"/>
      <c r="R19" s="15"/>
    </row>
    <row r="20" spans="1:18" ht="15" x14ac:dyDescent="0.25">
      <c r="A20" s="20" t="s">
        <v>132</v>
      </c>
      <c r="B20" s="2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8" ht="15" x14ac:dyDescent="0.25">
      <c r="A21" s="20" t="s">
        <v>133</v>
      </c>
      <c r="B21" s="2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8" ht="15" x14ac:dyDescent="0.25">
      <c r="A22" s="20" t="s">
        <v>134</v>
      </c>
      <c r="B22" s="2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8" ht="15" x14ac:dyDescent="0.25">
      <c r="A23" s="20" t="s">
        <v>135</v>
      </c>
      <c r="B23" s="2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8" ht="15" x14ac:dyDescent="0.25">
      <c r="A24" s="20" t="s">
        <v>136</v>
      </c>
      <c r="B24" s="2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8" ht="15" x14ac:dyDescent="0.25">
      <c r="A25" s="17" t="s">
        <v>137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8" x14ac:dyDescent="0.25">
      <c r="A26" t="s">
        <v>138</v>
      </c>
    </row>
    <row r="29" spans="1:18" ht="15.6" x14ac:dyDescent="0.3">
      <c r="A29" s="89" t="s">
        <v>139</v>
      </c>
      <c r="B29" s="82"/>
      <c r="C29" s="82"/>
      <c r="D29" s="82"/>
      <c r="E29" s="83"/>
    </row>
    <row r="30" spans="1:18" ht="15.6" x14ac:dyDescent="0.3">
      <c r="A30" s="99"/>
      <c r="B30" s="92" t="s">
        <v>140</v>
      </c>
      <c r="C30" s="93" t="s">
        <v>141</v>
      </c>
      <c r="D30" s="93" t="s">
        <v>142</v>
      </c>
      <c r="E30" s="94" t="s">
        <v>143</v>
      </c>
    </row>
    <row r="31" spans="1:18" ht="15.6" x14ac:dyDescent="0.3">
      <c r="A31" s="95" t="s">
        <v>144</v>
      </c>
      <c r="B31" s="96" t="s">
        <v>43</v>
      </c>
      <c r="C31" s="97" t="s">
        <v>43</v>
      </c>
      <c r="D31" s="97" t="s">
        <v>43</v>
      </c>
      <c r="E31" s="98" t="s">
        <v>43</v>
      </c>
    </row>
    <row r="32" spans="1:18" ht="15" x14ac:dyDescent="0.25">
      <c r="A32" s="90" t="s">
        <v>80</v>
      </c>
      <c r="B32" s="87">
        <f>'2000 EIQ'!B31</f>
        <v>116.4</v>
      </c>
      <c r="C32" s="87">
        <f>'2000 EIQ'!C31</f>
        <v>125.9</v>
      </c>
      <c r="D32" s="87">
        <f>'2000 EIQ'!D31</f>
        <v>104.7</v>
      </c>
      <c r="E32" s="87">
        <f>'2000 EIQ'!E31</f>
        <v>115.66666666666667</v>
      </c>
    </row>
    <row r="33" spans="1:5" ht="15" x14ac:dyDescent="0.25">
      <c r="A33" s="90" t="s">
        <v>39</v>
      </c>
      <c r="B33" s="87">
        <f>'2000 EIQ'!B32</f>
        <v>11</v>
      </c>
      <c r="C33" s="87">
        <f>'2000 EIQ'!C32</f>
        <v>9.6999999999999993</v>
      </c>
      <c r="D33" s="87">
        <f>'2000 EIQ'!D32</f>
        <v>13.2</v>
      </c>
      <c r="E33" s="87">
        <f>'2000 EIQ'!E32</f>
        <v>11.299999999999999</v>
      </c>
    </row>
    <row r="34" spans="1:5" ht="15" x14ac:dyDescent="0.25">
      <c r="A34" s="91" t="s">
        <v>59</v>
      </c>
      <c r="B34" s="88">
        <v>4.3999999999999997E-2</v>
      </c>
      <c r="C34" s="85">
        <v>4.1000000000000002E-2</v>
      </c>
      <c r="D34" s="85">
        <v>0.04</v>
      </c>
      <c r="E34" s="86">
        <v>4.2000000000000003E-2</v>
      </c>
    </row>
    <row r="35" spans="1:5" ht="15.6" x14ac:dyDescent="0.3">
      <c r="A35" s="95" t="s">
        <v>145</v>
      </c>
      <c r="B35" s="96" t="s">
        <v>43</v>
      </c>
      <c r="C35" s="97" t="s">
        <v>43</v>
      </c>
      <c r="D35" s="97" t="s">
        <v>43</v>
      </c>
      <c r="E35" s="98" t="s">
        <v>43</v>
      </c>
    </row>
    <row r="36" spans="1:5" ht="15" x14ac:dyDescent="0.25">
      <c r="A36" s="90" t="s">
        <v>80</v>
      </c>
      <c r="B36" s="87">
        <f>'2000 EIQ'!B35</f>
        <v>123.5</v>
      </c>
      <c r="C36" s="87">
        <f>'2000 EIQ'!C35</f>
        <v>124.7</v>
      </c>
      <c r="D36" s="87">
        <f>'2000 EIQ'!D35</f>
        <v>123</v>
      </c>
      <c r="E36" s="87">
        <f>'2000 EIQ'!E35</f>
        <v>123.73333333333333</v>
      </c>
    </row>
    <row r="37" spans="1:5" ht="15" x14ac:dyDescent="0.25">
      <c r="A37" s="90" t="s">
        <v>39</v>
      </c>
      <c r="B37" s="87">
        <f>'2000 EIQ'!B36</f>
        <v>11.2</v>
      </c>
      <c r="C37" s="87">
        <f>'2000 EIQ'!C36</f>
        <v>11.4</v>
      </c>
      <c r="D37" s="87">
        <f>'2000 EIQ'!D36</f>
        <v>12.3</v>
      </c>
      <c r="E37" s="87">
        <f>'2000 EIQ'!E36</f>
        <v>11.633333333333335</v>
      </c>
    </row>
    <row r="38" spans="1:5" ht="15" x14ac:dyDescent="0.25">
      <c r="A38" s="91" t="s">
        <v>59</v>
      </c>
      <c r="B38" s="88">
        <v>3.9E-2</v>
      </c>
      <c r="C38" s="85">
        <v>3.6999999999999998E-2</v>
      </c>
      <c r="D38" s="85">
        <v>3.5999999999999997E-2</v>
      </c>
      <c r="E38" s="86">
        <v>3.6999999999999998E-2</v>
      </c>
    </row>
    <row r="39" spans="1:5" ht="15.6" x14ac:dyDescent="0.3">
      <c r="A39" s="95" t="s">
        <v>146</v>
      </c>
      <c r="B39" s="96" t="s">
        <v>43</v>
      </c>
      <c r="C39" s="97" t="s">
        <v>43</v>
      </c>
      <c r="D39" s="97" t="s">
        <v>43</v>
      </c>
      <c r="E39" s="98" t="s">
        <v>43</v>
      </c>
    </row>
    <row r="40" spans="1:5" ht="15" x14ac:dyDescent="0.25">
      <c r="A40" s="90" t="s">
        <v>80</v>
      </c>
      <c r="B40" s="87">
        <f>'2000 EIQ'!B39</f>
        <v>65.599999999999994</v>
      </c>
      <c r="C40" s="87">
        <f>'2000 EIQ'!C39</f>
        <v>79.099999999999994</v>
      </c>
      <c r="D40" s="87">
        <f>'2000 EIQ'!D39</f>
        <v>84.4</v>
      </c>
      <c r="E40" s="87">
        <f>'2000 EIQ'!E39</f>
        <v>76.36666666666666</v>
      </c>
    </row>
    <row r="41" spans="1:5" ht="15" x14ac:dyDescent="0.25">
      <c r="A41" s="90" t="s">
        <v>39</v>
      </c>
      <c r="B41" s="87">
        <f>'2000 EIQ'!B40</f>
        <v>11.7</v>
      </c>
      <c r="C41" s="87">
        <f>'2000 EIQ'!C40</f>
        <v>12.1</v>
      </c>
      <c r="D41" s="87">
        <f>'2000 EIQ'!D40</f>
        <v>12.6</v>
      </c>
      <c r="E41" s="87">
        <f>'2000 EIQ'!E40</f>
        <v>12.133333333333333</v>
      </c>
    </row>
    <row r="42" spans="1:5" ht="15" x14ac:dyDescent="0.25">
      <c r="A42" s="91" t="s">
        <v>59</v>
      </c>
      <c r="B42" s="88">
        <v>4.1000000000000002E-2</v>
      </c>
      <c r="C42" s="85">
        <v>4.2000000000000003E-2</v>
      </c>
      <c r="D42" s="85">
        <v>3.7999999999999999E-2</v>
      </c>
      <c r="E42" s="86">
        <v>0.04</v>
      </c>
    </row>
    <row r="43" spans="1:5" x14ac:dyDescent="0.25">
      <c r="A43" s="100" t="s">
        <v>147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/>
  </sheetViews>
  <sheetFormatPr defaultRowHeight="13.2" x14ac:dyDescent="0.25"/>
  <cols>
    <col min="2" max="3" width="11.109375" customWidth="1"/>
    <col min="4" max="4" width="9.88671875" customWidth="1"/>
    <col min="5" max="5" width="11.109375" customWidth="1"/>
  </cols>
  <sheetData>
    <row r="1" spans="1:11" ht="22.8" x14ac:dyDescent="0.4">
      <c r="A1" s="73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1" ht="22.8" x14ac:dyDescent="0.4">
      <c r="A2" s="73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 ht="22.8" x14ac:dyDescent="0.4">
      <c r="A3" s="73" t="s">
        <v>2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</row>
    <row r="5" spans="1:11" ht="17.399999999999999" x14ac:dyDescent="0.3">
      <c r="A5" s="74" t="s">
        <v>150</v>
      </c>
    </row>
    <row r="7" spans="1:11" ht="17.399999999999999" x14ac:dyDescent="0.3">
      <c r="A7" s="125" t="s">
        <v>151</v>
      </c>
    </row>
    <row r="8" spans="1:11" ht="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ht="15" x14ac:dyDescent="0.25">
      <c r="A10" s="9" t="s">
        <v>152</v>
      </c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15" x14ac:dyDescent="0.25">
      <c r="A11" s="9" t="s">
        <v>153</v>
      </c>
      <c r="B11" s="9"/>
      <c r="C11" s="9">
        <v>3100</v>
      </c>
      <c r="D11" s="9" t="s">
        <v>154</v>
      </c>
      <c r="E11" s="9"/>
      <c r="F11" s="9"/>
      <c r="G11" s="9"/>
      <c r="H11" s="9"/>
      <c r="I11" s="9"/>
      <c r="J11" s="9"/>
      <c r="K11" s="9"/>
    </row>
    <row r="12" spans="1:11" ht="15" x14ac:dyDescent="0.25">
      <c r="A12" s="9" t="s">
        <v>155</v>
      </c>
      <c r="B12" s="9"/>
      <c r="C12" s="9">
        <v>4000</v>
      </c>
      <c r="D12" s="9" t="s">
        <v>156</v>
      </c>
      <c r="E12" s="9"/>
      <c r="F12" s="9"/>
      <c r="G12" s="9"/>
      <c r="H12" s="9"/>
      <c r="I12" s="9"/>
      <c r="J12" s="9"/>
      <c r="K12" s="9"/>
    </row>
    <row r="13" spans="1:11" ht="15" x14ac:dyDescent="0.25">
      <c r="A13" s="9" t="s">
        <v>157</v>
      </c>
      <c r="B13" s="9"/>
      <c r="C13" s="9">
        <v>451</v>
      </c>
      <c r="D13" s="9" t="s">
        <v>156</v>
      </c>
      <c r="E13" s="9"/>
      <c r="F13" s="9"/>
      <c r="G13" s="9"/>
      <c r="H13" s="9"/>
      <c r="I13" s="9"/>
      <c r="J13" s="9"/>
      <c r="K13" s="9"/>
    </row>
    <row r="14" spans="1:11" ht="15" x14ac:dyDescent="0.25">
      <c r="A14" s="9" t="s">
        <v>72</v>
      </c>
      <c r="B14" s="9"/>
      <c r="C14" s="9">
        <v>7500</v>
      </c>
      <c r="D14" s="9" t="s">
        <v>73</v>
      </c>
      <c r="E14" s="9"/>
      <c r="F14" s="9"/>
      <c r="G14" s="9"/>
      <c r="H14" s="9"/>
      <c r="I14" s="9"/>
      <c r="J14" s="9"/>
      <c r="K14" s="9"/>
    </row>
    <row r="15" spans="1:11" ht="15" x14ac:dyDescent="0.25">
      <c r="A15" s="9" t="s">
        <v>158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15" x14ac:dyDescent="0.25">
      <c r="A16" s="11" t="s">
        <v>49</v>
      </c>
      <c r="B16" s="11">
        <v>1.9400000000000001E-2</v>
      </c>
      <c r="C16" s="11" t="s">
        <v>50</v>
      </c>
      <c r="D16" s="9"/>
      <c r="E16" s="9"/>
      <c r="F16" s="9"/>
      <c r="G16" s="9"/>
      <c r="H16" s="9"/>
      <c r="I16" s="9"/>
      <c r="J16" s="9"/>
      <c r="K16" s="9"/>
    </row>
    <row r="17" spans="1:256" ht="15" x14ac:dyDescent="0.25">
      <c r="A17" s="11" t="s">
        <v>51</v>
      </c>
      <c r="B17" s="111">
        <v>5.8799999999999998E-4</v>
      </c>
      <c r="C17" s="11" t="s">
        <v>50</v>
      </c>
      <c r="D17" s="9"/>
      <c r="E17" s="9"/>
      <c r="F17" s="9"/>
      <c r="G17" s="9"/>
      <c r="H17" s="9"/>
      <c r="I17" s="9"/>
      <c r="J17" s="9"/>
      <c r="K17" s="9"/>
    </row>
    <row r="18" spans="1:256" ht="15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256" ht="15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256" ht="15" x14ac:dyDescent="0.25">
      <c r="A20" s="126"/>
      <c r="B20" s="113" t="s">
        <v>159</v>
      </c>
      <c r="C20" s="114"/>
      <c r="D20" s="114"/>
      <c r="E20" s="114"/>
      <c r="F20" s="114"/>
      <c r="G20" s="9"/>
      <c r="H20" s="9"/>
      <c r="I20" s="9"/>
      <c r="J20" s="9"/>
      <c r="K20" s="9"/>
    </row>
    <row r="21" spans="1:256" ht="15" x14ac:dyDescent="0.25">
      <c r="A21" s="127" t="s">
        <v>90</v>
      </c>
      <c r="B21" s="131" t="s">
        <v>80</v>
      </c>
      <c r="C21" s="104" t="s">
        <v>39</v>
      </c>
      <c r="D21" s="104" t="s">
        <v>59</v>
      </c>
      <c r="E21" s="104" t="s">
        <v>49</v>
      </c>
      <c r="F21" s="136" t="s">
        <v>51</v>
      </c>
      <c r="G21" s="9"/>
      <c r="H21" s="9"/>
      <c r="I21" s="9"/>
      <c r="J21" s="9"/>
      <c r="K21" s="9"/>
    </row>
    <row r="22" spans="1:256" ht="15" x14ac:dyDescent="0.25">
      <c r="A22" s="128">
        <v>201</v>
      </c>
      <c r="B22" s="10">
        <f>'2000 EIQ'!E31*$C$11/2000</f>
        <v>179.28333333333333</v>
      </c>
      <c r="C22" s="10">
        <f>'2000 EIQ'!E32*$C$11/2000</f>
        <v>17.515000000000001</v>
      </c>
      <c r="D22" s="10">
        <f>'2000 EIQ'!E33*$C$11/2000</f>
        <v>6.5100000000000005E-2</v>
      </c>
      <c r="E22" s="134">
        <f>$C$14*$C$12*$C$11/1000000*B16/2000</f>
        <v>0.90210000000000001</v>
      </c>
      <c r="F22" s="137">
        <f>$C$14*$C$12*$C$11/1000000*B17/2000</f>
        <v>2.7341999999999998E-2</v>
      </c>
      <c r="G22" s="9"/>
      <c r="H22" s="9"/>
      <c r="I22" s="9"/>
      <c r="J22" s="9"/>
      <c r="K22" s="9"/>
    </row>
    <row r="23" spans="1:256" ht="15" x14ac:dyDescent="0.25">
      <c r="A23" s="128">
        <v>202</v>
      </c>
      <c r="B23" s="10">
        <f>'2000 EIQ'!E35*$C$11/2000</f>
        <v>191.78666666666666</v>
      </c>
      <c r="C23" s="10">
        <f>'2000 EIQ'!E36*$C$11/2000</f>
        <v>18.031666666666666</v>
      </c>
      <c r="D23" s="10">
        <f>'2000 EIQ'!E37*$C$11/2000</f>
        <v>5.7349999999999991E-2</v>
      </c>
      <c r="E23" s="134">
        <f>+E22</f>
        <v>0.90210000000000001</v>
      </c>
      <c r="F23" s="137">
        <f>+F22</f>
        <v>2.7341999999999998E-2</v>
      </c>
      <c r="G23" s="9"/>
      <c r="H23" s="9"/>
      <c r="I23" s="9"/>
      <c r="J23" s="9"/>
      <c r="K23" s="9"/>
    </row>
    <row r="24" spans="1:256" ht="15" x14ac:dyDescent="0.25">
      <c r="A24" s="128">
        <v>202</v>
      </c>
      <c r="B24" s="10">
        <f>'2000 EIQ'!E39*$C$11/2000</f>
        <v>118.36833333333333</v>
      </c>
      <c r="C24" s="10">
        <f>'2000 EIQ'!E40*$C$11/2000</f>
        <v>18.806666666666665</v>
      </c>
      <c r="D24" s="10">
        <f>'2000 EIQ'!E41*$C$11/2000</f>
        <v>6.2E-2</v>
      </c>
      <c r="E24" s="134">
        <f>+E23</f>
        <v>0.90210000000000001</v>
      </c>
      <c r="F24" s="137">
        <f>+F23</f>
        <v>2.7341999999999998E-2</v>
      </c>
      <c r="G24" s="9"/>
      <c r="H24" s="9"/>
      <c r="I24" s="9"/>
      <c r="J24" s="9"/>
      <c r="K24" s="9"/>
    </row>
    <row r="25" spans="1:256" ht="15" x14ac:dyDescent="0.25">
      <c r="A25" s="129" t="s">
        <v>160</v>
      </c>
      <c r="B25" s="10">
        <f>'2000 EIQ'!F15*$C$11/2000</f>
        <v>6.5255000000000001</v>
      </c>
      <c r="C25" s="10">
        <f>'2000 EIQ'!G15*$C$11/2000</f>
        <v>1.333</v>
      </c>
      <c r="D25" s="10">
        <f>'2000 EIQ'!H15*$C$11/2000</f>
        <v>4.5880000000000004E-2</v>
      </c>
      <c r="E25" s="134">
        <f>$C$14*$C$13*$C$11/1000000*B16/2000</f>
        <v>0.101711775</v>
      </c>
      <c r="F25" s="137">
        <f>$C$14*$C$13*$C$11/1000000*B17/2000</f>
        <v>3.0828104999999998E-3</v>
      </c>
      <c r="G25" s="9"/>
      <c r="H25" s="9"/>
      <c r="I25" s="9"/>
      <c r="J25" s="9"/>
      <c r="K25" s="9"/>
    </row>
    <row r="26" spans="1:256" ht="15" x14ac:dyDescent="0.25">
      <c r="A26" s="105" t="s">
        <v>99</v>
      </c>
      <c r="B26" s="133">
        <f>SUM(B22:B25)</f>
        <v>495.96383333333335</v>
      </c>
      <c r="C26" s="117">
        <f>SUM(C22:C25)</f>
        <v>55.68633333333333</v>
      </c>
      <c r="D26" s="117">
        <f>SUM(D22:D25)</f>
        <v>0.23033000000000001</v>
      </c>
      <c r="E26" s="117">
        <f>SUM(E22:E25)</f>
        <v>2.8080117750000002</v>
      </c>
      <c r="F26" s="138">
        <f>SUM(F22:F25)</f>
        <v>8.5108810499999993E-2</v>
      </c>
      <c r="G26" s="9"/>
      <c r="H26" s="9"/>
      <c r="I26" s="9"/>
      <c r="J26" s="9"/>
      <c r="K26" s="9"/>
    </row>
    <row r="27" spans="1:256" ht="15" x14ac:dyDescent="0.25">
      <c r="A27" s="9" t="s">
        <v>86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256" ht="15" x14ac:dyDescent="0.25">
      <c r="A28" s="9" t="s">
        <v>161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256" ht="1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256" ht="15.6" x14ac:dyDescent="0.3">
      <c r="A30" s="1" t="s">
        <v>162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256" ht="15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256" ht="15" x14ac:dyDescent="0.25">
      <c r="A32" s="9" t="s">
        <v>163</v>
      </c>
      <c r="B32" s="9"/>
      <c r="C32" s="9"/>
      <c r="D32" s="9"/>
      <c r="E32" s="9"/>
      <c r="F32" s="9"/>
      <c r="G32" s="9"/>
      <c r="H32" s="9"/>
      <c r="I32" s="9"/>
      <c r="J32" s="9">
        <f>Netting!B31+40</f>
        <v>1243.0395583333334</v>
      </c>
      <c r="K32" s="9" t="s">
        <v>164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x14ac:dyDescent="0.25">
      <c r="A33" s="9" t="s">
        <v>165</v>
      </c>
      <c r="B33" s="9"/>
      <c r="C33" s="9"/>
      <c r="D33" s="9"/>
      <c r="E33" s="9"/>
      <c r="F33" s="9">
        <f>J32/2</f>
        <v>621.51977916666669</v>
      </c>
      <c r="G33" s="9" t="s">
        <v>164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x14ac:dyDescent="0.25">
      <c r="A34" s="9" t="s">
        <v>166</v>
      </c>
      <c r="B34" s="9"/>
      <c r="C34" s="9"/>
      <c r="D34" s="9"/>
      <c r="E34" s="9"/>
      <c r="F34" s="9">
        <f>Netting!B36/2</f>
        <v>118.24905000000001</v>
      </c>
      <c r="G34" s="9" t="s">
        <v>164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x14ac:dyDescent="0.25">
      <c r="A35" s="9" t="s">
        <v>167</v>
      </c>
      <c r="B35" s="9"/>
      <c r="C35" s="9"/>
      <c r="D35" s="9"/>
      <c r="E35" s="9"/>
      <c r="F35" s="9"/>
      <c r="G35" s="9">
        <f>F33-F34</f>
        <v>503.27072916666668</v>
      </c>
      <c r="H35" s="9" t="s">
        <v>164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x14ac:dyDescent="0.25">
      <c r="A36" s="9" t="s">
        <v>168</v>
      </c>
      <c r="B36" s="9"/>
      <c r="C36" s="9"/>
      <c r="D36" s="9">
        <f>C11</f>
        <v>3100</v>
      </c>
      <c r="E36" s="9" t="s">
        <v>154</v>
      </c>
      <c r="F36" s="9">
        <f>B26</f>
        <v>495.96383333333335</v>
      </c>
      <c r="G36" s="9" t="s">
        <v>169</v>
      </c>
      <c r="H36" s="9">
        <f>G35</f>
        <v>503.27072916666668</v>
      </c>
      <c r="I36" s="9" t="s">
        <v>164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ht="1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opLeftCell="A21" workbookViewId="0"/>
  </sheetViews>
  <sheetFormatPr defaultRowHeight="13.2" x14ac:dyDescent="0.25"/>
  <sheetData>
    <row r="1" spans="1:13" ht="22.8" x14ac:dyDescent="0.4">
      <c r="A1" s="139" t="s">
        <v>0</v>
      </c>
    </row>
    <row r="2" spans="1:13" ht="22.8" x14ac:dyDescent="0.4">
      <c r="A2" s="139" t="s">
        <v>1</v>
      </c>
    </row>
    <row r="3" spans="1:13" ht="22.8" x14ac:dyDescent="0.4">
      <c r="A3" s="139" t="s">
        <v>2</v>
      </c>
    </row>
    <row r="4" spans="1:13" ht="15" x14ac:dyDescent="0.25">
      <c r="A4" s="9"/>
      <c r="B4" s="9"/>
    </row>
    <row r="5" spans="1:13" ht="17.399999999999999" x14ac:dyDescent="0.3">
      <c r="A5" s="74" t="s">
        <v>170</v>
      </c>
    </row>
    <row r="6" spans="1:13" ht="15" x14ac:dyDescent="0.25">
      <c r="A6" s="9"/>
      <c r="B6" s="9"/>
    </row>
    <row r="7" spans="1:13" ht="15" x14ac:dyDescent="0.25">
      <c r="A7" s="9"/>
      <c r="B7" s="9"/>
    </row>
    <row r="8" spans="1:13" ht="15.6" x14ac:dyDescent="0.3">
      <c r="A8" s="140" t="s">
        <v>171</v>
      </c>
    </row>
    <row r="9" spans="1:13" ht="15" x14ac:dyDescent="0.25">
      <c r="A9" s="9"/>
      <c r="B9" s="9"/>
    </row>
    <row r="10" spans="1:13" ht="15.6" x14ac:dyDescent="0.3">
      <c r="A10" s="1" t="s">
        <v>172</v>
      </c>
      <c r="B10" s="9"/>
    </row>
    <row r="11" spans="1:13" ht="15" x14ac:dyDescent="0.25">
      <c r="A11" s="141"/>
      <c r="B11" s="126"/>
      <c r="C11" s="145"/>
      <c r="D11" s="113" t="s">
        <v>80</v>
      </c>
      <c r="E11" s="114"/>
      <c r="F11" s="118" t="s">
        <v>39</v>
      </c>
      <c r="G11" s="114"/>
      <c r="H11" s="118" t="s">
        <v>59</v>
      </c>
      <c r="I11" s="114"/>
      <c r="J11" s="118" t="s">
        <v>49</v>
      </c>
      <c r="K11" s="114"/>
      <c r="L11" s="118" t="s">
        <v>51</v>
      </c>
      <c r="M11" s="114"/>
    </row>
    <row r="12" spans="1:13" ht="15" x14ac:dyDescent="0.25">
      <c r="A12" s="142" t="s">
        <v>90</v>
      </c>
      <c r="B12" s="144" t="s">
        <v>173</v>
      </c>
      <c r="C12" s="144" t="s">
        <v>174</v>
      </c>
      <c r="D12" s="131" t="s">
        <v>81</v>
      </c>
      <c r="E12" s="104" t="s">
        <v>164</v>
      </c>
      <c r="F12" s="104" t="s">
        <v>81</v>
      </c>
      <c r="G12" s="104" t="s">
        <v>164</v>
      </c>
      <c r="H12" s="104" t="s">
        <v>81</v>
      </c>
      <c r="I12" s="104" t="s">
        <v>164</v>
      </c>
      <c r="J12" s="104" t="s">
        <v>81</v>
      </c>
      <c r="K12" s="104" t="s">
        <v>164</v>
      </c>
      <c r="L12" s="104" t="s">
        <v>81</v>
      </c>
      <c r="M12" s="104" t="s">
        <v>164</v>
      </c>
    </row>
    <row r="13" spans="1:13" ht="15" x14ac:dyDescent="0.25">
      <c r="A13" s="52">
        <v>201</v>
      </c>
      <c r="B13" s="128" t="s">
        <v>175</v>
      </c>
      <c r="C13" s="128" t="s">
        <v>176</v>
      </c>
      <c r="D13" s="10">
        <v>0</v>
      </c>
      <c r="E13" s="134">
        <v>0</v>
      </c>
      <c r="F13" s="134">
        <v>0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  <c r="M13" s="134">
        <v>0</v>
      </c>
    </row>
    <row r="14" spans="1:13" ht="15" x14ac:dyDescent="0.25">
      <c r="A14" s="52">
        <v>202</v>
      </c>
      <c r="B14" s="128" t="s">
        <v>177</v>
      </c>
      <c r="C14" s="128" t="s">
        <v>178</v>
      </c>
      <c r="D14" s="10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0</v>
      </c>
    </row>
    <row r="15" spans="1:13" ht="15" x14ac:dyDescent="0.25">
      <c r="A15" s="52">
        <v>203</v>
      </c>
      <c r="B15" s="128" t="s">
        <v>179</v>
      </c>
      <c r="C15" s="128" t="s">
        <v>180</v>
      </c>
      <c r="D15" s="10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</row>
    <row r="16" spans="1:13" ht="15" x14ac:dyDescent="0.25">
      <c r="A16" s="52">
        <v>221</v>
      </c>
      <c r="B16" s="128" t="s">
        <v>181</v>
      </c>
      <c r="C16" s="128" t="s">
        <v>182</v>
      </c>
      <c r="D16" s="10">
        <v>0</v>
      </c>
      <c r="E16" s="134">
        <v>0</v>
      </c>
      <c r="F16" s="134">
        <v>0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</row>
    <row r="17" spans="1:13" ht="15" x14ac:dyDescent="0.25">
      <c r="A17" s="52">
        <v>222</v>
      </c>
      <c r="B17" s="128" t="s">
        <v>183</v>
      </c>
      <c r="C17" s="128" t="s">
        <v>184</v>
      </c>
      <c r="D17" s="10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</row>
    <row r="18" spans="1:13" ht="15" x14ac:dyDescent="0.25">
      <c r="A18" s="52">
        <v>204</v>
      </c>
      <c r="B18" s="128" t="s">
        <v>185</v>
      </c>
      <c r="C18" s="128" t="s">
        <v>186</v>
      </c>
      <c r="D18" s="10">
        <f>+Turbine!B62</f>
        <v>29.094999999999999</v>
      </c>
      <c r="E18" s="134">
        <f>+Turbine!C62</f>
        <v>127.4361</v>
      </c>
      <c r="F18" s="134">
        <f>+Turbine!B63</f>
        <v>17.709999999999997</v>
      </c>
      <c r="G18" s="134">
        <f>+Turbine!C63</f>
        <v>77.569799999999987</v>
      </c>
      <c r="H18" s="134">
        <f>+Turbine!B64</f>
        <v>0.621</v>
      </c>
      <c r="I18" s="134">
        <f>+Turbine!C64</f>
        <v>2.7199800000000001</v>
      </c>
      <c r="J18" s="134">
        <f>+Turbine!B65</f>
        <v>2.6734922642999996</v>
      </c>
      <c r="K18" s="134">
        <f>+Turbine!C65</f>
        <v>11.709896117633999</v>
      </c>
      <c r="L18" s="134">
        <f>+Turbine!B66</f>
        <v>1.3772535906999999</v>
      </c>
      <c r="M18" s="134">
        <f>+Turbine!C66</f>
        <v>6.0323707272659997</v>
      </c>
    </row>
    <row r="19" spans="1:13" ht="15" x14ac:dyDescent="0.25">
      <c r="A19" s="143" t="s">
        <v>187</v>
      </c>
      <c r="B19" s="127" t="s">
        <v>188</v>
      </c>
      <c r="C19" s="127" t="s">
        <v>189</v>
      </c>
      <c r="D19" s="132">
        <f>+'Gen Engines'!B34</f>
        <v>24.900000000000002</v>
      </c>
      <c r="E19" s="135">
        <f>+'Gen Engines'!C34</f>
        <v>109.06200000000001</v>
      </c>
      <c r="F19" s="135">
        <f>+'Gen Engines'!B35</f>
        <v>1.76</v>
      </c>
      <c r="G19" s="135">
        <f>+'Gen Engines'!C35</f>
        <v>7.7088000000000001</v>
      </c>
      <c r="H19" s="135">
        <f>+'Gen Engines'!B36</f>
        <v>0.21</v>
      </c>
      <c r="I19" s="135">
        <f>+'Gen Engines'!C36</f>
        <v>0.91979999999999995</v>
      </c>
      <c r="J19" s="135">
        <f>+'Gen Engines'!B37</f>
        <v>8.3966644800000004E-2</v>
      </c>
      <c r="K19" s="135">
        <f>+'Gen Engines'!C37</f>
        <v>0.36777390422400003</v>
      </c>
      <c r="L19" s="135">
        <f>+'Gen Engines'!B38</f>
        <v>1.0219910399999999E-3</v>
      </c>
      <c r="M19" s="135">
        <f>+'Gen Engines'!C38</f>
        <v>4.4763207551999995E-3</v>
      </c>
    </row>
    <row r="20" spans="1:13" ht="15" x14ac:dyDescent="0.25">
      <c r="A20" s="106"/>
      <c r="B20" s="105"/>
      <c r="C20" s="105" t="s">
        <v>99</v>
      </c>
      <c r="D20" s="133">
        <f t="shared" ref="D20:M20" si="0">SUM(D13:D19)</f>
        <v>53.995000000000005</v>
      </c>
      <c r="E20" s="133">
        <f t="shared" si="0"/>
        <v>236.49810000000002</v>
      </c>
      <c r="F20" s="133">
        <f t="shared" si="0"/>
        <v>19.47</v>
      </c>
      <c r="G20" s="133">
        <f t="shared" si="0"/>
        <v>85.278599999999983</v>
      </c>
      <c r="H20" s="133">
        <f t="shared" si="0"/>
        <v>0.83099999999999996</v>
      </c>
      <c r="I20" s="133">
        <f t="shared" si="0"/>
        <v>3.63978</v>
      </c>
      <c r="J20" s="133">
        <f t="shared" si="0"/>
        <v>2.7574589090999995</v>
      </c>
      <c r="K20" s="133">
        <f t="shared" si="0"/>
        <v>12.077670021857999</v>
      </c>
      <c r="L20" s="133">
        <f t="shared" si="0"/>
        <v>1.3782755817399999</v>
      </c>
      <c r="M20" s="138">
        <f t="shared" si="0"/>
        <v>6.0368470480211993</v>
      </c>
    </row>
    <row r="21" spans="1:13" ht="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6" x14ac:dyDescent="0.3">
      <c r="A23" s="1" t="s">
        <v>190</v>
      </c>
      <c r="B23" s="9"/>
    </row>
    <row r="24" spans="1:13" ht="15" x14ac:dyDescent="0.25">
      <c r="A24" s="141"/>
      <c r="B24" s="126"/>
      <c r="C24" s="145"/>
      <c r="D24" s="113" t="s">
        <v>80</v>
      </c>
      <c r="E24" s="114"/>
      <c r="F24" s="118" t="s">
        <v>39</v>
      </c>
      <c r="G24" s="114"/>
      <c r="H24" s="118" t="s">
        <v>59</v>
      </c>
      <c r="I24" s="114"/>
      <c r="J24" s="118" t="s">
        <v>49</v>
      </c>
      <c r="K24" s="114"/>
      <c r="L24" s="118" t="s">
        <v>51</v>
      </c>
      <c r="M24" s="114"/>
    </row>
    <row r="25" spans="1:13" ht="15" x14ac:dyDescent="0.25">
      <c r="A25" s="142" t="s">
        <v>90</v>
      </c>
      <c r="B25" s="144" t="s">
        <v>173</v>
      </c>
      <c r="C25" s="144" t="s">
        <v>174</v>
      </c>
      <c r="D25" s="131" t="s">
        <v>81</v>
      </c>
      <c r="E25" s="104" t="s">
        <v>164</v>
      </c>
      <c r="F25" s="104" t="s">
        <v>81</v>
      </c>
      <c r="G25" s="104" t="s">
        <v>164</v>
      </c>
      <c r="H25" s="104" t="s">
        <v>81</v>
      </c>
      <c r="I25" s="104" t="s">
        <v>164</v>
      </c>
      <c r="J25" s="104" t="s">
        <v>81</v>
      </c>
      <c r="K25" s="104" t="s">
        <v>164</v>
      </c>
      <c r="L25" s="104" t="s">
        <v>81</v>
      </c>
      <c r="M25" s="104" t="s">
        <v>164</v>
      </c>
    </row>
    <row r="26" spans="1:13" ht="15" x14ac:dyDescent="0.25">
      <c r="A26" s="52">
        <v>201</v>
      </c>
      <c r="B26" s="128" t="s">
        <v>175</v>
      </c>
      <c r="C26" s="128" t="s">
        <v>176</v>
      </c>
      <c r="D26" s="10"/>
      <c r="E26" s="134">
        <f>Alternative!B22</f>
        <v>179.28333333333333</v>
      </c>
      <c r="F26" s="134"/>
      <c r="G26" s="134">
        <f>Alternative!C22</f>
        <v>17.515000000000001</v>
      </c>
      <c r="H26" s="134"/>
      <c r="I26" s="134">
        <f>Alternative!D22</f>
        <v>6.5100000000000005E-2</v>
      </c>
      <c r="J26" s="134"/>
      <c r="K26" s="134">
        <f>Alternative!E22</f>
        <v>0.90210000000000001</v>
      </c>
      <c r="L26" s="134"/>
      <c r="M26" s="134">
        <f>Alternative!F22</f>
        <v>2.7341999999999998E-2</v>
      </c>
    </row>
    <row r="27" spans="1:13" ht="15" x14ac:dyDescent="0.25">
      <c r="A27" s="52">
        <v>202</v>
      </c>
      <c r="B27" s="128" t="s">
        <v>177</v>
      </c>
      <c r="C27" s="128" t="s">
        <v>178</v>
      </c>
      <c r="D27" s="10"/>
      <c r="E27" s="134">
        <f>Alternative!B23</f>
        <v>191.78666666666666</v>
      </c>
      <c r="F27" s="134"/>
      <c r="G27" s="134">
        <f>Alternative!C23</f>
        <v>18.031666666666666</v>
      </c>
      <c r="H27" s="134"/>
      <c r="I27" s="134">
        <f>Alternative!D23</f>
        <v>5.7349999999999991E-2</v>
      </c>
      <c r="J27" s="134"/>
      <c r="K27" s="134">
        <f>Alternative!E23</f>
        <v>0.90210000000000001</v>
      </c>
      <c r="L27" s="134"/>
      <c r="M27" s="134">
        <f>Alternative!F23</f>
        <v>2.7341999999999998E-2</v>
      </c>
    </row>
    <row r="28" spans="1:13" ht="15" x14ac:dyDescent="0.25">
      <c r="A28" s="52">
        <v>203</v>
      </c>
      <c r="B28" s="128" t="s">
        <v>179</v>
      </c>
      <c r="C28" s="128" t="s">
        <v>180</v>
      </c>
      <c r="D28" s="10"/>
      <c r="E28" s="134">
        <f>Alternative!B24</f>
        <v>118.36833333333333</v>
      </c>
      <c r="F28" s="134"/>
      <c r="G28" s="134">
        <f>Alternative!C24</f>
        <v>18.806666666666665</v>
      </c>
      <c r="H28" s="134"/>
      <c r="I28" s="134">
        <f>Alternative!D24</f>
        <v>6.2E-2</v>
      </c>
      <c r="J28" s="134"/>
      <c r="K28" s="134">
        <f>Alternative!E24</f>
        <v>0.90210000000000001</v>
      </c>
      <c r="L28" s="134"/>
      <c r="M28" s="134">
        <f>Alternative!F24</f>
        <v>2.7341999999999998E-2</v>
      </c>
    </row>
    <row r="29" spans="1:13" ht="15" x14ac:dyDescent="0.25">
      <c r="A29" s="52" t="s">
        <v>160</v>
      </c>
      <c r="B29" s="128" t="s">
        <v>191</v>
      </c>
      <c r="C29" s="128" t="s">
        <v>192</v>
      </c>
      <c r="D29" s="10"/>
      <c r="E29" s="134">
        <f>Alternative!B25</f>
        <v>6.5255000000000001</v>
      </c>
      <c r="F29" s="134"/>
      <c r="G29" s="134">
        <f>Alternative!C25</f>
        <v>1.333</v>
      </c>
      <c r="H29" s="134"/>
      <c r="I29" s="134">
        <f>Alternative!D25</f>
        <v>4.5880000000000004E-2</v>
      </c>
      <c r="J29" s="134"/>
      <c r="K29" s="134">
        <f>Alternative!E25</f>
        <v>0.101711775</v>
      </c>
      <c r="L29" s="134"/>
      <c r="M29" s="134">
        <f>Alternative!F25</f>
        <v>3.0828104999999998E-3</v>
      </c>
    </row>
    <row r="30" spans="1:13" ht="15" x14ac:dyDescent="0.25">
      <c r="A30" s="52">
        <v>204</v>
      </c>
      <c r="B30" s="128" t="s">
        <v>185</v>
      </c>
      <c r="C30" s="128" t="s">
        <v>186</v>
      </c>
      <c r="D30" s="10"/>
      <c r="E30" s="134">
        <v>0</v>
      </c>
      <c r="F30" s="134"/>
      <c r="G30" s="134">
        <v>0</v>
      </c>
      <c r="H30" s="134"/>
      <c r="I30" s="134">
        <v>0</v>
      </c>
      <c r="J30" s="134"/>
      <c r="K30" s="134">
        <v>0</v>
      </c>
      <c r="L30" s="134"/>
      <c r="M30" s="134">
        <v>0</v>
      </c>
    </row>
    <row r="31" spans="1:13" ht="15" x14ac:dyDescent="0.25">
      <c r="A31" s="143" t="s">
        <v>187</v>
      </c>
      <c r="B31" s="127" t="s">
        <v>193</v>
      </c>
      <c r="C31" s="127" t="s">
        <v>189</v>
      </c>
      <c r="D31" s="132"/>
      <c r="E31" s="135">
        <f>+'Gen Engines'!C34*0.5</f>
        <v>54.531000000000006</v>
      </c>
      <c r="F31" s="135"/>
      <c r="G31" s="135">
        <f>+'Gen Engines'!C35*0.5</f>
        <v>3.8544</v>
      </c>
      <c r="H31" s="135"/>
      <c r="I31" s="135">
        <f>+'Gen Engines'!C36*0.5</f>
        <v>0.45989999999999998</v>
      </c>
      <c r="J31" s="135"/>
      <c r="K31" s="135">
        <f>+'Gen Engines'!C37*0.5</f>
        <v>0.18388695211200001</v>
      </c>
      <c r="L31" s="135"/>
      <c r="M31" s="135">
        <f>+'Gen Engines'!C38*0.5</f>
        <v>2.2381603775999998E-3</v>
      </c>
    </row>
    <row r="32" spans="1:13" ht="15" x14ac:dyDescent="0.25">
      <c r="A32" s="106"/>
      <c r="B32" s="105"/>
      <c r="C32" s="105" t="s">
        <v>99</v>
      </c>
      <c r="D32" s="133">
        <f t="shared" ref="D32:M32" si="1">SUM(D26:D31)</f>
        <v>0</v>
      </c>
      <c r="E32" s="133">
        <f t="shared" si="1"/>
        <v>550.49483333333342</v>
      </c>
      <c r="F32" s="133">
        <f t="shared" si="1"/>
        <v>0</v>
      </c>
      <c r="G32" s="133">
        <f t="shared" si="1"/>
        <v>59.540733333333328</v>
      </c>
      <c r="H32" s="133">
        <f t="shared" si="1"/>
        <v>0</v>
      </c>
      <c r="I32" s="133">
        <f t="shared" si="1"/>
        <v>0.69023000000000001</v>
      </c>
      <c r="J32" s="133">
        <f t="shared" si="1"/>
        <v>0</v>
      </c>
      <c r="K32" s="133">
        <f t="shared" si="1"/>
        <v>2.9918987271120003</v>
      </c>
      <c r="L32" s="133">
        <f t="shared" si="1"/>
        <v>0</v>
      </c>
      <c r="M32" s="138">
        <f t="shared" si="1"/>
        <v>8.7346970877599989E-2</v>
      </c>
    </row>
    <row r="33" spans="1:1" x14ac:dyDescent="0.25">
      <c r="A33" s="100" t="s">
        <v>102</v>
      </c>
    </row>
    <row r="34" spans="1:1" x14ac:dyDescent="0.25">
      <c r="A34" s="100" t="s">
        <v>194</v>
      </c>
    </row>
    <row r="35" spans="1:1" x14ac:dyDescent="0.25">
      <c r="A35" s="100" t="s">
        <v>195</v>
      </c>
    </row>
    <row r="36" spans="1:1" x14ac:dyDescent="0.25">
      <c r="A36" s="100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workbookViewId="0"/>
  </sheetViews>
  <sheetFormatPr defaultRowHeight="13.2" x14ac:dyDescent="0.25"/>
  <sheetData>
    <row r="1" spans="1:11" ht="22.8" x14ac:dyDescent="0.4">
      <c r="A1" s="73" t="s">
        <v>0</v>
      </c>
      <c r="B1" s="73"/>
      <c r="C1" s="73"/>
      <c r="D1" s="73"/>
      <c r="E1" s="73"/>
      <c r="F1" s="73"/>
      <c r="G1" s="73"/>
      <c r="H1" s="73"/>
    </row>
    <row r="2" spans="1:11" ht="22.8" x14ac:dyDescent="0.4">
      <c r="A2" s="73" t="s">
        <v>1</v>
      </c>
      <c r="B2" s="73"/>
      <c r="C2" s="73"/>
      <c r="D2" s="73"/>
      <c r="E2" s="73"/>
      <c r="F2" s="73"/>
      <c r="G2" s="73"/>
      <c r="H2" s="73"/>
    </row>
    <row r="3" spans="1:11" ht="22.8" x14ac:dyDescent="0.4">
      <c r="A3" s="73" t="s">
        <v>2</v>
      </c>
      <c r="B3" s="73"/>
      <c r="C3" s="73"/>
      <c r="D3" s="73"/>
      <c r="E3" s="73"/>
      <c r="F3" s="73"/>
      <c r="G3" s="73"/>
      <c r="H3" s="73"/>
    </row>
    <row r="5" spans="1:11" ht="17.399999999999999" x14ac:dyDescent="0.3">
      <c r="A5" s="74" t="s">
        <v>196</v>
      </c>
    </row>
    <row r="8" spans="1:11" x14ac:dyDescent="0.25">
      <c r="A8" s="146" t="s">
        <v>197</v>
      </c>
    </row>
    <row r="9" spans="1:11" x14ac:dyDescent="0.25">
      <c r="A9" s="146" t="s">
        <v>198</v>
      </c>
    </row>
    <row r="11" spans="1:11" ht="15.6" x14ac:dyDescent="0.3">
      <c r="A11" s="1" t="s">
        <v>199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5" x14ac:dyDescent="0.25">
      <c r="A12" s="9" t="s">
        <v>200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" x14ac:dyDescent="0.25">
      <c r="A13" s="10">
        <f>+Turbine!B62</f>
        <v>29.094999999999999</v>
      </c>
      <c r="B13" s="147" t="s">
        <v>201</v>
      </c>
      <c r="C13" s="9" t="s">
        <v>202</v>
      </c>
      <c r="D13" s="9"/>
      <c r="E13" s="9"/>
      <c r="F13" s="9"/>
      <c r="G13" s="9"/>
      <c r="H13" s="9"/>
      <c r="I13" s="9"/>
      <c r="J13" s="9"/>
      <c r="K13" s="9"/>
    </row>
    <row r="14" spans="1:11" ht="15" x14ac:dyDescent="0.25">
      <c r="A14" s="9" t="s">
        <v>203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5" x14ac:dyDescent="0.25">
      <c r="A15" s="10">
        <f>+Turbine!C62</f>
        <v>127.4361</v>
      </c>
      <c r="B15" s="147" t="s">
        <v>204</v>
      </c>
      <c r="C15" s="9" t="s">
        <v>205</v>
      </c>
      <c r="D15" s="9"/>
      <c r="E15" s="9"/>
      <c r="F15" s="9"/>
      <c r="G15" s="9"/>
      <c r="H15" s="9"/>
      <c r="I15" s="9"/>
      <c r="J15" s="9"/>
      <c r="K15" s="9"/>
    </row>
    <row r="16" spans="1:11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5.6" x14ac:dyDescent="0.3">
      <c r="A17" s="1" t="s">
        <v>206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5" x14ac:dyDescent="0.25">
      <c r="A18" s="9" t="s">
        <v>200</v>
      </c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5" x14ac:dyDescent="0.25">
      <c r="A19" s="10">
        <f>+Turbine!B63</f>
        <v>17.709999999999997</v>
      </c>
      <c r="B19" s="147" t="s">
        <v>201</v>
      </c>
      <c r="C19" s="9" t="s">
        <v>202</v>
      </c>
      <c r="D19" s="9"/>
      <c r="E19" s="9"/>
      <c r="F19" s="9"/>
      <c r="G19" s="9"/>
      <c r="H19" s="9"/>
      <c r="I19" s="9"/>
      <c r="J19" s="9"/>
      <c r="K19" s="9"/>
    </row>
    <row r="20" spans="1:11" ht="15" x14ac:dyDescent="0.25">
      <c r="A20" s="9" t="s">
        <v>203</v>
      </c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5" x14ac:dyDescent="0.25">
      <c r="A21" s="10">
        <f>+Turbine!C63</f>
        <v>77.569799999999987</v>
      </c>
      <c r="B21" s="147" t="s">
        <v>204</v>
      </c>
      <c r="C21" s="9" t="s">
        <v>205</v>
      </c>
      <c r="D21" s="9"/>
      <c r="E21" s="9"/>
      <c r="F21" s="9"/>
      <c r="G21" s="9"/>
      <c r="H21" s="9"/>
      <c r="I21" s="9"/>
      <c r="J21" s="9"/>
      <c r="K21" s="9"/>
    </row>
    <row r="22" spans="1:11" ht="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.6" x14ac:dyDescent="0.3">
      <c r="A23" s="1" t="s">
        <v>207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5" x14ac:dyDescent="0.25">
      <c r="A24" s="9" t="s">
        <v>200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5" x14ac:dyDescent="0.25">
      <c r="A25" s="10">
        <f>+Turbine!B64</f>
        <v>0.621</v>
      </c>
      <c r="B25" s="147" t="s">
        <v>201</v>
      </c>
      <c r="C25" s="9" t="s">
        <v>208</v>
      </c>
      <c r="D25" s="9"/>
      <c r="E25" s="9"/>
      <c r="F25" s="9"/>
      <c r="G25" s="9"/>
      <c r="H25" s="9"/>
      <c r="I25" s="9"/>
      <c r="J25" s="9"/>
      <c r="K25" s="9"/>
    </row>
    <row r="26" spans="1:11" ht="15" x14ac:dyDescent="0.25">
      <c r="A26" s="9" t="s">
        <v>203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ht="15" x14ac:dyDescent="0.25">
      <c r="A27" s="10">
        <f>+Turbine!C64</f>
        <v>2.7199800000000001</v>
      </c>
      <c r="B27" s="147" t="s">
        <v>204</v>
      </c>
      <c r="C27" s="9" t="s">
        <v>205</v>
      </c>
      <c r="D27" s="9"/>
      <c r="E27" s="9"/>
      <c r="F27" s="9"/>
      <c r="G27" s="9"/>
      <c r="H27" s="9"/>
      <c r="I27" s="9"/>
      <c r="J27" s="9"/>
      <c r="K27" s="9"/>
    </row>
    <row r="28" spans="1:11" ht="1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.6" x14ac:dyDescent="0.3">
      <c r="A29" s="1" t="s">
        <v>209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15" x14ac:dyDescent="0.25">
      <c r="A30" s="9" t="s">
        <v>200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ht="15" x14ac:dyDescent="0.25">
      <c r="A31" s="10">
        <f>+Turbine!B65</f>
        <v>2.6734922642999996</v>
      </c>
      <c r="B31" s="147" t="s">
        <v>201</v>
      </c>
      <c r="C31" s="9" t="s">
        <v>210</v>
      </c>
      <c r="D31" s="9"/>
      <c r="E31" s="9"/>
      <c r="F31" s="9"/>
      <c r="G31" s="9"/>
      <c r="H31" s="9"/>
      <c r="I31" s="9"/>
      <c r="J31" s="9"/>
      <c r="K31" s="9"/>
    </row>
    <row r="32" spans="1:11" ht="15" x14ac:dyDescent="0.25">
      <c r="A32" s="10"/>
      <c r="B32" s="147"/>
      <c r="C32" s="9" t="s">
        <v>211</v>
      </c>
      <c r="D32" s="9"/>
      <c r="E32" s="9"/>
      <c r="F32" s="9"/>
      <c r="G32" s="9"/>
      <c r="H32" s="9"/>
      <c r="I32" s="9"/>
      <c r="J32" s="9"/>
      <c r="K32" s="9"/>
    </row>
    <row r="33" spans="1:11" ht="15" x14ac:dyDescent="0.25">
      <c r="A33" s="9" t="s">
        <v>203</v>
      </c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5" x14ac:dyDescent="0.25">
      <c r="A34" s="10">
        <f>+Turbine!C65</f>
        <v>11.709896117633999</v>
      </c>
      <c r="B34" s="147" t="s">
        <v>204</v>
      </c>
      <c r="C34" s="9" t="s">
        <v>205</v>
      </c>
      <c r="D34" s="9"/>
      <c r="E34" s="9"/>
      <c r="F34" s="9"/>
      <c r="G34" s="9"/>
      <c r="H34" s="9"/>
      <c r="I34" s="9"/>
      <c r="J34" s="9"/>
      <c r="K34" s="9"/>
    </row>
    <row r="35" spans="1:11" ht="15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t="15.6" x14ac:dyDescent="0.3">
      <c r="A36" s="1" t="s">
        <v>212</v>
      </c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ht="15" x14ac:dyDescent="0.25">
      <c r="A37" s="9" t="s">
        <v>200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ht="15" x14ac:dyDescent="0.25">
      <c r="A38" s="10">
        <f>+Turbine!B66</f>
        <v>1.3772535906999999</v>
      </c>
      <c r="B38" s="147" t="s">
        <v>201</v>
      </c>
      <c r="C38" s="9" t="s">
        <v>210</v>
      </c>
      <c r="D38" s="9"/>
      <c r="E38" s="9"/>
      <c r="F38" s="9"/>
      <c r="G38" s="9"/>
      <c r="H38" s="9"/>
      <c r="I38" s="9"/>
      <c r="J38" s="9"/>
      <c r="K38" s="9"/>
    </row>
    <row r="39" spans="1:11" ht="15" x14ac:dyDescent="0.25">
      <c r="A39" s="10"/>
      <c r="B39" s="147"/>
      <c r="C39" s="9" t="s">
        <v>213</v>
      </c>
      <c r="D39" s="9"/>
      <c r="E39" s="9"/>
      <c r="F39" s="9"/>
      <c r="G39" s="9"/>
      <c r="H39" s="9"/>
      <c r="I39" s="9"/>
      <c r="J39" s="9"/>
      <c r="K39" s="9"/>
    </row>
    <row r="40" spans="1:11" ht="15" x14ac:dyDescent="0.25">
      <c r="A40" s="9" t="s">
        <v>203</v>
      </c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5" x14ac:dyDescent="0.25">
      <c r="A41" s="10">
        <f>+Turbine!C66</f>
        <v>6.0323707272659997</v>
      </c>
      <c r="B41" s="147" t="s">
        <v>204</v>
      </c>
      <c r="C41" s="9" t="s">
        <v>205</v>
      </c>
      <c r="D41" s="9"/>
      <c r="E41" s="9"/>
      <c r="F41" s="9"/>
      <c r="G41" s="9"/>
      <c r="H41" s="9"/>
      <c r="I41" s="9"/>
      <c r="J41" s="9"/>
      <c r="K41" s="9"/>
    </row>
    <row r="42" spans="1:11" ht="15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ht="15.6" x14ac:dyDescent="0.3">
      <c r="A43" s="1" t="s">
        <v>214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ht="15" x14ac:dyDescent="0.25">
      <c r="A44" s="9" t="s">
        <v>200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ht="15" x14ac:dyDescent="0.25">
      <c r="A45" s="10">
        <f>+Turbine!B67</f>
        <v>0.287602955705</v>
      </c>
      <c r="B45" s="147" t="s">
        <v>201</v>
      </c>
      <c r="C45" s="9" t="s">
        <v>210</v>
      </c>
      <c r="D45" s="9"/>
      <c r="E45" s="9"/>
      <c r="F45" s="9"/>
      <c r="G45" s="9"/>
      <c r="H45" s="9"/>
      <c r="I45" s="9"/>
      <c r="J45" s="9"/>
      <c r="K45" s="9"/>
    </row>
    <row r="46" spans="1:11" ht="15" x14ac:dyDescent="0.25">
      <c r="A46" s="10"/>
      <c r="B46" s="147"/>
      <c r="C46" s="9" t="s">
        <v>215</v>
      </c>
      <c r="D46" s="9"/>
      <c r="E46" s="9"/>
      <c r="F46" s="9"/>
      <c r="G46" s="9"/>
      <c r="H46" s="9"/>
      <c r="I46" s="9"/>
      <c r="J46" s="9"/>
      <c r="K46" s="9"/>
    </row>
    <row r="47" spans="1:11" ht="15" x14ac:dyDescent="0.25">
      <c r="A47" s="9" t="s">
        <v>203</v>
      </c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ht="15" x14ac:dyDescent="0.25">
      <c r="A48" s="10">
        <f>+Turbine!C67</f>
        <v>1.2597009459879001</v>
      </c>
      <c r="B48" s="147" t="s">
        <v>204</v>
      </c>
      <c r="C48" s="9" t="s">
        <v>205</v>
      </c>
      <c r="D48" s="9"/>
      <c r="E48" s="9"/>
      <c r="F48" s="9"/>
      <c r="G48" s="9"/>
      <c r="H48" s="9"/>
      <c r="I48" s="9"/>
      <c r="J48" s="9"/>
      <c r="K48" s="9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Turbine</vt:lpstr>
      <vt:lpstr>Gen Engines</vt:lpstr>
      <vt:lpstr>Netting</vt:lpstr>
      <vt:lpstr>2000 EIQ</vt:lpstr>
      <vt:lpstr>1999 EIQ</vt:lpstr>
      <vt:lpstr>Alternative</vt:lpstr>
      <vt:lpstr>Summary</vt:lpstr>
      <vt:lpstr>Example</vt:lpstr>
      <vt:lpstr>I</vt:lpstr>
      <vt:lpstr>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2023-09-10T11:08:26Z</dcterms:created>
  <dcterms:modified xsi:type="dcterms:W3CDTF">2023-09-10T11:08:26Z</dcterms:modified>
</cp:coreProperties>
</file>