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Deals!$D$119</definedName>
    <definedName name="CISOEndDate">Deals!$D$120</definedName>
    <definedName name="cRows">COUNTA(#REF!)</definedName>
    <definedName name="CurrDate">[1]Top!#REF!</definedName>
    <definedName name="DataAll">Deals!$A$2:$AF$252</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Deals!$C$118</definedName>
    <definedName name="EndofDType">Deals!$B$118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C7"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AD110" i="6"/>
  <c r="AE110" i="6"/>
  <c r="AF110" i="6"/>
  <c r="AD111" i="6"/>
  <c r="AE111" i="6"/>
  <c r="AF111" i="6"/>
  <c r="AD112" i="6"/>
  <c r="AE112" i="6"/>
  <c r="AF112" i="6"/>
  <c r="AD113" i="6"/>
  <c r="AE113" i="6"/>
  <c r="AF113" i="6"/>
  <c r="AD115" i="6"/>
  <c r="AE115" i="6"/>
  <c r="AF115" i="6"/>
  <c r="F122" i="6"/>
  <c r="F123" i="6"/>
  <c r="G123" i="6"/>
  <c r="F124" i="6"/>
  <c r="G124" i="6"/>
  <c r="AD124" i="6"/>
  <c r="AE124" i="6"/>
  <c r="F125" i="6"/>
  <c r="G125" i="6"/>
  <c r="AD125" i="6"/>
  <c r="AE125" i="6"/>
  <c r="F126" i="6"/>
  <c r="G126" i="6"/>
  <c r="F127" i="6"/>
  <c r="G127" i="6"/>
  <c r="F128" i="6"/>
  <c r="G128" i="6"/>
  <c r="F129" i="6"/>
  <c r="G129" i="6"/>
  <c r="AD129" i="6"/>
  <c r="AE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G147" i="6"/>
  <c r="F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G17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A satisfied Microsoft Office user</author>
  </authors>
  <commentList>
    <comment ref="K58" authorId="0" shapeId="0">
      <text>
        <r>
          <rPr>
            <b/>
            <sz val="8"/>
            <color indexed="81"/>
            <rFont val="Tahoma"/>
          </rPr>
          <t>m guzman:</t>
        </r>
        <r>
          <rPr>
            <sz val="8"/>
            <color indexed="81"/>
            <rFont val="Tahoma"/>
          </rPr>
          <t xml:space="preserve">
Spin purchase of 25 MW
</t>
        </r>
      </text>
    </comment>
    <comment ref="L58" authorId="0" shapeId="0">
      <text>
        <r>
          <rPr>
            <b/>
            <sz val="8"/>
            <color indexed="81"/>
            <rFont val="Tahoma"/>
          </rPr>
          <t>m guzman:</t>
        </r>
        <r>
          <rPr>
            <sz val="8"/>
            <color indexed="81"/>
            <rFont val="Tahoma"/>
          </rPr>
          <t xml:space="preserve">
Spin purchase of 25 MW
</t>
        </r>
      </text>
    </comment>
    <comment ref="M58" authorId="0" shapeId="0">
      <text>
        <r>
          <rPr>
            <b/>
            <sz val="8"/>
            <color indexed="81"/>
            <rFont val="Tahoma"/>
          </rPr>
          <t>m guzman:</t>
        </r>
        <r>
          <rPr>
            <sz val="8"/>
            <color indexed="81"/>
            <rFont val="Tahoma"/>
          </rPr>
          <t xml:space="preserve">
Spin purchase of 25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<sst xmlns="http://schemas.openxmlformats.org/spreadsheetml/2006/main" count="831" uniqueCount="394">
  <si>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</si>
  <si>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</si>
  <si>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</si>
  <si>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</si>
  <si>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</si>
  <si>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</si>
  <si>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</si>
  <si>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</si>
  <si>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</si>
  <si>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</si>
  <si>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</si>
  <si>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</si>
  <si>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</si>
  <si>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</si>
  <si>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</si>
  <si>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</si>
  <si>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</si>
  <si>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</si>
  <si>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</si>
  <si>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</si>
  <si>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</si>
  <si>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</si>
  <si>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</si>
  <si>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</si>
  <si>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</si>
  <si>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</si>
  <si>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</si>
  <si>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</si>
  <si>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</si>
  <si>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</si>
  <si>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</si>
  <si>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</si>
  <si>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</si>
  <si>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</si>
  <si>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</si>
  <si>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</si>
  <si>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</si>
  <si>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</si>
  <si>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</si>
  <si>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</si>
  <si>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</si>
  <si>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</si>
  <si>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</si>
  <si>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</si>
  <si>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</si>
  <si>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</si>
  <si>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</si>
  <si>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</si>
  <si>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</si>
  <si>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</si>
  <si>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</si>
  <si>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</si>
  <si>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</si>
  <si>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</si>
  <si>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</si>
  <si>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</si>
  <si>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</si>
  <si>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</si>
  <si>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</si>
  <si>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</si>
  <si>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</si>
  <si>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</si>
  <si>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</si>
  <si>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</si>
  <si>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</si>
  <si>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</si>
  <si>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</si>
  <si>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</si>
  <si>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</si>
  <si>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</si>
  <si>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</si>
  <si>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</si>
  <si>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</si>
  <si>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</si>
  <si>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</si>
  <si>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</si>
  <si>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</si>
  <si>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</si>
  <si>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</si>
  <si>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</si>
  <si>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</si>
  <si>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</si>
  <si>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</si>
  <si>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</si>
  <si>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</si>
  <si>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</si>
  <si>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</si>
  <si>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</si>
  <si>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</si>
  <si>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</si>
  <si>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</si>
  <si>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</si>
  <si>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</si>
  <si>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</si>
  <si>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</si>
  <si>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</si>
  <si>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</si>
  <si>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</si>
  <si>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</si>
  <si>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</si>
  <si>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</si>
  <si>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</si>
  <si>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</si>
  <si>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</si>
  <si>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</si>
  <si>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</si>
  <si>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</si>
  <si>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</si>
  <si>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</si>
  <si>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</si>
  <si>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</si>
  <si>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</si>
  <si>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</si>
  <si>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</si>
  <si>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</si>
  <si>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</si>
  <si>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</si>
  <si>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</si>
  <si>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</si>
  <si>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</si>
  <si>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</si>
  <si>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</si>
  <si>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</si>
  <si>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</si>
  <si>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</si>
  <si>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</si>
  <si>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</si>
  <si>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</si>
  <si>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</si>
  <si>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</si>
  <si>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</si>
  <si>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</si>
  <si>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</si>
  <si>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</si>
  <si>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</si>
  <si>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</si>
  <si>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</si>
  <si>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</si>
  <si>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</si>
  <si>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</si>
  <si>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</si>
  <si>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</si>
  <si>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</si>
  <si>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</si>
  <si>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</si>
  <si>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</si>
  <si>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</si>
  <si>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</si>
  <si>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</si>
  <si>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</si>
  <si>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</si>
  <si>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</si>
  <si>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</si>
  <si>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</si>
  <si>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</si>
  <si>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</si>
  <si>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</si>
  <si>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</si>
  <si>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</si>
  <si>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</si>
  <si>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</si>
  <si>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</si>
  <si>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</si>
  <si>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</si>
  <si>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</si>
  <si>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</si>
  <si>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</si>
  <si>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</si>
  <si>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</si>
  <si>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</si>
  <si>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</si>
  <si>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</si>
  <si>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</si>
  <si>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</si>
  <si>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</si>
  <si>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</si>
  <si>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</si>
  <si>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</si>
  <si>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</si>
  <si>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</si>
  <si>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</si>
  <si>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</si>
  <si>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</si>
  <si>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</si>
  <si>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</si>
  <si>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</si>
  <si>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</si>
  <si>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</si>
  <si>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</si>
  <si>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</si>
  <si>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</si>
  <si>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</si>
  <si>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</si>
  <si>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</si>
  <si>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</si>
  <si>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</si>
  <si>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</si>
  <si>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</si>
  <si>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</si>
  <si>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</si>
  <si>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</si>
  <si>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</si>
  <si>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</si>
  <si>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</si>
  <si>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</si>
  <si>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</si>
  <si>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</si>
  <si>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</si>
  <si>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</si>
  <si>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</si>
  <si>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</si>
  <si>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</si>
  <si>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</si>
  <si>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</si>
  <si>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</si>
  <si>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</si>
  <si>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</si>
  <si>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</si>
  <si>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</si>
  <si>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</si>
  <si>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</si>
  <si>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</si>
  <si>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</si>
  <si>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</si>
  <si>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</si>
  <si>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</si>
  <si>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</si>
  <si>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</si>
  <si>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</si>
  <si>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</si>
  <si>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</si>
  <si>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</si>
  <si>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</si>
  <si>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</si>
  <si>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</si>
  <si>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</si>
  <si>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</si>
  <si>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</si>
  <si>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</si>
  <si>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</si>
  <si>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</si>
  <si>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</si>
  <si>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</si>
  <si>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</si>
  <si>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</si>
  <si>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</si>
  <si>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</si>
  <si>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</si>
  <si>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</si>
  <si>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</si>
  <si>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</si>
  <si>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</si>
  <si>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</si>
  <si>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</si>
  <si>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</si>
  <si>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</si>
  <si>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</si>
  <si>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</si>
  <si>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</si>
  <si>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</si>
  <si>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</si>
  <si>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</si>
  <si>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</si>
  <si>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</si>
  <si>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</si>
  <si>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</si>
  <si>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</si>
  <si>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</si>
  <si>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</si>
  <si>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</si>
  <si>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</si>
  <si>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</si>
  <si>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</si>
  <si>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</si>
  <si>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</si>
  <si>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</si>
  <si>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</si>
  <si>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</si>
  <si>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</si>
  <si>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</si>
  <si>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</si>
  <si>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</si>
  <si>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</si>
  <si>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</si>
  <si>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</si>
  <si>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</si>
  <si>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</si>
  <si>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</si>
  <si>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</si>
  <si>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</si>
  <si>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</si>
  <si>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</si>
  <si>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</si>
  <si>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</si>
  <si>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</si>
  <si>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</si>
  <si>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</si>
  <si>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</si>
  <si>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</si>
  <si>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</si>
  <si>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</si>
  <si>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</si>
  <si>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</si>
  <si>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</si>
  <si>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</si>
  <si>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</si>
  <si>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</si>
  <si>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</si>
  <si>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</si>
  <si>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</si>
  <si>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</si>
  <si>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</si>
  <si>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</si>
  <si>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</si>
  <si>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</si>
  <si>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</si>
  <si>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</si>
  <si>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</si>
  <si>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</si>
  <si>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</si>
  <si>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</si>
  <si>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</si>
  <si>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</si>
  <si>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</si>
  <si>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</si>
  <si>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</si>
  <si>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</si>
  <si>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</si>
  <si>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</si>
  <si>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</si>
  <si>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</si>
  <si>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</si>
  <si>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</si>
  <si>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</si>
  <si>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</si>
  <si>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</si>
  <si>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</si>
  <si>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</si>
  <si>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</si>
  <si>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</si>
  <si>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</si>
  <si>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</si>
  <si>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</si>
  <si>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</si>
  <si>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</si>
  <si>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</si>
  <si>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</si>
  <si>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</si>
  <si>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</si>
  <si>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</si>
  <si>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</si>
  <si>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</si>
  <si>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</si>
  <si>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</si>
  <si>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</si>
  <si>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</si>
  <si>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</si>
  <si>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</si>
  <si>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</si>
  <si>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</si>
  <si>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</si>
  <si>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</si>
  <si>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</si>
  <si>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</si>
  <si>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</si>
  <si>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</si>
  <si>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PNM/SHIPROCK</t>
  </si>
  <si>
    <t>CISO/IPC</t>
  </si>
  <si>
    <t>CISO/APS</t>
  </si>
  <si>
    <t>CISO/SRP/MWD</t>
  </si>
  <si>
    <t>CISO/PAC</t>
  </si>
  <si>
    <t>RIOGRAN 7,UNAV,  0  , 32  , 30  , 49  ,  0  ,1</t>
  </si>
  <si>
    <t>CISO/WESCO</t>
  </si>
  <si>
    <t>CISO/ECHI</t>
  </si>
  <si>
    <t>SRP/NEV</t>
  </si>
  <si>
    <t>ISO/WESCO</t>
  </si>
  <si>
    <t>Hidalgo</t>
  </si>
  <si>
    <t>RIOGRAN 8,MANL, 83  ,100  , 50  ,151  ,  0  ,1</t>
  </si>
  <si>
    <t>x</t>
  </si>
  <si>
    <t>AEP(APS)</t>
  </si>
  <si>
    <t>EPMI</t>
  </si>
  <si>
    <t xml:space="preserve">RIOGRANDE,, 121 ,  140,   78, 199 ,   0 , </t>
  </si>
  <si>
    <t>FOURCRNRS,MANL,105  ,105  ,105  ,104  ,  0  ,1</t>
  </si>
  <si>
    <t>RIOGRAN 6,MANL, 38  , 40  , 28  , 48  ,  0  ,1</t>
  </si>
  <si>
    <t>NM/GT1+ST,UNAV,  0  ,100  , 61  ,107  ,  0  ,1</t>
  </si>
  <si>
    <t>Firm</t>
  </si>
  <si>
    <t>PALOVERDE,MANL,400  ,400  ,400  ,600  ,  0  ,1</t>
  </si>
  <si>
    <t>NEWMAN 1 ,ECON, 39  , 66  , 38  , 78  , 27  ,1</t>
  </si>
  <si>
    <t>NEWMAN 2 ,BASE, 48  , 77  , 37  , 83  , 25  ,1</t>
  </si>
  <si>
    <t>NEWMAN 3 ,MANL, 68  ,100  , 37  ,103  ,  0  ,1</t>
  </si>
  <si>
    <t>NEWMAN 4 ,MANL,151  ,205  , 86  ,214  ,  0  ,1</t>
  </si>
  <si>
    <t xml:space="preserve">NEWMAN   ,, 307 ,  448,  198, 478 ,  52 , </t>
  </si>
  <si>
    <t>COPPER   ,ECON, 34  , 69  , 15  , 69  , 34  ,1</t>
  </si>
  <si>
    <t>LAMBDA, 42.03,  592,  599,  200,    8,    0,26780,205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</si>
</sst>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33" fillId="12" borderId="59" xfId="0" applyFont="1" applyFill="1" applyBorder="1" applyAlignment="1">
      <alignment wrapText="1"/>
    </xf>
    <xf numFmtId="0" fontId="42" fillId="14"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118</xdr:row>
          <xdr:rowOff>167640</xdr:rowOff>
        </xdr:from>
        <xdr:to>
          <xdr:col>12</xdr:col>
          <xdr:colOff>99060</xdr:colOff>
          <xdr:row>119</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120</xdr:row>
      <xdr:rowOff>0</xdr:rowOff>
    </xdr:from>
    <xdr:to>
      <xdr:col>24</xdr:col>
      <xdr:colOff>259080</xdr:colOff>
      <xdr:row>143</xdr:row>
      <xdr:rowOff>76200</xdr:rowOff>
    </xdr:to>
    <xdr:sp macro="" textlink="">
      <xdr:nvSpPr>
        <xdr:cNvPr id="2303" name="Text Box 255"/>
        <xdr:cNvSpPr txBox="1">
          <a:spLocks noChangeArrowheads="1"/>
        </xdr:cNvSpPr>
      </xdr:nvSpPr>
      <xdr:spPr bwMode="auto">
        <a:xfrm>
          <a:off x="5120640" y="119634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1"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36991</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6"/>
      <c r="B2" s="506" t="s">
        <v>378</v>
      </c>
      <c r="C2" s="506" t="s">
        <v>378</v>
      </c>
      <c r="D2" s="506" t="s">
        <v>378</v>
      </c>
      <c r="E2" s="506" t="s">
        <v>378</v>
      </c>
      <c r="F2" s="506" t="s">
        <v>378</v>
      </c>
      <c r="G2" s="506" t="s">
        <v>378</v>
      </c>
      <c r="H2" s="506" t="s">
        <v>378</v>
      </c>
      <c r="I2" s="506" t="s">
        <v>378</v>
      </c>
      <c r="J2" s="506" t="s">
        <v>378</v>
      </c>
      <c r="K2" s="506" t="s">
        <v>378</v>
      </c>
      <c r="L2" s="506" t="s">
        <v>378</v>
      </c>
      <c r="M2" s="506" t="s">
        <v>378</v>
      </c>
      <c r="N2" s="506" t="s">
        <v>378</v>
      </c>
      <c r="O2" s="506" t="s">
        <v>378</v>
      </c>
      <c r="P2" s="506" t="s">
        <v>378</v>
      </c>
      <c r="Q2" s="506" t="s">
        <v>378</v>
      </c>
      <c r="R2" s="506" t="s">
        <v>378</v>
      </c>
      <c r="S2" s="506" t="s">
        <v>378</v>
      </c>
      <c r="T2" s="506" t="s">
        <v>378</v>
      </c>
      <c r="U2" s="506" t="s">
        <v>378</v>
      </c>
      <c r="V2" s="506" t="s">
        <v>378</v>
      </c>
      <c r="W2" s="506" t="s">
        <v>378</v>
      </c>
      <c r="X2" s="506" t="s">
        <v>378</v>
      </c>
      <c r="Y2" s="625" t="s">
        <v>378</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598</v>
      </c>
      <c r="C4" s="529">
        <v>595</v>
      </c>
      <c r="D4" s="529">
        <v>587</v>
      </c>
      <c r="E4" s="529">
        <v>587</v>
      </c>
      <c r="F4" s="529">
        <v>639</v>
      </c>
      <c r="G4" s="529">
        <v>718</v>
      </c>
      <c r="H4" s="529">
        <v>758</v>
      </c>
      <c r="I4" s="529">
        <v>775</v>
      </c>
      <c r="J4" s="529">
        <v>805</v>
      </c>
      <c r="K4" s="529">
        <v>821</v>
      </c>
      <c r="L4" s="529">
        <v>832</v>
      </c>
      <c r="M4" s="529">
        <v>847</v>
      </c>
      <c r="N4" s="529">
        <v>818</v>
      </c>
      <c r="O4" s="529">
        <v>789</v>
      </c>
      <c r="P4" s="529">
        <v>774</v>
      </c>
      <c r="Q4" s="529">
        <v>765</v>
      </c>
      <c r="R4" s="529">
        <v>727</v>
      </c>
      <c r="S4" s="529">
        <v>715</v>
      </c>
      <c r="T4" s="529">
        <v>748</v>
      </c>
      <c r="U4" s="529">
        <v>803</v>
      </c>
      <c r="V4" s="529">
        <v>774</v>
      </c>
      <c r="W4" s="529">
        <v>723</v>
      </c>
      <c r="X4" s="529">
        <v>648</v>
      </c>
      <c r="Y4" s="530">
        <v>599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1.4"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11">
        <f>Deals!F3</f>
        <v>70</v>
      </c>
      <c r="C22" s="427">
        <f>Deals!G3</f>
        <v>50</v>
      </c>
      <c r="D22" s="427">
        <f>Deals!H3</f>
        <v>50</v>
      </c>
      <c r="E22" s="427">
        <f>Deals!I3</f>
        <v>50</v>
      </c>
      <c r="F22" s="427">
        <f>Deals!J3</f>
        <v>50</v>
      </c>
      <c r="G22" s="427">
        <f>Deals!K3</f>
        <v>70</v>
      </c>
      <c r="H22" s="427">
        <f>Deals!L3</f>
        <v>90</v>
      </c>
      <c r="I22" s="427">
        <f>Deals!M3</f>
        <v>105</v>
      </c>
      <c r="J22" s="427">
        <f>Deals!N3</f>
        <v>120</v>
      </c>
      <c r="K22" s="427">
        <f>Deals!O3</f>
        <v>140</v>
      </c>
      <c r="L22" s="427">
        <f>Deals!P3</f>
        <v>130</v>
      </c>
      <c r="M22" s="427">
        <f>Deals!Q3</f>
        <v>130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130</v>
      </c>
      <c r="Y22" s="519">
        <f>Deals!AC3</f>
        <v>75</v>
      </c>
      <c r="Z22" s="160"/>
      <c r="AA22" s="162"/>
    </row>
    <row r="23" spans="1:27" s="161" customFormat="1" ht="12" x14ac:dyDescent="0.2">
      <c r="A23" s="520" t="s">
        <v>307</v>
      </c>
      <c r="B23" s="712">
        <f>Deals!F5</f>
        <v>7</v>
      </c>
      <c r="C23" s="205">
        <f>Deals!G5</f>
        <v>7</v>
      </c>
      <c r="D23" s="205">
        <f>Deals!H5</f>
        <v>7</v>
      </c>
      <c r="E23" s="205">
        <f>Deals!I5</f>
        <v>7</v>
      </c>
      <c r="F23" s="205">
        <f>Deals!J5</f>
        <v>17</v>
      </c>
      <c r="G23" s="205">
        <f>Deals!K5</f>
        <v>27</v>
      </c>
      <c r="H23" s="205">
        <f>Deals!L5</f>
        <v>17</v>
      </c>
      <c r="I23" s="205">
        <f>Deals!M5</f>
        <v>27</v>
      </c>
      <c r="J23" s="205">
        <f>Deals!N5</f>
        <v>27</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34</v>
      </c>
      <c r="W23" s="205">
        <f>Deals!AA5</f>
        <v>34</v>
      </c>
      <c r="X23" s="205">
        <f>Deals!AB5</f>
        <v>24</v>
      </c>
      <c r="Y23" s="654">
        <f>Deals!AC5</f>
        <v>14</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5"/>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8"/>
      <c r="C27" s="708"/>
      <c r="D27" s="708"/>
      <c r="E27" s="708"/>
      <c r="F27" s="708"/>
      <c r="G27" s="708"/>
      <c r="H27" s="708"/>
      <c r="I27" s="708"/>
      <c r="J27" s="708"/>
      <c r="K27" s="708"/>
      <c r="L27" s="708"/>
      <c r="M27" s="708"/>
      <c r="N27" s="708"/>
      <c r="O27" s="708"/>
      <c r="P27" s="708"/>
      <c r="Q27" s="708"/>
      <c r="R27" s="708"/>
      <c r="S27" s="708"/>
      <c r="T27" s="708"/>
      <c r="U27" s="708"/>
      <c r="V27" s="708"/>
      <c r="W27" s="708">
        <f>Deals!AA8</f>
        <v>0</v>
      </c>
      <c r="X27" s="708"/>
      <c r="Y27" s="708"/>
      <c r="Z27" s="160"/>
      <c r="AA27" s="162"/>
    </row>
    <row r="28" spans="1:27" s="161" customFormat="1" ht="12"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25</v>
      </c>
      <c r="E28" s="662">
        <f t="array" aca="1" ref="E28" ca="1">SUM(IF((DelPoint= "4C")*IF((DType = "firm")+(DType = "econ")&gt;0,1,0)*(OFFSET(DelPoint,0,E3+2)&gt;0),OFFSET(DelPoint,0,E3+2),0))</f>
        <v>40</v>
      </c>
      <c r="F28" s="662">
        <f t="array" aca="1" ref="F28" ca="1">SUM(IF((DelPoint= "4C")*IF((DType = "firm")+(DType = "econ")&gt;0,1,0)*(OFFSET(DelPoint,0,F3+2)&gt;0),OFFSET(DelPoint,0,F3+2),0))</f>
        <v>75</v>
      </c>
      <c r="G28" s="662">
        <f t="array" aca="1" ref="G28" ca="1">SUM(IF((DelPoint= "4C")*IF((DType = "firm")+(DType = "econ")&gt;0,1,0)*(OFFSET(DelPoint,0,G3+2)&gt;0),OFFSET(DelPoint,0,G3+2),0))</f>
        <v>60</v>
      </c>
      <c r="H28" s="662">
        <f t="array" aca="1" ref="H28" ca="1">SUM(IF((DelPoint= "4C")*IF((DType = "firm")+(DType = "econ")&gt;0,1,0)*(OFFSET(DelPoint,0,H3+2)&gt;0),OFFSET(DelPoint,0,H3+2),0))</f>
        <v>0</v>
      </c>
      <c r="I28" s="662">
        <f t="array" aca="1" ref="I28" ca="1">SUM(IF((DelPoint= "4C")*IF((DType = "firm")+(DType = "econ")&gt;0,1,0)*(OFFSET(DelPoint,0,I3+2)&gt;0),OFFSET(DelPoint,0,I3+2),0))</f>
        <v>40</v>
      </c>
      <c r="J28" s="662">
        <f t="array" aca="1" ref="J28" ca="1">SUM(IF((DelPoint= "4C")*IF((DType = "firm")+(DType = "econ")&gt;0,1,0)*(OFFSET(DelPoint,0,J3+2)&gt;0),OFFSET(DelPoint,0,J3+2),0))</f>
        <v>50</v>
      </c>
      <c r="K28" s="662">
        <f t="array" aca="1" ref="K28" ca="1">SUM(IF((DelPoint= "4C")*IF((DType = "firm")+(DType = "econ")&gt;0,1,0)*(OFFSET(DelPoint,0,K3+2)&gt;0),OFFSET(DelPoint,0,K3+2),0))</f>
        <v>50</v>
      </c>
      <c r="L28" s="662">
        <f t="array" aca="1" ref="L28" ca="1">SUM(IF((DelPoint= "4C")*IF((DType = "firm")+(DType = "econ")&gt;0,1,0)*(OFFSET(DelPoint,0,L3+2)&gt;0),OFFSET(DelPoint,0,L3+2),0))</f>
        <v>50</v>
      </c>
      <c r="M28" s="662">
        <f t="array" aca="1" ref="M28" ca="1">SUM(IF((DelPoint= "4C")*IF((DType = "firm")+(DType = "econ")&gt;0,1,0)*(OFFSET(DelPoint,0,M3+2)&gt;0),OFFSET(DelPoint,0,M3+2),0))</f>
        <v>50</v>
      </c>
      <c r="N28" s="662">
        <f t="array" aca="1" ref="N28" ca="1">SUM(IF((DelPoint= "4C")*IF((DType = "firm")+(DType = "econ")&gt;0,1,0)*(OFFSET(DelPoint,0,N3+2)&gt;0),OFFSET(DelPoint,0,N3+2),0))</f>
        <v>25</v>
      </c>
      <c r="O28" s="662">
        <f t="array" aca="1" ref="O28" ca="1">SUM(IF((DelPoint= "4C")*IF((DType = "firm")+(DType = "econ")&gt;0,1,0)*(OFFSET(DelPoint,0,O3+2)&gt;0),OFFSET(DelPoint,0,O3+2),0))</f>
        <v>25</v>
      </c>
      <c r="P28" s="662">
        <f t="array" aca="1" ref="P28" ca="1">SUM(IF((DelPoint= "4C")*IF((DType = "firm")+(DType = "econ")&gt;0,1,0)*(OFFSET(DelPoint,0,P3+2)&gt;0),OFFSET(DelPoint,0,P3+2),0))</f>
        <v>25</v>
      </c>
      <c r="Q28" s="662">
        <f t="array" aca="1" ref="Q28" ca="1">SUM(IF((DelPoint= "4C")*IF((DType = "firm")+(DType = "econ")&gt;0,1,0)*(OFFSET(DelPoint,0,Q3+2)&gt;0),OFFSET(DelPoint,0,Q3+2),0))</f>
        <v>50</v>
      </c>
      <c r="R28" s="662">
        <f t="array" aca="1" ref="R28" ca="1">SUM(IF((DelPoint= "4C")*IF((DType = "firm")+(DType = "econ")&gt;0,1,0)*(OFFSET(DelPoint,0,R3+2)&gt;0),OFFSET(DelPoint,0,R3+2),0))</f>
        <v>50</v>
      </c>
      <c r="S28" s="662">
        <f t="array" aca="1" ref="S28" ca="1">SUM(IF((DelPoint= "4C")*IF((DType = "firm")+(DType = "econ")&gt;0,1,0)*(OFFSET(DelPoint,0,S3+2)&gt;0),OFFSET(DelPoint,0,S3+2),0))</f>
        <v>75</v>
      </c>
      <c r="T28" s="662">
        <f t="array" aca="1" ref="T28" ca="1">SUM(IF((DelPoint= "4C")*IF((DType = "firm")+(DType = "econ")&gt;0,1,0)*(OFFSET(DelPoint,0,T3+2)&gt;0),OFFSET(DelPoint,0,T3+2),0))</f>
        <v>75</v>
      </c>
      <c r="U28" s="662">
        <f t="array" aca="1" ref="U28" ca="1">SUM(IF((DelPoint= "4C")*IF((DType = "firm")+(DType = "econ")&gt;0,1,0)*(OFFSET(DelPoint,0,U3+2)&gt;0),OFFSET(DelPoint,0,U3+2),0))</f>
        <v>75</v>
      </c>
      <c r="V28" s="662">
        <f t="array" aca="1" ref="V28" ca="1">SUM(IF((DelPoint= "4C")*IF((DType = "firm")+(DType = "econ")&gt;0,1,0)*(OFFSET(DelPoint,0,V3+2)&gt;0),OFFSET(DelPoint,0,V3+2),0))</f>
        <v>75</v>
      </c>
      <c r="W28" s="662">
        <f t="array" aca="1" ref="W28" ca="1">SUM(IF((DelPoint= "4C")*IF((DType = "firm")+(DType = "econ")&gt;0,1,0)*(OFFSET(DelPoint,0,W3+2)&gt;0),OFFSET(DelPoint,0,W3+2),0))</f>
        <v>75</v>
      </c>
      <c r="X28" s="662">
        <f t="array" aca="1" ref="X28" ca="1">SUM(IF((DelPoint= "4C")*IF((DType = "firm")+(DType = "econ")&gt;0,1,0)*(OFFSET(DelPoint,0,X3+2)&gt;0),OFFSET(DelPoint,0,X3+2),0))</f>
        <v>105</v>
      </c>
      <c r="Y28" s="664">
        <f t="array" aca="1" ref="Y28" ca="1">SUM(IF((DelPoint= "4C")*IF((DType = "firm")+(DType = "econ")&gt;0,1,0)*(OFFSET(DelPoint,0,Y3+2)&gt;0),OFFSET(DelPoint,0,Y3+2),0))</f>
        <v>30</v>
      </c>
      <c r="Z28" s="160"/>
      <c r="AA28" s="162"/>
    </row>
    <row r="29" spans="1:27" s="161" customFormat="1" ht="11.4" x14ac:dyDescent="0.2">
      <c r="A29" s="657" t="s">
        <v>118</v>
      </c>
      <c r="B29" s="658">
        <f t="array" aca="1" ref="B29" ca="1">SUM(IF((DelPoint= "PV")*(DType = "pre")*(OFFSET(DelPoint,0,B3+2)&gt;0),OFFSET(DelPoint,0,B3+2),0))</f>
        <v>0</v>
      </c>
      <c r="C29" s="659">
        <f t="array" aca="1" ref="C29" ca="1">SUM(IF((DelPoint= "PV")*(DType = "pre")*(OFFSET(DelPoint,0,C3+2)&gt;0),OFFSET(DelPoint,0,C3+2),0))</f>
        <v>0</v>
      </c>
      <c r="D29" s="659">
        <f t="array" aca="1" ref="D29" ca="1">SUM(IF((DelPoint= "PV")*(DType = "pre")*(OFFSET(DelPoint,0,D3+2)&gt;0),OFFSET(DelPoint,0,D3+2),0))</f>
        <v>0</v>
      </c>
      <c r="E29" s="658">
        <f t="array" aca="1" ref="E29" ca="1">SUM(IF((DelPoint= "PV")*(DType = "pre")*(OFFSET(DelPoint,0,E3+2)&gt;0),OFFSET(DelPoint,0,E3+2),0))</f>
        <v>0</v>
      </c>
      <c r="F29" s="658">
        <f t="array" aca="1" ref="F29" ca="1">SUM(IF((DelPoint= "PV")*(DType = "pre")*(OFFSET(DelPoint,0,F3+2)&gt;0),OFFSET(DelPoint,0,F3+2),0))</f>
        <v>0</v>
      </c>
      <c r="G29" s="658">
        <f t="array" aca="1" ref="G29" ca="1">SUM(IF((DelPoint= "PV")*(DType = "pre")*(OFFSET(DelPoint,0,G3+2)&gt;0),OFFSET(DelPoint,0,G3+2),0))</f>
        <v>0</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0</v>
      </c>
      <c r="Y29" s="660">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13">
        <f>Deals!F10+Deals!F11+Deals!F12+Deals!F13+Deals!F14+Deals!F15+Deals!F8</f>
        <v>103</v>
      </c>
      <c r="C31" s="713">
        <f>Deals!G10+Deals!G11+Deals!G12+Deals!G13+Deals!G14+Deals!G15+Deals!G8</f>
        <v>103</v>
      </c>
      <c r="D31" s="713">
        <f>Deals!H10+Deals!H11+Deals!H12+Deals!H13+Deals!H14+Deals!H15+Deals!H8</f>
        <v>103</v>
      </c>
      <c r="E31" s="713">
        <f>Deals!I10+Deals!I11+Deals!I12+Deals!I13+Deals!I14+Deals!I15+Deals!I8</f>
        <v>103</v>
      </c>
      <c r="F31" s="713">
        <f>Deals!J10+Deals!J11+Deals!J12+Deals!J13+Deals!J14+Deals!J15+Deals!J8</f>
        <v>103</v>
      </c>
      <c r="G31" s="713">
        <f>Deals!K10+Deals!K11+Deals!K12+Deals!K13+Deals!K14+Deals!K15+Deals!K8</f>
        <v>103</v>
      </c>
      <c r="H31" s="713">
        <f>Deals!L10+Deals!L11+Deals!L12+Deals!L13+Deals!L14+Deals!L15+Deals!L8</f>
        <v>0</v>
      </c>
      <c r="I31" s="713">
        <f>Deals!M10+Deals!M11+Deals!M12+Deals!M13+Deals!M14+Deals!M15+Deals!M8</f>
        <v>0</v>
      </c>
      <c r="J31" s="713">
        <f>Deals!N10+Deals!N11+Deals!N12+Deals!N13+Deals!N14+Deals!N15+Deals!N8</f>
        <v>0</v>
      </c>
      <c r="K31" s="713">
        <f>Deals!O10+Deals!O11+Deals!O12+Deals!O13+Deals!O14+Deals!O15+Deals!O8</f>
        <v>0</v>
      </c>
      <c r="L31" s="713">
        <f>Deals!P10+Deals!P11+Deals!P12+Deals!P13+Deals!P14+Deals!P15+Deals!P8</f>
        <v>0</v>
      </c>
      <c r="M31" s="713">
        <f>Deals!Q10+Deals!Q11+Deals!Q12+Deals!Q13+Deals!Q14+Deals!Q15+Deals!Q8</f>
        <v>0</v>
      </c>
      <c r="N31" s="713">
        <f>Deals!R10+Deals!R11+Deals!R12+Deals!R13+Deals!R14+Deals!R15+Deals!R8</f>
        <v>0</v>
      </c>
      <c r="O31" s="713">
        <f>Deals!S10+Deals!S11+Deals!S12+Deals!S13+Deals!S14+Deals!S15+Deals!S8</f>
        <v>0</v>
      </c>
      <c r="P31" s="713">
        <f>Deals!T10+Deals!T11+Deals!T12+Deals!T13+Deals!T14+Deals!T15+Deals!T8</f>
        <v>0</v>
      </c>
      <c r="Q31" s="713">
        <f>Deals!U10+Deals!U11+Deals!U12+Deals!U13+Deals!U14+Deals!U15+Deals!U8</f>
        <v>0</v>
      </c>
      <c r="R31" s="713">
        <f>Deals!V10+Deals!V11+Deals!V12+Deals!V13+Deals!V14+Deals!V15+Deals!V8</f>
        <v>0</v>
      </c>
      <c r="S31" s="713">
        <f>Deals!W10+Deals!W11+Deals!W12+Deals!W13+Deals!W14+Deals!W15+Deals!W8</f>
        <v>0</v>
      </c>
      <c r="T31" s="713">
        <f>Deals!X10+Deals!X11+Deals!X12+Deals!X13+Deals!X14+Deals!X15+Deals!X8</f>
        <v>0</v>
      </c>
      <c r="U31" s="713">
        <f>Deals!Y10+Deals!Y11+Deals!Y12+Deals!Y13+Deals!Y14+Deals!Y15+Deals!Y8</f>
        <v>0</v>
      </c>
      <c r="V31" s="713">
        <f>Deals!Z10+Deals!Z11+Deals!Z12+Deals!Z13+Deals!Z14+Deals!Z15+Deals!Z8</f>
        <v>0</v>
      </c>
      <c r="W31" s="713">
        <f>Deals!AA10+Deals!AA11+Deals!AA12+Deals!AA13+Deals!AA14+Deals!AA15</f>
        <v>0</v>
      </c>
      <c r="X31" s="713">
        <f>Deals!AB10+Deals!AB11+Deals!AB12+Deals!AB13+Deals!AB14+Deals!AB15+Deals!AB8</f>
        <v>103</v>
      </c>
      <c r="Y31" s="713">
        <f>Deals!AC10+Deals!AC11+Deals!AC12+Deals!AC13+Deals!AC14+Deals!AC15+Deals!AC8</f>
        <v>103</v>
      </c>
      <c r="Z31" s="160"/>
      <c r="AA31" s="162"/>
    </row>
    <row r="32" spans="1:27" s="161" customFormat="1" ht="11.4" x14ac:dyDescent="0.2">
      <c r="A32" s="514" t="s">
        <v>120</v>
      </c>
      <c r="B32" s="631">
        <f t="array" aca="1" ref="B32" ca="1">SUM(IF((DelPoint= "PV")*IF((DType = "firm")+(DType = "econ")&gt;0,1,0)*(OFFSET(DelPoint,0,B3+2)&gt;0),OFFSET(DelPoint,0,B3+2),0))</f>
        <v>40</v>
      </c>
      <c r="C32" s="202">
        <f t="array" aca="1" ref="C32" ca="1">SUM(IF((DelPoint= "PV")*IF((DType = "firm")+(DType = "econ")&gt;0,1,0)*(OFFSET(DelPoint,0,C3+2)&gt;0),OFFSET(DelPoint,0,C3+2),0))</f>
        <v>80</v>
      </c>
      <c r="D32" s="202">
        <f t="array" aca="1" ref="D32" ca="1">SUM(IF((DelPoint= "PV")*IF((DType = "firm")+(DType = "econ")&gt;0,1,0)*(OFFSET(DelPoint,0,D3+2)&gt;0),OFFSET(DelPoint,0,D3+2),0))</f>
        <v>80</v>
      </c>
      <c r="E32" s="202">
        <f t="array" aca="1" ref="E32" ca="1">SUM(IF((DelPoint= "PV")*IF((DType = "firm")+(DType = "econ")&gt;0,1,0)*(OFFSET(DelPoint,0,E3+2)&gt;0),OFFSET(DelPoint,0,E3+2),0))</f>
        <v>80</v>
      </c>
      <c r="F32" s="202">
        <f t="array" aca="1" ref="F32" ca="1">SUM(IF((DelPoint= "PV")*IF((DType = "firm")+(DType = "econ")&gt;0,1,0)*(OFFSET(DelPoint,0,F3+2)&gt;0),OFFSET(DelPoint,0,F3+2),0))</f>
        <v>80</v>
      </c>
      <c r="G32" s="202">
        <f t="array" aca="1" ref="G32" ca="1">SUM(IF((DelPoint= "PV")*IF((DType = "firm")+(DType = "econ")&gt;0,1,0)*(OFFSET(DelPoint,0,G3+2)&gt;0),OFFSET(DelPoint,0,G3+2),0))</f>
        <v>40</v>
      </c>
      <c r="H32" s="202">
        <f t="array" aca="1" ref="H32" ca="1">SUM(IF((DelPoint= "PV")*IF((DType = "firm")+(DType = "econ")&gt;0,1,0)*(OFFSET(DelPoint,0,H3+2)&gt;0),OFFSET(DelPoint,0,H3+2),0))</f>
        <v>80</v>
      </c>
      <c r="I32" s="202">
        <f t="array" aca="1" ref="I32" ca="1">SUM(IF((DelPoint= "PV")*IF((DType = "firm")+(DType = "econ")&gt;0,1,0)*(OFFSET(DelPoint,0,I3+2)&gt;0),OFFSET(DelPoint,0,I3+2),0))</f>
        <v>80</v>
      </c>
      <c r="J32" s="202">
        <f t="array" aca="1" ref="J32" ca="1">SUM(IF((DelPoint= "PV")*IF((DType = "firm")+(DType = "econ")&gt;0,1,0)*(OFFSET(DelPoint,0,J3+2)&gt;0),OFFSET(DelPoint,0,J3+2),0))</f>
        <v>49</v>
      </c>
      <c r="K32" s="202">
        <f t="array" aca="1" ref="K32" ca="1">SUM(IF((DelPoint= "PV")*IF((DType = "firm")+(DType = "econ")&gt;0,1,0)*(OFFSET(DelPoint,0,K3+2)&gt;0),OFFSET(DelPoint,0,K3+2),0))</f>
        <v>22</v>
      </c>
      <c r="L32" s="202">
        <f t="array" aca="1" ref="L32" ca="1">SUM(IF((DelPoint= "PV")*IF((DType = "firm")+(DType = "econ")&gt;0,1,0)*(OFFSET(DelPoint,0,L3+2)&gt;0),OFFSET(DelPoint,0,L3+2),0))</f>
        <v>24</v>
      </c>
      <c r="M32" s="202">
        <f t="array" aca="1" ref="M32" ca="1">SUM(IF((DelPoint= "PV")*IF((DType = "firm")+(DType = "econ")&gt;0,1,0)*(OFFSET(DelPoint,0,M3+2)&gt;0),OFFSET(DelPoint,0,M3+2),0))</f>
        <v>24</v>
      </c>
      <c r="N32" s="202">
        <f t="array" aca="1" ref="N32" ca="1">SUM(IF((DelPoint= "PV")*IF((DType = "firm")+(DType = "econ")&gt;0,1,0)*(OFFSET(DelPoint,0,N3+2)&gt;0),OFFSET(DelPoint,0,N3+2),0))</f>
        <v>24</v>
      </c>
      <c r="O32" s="202">
        <f t="array" aca="1" ref="O32" ca="1">SUM(IF((DelPoint= "PV")*IF((DType = "firm")+(DType = "econ")&gt;0,1,0)*(OFFSET(DelPoint,0,O3+2)&gt;0),OFFSET(DelPoint,0,O3+2),0))</f>
        <v>24</v>
      </c>
      <c r="P32" s="202">
        <f t="array" aca="1" ref="P32" ca="1">SUM(IF((DelPoint= "PV")*IF((DType = "firm")+(DType = "econ")&gt;0,1,0)*(OFFSET(DelPoint,0,P3+2)&gt;0),OFFSET(DelPoint,0,P3+2),0))</f>
        <v>24</v>
      </c>
      <c r="Q32" s="202">
        <f t="array" aca="1" ref="Q32" ca="1">SUM(IF((DelPoint= "PV")*IF((DType = "firm")+(DType = "econ")&gt;0,1,0)*(OFFSET(DelPoint,0,Q3+2)&gt;0),OFFSET(DelPoint,0,Q3+2),0))</f>
        <v>49</v>
      </c>
      <c r="R32" s="202">
        <f t="array" aca="1" ref="R32" ca="1">SUM(IF((DelPoint= "PV")*IF((DType = "firm")+(DType = "econ")&gt;0,1,0)*(OFFSET(DelPoint,0,R3+2)&gt;0),OFFSET(DelPoint,0,R3+2),0))</f>
        <v>49</v>
      </c>
      <c r="S32" s="202">
        <f t="array" aca="1" ref="S32" ca="1">SUM(IF((DelPoint= "PV")*IF((DType = "firm")+(DType = "econ")&gt;0,1,0)*(OFFSET(DelPoint,0,S3+2)&gt;0),OFFSET(DelPoint,0,S3+2),0))</f>
        <v>74</v>
      </c>
      <c r="T32" s="202">
        <f t="array" aca="1" ref="T32" ca="1">SUM(IF((DelPoint= "PV")*IF((DType = "firm")+(DType = "econ")&gt;0,1,0)*(OFFSET(DelPoint,0,T3+2)&gt;0),OFFSET(DelPoint,0,T3+2),0))</f>
        <v>74</v>
      </c>
      <c r="U32" s="202">
        <f t="array" aca="1" ref="U32" ca="1">SUM(IF((DelPoint= "PV")*IF((DType = "firm")+(DType = "econ")&gt;0,1,0)*(OFFSET(DelPoint,0,U3+2)&gt;0),OFFSET(DelPoint,0,U3+2),0))</f>
        <v>24</v>
      </c>
      <c r="V32" s="202">
        <f t="array" aca="1" ref="V32" ca="1">SUM(IF((DelPoint= "PV")*IF((DType = "firm")+(DType = "econ")&gt;0,1,0)*(OFFSET(DelPoint,0,V3+2)&gt;0),OFFSET(DelPoint,0,V3+2),0))</f>
        <v>24</v>
      </c>
      <c r="W32" s="202">
        <f t="array" aca="1" ref="W32" ca="1">SUM(IF((DelPoint= "PV")*IF((DType = "firm")+(DType = "econ")&gt;0,1,0)*(OFFSET(DelPoint,0,W3+2)&gt;0),OFFSET(DelPoint,0,W3+2),0))</f>
        <v>74</v>
      </c>
      <c r="X32" s="202">
        <f t="array" aca="1" ref="X32" ca="1">SUM(IF((DelPoint= "PV")*IF((DType = "firm")+(DType = "econ")&gt;0,1,0)*(OFFSET(DelPoint,0,X3+2)&gt;0),OFFSET(DelPoint,0,X3+2),0))</f>
        <v>40</v>
      </c>
      <c r="Y32" s="650">
        <f t="array" aca="1" ref="Y32" ca="1">SUM(IF((DelPoint= "PV")*IF((DType = "firm")+(DType = "econ")&gt;0,1,0)*(OFFSET(DelPoint,0,Y3+2)&gt;0),OFFSET(DelPoint,0,Y3+2),0))</f>
        <v>200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20</v>
      </c>
      <c r="D34" s="523">
        <f t="array" aca="1" ref="D34" ca="1">SUM(IF((DelPoint= "hidalgo")*IF((DType = "firm")+(DType = "econ")&gt;0,1,0)*(OFFSET(DelPoint,0,D3+2)&gt;0),OFFSET(DelPoint,0,D3+2),0))</f>
        <v>20</v>
      </c>
      <c r="E34" s="523">
        <f t="array" aca="1" ref="E34" ca="1">SUM(IF((DelPoint= "hidalgo")*IF((DType = "firm")+(DType = "econ")&gt;0,1,0)*(OFFSET(DelPoint,0,E3+2)&gt;0),OFFSET(DelPoint,0,E3+2),0))</f>
        <v>20</v>
      </c>
      <c r="F34" s="523">
        <f t="array" aca="1" ref="F34" ca="1">SUM(IF((DelPoint= "hidalgo")*IF((DType = "firm")+(DType = "econ")&gt;0,1,0)*(OFFSET(DelPoint,0,F3+2)&gt;0),OFFSET(DelPoint,0,F3+2),0))</f>
        <v>20</v>
      </c>
      <c r="G34" s="523">
        <f t="array" aca="1" ref="G34" ca="1">SUM(IF((DelPoint= "hidalgo")*IF((DType = "firm")+(DType = "econ")&gt;0,1,0)*(OFFSET(DelPoint,0,G3+2)&gt;0),OFFSET(DelPoint,0,G3+2),0))</f>
        <v>20</v>
      </c>
      <c r="H34" s="523">
        <f t="array" aca="1" ref="H34" ca="1">SUM(IF((DelPoint= "hidalgo")*IF((DType = "firm")+(DType = "econ")&gt;0,1,0)*(OFFSET(DelPoint,0,H3+2)&gt;0),OFFSET(DelPoint,0,H3+2),0))</f>
        <v>20</v>
      </c>
      <c r="I34" s="523">
        <f t="array" aca="1" ref="I34" ca="1">SUM(IF((DelPoint= "hidalgo")*IF((DType = "firm")+(DType = "econ")&gt;0,1,0)*(OFFSET(DelPoint,0,I3+2)&gt;0),OFFSET(DelPoint,0,I3+2),0))</f>
        <v>20</v>
      </c>
      <c r="J34" s="523">
        <f t="array" aca="1" ref="J34" ca="1">SUM(IF((DelPoint= "hidalgo")*IF((DType = "firm")+(DType = "econ")&gt;0,1,0)*(OFFSET(DelPoint,0,J3+2)&gt;0),OFFSET(DelPoint,0,J3+2),0))</f>
        <v>20</v>
      </c>
      <c r="K34" s="523">
        <f t="array" aca="1" ref="K34" ca="1">SUM(IF((DelPoint= "hidalgo")*IF((DType = "firm")+(DType = "econ")&gt;0,1,0)*(OFFSET(DelPoint,0,K3+2)&gt;0),OFFSET(DelPoint,0,K3+2),0))</f>
        <v>20</v>
      </c>
      <c r="L34" s="523">
        <f t="array" aca="1" ref="L34" ca="1">SUM(IF((DelPoint= "hidalgo")*IF((DType = "firm")+(DType = "econ")&gt;0,1,0)*(OFFSET(DelPoint,0,L3+2)&gt;0),OFFSET(DelPoint,0,L3+2),0))</f>
        <v>20</v>
      </c>
      <c r="M34" s="523">
        <f t="array" aca="1" ref="M34" ca="1">SUM(IF((DelPoint= "hidalgo")*IF((DType = "firm")+(DType = "econ")&gt;0,1,0)*(OFFSET(DelPoint,0,M3+2)&gt;0),OFFSET(DelPoint,0,M3+2),0))</f>
        <v>20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10</v>
      </c>
      <c r="R34" s="523">
        <f t="array" aca="1" ref="R34" ca="1">SUM(IF((DelPoint= "hidalgo")*IF((DType = "firm")+(DType = "econ")&gt;0,1,0)*(OFFSET(DelPoint,0,R3+2)&gt;0),OFFSET(DelPoint,0,R3+2),0))</f>
        <v>10</v>
      </c>
      <c r="S34" s="523">
        <f t="array" aca="1" ref="S34" ca="1">SUM(IF((DelPoint= "hidalgo")*IF((DType = "firm")+(DType = "econ")&gt;0,1,0)*(OFFSET(DelPoint,0,S3+2)&gt;0),OFFSET(DelPoint,0,S3+2),0))</f>
        <v>10</v>
      </c>
      <c r="T34" s="523">
        <f t="array" aca="1" ref="T34" ca="1">SUM(IF((DelPoint= "hidalgo")*IF((DType = "firm")+(DType = "econ")&gt;0,1,0)*(OFFSET(DelPoint,0,T3+2)&gt;0),OFFSET(DelPoint,0,T3+2),0))</f>
        <v>10</v>
      </c>
      <c r="U34" s="523">
        <f t="array" aca="1" ref="U34" ca="1">SUM(IF((DelPoint= "hidalgo")*IF((DType = "firm")+(DType = "econ")&gt;0,1,0)*(OFFSET(DelPoint,0,U3+2)&gt;0),OFFSET(DelPoint,0,U3+2),0))</f>
        <v>10</v>
      </c>
      <c r="V34" s="523">
        <f t="array" aca="1" ref="V34" ca="1">SUM(IF((DelPoint= "hidalgo")*IF((DType = "firm")+(DType = "econ")&gt;0,1,0)*(OFFSET(DelPoint,0,V3+2)&gt;0),OFFSET(DelPoint,0,V3+2),0))</f>
        <v>10</v>
      </c>
      <c r="W34" s="523">
        <f t="array" aca="1" ref="W34" ca="1">SUM(IF((DelPoint= "hidalgo")*IF((DType = "firm")+(DType = "econ")&gt;0,1,0)*(OFFSET(DelPoint,0,W3+2)&gt;0),OFFSET(DelPoint,0,W3+2),0))</f>
        <v>10</v>
      </c>
      <c r="X34" s="523">
        <f t="array" aca="1" ref="X34" ca="1">SUM(IF((DelPoint= "hidalgo")*IF((DType = "firm")+(DType = "econ")&gt;0,1,0)*(OFFSET(DelPoint,0,X3+2)&gt;0),OFFSET(DelPoint,0,X3+2),0))</f>
        <v>15</v>
      </c>
      <c r="Y34" s="525">
        <f t="array" aca="1" ref="Y34" ca="1">SUM(IF((DelPoint= "hidalgo")*IF((DType = "firm")+(DType = "econ")&gt;0,1,0)*(OFFSET(DelPoint,0,Y3+2)&gt;0),OFFSET(DelPoint,0,Y3+2),0))</f>
        <v>15</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843</v>
      </c>
      <c r="C38" s="550">
        <f ca="1">SUM(C22:C37)+C4+C5</f>
        <v>880</v>
      </c>
      <c r="D38" s="550">
        <f ca="1">SUM(D22:D37)+D4+D5</f>
        <v>897</v>
      </c>
      <c r="E38" s="550">
        <f ca="1">SUM(E22:E37)+E4+E5</f>
        <v>912</v>
      </c>
      <c r="F38" s="550">
        <f ca="1">SUM(F22:F37)+F4+F5</f>
        <v>1009</v>
      </c>
      <c r="G38" s="550">
        <f t="shared" ref="G38:Y38" ca="1" si="6">SUM(G22:G37)+G4+G5</f>
        <v>1063</v>
      </c>
      <c r="H38" s="550">
        <f t="shared" ca="1" si="6"/>
        <v>990</v>
      </c>
      <c r="I38" s="550">
        <f t="shared" ca="1" si="6"/>
        <v>1072</v>
      </c>
      <c r="J38" s="550">
        <f t="shared" ca="1" si="6"/>
        <v>1096</v>
      </c>
      <c r="K38" s="550">
        <f t="shared" ca="1" si="6"/>
        <v>1112</v>
      </c>
      <c r="L38" s="550">
        <f t="shared" ca="1" si="6"/>
        <v>1115</v>
      </c>
      <c r="M38" s="550">
        <f t="shared" ca="1" si="6"/>
        <v>1130</v>
      </c>
      <c r="N38" s="550">
        <f t="shared" ca="1" si="6"/>
        <v>1076</v>
      </c>
      <c r="O38" s="550">
        <f t="shared" ca="1" si="6"/>
        <v>1047</v>
      </c>
      <c r="P38" s="550">
        <f t="shared" ca="1" si="6"/>
        <v>1032</v>
      </c>
      <c r="Q38" s="550">
        <f t="shared" ca="1" si="6"/>
        <v>1083</v>
      </c>
      <c r="R38" s="550">
        <f t="shared" ca="1" si="6"/>
        <v>1045</v>
      </c>
      <c r="S38" s="550">
        <f t="shared" ca="1" si="6"/>
        <v>1083</v>
      </c>
      <c r="T38" s="550">
        <f t="shared" ca="1" si="6"/>
        <v>1116</v>
      </c>
      <c r="U38" s="550">
        <f t="shared" ca="1" si="6"/>
        <v>1121</v>
      </c>
      <c r="V38" s="550">
        <f t="shared" ca="1" si="6"/>
        <v>1092</v>
      </c>
      <c r="W38" s="550">
        <f t="shared" ca="1" si="6"/>
        <v>1091</v>
      </c>
      <c r="X38" s="550">
        <f t="shared" ca="1" si="6"/>
        <v>1090</v>
      </c>
      <c r="Y38" s="551">
        <f t="shared" ca="1" si="6"/>
        <v>1061</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31</v>
      </c>
      <c r="C41" s="191">
        <v>32</v>
      </c>
      <c r="D41" s="191">
        <v>33</v>
      </c>
      <c r="E41" s="603">
        <v>33</v>
      </c>
      <c r="F41" s="191">
        <v>32</v>
      </c>
      <c r="G41" s="191">
        <v>32</v>
      </c>
      <c r="H41" s="191">
        <v>31</v>
      </c>
      <c r="I41" s="191">
        <v>41</v>
      </c>
      <c r="J41" s="191">
        <v>66</v>
      </c>
      <c r="K41" s="191">
        <v>73</v>
      </c>
      <c r="L41" s="191">
        <v>66</v>
      </c>
      <c r="M41" s="191">
        <v>64</v>
      </c>
      <c r="N41" s="191">
        <v>60</v>
      </c>
      <c r="O41" s="191">
        <v>57</v>
      </c>
      <c r="P41" s="191">
        <v>40</v>
      </c>
      <c r="Q41" s="191">
        <v>40</v>
      </c>
      <c r="R41" s="191">
        <v>38</v>
      </c>
      <c r="S41" s="191">
        <v>39</v>
      </c>
      <c r="T41" s="191">
        <v>64</v>
      </c>
      <c r="U41" s="191">
        <v>75</v>
      </c>
      <c r="V41" s="191">
        <v>38</v>
      </c>
      <c r="W41" s="191">
        <v>38</v>
      </c>
      <c r="X41" s="191">
        <v>38</v>
      </c>
      <c r="Y41" s="576">
        <v>39</v>
      </c>
      <c r="Z41" s="354">
        <v>80</v>
      </c>
      <c r="AA41" s="214">
        <f ca="1">-Economics!D34/Economics!I34</f>
        <v>12773.61985809949</v>
      </c>
    </row>
    <row r="42" spans="1:33" s="161" customFormat="1" ht="15" customHeight="1" x14ac:dyDescent="0.2">
      <c r="A42" s="575" t="s">
        <v>131</v>
      </c>
      <c r="B42" s="191">
        <v>32</v>
      </c>
      <c r="C42" s="191">
        <v>31</v>
      </c>
      <c r="D42" s="191">
        <v>32</v>
      </c>
      <c r="E42" s="603">
        <v>31</v>
      </c>
      <c r="F42" s="191">
        <v>37</v>
      </c>
      <c r="G42" s="191">
        <v>71</v>
      </c>
      <c r="H42" s="191">
        <v>63</v>
      </c>
      <c r="I42" s="191">
        <v>47</v>
      </c>
      <c r="J42" s="191">
        <v>76</v>
      </c>
      <c r="K42" s="191">
        <v>71</v>
      </c>
      <c r="L42" s="191">
        <v>74</v>
      </c>
      <c r="M42" s="191">
        <v>78</v>
      </c>
      <c r="N42" s="191">
        <v>69</v>
      </c>
      <c r="O42" s="191">
        <v>66</v>
      </c>
      <c r="P42" s="191">
        <v>42</v>
      </c>
      <c r="Q42" s="191">
        <v>60</v>
      </c>
      <c r="R42" s="191">
        <v>44</v>
      </c>
      <c r="S42" s="191">
        <v>53</v>
      </c>
      <c r="T42" s="191">
        <v>56</v>
      </c>
      <c r="U42" s="191">
        <v>52</v>
      </c>
      <c r="V42" s="191">
        <v>48</v>
      </c>
      <c r="W42" s="191">
        <v>49</v>
      </c>
      <c r="X42" s="191">
        <v>51</v>
      </c>
      <c r="Y42" s="576">
        <v>48</v>
      </c>
      <c r="Z42" s="354">
        <v>78</v>
      </c>
      <c r="AA42" s="214">
        <f ca="1">-Economics!D35/Economics!I35</f>
        <v>13457.837412308674</v>
      </c>
    </row>
    <row r="43" spans="1:33" s="161" customFormat="1" ht="12.75" customHeight="1" x14ac:dyDescent="0.2">
      <c r="A43" s="577" t="s">
        <v>132</v>
      </c>
      <c r="B43" s="192">
        <v>37</v>
      </c>
      <c r="C43" s="192">
        <v>57</v>
      </c>
      <c r="D43" s="192">
        <v>81</v>
      </c>
      <c r="E43" s="604">
        <v>60</v>
      </c>
      <c r="F43" s="192">
        <v>88</v>
      </c>
      <c r="G43" s="192">
        <v>94</v>
      </c>
      <c r="H43" s="192">
        <v>40</v>
      </c>
      <c r="I43" s="192">
        <v>79</v>
      </c>
      <c r="J43" s="192">
        <v>59</v>
      </c>
      <c r="K43" s="192">
        <v>88</v>
      </c>
      <c r="L43" s="192">
        <v>94</v>
      </c>
      <c r="M43" s="192">
        <v>95</v>
      </c>
      <c r="N43" s="192">
        <v>73</v>
      </c>
      <c r="O43" s="192">
        <v>59</v>
      </c>
      <c r="P43" s="192">
        <v>100</v>
      </c>
      <c r="Q43" s="192">
        <v>87</v>
      </c>
      <c r="R43" s="192">
        <v>56</v>
      </c>
      <c r="S43" s="192">
        <v>100</v>
      </c>
      <c r="T43" s="192">
        <v>99</v>
      </c>
      <c r="U43" s="192">
        <v>89</v>
      </c>
      <c r="V43" s="192">
        <v>72</v>
      </c>
      <c r="W43" s="192">
        <v>82</v>
      </c>
      <c r="X43" s="192">
        <v>67</v>
      </c>
      <c r="Y43" s="578">
        <v>68</v>
      </c>
      <c r="Z43" s="356">
        <v>103</v>
      </c>
      <c r="AA43" s="215">
        <f ca="1">-Economics!D36/Economics!I36</f>
        <v>18511.872209821428</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92</v>
      </c>
      <c r="C46" s="191">
        <v>100</v>
      </c>
      <c r="D46" s="191">
        <v>100</v>
      </c>
      <c r="E46" s="191">
        <v>100</v>
      </c>
      <c r="F46" s="191">
        <v>100</v>
      </c>
      <c r="G46" s="191">
        <v>96</v>
      </c>
      <c r="H46" s="191">
        <v>88</v>
      </c>
      <c r="I46" s="191">
        <v>100</v>
      </c>
      <c r="J46" s="191">
        <v>99</v>
      </c>
      <c r="K46" s="191">
        <v>97</v>
      </c>
      <c r="L46" s="191">
        <v>95</v>
      </c>
      <c r="M46" s="191">
        <v>98</v>
      </c>
      <c r="N46" s="191">
        <v>94</v>
      </c>
      <c r="O46" s="191">
        <v>93</v>
      </c>
      <c r="P46" s="191">
        <v>99</v>
      </c>
      <c r="Q46" s="191">
        <v>0</v>
      </c>
      <c r="R46" s="191">
        <v>0</v>
      </c>
      <c r="S46" s="191">
        <v>99</v>
      </c>
      <c r="T46" s="191">
        <v>98</v>
      </c>
      <c r="U46" s="191">
        <v>0</v>
      </c>
      <c r="V46" s="191">
        <v>0</v>
      </c>
      <c r="W46" s="191">
        <v>0</v>
      </c>
      <c r="X46" s="191">
        <v>0</v>
      </c>
      <c r="Y46" s="576">
        <v>0</v>
      </c>
      <c r="Z46" s="354">
        <v>108</v>
      </c>
      <c r="AA46" s="214">
        <f ca="1">-Economics!D39/Economics!I39</f>
        <v>15392.846181441328</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134</v>
      </c>
      <c r="R48" s="192">
        <v>165</v>
      </c>
      <c r="S48" s="192">
        <v>0</v>
      </c>
      <c r="T48" s="192">
        <v>0</v>
      </c>
      <c r="U48" s="192">
        <v>127</v>
      </c>
      <c r="V48" s="192">
        <v>187</v>
      </c>
      <c r="W48" s="192">
        <v>168</v>
      </c>
      <c r="X48" s="192">
        <v>152</v>
      </c>
      <c r="Y48" s="578">
        <v>151</v>
      </c>
      <c r="Z48" s="356">
        <v>212</v>
      </c>
      <c r="AA48" s="215">
        <f ca="1">-Economics!D41/Economics!I41</f>
        <v>10396.220304528062</v>
      </c>
    </row>
    <row r="49" spans="1:27" s="161" customFormat="1" ht="12.75" customHeight="1" x14ac:dyDescent="0.2">
      <c r="A49" s="577" t="s">
        <v>134</v>
      </c>
      <c r="B49" s="192">
        <v>31</v>
      </c>
      <c r="C49" s="192">
        <v>36</v>
      </c>
      <c r="D49" s="192">
        <v>30</v>
      </c>
      <c r="E49" s="192">
        <v>16</v>
      </c>
      <c r="F49" s="192">
        <v>26</v>
      </c>
      <c r="G49" s="192">
        <v>51</v>
      </c>
      <c r="H49" s="192">
        <v>49</v>
      </c>
      <c r="I49" s="192">
        <v>69</v>
      </c>
      <c r="J49" s="192">
        <v>68</v>
      </c>
      <c r="K49" s="192">
        <v>62</v>
      </c>
      <c r="L49" s="192">
        <v>62</v>
      </c>
      <c r="M49" s="192">
        <v>67</v>
      </c>
      <c r="N49" s="192">
        <v>60</v>
      </c>
      <c r="O49" s="192">
        <v>58</v>
      </c>
      <c r="P49" s="192">
        <v>29</v>
      </c>
      <c r="Q49" s="192">
        <v>45</v>
      </c>
      <c r="R49" s="192">
        <v>13</v>
      </c>
      <c r="S49" s="192">
        <v>60</v>
      </c>
      <c r="T49" s="192">
        <v>67</v>
      </c>
      <c r="U49" s="192">
        <v>57</v>
      </c>
      <c r="V49" s="192">
        <v>20</v>
      </c>
      <c r="W49" s="192">
        <v>22</v>
      </c>
      <c r="X49" s="192">
        <v>49</v>
      </c>
      <c r="Y49" s="578">
        <v>34</v>
      </c>
      <c r="Z49" s="356">
        <v>68</v>
      </c>
      <c r="AA49" s="215">
        <f ca="1">-Economics!D42/Economics!I42</f>
        <v>0</v>
      </c>
    </row>
    <row r="50" spans="1:27" s="161" customFormat="1" ht="12.75" customHeight="1" x14ac:dyDescent="0.2">
      <c r="A50" s="575" t="s">
        <v>135</v>
      </c>
      <c r="B50" s="191">
        <v>35</v>
      </c>
      <c r="C50" s="191">
        <v>35</v>
      </c>
      <c r="D50" s="191">
        <v>35</v>
      </c>
      <c r="E50" s="191">
        <v>35</v>
      </c>
      <c r="F50" s="191">
        <v>34</v>
      </c>
      <c r="G50" s="191">
        <v>35</v>
      </c>
      <c r="H50" s="191">
        <v>37</v>
      </c>
      <c r="I50" s="191">
        <v>37</v>
      </c>
      <c r="J50" s="191">
        <v>37</v>
      </c>
      <c r="K50" s="191">
        <v>37</v>
      </c>
      <c r="L50" s="191">
        <v>37</v>
      </c>
      <c r="M50" s="191">
        <v>37</v>
      </c>
      <c r="N50" s="191">
        <v>37</v>
      </c>
      <c r="O50" s="191">
        <v>37</v>
      </c>
      <c r="P50" s="191">
        <v>37</v>
      </c>
      <c r="Q50" s="191">
        <v>37</v>
      </c>
      <c r="R50" s="191">
        <v>38</v>
      </c>
      <c r="S50" s="191">
        <v>37</v>
      </c>
      <c r="T50" s="191">
        <v>37</v>
      </c>
      <c r="U50" s="191">
        <v>38</v>
      </c>
      <c r="V50" s="191">
        <v>38</v>
      </c>
      <c r="W50" s="191">
        <v>38</v>
      </c>
      <c r="X50" s="191">
        <v>37</v>
      </c>
      <c r="Y50" s="576">
        <v>38</v>
      </c>
      <c r="Z50" s="354">
        <v>48</v>
      </c>
      <c r="AA50" s="214">
        <f ca="1">-Economics!D43/Economics!I43</f>
        <v>10729.23800089713</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v>83</v>
      </c>
      <c r="C52" s="191">
        <v>83</v>
      </c>
      <c r="D52" s="191">
        <v>84</v>
      </c>
      <c r="E52" s="191">
        <v>83</v>
      </c>
      <c r="F52" s="191">
        <v>83</v>
      </c>
      <c r="G52" s="191">
        <v>83</v>
      </c>
      <c r="H52" s="191">
        <v>82</v>
      </c>
      <c r="I52" s="191">
        <v>84</v>
      </c>
      <c r="J52" s="191">
        <v>83</v>
      </c>
      <c r="K52" s="191">
        <v>84</v>
      </c>
      <c r="L52" s="191">
        <v>83</v>
      </c>
      <c r="M52" s="191">
        <v>84</v>
      </c>
      <c r="N52" s="191">
        <v>83</v>
      </c>
      <c r="O52" s="191">
        <v>84</v>
      </c>
      <c r="P52" s="191">
        <v>83</v>
      </c>
      <c r="Q52" s="191">
        <v>83</v>
      </c>
      <c r="R52" s="191">
        <v>84</v>
      </c>
      <c r="S52" s="191">
        <v>83</v>
      </c>
      <c r="T52" s="191">
        <v>83</v>
      </c>
      <c r="U52" s="191">
        <v>85</v>
      </c>
      <c r="V52" s="191">
        <v>83</v>
      </c>
      <c r="W52" s="191">
        <v>82</v>
      </c>
      <c r="X52" s="191">
        <v>81</v>
      </c>
      <c r="Y52" s="576">
        <v>83</v>
      </c>
      <c r="Z52" s="357">
        <v>130</v>
      </c>
      <c r="AA52" s="216">
        <f ca="1">-Economics!D45/Economics!I45</f>
        <v>20247.430098684214</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132</v>
      </c>
      <c r="K55" s="191">
        <v>133</v>
      </c>
      <c r="L55" s="191">
        <v>133</v>
      </c>
      <c r="M55" s="191">
        <v>133</v>
      </c>
      <c r="N55" s="191">
        <v>133</v>
      </c>
      <c r="O55" s="191">
        <v>133</v>
      </c>
      <c r="P55" s="191">
        <v>133</v>
      </c>
      <c r="Q55" s="191">
        <v>133</v>
      </c>
      <c r="R55" s="191">
        <v>133</v>
      </c>
      <c r="S55" s="191">
        <v>133</v>
      </c>
      <c r="T55" s="191">
        <v>133</v>
      </c>
      <c r="U55" s="191">
        <v>133</v>
      </c>
      <c r="V55" s="191">
        <v>133</v>
      </c>
      <c r="W55" s="191">
        <v>133</v>
      </c>
      <c r="X55" s="191">
        <v>133</v>
      </c>
      <c r="Y55" s="576">
        <v>133</v>
      </c>
      <c r="Z55" s="354">
        <v>198</v>
      </c>
      <c r="AA55" s="212"/>
    </row>
    <row r="56" spans="1:27" s="161" customFormat="1" ht="12.75" customHeight="1" x14ac:dyDescent="0.2">
      <c r="A56" s="575" t="s">
        <v>125</v>
      </c>
      <c r="B56" s="191">
        <v>5</v>
      </c>
      <c r="C56" s="191">
        <v>5</v>
      </c>
      <c r="D56" s="191">
        <v>6</v>
      </c>
      <c r="E56" s="191">
        <v>53</v>
      </c>
      <c r="F56" s="191">
        <v>105</v>
      </c>
      <c r="G56" s="191">
        <v>103</v>
      </c>
      <c r="H56" s="191">
        <v>104</v>
      </c>
      <c r="I56" s="191">
        <v>104</v>
      </c>
      <c r="J56" s="191">
        <v>104</v>
      </c>
      <c r="K56" s="191">
        <v>104</v>
      </c>
      <c r="L56" s="191">
        <v>105</v>
      </c>
      <c r="M56" s="191">
        <v>103</v>
      </c>
      <c r="N56" s="191">
        <v>105</v>
      </c>
      <c r="O56" s="191">
        <v>105</v>
      </c>
      <c r="P56" s="191">
        <v>104</v>
      </c>
      <c r="Q56" s="191">
        <v>104</v>
      </c>
      <c r="R56" s="191">
        <v>105</v>
      </c>
      <c r="S56" s="191">
        <v>104</v>
      </c>
      <c r="T56" s="191">
        <v>105</v>
      </c>
      <c r="U56" s="191">
        <v>104</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5</v>
      </c>
      <c r="C58" s="580">
        <f t="shared" ca="1" si="7"/>
        <v>1</v>
      </c>
      <c r="D58" s="580">
        <f t="shared" ca="1" si="7"/>
        <v>6</v>
      </c>
      <c r="E58" s="580">
        <f t="shared" ca="1" si="7"/>
        <v>1</v>
      </c>
      <c r="F58" s="580">
        <f t="shared" ca="1" si="7"/>
        <v>-2</v>
      </c>
      <c r="G58" s="580">
        <f t="shared" ca="1" si="7"/>
        <v>4</v>
      </c>
      <c r="H58" s="580">
        <f t="shared" ca="1" si="7"/>
        <v>6</v>
      </c>
      <c r="I58" s="580">
        <f t="shared" ca="1" si="7"/>
        <v>-9</v>
      </c>
      <c r="J58" s="580">
        <f t="shared" ca="1" si="7"/>
        <v>-3</v>
      </c>
      <c r="K58" s="580">
        <f t="shared" ca="1" si="7"/>
        <v>31</v>
      </c>
      <c r="L58" s="580">
        <f t="shared" ca="1" si="7"/>
        <v>28</v>
      </c>
      <c r="M58" s="580">
        <f t="shared" ca="1" si="7"/>
        <v>23</v>
      </c>
      <c r="N58" s="580">
        <f t="shared" ca="1" si="7"/>
        <v>7</v>
      </c>
      <c r="O58" s="580">
        <f t="shared" ca="1" si="7"/>
        <v>14</v>
      </c>
      <c r="P58" s="580">
        <f t="shared" ca="1" si="7"/>
        <v>4</v>
      </c>
      <c r="Q58" s="580">
        <f t="shared" ca="1" si="7"/>
        <v>9</v>
      </c>
      <c r="R58" s="580">
        <f t="shared" ca="1" si="7"/>
        <v>0</v>
      </c>
      <c r="S58" s="580">
        <f t="shared" ca="1" si="7"/>
        <v>-6</v>
      </c>
      <c r="T58" s="580">
        <f t="shared" ca="1" si="7"/>
        <v>-5</v>
      </c>
      <c r="U58" s="580">
        <f t="shared" ca="1" si="7"/>
        <v>8</v>
      </c>
      <c r="V58" s="580">
        <f t="shared" ca="1" si="7"/>
        <v>1</v>
      </c>
      <c r="W58" s="580">
        <f t="shared" ca="1" si="7"/>
        <v>-5</v>
      </c>
      <c r="X58" s="580">
        <f t="shared" ca="1" si="7"/>
        <v>-8</v>
      </c>
      <c r="Y58" s="580">
        <f t="shared" ca="1" si="7"/>
        <v>7</v>
      </c>
      <c r="Z58" s="355">
        <f>SUM(Z41:Z55)+Z41+Z42+Z43+Z48+Z49+Z50+Z51+Z52</f>
        <v>2416</v>
      </c>
      <c r="AA58" s="213">
        <f ca="1">SUM(AA41:AA55)</f>
        <v>101509.06406578032</v>
      </c>
    </row>
    <row r="59" spans="1:27" s="161" customFormat="1" ht="12" x14ac:dyDescent="0.2">
      <c r="A59" s="569">
        <v>0</v>
      </c>
      <c r="B59" s="570">
        <f t="shared" ref="B59:Y59" ca="1" si="8">SUM(B41:B57)-SUM(B7:B20)</f>
        <v>848</v>
      </c>
      <c r="C59" s="570">
        <f t="shared" ca="1" si="8"/>
        <v>881</v>
      </c>
      <c r="D59" s="570">
        <f t="shared" ca="1" si="8"/>
        <v>903</v>
      </c>
      <c r="E59" s="570">
        <f t="shared" ca="1" si="8"/>
        <v>913</v>
      </c>
      <c r="F59" s="570">
        <f t="shared" ca="1" si="8"/>
        <v>1007</v>
      </c>
      <c r="G59" s="570">
        <f t="shared" ca="1" si="8"/>
        <v>1067</v>
      </c>
      <c r="H59" s="570">
        <f t="shared" ca="1" si="8"/>
        <v>996</v>
      </c>
      <c r="I59" s="570">
        <f t="shared" ca="1" si="8"/>
        <v>1063</v>
      </c>
      <c r="J59" s="570">
        <f t="shared" ca="1" si="8"/>
        <v>1093</v>
      </c>
      <c r="K59" s="570">
        <f t="shared" ca="1" si="8"/>
        <v>1143</v>
      </c>
      <c r="L59" s="570">
        <f t="shared" ca="1" si="8"/>
        <v>1143</v>
      </c>
      <c r="M59" s="570">
        <f t="shared" ca="1" si="8"/>
        <v>1153</v>
      </c>
      <c r="N59" s="570">
        <f t="shared" ca="1" si="8"/>
        <v>1083</v>
      </c>
      <c r="O59" s="570">
        <f t="shared" ca="1" si="8"/>
        <v>1061</v>
      </c>
      <c r="P59" s="570">
        <f t="shared" ca="1" si="8"/>
        <v>1036</v>
      </c>
      <c r="Q59" s="570">
        <f t="shared" ca="1" si="8"/>
        <v>1092</v>
      </c>
      <c r="R59" s="570">
        <f t="shared" ca="1" si="8"/>
        <v>1045</v>
      </c>
      <c r="S59" s="570">
        <f t="shared" ca="1" si="8"/>
        <v>1077</v>
      </c>
      <c r="T59" s="570">
        <f ca="1">SUM(T41:T57)-SUM(T7:T20)</f>
        <v>1111</v>
      </c>
      <c r="U59" s="570">
        <f t="shared" ca="1" si="8"/>
        <v>1129</v>
      </c>
      <c r="V59" s="570">
        <f t="shared" ca="1" si="8"/>
        <v>1093</v>
      </c>
      <c r="W59" s="570">
        <f t="shared" ca="1" si="8"/>
        <v>1086</v>
      </c>
      <c r="X59" s="570">
        <f t="shared" ca="1" si="8"/>
        <v>1082</v>
      </c>
      <c r="Y59" s="570">
        <f t="shared" ca="1" si="8"/>
        <v>1068</v>
      </c>
      <c r="Z59" s="217">
        <f ca="1">SUM(Economics!D28:D45)</f>
        <v>-289556.44858187501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186</v>
      </c>
      <c r="C62" s="169">
        <f t="shared" ca="1" si="10"/>
        <v>166</v>
      </c>
      <c r="D62" s="169">
        <f t="shared" ca="1" si="10"/>
        <v>166</v>
      </c>
      <c r="E62" s="169">
        <f t="shared" ca="1" si="10"/>
        <v>166</v>
      </c>
      <c r="F62" s="169">
        <f t="shared" ca="1" si="10"/>
        <v>166</v>
      </c>
      <c r="G62" s="169">
        <f t="shared" ca="1" si="10"/>
        <v>186</v>
      </c>
      <c r="H62" s="169">
        <f t="shared" ca="1" si="10"/>
        <v>229</v>
      </c>
      <c r="I62" s="169">
        <f t="shared" ca="1" si="10"/>
        <v>214</v>
      </c>
      <c r="J62" s="169">
        <f ca="1">-SUM(J12:J15,J29:J32,J22) + SUM(J53:J55)</f>
        <v>229</v>
      </c>
      <c r="K62" s="169">
        <f t="shared" ca="1" si="10"/>
        <v>237</v>
      </c>
      <c r="L62" s="169">
        <f t="shared" ca="1" si="10"/>
        <v>245</v>
      </c>
      <c r="M62" s="169">
        <f t="shared" ca="1" si="10"/>
        <v>245</v>
      </c>
      <c r="N62" s="169">
        <f t="shared" ca="1" si="10"/>
        <v>225</v>
      </c>
      <c r="O62" s="169">
        <f t="shared" ca="1" si="10"/>
        <v>225</v>
      </c>
      <c r="P62" s="169">
        <f t="shared" ca="1" si="10"/>
        <v>225</v>
      </c>
      <c r="Q62" s="169">
        <f t="shared" ca="1" si="10"/>
        <v>200</v>
      </c>
      <c r="R62" s="169">
        <f t="shared" ca="1" si="10"/>
        <v>200</v>
      </c>
      <c r="S62" s="169">
        <f t="shared" ca="1" si="10"/>
        <v>175</v>
      </c>
      <c r="T62" s="169">
        <f t="shared" ca="1" si="10"/>
        <v>175</v>
      </c>
      <c r="U62" s="169">
        <f t="shared" ca="1" si="10"/>
        <v>225</v>
      </c>
      <c r="V62" s="169">
        <f t="shared" ca="1" si="10"/>
        <v>225</v>
      </c>
      <c r="W62" s="169">
        <f t="shared" ca="1" si="10"/>
        <v>175</v>
      </c>
      <c r="X62" s="169">
        <f t="shared" ca="1" si="10"/>
        <v>126</v>
      </c>
      <c r="Y62" s="170">
        <f t="shared" ca="1" si="10"/>
        <v>21</v>
      </c>
      <c r="Z62" s="193"/>
      <c r="AA62" s="162"/>
    </row>
    <row r="63" spans="1:27" s="161" customFormat="1" ht="12" x14ac:dyDescent="0.2">
      <c r="A63" s="195" t="s">
        <v>141</v>
      </c>
      <c r="B63" s="169">
        <f t="shared" ref="B63:L63" ca="1" si="11">-SUM(B8:B11,B25:B28) + SUM(B56:B57)</f>
        <v>5</v>
      </c>
      <c r="C63" s="169">
        <f t="shared" ca="1" si="11"/>
        <v>5</v>
      </c>
      <c r="D63" s="169">
        <f t="shared" ca="1" si="11"/>
        <v>-19</v>
      </c>
      <c r="E63" s="169">
        <f t="shared" ca="1" si="11"/>
        <v>13</v>
      </c>
      <c r="F63" s="169">
        <f t="shared" ca="1" si="11"/>
        <v>30</v>
      </c>
      <c r="G63" s="169">
        <f t="shared" ca="1" si="11"/>
        <v>43</v>
      </c>
      <c r="H63" s="169">
        <f t="shared" ca="1" si="11"/>
        <v>104</v>
      </c>
      <c r="I63" s="169">
        <f t="shared" ca="1" si="11"/>
        <v>64</v>
      </c>
      <c r="J63" s="169">
        <f t="shared" ca="1" si="11"/>
        <v>54</v>
      </c>
      <c r="K63" s="169">
        <f t="shared" ca="1" si="11"/>
        <v>79</v>
      </c>
      <c r="L63" s="169">
        <f t="shared" ca="1" si="11"/>
        <v>80</v>
      </c>
      <c r="M63" s="169">
        <f ca="1">-SUM(M8:M11,M25:M28) + SUM(M57:M57)</f>
        <v>-25</v>
      </c>
      <c r="N63" s="169">
        <f t="shared" ref="N63:Y63" ca="1" si="12">-SUM(N8:N11,N25:N28) + SUM(N56:N57)</f>
        <v>80</v>
      </c>
      <c r="O63" s="169">
        <f t="shared" ca="1" si="12"/>
        <v>80</v>
      </c>
      <c r="P63" s="169">
        <f t="shared" ca="1" si="12"/>
        <v>79</v>
      </c>
      <c r="Q63" s="169">
        <f t="shared" ca="1" si="12"/>
        <v>54</v>
      </c>
      <c r="R63" s="169">
        <f t="shared" ca="1" si="12"/>
        <v>55</v>
      </c>
      <c r="S63" s="169">
        <f t="shared" ca="1" si="12"/>
        <v>29</v>
      </c>
      <c r="T63" s="169">
        <f t="shared" ca="1" si="12"/>
        <v>30</v>
      </c>
      <c r="U63" s="169">
        <f t="shared" ca="1" si="12"/>
        <v>29</v>
      </c>
      <c r="V63" s="169">
        <f t="shared" ca="1" si="12"/>
        <v>30</v>
      </c>
      <c r="W63" s="169">
        <f t="shared" ca="1" si="12"/>
        <v>30</v>
      </c>
      <c r="X63" s="169">
        <f t="shared" ca="1" si="12"/>
        <v>0</v>
      </c>
      <c r="Y63" s="170">
        <f t="shared" ca="1" si="12"/>
        <v>75</v>
      </c>
      <c r="Z63" s="193"/>
      <c r="AA63" s="162"/>
    </row>
    <row r="64" spans="1:27" s="161" customFormat="1" ht="12" x14ac:dyDescent="0.2">
      <c r="A64" s="195" t="s">
        <v>142</v>
      </c>
      <c r="B64" s="169">
        <f ca="1">IF(B62+B63&gt;645,"err",B62+B63)</f>
        <v>191</v>
      </c>
      <c r="C64" s="169">
        <f t="shared" ref="C64:Y64" ca="1" si="13">IF(C62+C63&gt;645,"err",C62+C63)</f>
        <v>171</v>
      </c>
      <c r="D64" s="169">
        <f t="shared" ca="1" si="13"/>
        <v>147</v>
      </c>
      <c r="E64" s="169">
        <f t="shared" ca="1" si="13"/>
        <v>179</v>
      </c>
      <c r="F64" s="169">
        <f t="shared" ca="1" si="13"/>
        <v>196</v>
      </c>
      <c r="G64" s="169">
        <f t="shared" ca="1" si="13"/>
        <v>229</v>
      </c>
      <c r="H64" s="169">
        <f t="shared" ca="1" si="13"/>
        <v>333</v>
      </c>
      <c r="I64" s="169">
        <f t="shared" ca="1" si="13"/>
        <v>278</v>
      </c>
      <c r="J64" s="169">
        <f t="shared" ca="1" si="13"/>
        <v>283</v>
      </c>
      <c r="K64" s="169">
        <f t="shared" ca="1" si="13"/>
        <v>316</v>
      </c>
      <c r="L64" s="169">
        <f t="shared" ca="1" si="13"/>
        <v>325</v>
      </c>
      <c r="M64" s="169">
        <f t="shared" ca="1" si="13"/>
        <v>220</v>
      </c>
      <c r="N64" s="169">
        <f t="shared" ca="1" si="13"/>
        <v>305</v>
      </c>
      <c r="O64" s="169">
        <f t="shared" ca="1" si="13"/>
        <v>305</v>
      </c>
      <c r="P64" s="169">
        <f t="shared" ca="1" si="13"/>
        <v>304</v>
      </c>
      <c r="Q64" s="169">
        <f t="shared" ca="1" si="13"/>
        <v>254</v>
      </c>
      <c r="R64" s="169">
        <f t="shared" ca="1" si="13"/>
        <v>255</v>
      </c>
      <c r="S64" s="169">
        <f t="shared" ca="1" si="13"/>
        <v>204</v>
      </c>
      <c r="T64" s="169">
        <f t="shared" ca="1" si="13"/>
        <v>205</v>
      </c>
      <c r="U64" s="169">
        <f t="shared" ca="1" si="13"/>
        <v>254</v>
      </c>
      <c r="V64" s="169">
        <f t="shared" ca="1" si="13"/>
        <v>255</v>
      </c>
      <c r="W64" s="169">
        <f t="shared" ca="1" si="13"/>
        <v>205</v>
      </c>
      <c r="X64" s="169">
        <f t="shared" ca="1" si="13"/>
        <v>126</v>
      </c>
      <c r="Y64" s="170">
        <f t="shared" ca="1" si="13"/>
        <v>96</v>
      </c>
      <c r="Z64" s="194"/>
      <c r="AA64" s="162"/>
    </row>
    <row r="65" spans="1:27" s="161" customFormat="1" ht="12" x14ac:dyDescent="0.2">
      <c r="A65" s="195" t="s">
        <v>18</v>
      </c>
      <c r="B65" s="169">
        <f ca="1">SUM(B61:B63)</f>
        <v>191</v>
      </c>
      <c r="C65" s="169">
        <f t="shared" ref="C65:Y65" ca="1" si="14">SUM(C61:C63)</f>
        <v>171</v>
      </c>
      <c r="D65" s="169">
        <f t="shared" ca="1" si="14"/>
        <v>147</v>
      </c>
      <c r="E65" s="169">
        <f t="shared" ca="1" si="14"/>
        <v>179</v>
      </c>
      <c r="F65" s="169">
        <f t="shared" ca="1" si="14"/>
        <v>196</v>
      </c>
      <c r="G65" s="169">
        <f t="shared" ca="1" si="14"/>
        <v>229</v>
      </c>
      <c r="H65" s="169">
        <f t="shared" ca="1" si="14"/>
        <v>333</v>
      </c>
      <c r="I65" s="169">
        <f t="shared" ca="1" si="14"/>
        <v>278</v>
      </c>
      <c r="J65" s="169">
        <f t="shared" ca="1" si="14"/>
        <v>283</v>
      </c>
      <c r="K65" s="169">
        <f t="shared" ca="1" si="14"/>
        <v>316</v>
      </c>
      <c r="L65" s="169">
        <f t="shared" ca="1" si="14"/>
        <v>325</v>
      </c>
      <c r="M65" s="169">
        <f t="shared" ca="1" si="14"/>
        <v>220</v>
      </c>
      <c r="N65" s="169">
        <f t="shared" ca="1" si="14"/>
        <v>305</v>
      </c>
      <c r="O65" s="169">
        <f t="shared" ca="1" si="14"/>
        <v>305</v>
      </c>
      <c r="P65" s="169">
        <f t="shared" ca="1" si="14"/>
        <v>304</v>
      </c>
      <c r="Q65" s="169">
        <f t="shared" ca="1" si="14"/>
        <v>254</v>
      </c>
      <c r="R65" s="169">
        <f t="shared" ca="1" si="14"/>
        <v>255</v>
      </c>
      <c r="S65" s="169">
        <f t="shared" ca="1" si="14"/>
        <v>204</v>
      </c>
      <c r="T65" s="169">
        <f t="shared" ca="1" si="14"/>
        <v>205</v>
      </c>
      <c r="U65" s="169">
        <f t="shared" ca="1" si="14"/>
        <v>254</v>
      </c>
      <c r="V65" s="169">
        <f t="shared" ca="1" si="14"/>
        <v>255</v>
      </c>
      <c r="W65" s="169">
        <f t="shared" ca="1" si="14"/>
        <v>205</v>
      </c>
      <c r="X65" s="169">
        <f t="shared" ca="1" si="14"/>
        <v>126</v>
      </c>
      <c r="Y65" s="170">
        <f t="shared" ca="1" si="14"/>
        <v>96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469</v>
      </c>
      <c r="C67" s="169">
        <f t="array" ref="C67">SUM(IF(C$41:C$55 = 0,0,$Z$41:$Z$55-C$41:C$55))-INDEX(Balancing!$R$4:$R$27,C$3)</f>
        <v>436</v>
      </c>
      <c r="D67" s="169">
        <f t="array" ref="D67">SUM(IF(D$41:D$55 = 0,0,$Z$41:$Z$55-D$41:D$55))-INDEX(Balancing!$R$4:$R$27,D$3)</f>
        <v>415</v>
      </c>
      <c r="E67" s="169">
        <f t="array" ref="E67">SUM(IF(E$41:E$55 = 0,0,$Z$41:$Z$55-E$41:E$55))-INDEX(Balancing!$R$4:$R$27,E$3)</f>
        <v>452</v>
      </c>
      <c r="F67" s="169">
        <f t="array" ref="F67">SUM(IF(F$41:F$55 = 0,0,$Z$41:$Z$55-F$41:F$55))-INDEX(Balancing!$R$4:$R$27,F$3)</f>
        <v>410</v>
      </c>
      <c r="G67" s="169">
        <f t="array" ref="G67">SUM(IF(G$41:G$55 = 0,0,$Z$41:$Z$55-G$41:G$55))-INDEX(Balancing!$R$4:$R$27,G$3)</f>
        <v>348</v>
      </c>
      <c r="H67" s="169">
        <f t="array" ref="H67">SUM(IF(H$41:H$55 = 0,0,$Z$41:$Z$55-H$41:H$55))-INDEX(Balancing!$R$4:$R$27,H$3)</f>
        <v>420</v>
      </c>
      <c r="I67" s="169">
        <f t="array" ref="I67">SUM(IF(I$41:I$55 = 0,0,$Z$41:$Z$55-I$41:I$55))-INDEX(Balancing!$R$4:$R$27,I$3)</f>
        <v>353</v>
      </c>
      <c r="J67" s="169">
        <f t="array" ref="J67">SUM(IF(J$41:J$55 = 0,0,$Z$41:$Z$55-J$41:J$55))-INDEX(Balancing!$R$4:$R$27,J$3)</f>
        <v>323</v>
      </c>
      <c r="K67" s="169">
        <f t="array" ref="K67">SUM(IF(K$41:K$55 = 0,0,$Z$41:$Z$55-K$41:K$55))-INDEX(Balancing!$R$4:$R$27,K$3)</f>
        <v>298</v>
      </c>
      <c r="L67" s="169">
        <f t="array" ref="L67">SUM(IF(L$41:L$55 = 0,0,$Z$41:$Z$55-L$41:L$55))-INDEX(Balancing!$R$4:$R$27,L$3)</f>
        <v>299</v>
      </c>
      <c r="M67" s="169">
        <f t="array" ref="M67">SUM(IF(M$41:M$55 = 0,0,$Z$41:$Z$55-M$41:M$55))-INDEX(Balancing!$R$4:$R$27,M$3)</f>
        <v>287</v>
      </c>
      <c r="N67" s="169">
        <v>179</v>
      </c>
      <c r="O67" s="169">
        <f t="array" ref="O67">SUM(IF(O$41:O$55 = 0,0,$Z$41:$Z$55-O$41:O$55))-INDEX(Balancing!$R$4:$R$27,O$3)</f>
        <v>356</v>
      </c>
      <c r="P67" s="169">
        <f t="array" ref="P67">SUM(IF(P$41:P$55 = 0,0,$Z$41:$Z$55-P$41:P$55))-INDEX(Balancing!$R$4:$R$27,P$3)</f>
        <v>380</v>
      </c>
      <c r="Q67" s="169">
        <f t="array" ref="Q67">SUM(IF(Q$41:Q$55 = 0,0,$Z$41:$Z$55-Q$41:Q$55))-INDEX(Balancing!$R$4:$R$27,Q$3)</f>
        <v>428</v>
      </c>
      <c r="R67" s="169">
        <f t="array" ref="R67">SUM(IF(R$41:R$55 = 0,0,$Z$41:$Z$55-R$41:R$55))-INDEX(Balancing!$R$4:$R$27,R$3)</f>
        <v>476</v>
      </c>
      <c r="S67" s="169">
        <f t="array" ref="S67">SUM(IF(S$41:S$55 = 0,0,$Z$41:$Z$55-S$41:S$55))-INDEX(Balancing!$R$4:$R$27,S$3)</f>
        <v>339</v>
      </c>
      <c r="T67" s="169">
        <f t="array" ref="T67">SUM(IF(T$41:T$55 = 0,0,$Z$41:$Z$55-T$41:T$55))-INDEX(Balancing!$R$4:$R$27,T$3)</f>
        <v>306</v>
      </c>
      <c r="U67" s="169">
        <f t="array" ref="U67">SUM(IF(U$41:U$55 = 0,0,$Z$41:$Z$55-U$41:U$55))-INDEX(Balancing!$R$4:$R$27,U$3)</f>
        <v>391</v>
      </c>
      <c r="V67" s="169">
        <f t="array" ref="V67">SUM(IF(V$41:V$55 = 0,0,$Z$41:$Z$55-V$41:V$55))-INDEX(Balancing!$R$4:$R$27,V$3)</f>
        <v>428</v>
      </c>
      <c r="W67" s="169">
        <f t="array" ref="W67">SUM(IF(W$41:W$55 = 0,0,$Z$41:$Z$55-W$41:W$55))-INDEX(Balancing!$R$4:$R$27,W$3)</f>
        <v>435</v>
      </c>
      <c r="X67" s="169">
        <f t="array" ref="X67">SUM(IF(X$41:X$55 = 0,0,$Z$41:$Z$55-X$41:X$55))-INDEX(Balancing!$R$4:$R$27,X$3)</f>
        <v>439</v>
      </c>
      <c r="Y67" s="170">
        <f t="array" ref="Y67">SUM(IF(Y$41:Y$55 = 0,0,$Z$41:$Z$55-Y$41:Y$55))-INDEX(Balancing!$R$4:$R$27,Y$3)</f>
        <v>453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42</v>
      </c>
      <c r="C69" s="171">
        <f t="shared" si="15"/>
        <v>42</v>
      </c>
      <c r="D69" s="171">
        <f t="shared" si="15"/>
        <v>41</v>
      </c>
      <c r="E69" s="171">
        <f t="shared" si="15"/>
        <v>41</v>
      </c>
      <c r="F69" s="171">
        <f t="shared" si="15"/>
        <v>45</v>
      </c>
      <c r="G69" s="171">
        <f t="shared" si="15"/>
        <v>50</v>
      </c>
      <c r="H69" s="171">
        <f t="shared" ref="H69:X69" si="16">IF(H67&lt;0.07*I4,"err",ROUND(I4*0.07,0))</f>
        <v>54</v>
      </c>
      <c r="I69" s="171">
        <f t="shared" si="16"/>
        <v>56</v>
      </c>
      <c r="J69" s="171">
        <f t="shared" si="16"/>
        <v>57</v>
      </c>
      <c r="K69" s="171">
        <f t="shared" si="16"/>
        <v>58</v>
      </c>
      <c r="L69" s="171">
        <f t="shared" si="16"/>
        <v>59</v>
      </c>
      <c r="M69" s="171">
        <f t="shared" si="16"/>
        <v>57</v>
      </c>
      <c r="N69" s="171">
        <f t="shared" si="16"/>
        <v>55</v>
      </c>
      <c r="O69" s="171">
        <f t="shared" si="16"/>
        <v>54</v>
      </c>
      <c r="P69" s="171">
        <f t="shared" si="16"/>
        <v>54</v>
      </c>
      <c r="Q69" s="171">
        <f t="shared" si="16"/>
        <v>51</v>
      </c>
      <c r="R69" s="171">
        <f t="shared" si="16"/>
        <v>50</v>
      </c>
      <c r="S69" s="171">
        <f t="shared" si="16"/>
        <v>52</v>
      </c>
      <c r="T69" s="171">
        <f t="shared" si="16"/>
        <v>56</v>
      </c>
      <c r="U69" s="171">
        <f t="shared" si="16"/>
        <v>54</v>
      </c>
      <c r="V69" s="171">
        <f t="shared" si="16"/>
        <v>51</v>
      </c>
      <c r="W69" s="171">
        <f t="shared" si="16"/>
        <v>45</v>
      </c>
      <c r="X69" s="171">
        <f t="shared" si="16"/>
        <v>42</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70</v>
      </c>
      <c r="C78" s="478">
        <f t="shared" ca="1" si="17"/>
        <v>50</v>
      </c>
      <c r="D78" s="478">
        <f t="shared" ca="1" si="17"/>
        <v>50</v>
      </c>
      <c r="E78" s="478">
        <f t="shared" ca="1" si="17"/>
        <v>50</v>
      </c>
      <c r="F78" s="478">
        <f t="shared" ca="1" si="17"/>
        <v>50</v>
      </c>
      <c r="G78" s="478">
        <f t="shared" ca="1" si="17"/>
        <v>70</v>
      </c>
      <c r="H78" s="478">
        <f t="shared" ca="1" si="17"/>
        <v>90</v>
      </c>
      <c r="I78" s="478">
        <f t="shared" ca="1" si="17"/>
        <v>105</v>
      </c>
      <c r="J78" s="478">
        <f t="shared" ca="1" si="17"/>
        <v>120</v>
      </c>
      <c r="K78" s="478">
        <f t="shared" ca="1" si="17"/>
        <v>140</v>
      </c>
      <c r="L78" s="478">
        <f t="shared" ca="1" si="17"/>
        <v>130</v>
      </c>
      <c r="M78" s="478">
        <f t="shared" ca="1" si="17"/>
        <v>130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130</v>
      </c>
      <c r="Y78" s="478">
        <f t="shared" ca="1" si="17"/>
        <v>75</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Deals!AD143</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2760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v>
      </c>
      <c r="C89" s="232">
        <f t="shared" si="18"/>
        <v>5</v>
      </c>
      <c r="D89" s="232">
        <f t="shared" si="18"/>
        <v>6</v>
      </c>
      <c r="E89" s="232">
        <f>E56</f>
        <v>53</v>
      </c>
      <c r="F89" s="232">
        <f t="shared" si="18"/>
        <v>105</v>
      </c>
      <c r="G89" s="232">
        <f t="shared" si="18"/>
        <v>103</v>
      </c>
      <c r="H89" s="232">
        <f t="shared" si="18"/>
        <v>104</v>
      </c>
      <c r="I89" s="232">
        <f t="shared" si="18"/>
        <v>104</v>
      </c>
      <c r="J89" s="232">
        <f t="shared" si="18"/>
        <v>104</v>
      </c>
      <c r="K89" s="232">
        <f t="shared" si="18"/>
        <v>104</v>
      </c>
      <c r="L89" s="232">
        <f t="shared" si="18"/>
        <v>105</v>
      </c>
      <c r="M89" s="232">
        <f>M57</f>
        <v>0</v>
      </c>
      <c r="N89" s="232">
        <f t="shared" si="18"/>
        <v>105</v>
      </c>
      <c r="O89" s="232">
        <f t="shared" si="18"/>
        <v>105</v>
      </c>
      <c r="P89" s="232">
        <f t="shared" si="18"/>
        <v>104</v>
      </c>
      <c r="Q89" s="232">
        <f t="shared" si="18"/>
        <v>104</v>
      </c>
      <c r="R89" s="232">
        <f t="shared" si="18"/>
        <v>105</v>
      </c>
      <c r="S89" s="232">
        <f t="shared" si="18"/>
        <v>104</v>
      </c>
      <c r="T89" s="232">
        <f t="shared" si="18"/>
        <v>105</v>
      </c>
      <c r="U89" s="232">
        <f t="shared" si="18"/>
        <v>104</v>
      </c>
      <c r="V89" s="232">
        <f t="shared" si="18"/>
        <v>105</v>
      </c>
      <c r="W89" s="232">
        <f t="shared" si="18"/>
        <v>105</v>
      </c>
      <c r="X89" s="232">
        <f t="shared" si="18"/>
        <v>105</v>
      </c>
      <c r="Y89" s="232">
        <f t="shared" si="18"/>
        <v>105</v>
      </c>
      <c r="Z89" s="261">
        <f t="array" ref="Z89">SUM(B89:Y89*Economics!F$28)</f>
        <v>26855.803520000012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98</v>
      </c>
      <c r="C91" s="210">
        <f t="shared" si="19"/>
        <v>47</v>
      </c>
      <c r="D91" s="210">
        <f t="shared" si="19"/>
        <v>-4</v>
      </c>
      <c r="E91" s="210">
        <f t="shared" si="19"/>
        <v>-51</v>
      </c>
      <c r="F91" s="210">
        <f t="shared" si="19"/>
        <v>-103</v>
      </c>
      <c r="G91" s="210">
        <f t="shared" si="19"/>
        <v>-101</v>
      </c>
      <c r="H91" s="210">
        <f t="shared" si="19"/>
        <v>-52</v>
      </c>
      <c r="I91" s="210">
        <f t="shared" si="19"/>
        <v>-52</v>
      </c>
      <c r="J91" s="210">
        <f t="shared" si="19"/>
        <v>-52</v>
      </c>
      <c r="K91" s="210">
        <f t="shared" si="19"/>
        <v>-52</v>
      </c>
      <c r="L91" s="210">
        <f t="shared" si="19"/>
        <v>-2</v>
      </c>
      <c r="M91" s="210">
        <f t="shared" si="19"/>
        <v>103</v>
      </c>
      <c r="N91" s="210">
        <f t="shared" si="19"/>
        <v>-2</v>
      </c>
      <c r="O91" s="210">
        <f t="shared" si="19"/>
        <v>-2</v>
      </c>
      <c r="P91" s="210">
        <f t="shared" si="19"/>
        <v>-1</v>
      </c>
      <c r="Q91" s="210">
        <f t="shared" si="19"/>
        <v>-1</v>
      </c>
      <c r="R91" s="210">
        <f t="shared" si="19"/>
        <v>-2</v>
      </c>
      <c r="S91" s="210">
        <f t="shared" si="19"/>
        <v>-1</v>
      </c>
      <c r="T91" s="210">
        <f t="shared" si="19"/>
        <v>-2</v>
      </c>
      <c r="U91" s="210">
        <f t="shared" si="19"/>
        <v>-1</v>
      </c>
      <c r="V91" s="210">
        <f t="shared" si="19"/>
        <v>-53</v>
      </c>
      <c r="W91" s="210">
        <f t="shared" si="19"/>
        <v>-53</v>
      </c>
      <c r="X91" s="210">
        <f t="shared" si="19"/>
        <v>-53</v>
      </c>
      <c r="Y91" s="210">
        <f t="shared" si="19"/>
        <v>-53</v>
      </c>
      <c r="Z91" s="264">
        <f>Z89-Z90</f>
        <v>5818.3216000000175</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133</v>
      </c>
      <c r="Z95" s="263">
        <f t="array" ref="Z95">SUM(B95:Y95*Economics!F$30)</f>
        <v>19458.432000000001</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67</v>
      </c>
      <c r="Z97" s="264">
        <f>Z95-Z96</f>
        <v>-9802.3680000000095</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133</v>
      </c>
      <c r="Z98" s="263">
        <f t="array" ref="Z98">SUM(B98:Y98*Economics!F$31)</f>
        <v>19458.432000000001</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62</v>
      </c>
      <c r="Z100" s="264">
        <f>Z98-Z99</f>
        <v>-9046.4640000000072</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132</v>
      </c>
      <c r="K101" s="181">
        <f t="shared" si="26"/>
        <v>133</v>
      </c>
      <c r="L101" s="181">
        <f t="shared" si="26"/>
        <v>133</v>
      </c>
      <c r="M101" s="181">
        <f t="shared" si="26"/>
        <v>133</v>
      </c>
      <c r="N101" s="181">
        <f t="shared" si="26"/>
        <v>133</v>
      </c>
      <c r="O101" s="181">
        <f t="shared" si="26"/>
        <v>133</v>
      </c>
      <c r="P101" s="181">
        <f t="shared" si="26"/>
        <v>133</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133</v>
      </c>
      <c r="Z101" s="263">
        <f t="array" ref="Z101">SUM(B101:Y101*Economics!F$32)</f>
        <v>19452.335999999999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68</v>
      </c>
      <c r="K103" s="210">
        <f t="shared" si="27"/>
        <v>67</v>
      </c>
      <c r="L103" s="210">
        <f t="shared" si="27"/>
        <v>67</v>
      </c>
      <c r="M103" s="210">
        <f t="shared" si="27"/>
        <v>67</v>
      </c>
      <c r="N103" s="210">
        <f t="shared" si="27"/>
        <v>67</v>
      </c>
      <c r="O103" s="210">
        <f t="shared" si="27"/>
        <v>67</v>
      </c>
      <c r="P103" s="210">
        <f t="shared" si="27"/>
        <v>67</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67</v>
      </c>
      <c r="Z103" s="264">
        <f>Z101-Z102</f>
        <v>-9808.4640000000109</v>
      </c>
    </row>
    <row r="104" spans="1:29" x14ac:dyDescent="0.25">
      <c r="A104" s="183" t="str">
        <f>Economics!A34</f>
        <v>Newman 1</v>
      </c>
      <c r="B104" s="181">
        <v>31</v>
      </c>
      <c r="C104" s="181">
        <f t="shared" ref="C104:R104" si="28">C41</f>
        <v>32</v>
      </c>
      <c r="D104" s="181">
        <f t="shared" si="28"/>
        <v>33</v>
      </c>
      <c r="E104" s="181">
        <f>E41</f>
        <v>33</v>
      </c>
      <c r="F104" s="181">
        <f t="shared" si="28"/>
        <v>32</v>
      </c>
      <c r="G104" s="181">
        <f t="shared" si="28"/>
        <v>32</v>
      </c>
      <c r="H104" s="181">
        <f t="shared" si="28"/>
        <v>31</v>
      </c>
      <c r="I104" s="181">
        <f>I41</f>
        <v>41</v>
      </c>
      <c r="J104" s="181">
        <f t="shared" si="28"/>
        <v>66</v>
      </c>
      <c r="K104" s="181">
        <f t="shared" si="28"/>
        <v>73</v>
      </c>
      <c r="L104" s="181">
        <f t="shared" si="28"/>
        <v>66</v>
      </c>
      <c r="M104" s="181">
        <f t="shared" si="28"/>
        <v>64</v>
      </c>
      <c r="N104" s="181">
        <f t="shared" si="28"/>
        <v>60</v>
      </c>
      <c r="O104" s="181">
        <f t="shared" si="28"/>
        <v>57</v>
      </c>
      <c r="P104" s="181">
        <f t="shared" si="28"/>
        <v>40</v>
      </c>
      <c r="Q104" s="181">
        <f t="shared" si="28"/>
        <v>40</v>
      </c>
      <c r="R104" s="181">
        <f t="shared" si="28"/>
        <v>38</v>
      </c>
      <c r="S104" s="181">
        <v>34</v>
      </c>
      <c r="T104" s="181">
        <v>34</v>
      </c>
      <c r="U104" s="181">
        <v>34</v>
      </c>
      <c r="V104" s="181">
        <v>34</v>
      </c>
      <c r="W104" s="181">
        <f>W41</f>
        <v>38</v>
      </c>
      <c r="X104" s="181">
        <f>X41</f>
        <v>38</v>
      </c>
      <c r="Y104" s="181">
        <f>Y41</f>
        <v>39</v>
      </c>
      <c r="Z104" s="223">
        <f>SUM(B104:Y104)</f>
        <v>1020</v>
      </c>
      <c r="AA104" s="322" t="s">
        <v>167</v>
      </c>
    </row>
    <row r="105" spans="1:29" x14ac:dyDescent="0.25">
      <c r="A105" s="185">
        <f>Economics!$I34</f>
        <v>1.96</v>
      </c>
      <c r="B105" s="189">
        <f t="shared" ref="B105:Y105" ca="1" si="29">IndGencost(B104,OFFSET(HeatRateStart,1,MATCH($A104,HeatRateNames,0)-1,250,1),$A105)</f>
        <v>23.547401890555044</v>
      </c>
      <c r="C105" s="189">
        <f t="shared" ca="1" si="29"/>
        <v>23.46620825671673</v>
      </c>
      <c r="D105" s="189">
        <f t="shared" ca="1" si="29"/>
        <v>23.390290624936132</v>
      </c>
      <c r="E105" s="189">
        <f ca="1">IndGencost(E104,OFFSET(HeatRateStart,1,MATCH($A104,HeatRateNames,0)-1,250,1),$A105)</f>
        <v>23.390290624936132</v>
      </c>
      <c r="F105" s="189">
        <f t="shared" ca="1" si="29"/>
        <v>23.46620825671673</v>
      </c>
      <c r="G105" s="189">
        <f t="shared" ca="1" si="29"/>
        <v>23.46620825671673</v>
      </c>
      <c r="H105" s="189">
        <f t="shared" ca="1" si="29"/>
        <v>23.547401890555044</v>
      </c>
      <c r="I105" s="189">
        <f t="shared" ca="1" si="29"/>
        <v>22.926559773042957</v>
      </c>
      <c r="J105" s="189">
        <f t="shared" ca="1" si="29"/>
        <v>22.275235318385615</v>
      </c>
      <c r="K105" s="189">
        <f t="shared" ca="1" si="29"/>
        <v>22.19079045381141</v>
      </c>
      <c r="L105" s="189">
        <f t="shared" ca="1" si="29"/>
        <v>22.275235318385615</v>
      </c>
      <c r="M105" s="189">
        <f t="shared" ca="1" si="29"/>
        <v>22.304403534104821</v>
      </c>
      <c r="N105" s="189">
        <f t="shared" ca="1" si="29"/>
        <v>22.370917768732706</v>
      </c>
      <c r="O105" s="189">
        <f t="shared" ca="1" si="29"/>
        <v>22.429088850566629</v>
      </c>
      <c r="P105" s="189">
        <f t="shared" ca="1" si="29"/>
        <v>22.97335644712448</v>
      </c>
      <c r="Q105" s="189">
        <f t="shared" ca="1" si="29"/>
        <v>22.97335644712448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23.022853483985266</v>
      </c>
      <c r="Z105" s="263">
        <f t="array" aca="1" ref="Z105" ca="1">SUM(B104:Y104*B105:Y105)</f>
        <v>23342.645620711864</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0.16819086994011911</v>
      </c>
      <c r="D108" s="188">
        <f t="shared" ca="1" si="31"/>
        <v>0.24410850172071719</v>
      </c>
      <c r="E108" s="188">
        <f t="shared" ca="1" si="31"/>
        <v>0.24410850172071719</v>
      </c>
      <c r="F108" s="188">
        <f t="shared" ca="1" si="31"/>
        <v>0.16819086994011911</v>
      </c>
      <c r="G108" s="188">
        <f t="shared" ca="1" si="31"/>
        <v>0.16819086994011911</v>
      </c>
      <c r="H108" s="188">
        <f t="shared" ca="1" si="31"/>
        <v>8.6997236101804987E-2</v>
      </c>
      <c r="I108" s="188">
        <f t="shared" ca="1" si="31"/>
        <v>0.70783935361389183</v>
      </c>
      <c r="J108" s="188">
        <f t="shared" ca="1" si="31"/>
        <v>1.3591638082712336</v>
      </c>
      <c r="K108" s="188">
        <f t="shared" ca="1" si="31"/>
        <v>1.4436086728454391</v>
      </c>
      <c r="L108" s="188">
        <f t="shared" ca="1" si="31"/>
        <v>1.3591638082712336</v>
      </c>
      <c r="M108" s="188">
        <f t="shared" ca="1" si="31"/>
        <v>1.3299955925520273</v>
      </c>
      <c r="N108" s="188">
        <f t="shared" ca="1" si="31"/>
        <v>1.2634813579241424</v>
      </c>
      <c r="O108" s="188">
        <f t="shared" ca="1" si="31"/>
        <v>1.2053102760902199</v>
      </c>
      <c r="P108" s="188">
        <f t="shared" ca="1" si="31"/>
        <v>0.66104267953236828</v>
      </c>
      <c r="Q108" s="188">
        <f t="shared" ca="1" si="31"/>
        <v>0.66104267953236828</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0.61154564267158307</v>
      </c>
      <c r="Z108" s="264">
        <f ca="1">Z105-Z107</f>
        <v>6325.8782495189371</v>
      </c>
    </row>
    <row r="109" spans="1:29" x14ac:dyDescent="0.25">
      <c r="A109" s="183" t="str">
        <f>Economics!A35</f>
        <v>Newman 2</v>
      </c>
      <c r="B109" s="181">
        <f>B42</f>
        <v>32</v>
      </c>
      <c r="C109" s="181">
        <f t="shared" ref="C109:Y109" si="32">C42</f>
        <v>31</v>
      </c>
      <c r="D109" s="181">
        <f t="shared" si="32"/>
        <v>32</v>
      </c>
      <c r="E109" s="181">
        <f>E42</f>
        <v>31</v>
      </c>
      <c r="F109" s="181">
        <f t="shared" si="32"/>
        <v>37</v>
      </c>
      <c r="G109" s="181">
        <f t="shared" si="32"/>
        <v>71</v>
      </c>
      <c r="H109" s="181">
        <f t="shared" si="32"/>
        <v>63</v>
      </c>
      <c r="I109" s="181">
        <f>I42</f>
        <v>47</v>
      </c>
      <c r="J109" s="181">
        <f t="shared" si="32"/>
        <v>76</v>
      </c>
      <c r="K109" s="181">
        <f t="shared" si="32"/>
        <v>71</v>
      </c>
      <c r="L109" s="181">
        <f t="shared" si="32"/>
        <v>74</v>
      </c>
      <c r="M109" s="181">
        <f t="shared" si="32"/>
        <v>78</v>
      </c>
      <c r="N109" s="181">
        <f t="shared" si="32"/>
        <v>69</v>
      </c>
      <c r="O109" s="181">
        <f t="shared" si="32"/>
        <v>66</v>
      </c>
      <c r="P109" s="181">
        <f t="shared" si="32"/>
        <v>42</v>
      </c>
      <c r="Q109" s="181">
        <f t="shared" si="32"/>
        <v>60</v>
      </c>
      <c r="R109" s="181">
        <f t="shared" si="32"/>
        <v>44</v>
      </c>
      <c r="S109" s="181">
        <f t="shared" si="32"/>
        <v>53</v>
      </c>
      <c r="T109" s="181">
        <f t="shared" si="32"/>
        <v>56</v>
      </c>
      <c r="U109" s="181">
        <f t="shared" si="32"/>
        <v>52</v>
      </c>
      <c r="V109" s="181">
        <f t="shared" si="32"/>
        <v>48</v>
      </c>
      <c r="W109" s="181">
        <f t="shared" si="32"/>
        <v>49</v>
      </c>
      <c r="X109" s="181">
        <f t="shared" si="32"/>
        <v>51</v>
      </c>
      <c r="Y109" s="181">
        <f t="shared" si="32"/>
        <v>48</v>
      </c>
      <c r="Z109" s="223">
        <f>SUM(B109:Y109)</f>
        <v>1281</v>
      </c>
      <c r="AA109" s="322" t="s">
        <v>171</v>
      </c>
    </row>
    <row r="110" spans="1:29" x14ac:dyDescent="0.25">
      <c r="A110" s="185">
        <f>Economics!$I35</f>
        <v>1.96</v>
      </c>
      <c r="B110" s="189">
        <f t="shared" ref="B110:Y110" ca="1" si="33">IndGencost(B109,OFFSET(HeatRateStart,1,MATCH($A109,HeatRateNames,0)-1,250,1),$A110)</f>
        <v>21.506541418576244</v>
      </c>
      <c r="C110" s="189">
        <f t="shared" ca="1" si="33"/>
        <v>21.59118971054631</v>
      </c>
      <c r="D110" s="189">
        <f t="shared" ca="1" si="33"/>
        <v>21.506541418576244</v>
      </c>
      <c r="E110" s="189">
        <f ca="1">IndGencost(E109,OFFSET(HeatRateStart,1,MATCH($A109,HeatRateNames,0)-1,250,1),$A110)</f>
        <v>21.59118971054631</v>
      </c>
      <c r="F110" s="189">
        <f t="shared" ca="1" si="33"/>
        <v>21.160356411838535</v>
      </c>
      <c r="G110" s="189">
        <f t="shared" ca="1" si="33"/>
        <v>20.293379380880278</v>
      </c>
      <c r="H110" s="189">
        <f t="shared" ca="1" si="33"/>
        <v>20.378888841073479</v>
      </c>
      <c r="I110" s="189">
        <f t="shared" ca="1" si="33"/>
        <v>20.722108743734562</v>
      </c>
      <c r="J110" s="189">
        <f t="shared" ca="1" si="33"/>
        <v>20.257962078485992</v>
      </c>
      <c r="K110" s="189">
        <f t="shared" ca="1" si="33"/>
        <v>20.293379380880278</v>
      </c>
      <c r="L110" s="189">
        <f t="shared" ca="1" si="33"/>
        <v>20.270712394523621</v>
      </c>
      <c r="M110" s="189">
        <f t="shared" ca="1" si="33"/>
        <v>20.246931060727437</v>
      </c>
      <c r="N110" s="189">
        <f t="shared" ca="1" si="33"/>
        <v>20.311091235889215</v>
      </c>
      <c r="O110" s="189">
        <f t="shared" ca="1" si="33"/>
        <v>20.342032638335954</v>
      </c>
      <c r="P110" s="189">
        <f t="shared" ca="1" si="33"/>
        <v>20.908963073612398</v>
      </c>
      <c r="Q110" s="189">
        <f t="shared" ca="1" si="33"/>
        <v>20.422547064145409</v>
      </c>
      <c r="R110" s="189">
        <f t="shared" ca="1" si="33"/>
        <v>20.827708769000662</v>
      </c>
      <c r="S110" s="189">
        <f t="shared" ca="1" si="33"/>
        <v>20.557356852932696</v>
      </c>
      <c r="T110" s="189">
        <f t="shared" ca="1" si="33"/>
        <v>20.493228398854399</v>
      </c>
      <c r="U110" s="189">
        <f t="shared" ca="1" si="33"/>
        <v>20.5811764005661</v>
      </c>
      <c r="V110" s="189">
        <f t="shared" ca="1" si="33"/>
        <v>20.690707736031218</v>
      </c>
      <c r="W110" s="189">
        <f t="shared" ca="1" si="33"/>
        <v>20.66101240211993</v>
      </c>
      <c r="X110" s="189">
        <f t="shared" ca="1" si="33"/>
        <v>20.606337420663646</v>
      </c>
      <c r="Y110" s="189">
        <f t="shared" ca="1" si="33"/>
        <v>20.690707736031218</v>
      </c>
      <c r="Z110" s="263">
        <f t="array" aca="1" ref="Z110" ca="1">SUM(B109:Y109*B110:Y110)</f>
        <v>26377.363581375794</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8.4648291970065515E-2</v>
      </c>
      <c r="C113" s="188">
        <f t="shared" ca="1" si="35"/>
        <v>0</v>
      </c>
      <c r="D113" s="188">
        <f t="shared" ca="1" si="35"/>
        <v>8.4648291970065515E-2</v>
      </c>
      <c r="E113" s="188">
        <f t="shared" ca="1" si="35"/>
        <v>0</v>
      </c>
      <c r="F113" s="188">
        <f t="shared" ca="1" si="35"/>
        <v>0.43083329870777476</v>
      </c>
      <c r="G113" s="188">
        <f t="shared" ca="1" si="35"/>
        <v>1.2978103296660315</v>
      </c>
      <c r="H113" s="188">
        <f t="shared" ca="1" si="35"/>
        <v>1.2123008694728306</v>
      </c>
      <c r="I113" s="188">
        <f t="shared" ca="1" si="35"/>
        <v>0.8690809668117474</v>
      </c>
      <c r="J113" s="188">
        <f t="shared" ca="1" si="35"/>
        <v>1.3332276320603178</v>
      </c>
      <c r="K113" s="188">
        <f t="shared" ca="1" si="35"/>
        <v>1.2978103296660315</v>
      </c>
      <c r="L113" s="188">
        <f t="shared" ca="1" si="35"/>
        <v>1.3204773160226893</v>
      </c>
      <c r="M113" s="188">
        <f t="shared" ca="1" si="35"/>
        <v>1.3442586498188724</v>
      </c>
      <c r="N113" s="188">
        <f t="shared" ca="1" si="35"/>
        <v>1.2800984746570947</v>
      </c>
      <c r="O113" s="188">
        <f t="shared" ca="1" si="35"/>
        <v>1.2491570722103553</v>
      </c>
      <c r="P113" s="188">
        <f t="shared" ca="1" si="35"/>
        <v>0.68222663693391183</v>
      </c>
      <c r="Q113" s="188">
        <f t="shared" ca="1" si="35"/>
        <v>1.168642646400901</v>
      </c>
      <c r="R113" s="188">
        <f t="shared" ca="1" si="35"/>
        <v>0.76348094154564805</v>
      </c>
      <c r="S113" s="188">
        <f t="shared" ca="1" si="35"/>
        <v>1.0338328576136142</v>
      </c>
      <c r="T113" s="188">
        <f t="shared" ca="1" si="35"/>
        <v>1.0979613116919111</v>
      </c>
      <c r="U113" s="188">
        <f t="shared" ca="1" si="35"/>
        <v>1.0100133099802093</v>
      </c>
      <c r="V113" s="188">
        <f t="shared" ca="1" si="35"/>
        <v>0.90048197451509182</v>
      </c>
      <c r="W113" s="188">
        <f t="shared" ca="1" si="35"/>
        <v>0.93017730842638002</v>
      </c>
      <c r="X113" s="188">
        <f t="shared" ca="1" si="35"/>
        <v>0.98485228988266371</v>
      </c>
      <c r="Y113" s="188">
        <f t="shared" ca="1" si="35"/>
        <v>0.90048197451509182</v>
      </c>
      <c r="Z113" s="264">
        <f ca="1">Z110-Z112</f>
        <v>10313.51843672933</v>
      </c>
      <c r="AC113" s="174"/>
    </row>
    <row r="114" spans="1:29" x14ac:dyDescent="0.25">
      <c r="A114" s="183" t="str">
        <f>Economics!A36</f>
        <v>Newman 3</v>
      </c>
      <c r="B114" s="181">
        <f t="shared" ref="B114:Y114" si="36">B43</f>
        <v>37</v>
      </c>
      <c r="C114" s="181">
        <f t="shared" si="36"/>
        <v>57</v>
      </c>
      <c r="D114" s="181">
        <f t="shared" si="36"/>
        <v>81</v>
      </c>
      <c r="E114" s="181">
        <f>E43</f>
        <v>60</v>
      </c>
      <c r="F114" s="181">
        <f t="shared" si="36"/>
        <v>88</v>
      </c>
      <c r="G114" s="181">
        <f t="shared" si="36"/>
        <v>94</v>
      </c>
      <c r="H114" s="181">
        <f t="shared" si="36"/>
        <v>40</v>
      </c>
      <c r="I114" s="181">
        <f t="shared" si="36"/>
        <v>79</v>
      </c>
      <c r="J114" s="181">
        <f t="shared" si="36"/>
        <v>59</v>
      </c>
      <c r="K114" s="181">
        <f t="shared" si="36"/>
        <v>88</v>
      </c>
      <c r="L114" s="181">
        <f t="shared" si="36"/>
        <v>94</v>
      </c>
      <c r="M114" s="181">
        <f t="shared" si="36"/>
        <v>95</v>
      </c>
      <c r="N114" s="181">
        <f t="shared" si="36"/>
        <v>73</v>
      </c>
      <c r="O114" s="181">
        <f t="shared" si="36"/>
        <v>59</v>
      </c>
      <c r="P114" s="181">
        <f t="shared" si="36"/>
        <v>100</v>
      </c>
      <c r="Q114" s="181">
        <f t="shared" si="36"/>
        <v>87</v>
      </c>
      <c r="R114" s="181">
        <f t="shared" si="36"/>
        <v>56</v>
      </c>
      <c r="S114" s="181">
        <f t="shared" si="36"/>
        <v>100</v>
      </c>
      <c r="T114" s="181">
        <f t="shared" si="36"/>
        <v>99</v>
      </c>
      <c r="U114" s="181">
        <f t="shared" si="36"/>
        <v>89</v>
      </c>
      <c r="V114" s="181">
        <f t="shared" si="36"/>
        <v>72</v>
      </c>
      <c r="W114" s="181">
        <f t="shared" si="36"/>
        <v>82</v>
      </c>
      <c r="X114" s="181">
        <f t="shared" si="36"/>
        <v>67</v>
      </c>
      <c r="Y114" s="181">
        <f t="shared" si="36"/>
        <v>68</v>
      </c>
      <c r="Z114" s="223">
        <f>SUM(B114:Y114)</f>
        <v>1824</v>
      </c>
      <c r="AA114" s="322" t="s">
        <v>173</v>
      </c>
    </row>
    <row r="115" spans="1:29" x14ac:dyDescent="0.25">
      <c r="A115" s="185">
        <f>Economics!$I36</f>
        <v>1.96</v>
      </c>
      <c r="B115" s="189">
        <f t="shared" ref="B115:Y115" ca="1" si="37">IndGencost(B114,OFFSET(HeatRateStart,1,MATCH($A114,HeatRateNames,0)-1,250,1),$A115)</f>
        <v>21.524349608112029</v>
      </c>
      <c r="C115" s="189">
        <f t="shared" ca="1" si="37"/>
        <v>20.16279548014256</v>
      </c>
      <c r="D115" s="189">
        <f t="shared" ca="1" si="37"/>
        <v>19.748645816461543</v>
      </c>
      <c r="E115" s="189">
        <f ca="1">IndGencost(E114,OFFSET(HeatRateStart,1,MATCH($A114,HeatRateNames,0)-1,250,1),$A115)</f>
        <v>20.066153723875679</v>
      </c>
      <c r="F115" s="189">
        <f t="shared" ca="1" si="37"/>
        <v>19.733235838608309</v>
      </c>
      <c r="G115" s="189">
        <f t="shared" ca="1" si="37"/>
        <v>19.742996979997514</v>
      </c>
      <c r="H115" s="189">
        <f t="shared" ca="1" si="37"/>
        <v>21.200830412626267</v>
      </c>
      <c r="I115" s="189">
        <f t="shared" ca="1" si="37"/>
        <v>19.759355827609195</v>
      </c>
      <c r="J115" s="189">
        <f t="shared" ca="1" si="37"/>
        <v>20.096411916554988</v>
      </c>
      <c r="K115" s="189">
        <f t="shared" ca="1" si="37"/>
        <v>19.733235838608309</v>
      </c>
      <c r="L115" s="189">
        <f t="shared" ca="1" si="37"/>
        <v>19.742996979997514</v>
      </c>
      <c r="M115" s="189">
        <f t="shared" ca="1" si="37"/>
        <v>19.746381436950283</v>
      </c>
      <c r="N115" s="189">
        <f t="shared" ca="1" si="37"/>
        <v>19.811760933536377</v>
      </c>
      <c r="O115" s="189">
        <f t="shared" ca="1" si="37"/>
        <v>20.096411916554988</v>
      </c>
      <c r="P115" s="189">
        <f t="shared" ca="1" si="37"/>
        <v>19.769932384777071</v>
      </c>
      <c r="Q115" s="189">
        <f t="shared" ca="1" si="37"/>
        <v>19.733528200160496</v>
      </c>
      <c r="R115" s="189">
        <f t="shared" ca="1" si="37"/>
        <v>20.199130393130442</v>
      </c>
      <c r="S115" s="189">
        <f t="shared" ca="1" si="37"/>
        <v>19.769932384777071</v>
      </c>
      <c r="T115" s="189">
        <f t="shared" ca="1" si="37"/>
        <v>19.764383010931688</v>
      </c>
      <c r="U115" s="189">
        <f t="shared" ca="1" si="37"/>
        <v>19.733522631259447</v>
      </c>
      <c r="V115" s="189">
        <f t="shared" ca="1" si="37"/>
        <v>19.823821496937008</v>
      </c>
      <c r="W115" s="189">
        <f t="shared" ca="1" si="37"/>
        <v>19.744418920865876</v>
      </c>
      <c r="X115" s="189">
        <f t="shared" ca="1" si="37"/>
        <v>19.900933521655066</v>
      </c>
      <c r="Y115" s="189">
        <f t="shared" ca="1" si="37"/>
        <v>19.883105092862071</v>
      </c>
      <c r="Z115" s="263">
        <f t="array" aca="1" ref="Z115" ca="1">SUM(B114:Y114*B115:Y115)</f>
        <v>36283.269826171876</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-21.524349608112029</v>
      </c>
      <c r="C118" s="188">
        <f t="shared" ca="1" si="39"/>
        <v>-20.16279548014256</v>
      </c>
      <c r="D118" s="188">
        <f t="shared" ca="1" si="39"/>
        <v>-19.748645816461543</v>
      </c>
      <c r="E118" s="188">
        <f t="shared" ca="1" si="39"/>
        <v>-20.066153723875679</v>
      </c>
      <c r="F118" s="188">
        <f t="shared" ca="1" si="39"/>
        <v>-19.733235838608309</v>
      </c>
      <c r="G118" s="188">
        <f t="shared" ca="1" si="39"/>
        <v>-19.742996979997514</v>
      </c>
      <c r="H118" s="188">
        <f t="shared" ca="1" si="39"/>
        <v>-21.200830412626267</v>
      </c>
      <c r="I118" s="188">
        <f t="shared" ca="1" si="39"/>
        <v>-19.759355827609195</v>
      </c>
      <c r="J118" s="188">
        <f t="shared" ca="1" si="39"/>
        <v>-20.096411916554988</v>
      </c>
      <c r="K118" s="188">
        <f t="shared" ca="1" si="39"/>
        <v>-19.733235838608309</v>
      </c>
      <c r="L118" s="188">
        <f t="shared" ca="1" si="39"/>
        <v>-19.742996979997514</v>
      </c>
      <c r="M118" s="188">
        <f t="shared" ca="1" si="39"/>
        <v>-19.746381436950283</v>
      </c>
      <c r="N118" s="188">
        <f t="shared" ca="1" si="39"/>
        <v>-19.811760933536377</v>
      </c>
      <c r="O118" s="188">
        <f t="shared" ca="1" si="39"/>
        <v>-20.096411916554988</v>
      </c>
      <c r="P118" s="188">
        <f t="shared" ca="1" si="39"/>
        <v>-19.769932384777071</v>
      </c>
      <c r="Q118" s="188">
        <f t="shared" ca="1" si="39"/>
        <v>-19.733528200160496</v>
      </c>
      <c r="R118" s="188">
        <f t="shared" ca="1" si="39"/>
        <v>-20.199130393130442</v>
      </c>
      <c r="S118" s="188">
        <f t="shared" ca="1" si="39"/>
        <v>-19.769932384777071</v>
      </c>
      <c r="T118" s="188">
        <f t="shared" ca="1" si="39"/>
        <v>-19.764383010931688</v>
      </c>
      <c r="U118" s="188">
        <f t="shared" ca="1" si="39"/>
        <v>-19.733522631259447</v>
      </c>
      <c r="V118" s="188">
        <f t="shared" ca="1" si="39"/>
        <v>-19.823821496937008</v>
      </c>
      <c r="W118" s="188">
        <f t="shared" ca="1" si="39"/>
        <v>-19.744418920865876</v>
      </c>
      <c r="X118" s="188">
        <f t="shared" ca="1" si="39"/>
        <v>-19.900933521655066</v>
      </c>
      <c r="Y118" s="188">
        <f t="shared" ca="1" si="39"/>
        <v>-19.883105092862071</v>
      </c>
      <c r="Z118" s="264">
        <f ca="1">Z115-Z117</f>
        <v>36283.269826171876</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92</v>
      </c>
      <c r="C129" s="181">
        <f t="shared" si="50"/>
        <v>100</v>
      </c>
      <c r="D129" s="181">
        <f t="shared" si="50"/>
        <v>100</v>
      </c>
      <c r="E129" s="181">
        <f>E46</f>
        <v>100</v>
      </c>
      <c r="F129" s="181">
        <f t="shared" si="50"/>
        <v>100</v>
      </c>
      <c r="G129" s="181">
        <f t="shared" si="50"/>
        <v>96</v>
      </c>
      <c r="H129" s="181">
        <f t="shared" si="50"/>
        <v>88</v>
      </c>
      <c r="I129" s="181">
        <f t="shared" si="50"/>
        <v>100</v>
      </c>
      <c r="J129" s="181">
        <f t="shared" si="50"/>
        <v>99</v>
      </c>
      <c r="K129" s="181">
        <f t="shared" si="50"/>
        <v>97</v>
      </c>
      <c r="L129" s="181">
        <f t="shared" si="50"/>
        <v>95</v>
      </c>
      <c r="M129" s="181">
        <f t="shared" si="50"/>
        <v>98</v>
      </c>
      <c r="N129" s="181">
        <f t="shared" si="50"/>
        <v>94</v>
      </c>
      <c r="O129" s="181">
        <f t="shared" si="50"/>
        <v>93</v>
      </c>
      <c r="P129" s="181">
        <f t="shared" si="50"/>
        <v>99</v>
      </c>
      <c r="Q129" s="181">
        <f t="shared" si="50"/>
        <v>0</v>
      </c>
      <c r="R129" s="181">
        <f t="shared" si="50"/>
        <v>0</v>
      </c>
      <c r="S129" s="181">
        <f t="shared" si="50"/>
        <v>99</v>
      </c>
      <c r="T129" s="181">
        <f t="shared" si="50"/>
        <v>98</v>
      </c>
      <c r="U129" s="181">
        <f t="shared" si="50"/>
        <v>0</v>
      </c>
      <c r="V129" s="181">
        <f t="shared" si="50"/>
        <v>0</v>
      </c>
      <c r="W129" s="181">
        <f t="shared" si="50"/>
        <v>0</v>
      </c>
      <c r="X129" s="181">
        <f t="shared" si="50"/>
        <v>0</v>
      </c>
      <c r="Y129" s="181">
        <f t="shared" si="50"/>
        <v>0</v>
      </c>
      <c r="Z129" s="223">
        <f>SUM(B129:Y129)</f>
        <v>1648</v>
      </c>
      <c r="AA129" s="322" t="s">
        <v>175</v>
      </c>
    </row>
    <row r="130" spans="1:27" x14ac:dyDescent="0.25">
      <c r="A130" s="185">
        <f>Economics!$I39</f>
        <v>1.96</v>
      </c>
      <c r="B130" s="189">
        <f t="shared" ref="B130:Y130" ca="1" si="51">IndGencost(B129,OFFSET(HeatRateStart,1,MATCH($A129,HeatRateNames,0)-1,250,1),$A130)</f>
        <v>18.458988745349469</v>
      </c>
      <c r="C130" s="189">
        <f t="shared" ca="1" si="51"/>
        <v>18.221826354646684</v>
      </c>
      <c r="D130" s="189">
        <f t="shared" ca="1" si="51"/>
        <v>18.221826354646684</v>
      </c>
      <c r="E130" s="189">
        <f ca="1">IndGencost(E129,OFFSET(HeatRateStart,1,MATCH($A129,HeatRateNames,0)-1,250,1),$A130)</f>
        <v>18.221826354646684</v>
      </c>
      <c r="F130" s="189">
        <f t="shared" ca="1" si="51"/>
        <v>18.221826354646684</v>
      </c>
      <c r="G130" s="189">
        <f t="shared" ca="1" si="51"/>
        <v>18.331662470117728</v>
      </c>
      <c r="H130" s="189">
        <f t="shared" ca="1" si="51"/>
        <v>18.606190202127454</v>
      </c>
      <c r="I130" s="189">
        <f t="shared" ca="1" si="51"/>
        <v>18.221826354646684</v>
      </c>
      <c r="J130" s="189">
        <f t="shared" ca="1" si="51"/>
        <v>18.247761619595899</v>
      </c>
      <c r="K130" s="189">
        <f t="shared" ca="1" si="51"/>
        <v>18.302648259518669</v>
      </c>
      <c r="L130" s="189">
        <f t="shared" ca="1" si="51"/>
        <v>18.361768036317699</v>
      </c>
      <c r="M130" s="189">
        <f t="shared" ca="1" si="51"/>
        <v>18.274691995675596</v>
      </c>
      <c r="N130" s="189">
        <f t="shared" ca="1" si="51"/>
        <v>18.392999788616486</v>
      </c>
      <c r="O130" s="189">
        <f t="shared" ca="1" si="51"/>
        <v>18.425394055597916</v>
      </c>
      <c r="P130" s="189">
        <f t="shared" ca="1" si="51"/>
        <v>18.247761619595899</v>
      </c>
      <c r="Q130" s="189">
        <f t="shared" ca="1" si="51"/>
        <v>0</v>
      </c>
      <c r="R130" s="189">
        <f t="shared" ca="1" si="51"/>
        <v>0</v>
      </c>
      <c r="S130" s="189">
        <f t="shared" ca="1" si="51"/>
        <v>18.247761619595899</v>
      </c>
      <c r="T130" s="189">
        <f t="shared" ca="1" si="51"/>
        <v>18.274691995675596</v>
      </c>
      <c r="U130" s="189">
        <f t="shared" ca="1" si="51"/>
        <v>0</v>
      </c>
      <c r="V130" s="189">
        <f t="shared" ca="1" si="51"/>
        <v>0</v>
      </c>
      <c r="W130" s="189">
        <f t="shared" ca="1" si="51"/>
        <v>0</v>
      </c>
      <c r="X130" s="189">
        <f t="shared" ca="1" si="51"/>
        <v>0</v>
      </c>
      <c r="Y130" s="189">
        <f t="shared" ca="1" si="51"/>
        <v>0</v>
      </c>
      <c r="Z130" s="263">
        <f t="array" aca="1" ref="Z130" ca="1">SUM(B129:Y129*B130:Y130)</f>
        <v>30169.97778091046</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-18.458988745349469</v>
      </c>
      <c r="C133" s="188">
        <f t="shared" ca="1" si="53"/>
        <v>-18.221826354646684</v>
      </c>
      <c r="D133" s="188">
        <f t="shared" ca="1" si="53"/>
        <v>-18.221826354646684</v>
      </c>
      <c r="E133" s="188">
        <f t="shared" ca="1" si="53"/>
        <v>-18.221826354646684</v>
      </c>
      <c r="F133" s="188">
        <f t="shared" ca="1" si="53"/>
        <v>-18.221826354646684</v>
      </c>
      <c r="G133" s="188">
        <f t="shared" ca="1" si="53"/>
        <v>-18.331662470117728</v>
      </c>
      <c r="H133" s="188">
        <f t="shared" ca="1" si="53"/>
        <v>-18.606190202127454</v>
      </c>
      <c r="I133" s="188">
        <f t="shared" ca="1" si="53"/>
        <v>-18.221826354646684</v>
      </c>
      <c r="J133" s="188">
        <f t="shared" ca="1" si="53"/>
        <v>-18.247761619595899</v>
      </c>
      <c r="K133" s="188">
        <f t="shared" ca="1" si="53"/>
        <v>-18.302648259518669</v>
      </c>
      <c r="L133" s="188">
        <f t="shared" ca="1" si="53"/>
        <v>-18.361768036317699</v>
      </c>
      <c r="M133" s="188">
        <f t="shared" ca="1" si="53"/>
        <v>-18.274691995675596</v>
      </c>
      <c r="N133" s="188">
        <f t="shared" ca="1" si="53"/>
        <v>-18.392999788616486</v>
      </c>
      <c r="O133" s="188">
        <f t="shared" ca="1" si="53"/>
        <v>-18.425394055597916</v>
      </c>
      <c r="P133" s="188">
        <f t="shared" ca="1" si="53"/>
        <v>-18.247761619595899</v>
      </c>
      <c r="Q133" s="188">
        <f t="shared" ca="1" si="53"/>
        <v>0</v>
      </c>
      <c r="R133" s="188">
        <f t="shared" ca="1" si="53"/>
        <v>0</v>
      </c>
      <c r="S133" s="188">
        <f t="shared" ca="1" si="53"/>
        <v>-18.247761619595899</v>
      </c>
      <c r="T133" s="188">
        <f t="shared" ca="1" si="53"/>
        <v>-18.274691995675596</v>
      </c>
      <c r="U133" s="188">
        <f t="shared" ca="1" si="53"/>
        <v>0</v>
      </c>
      <c r="V133" s="188">
        <f t="shared" ca="1" si="53"/>
        <v>0</v>
      </c>
      <c r="W133" s="188">
        <f t="shared" ca="1" si="53"/>
        <v>0</v>
      </c>
      <c r="X133" s="188">
        <f t="shared" ca="1" si="53"/>
        <v>0</v>
      </c>
      <c r="Y133" s="188">
        <f t="shared" ca="1" si="53"/>
        <v>0</v>
      </c>
      <c r="Z133" s="264">
        <f ca="1">Z130-Z132</f>
        <v>30169.97778091046</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134</v>
      </c>
      <c r="R139" s="181">
        <f t="shared" si="59"/>
        <v>165</v>
      </c>
      <c r="S139" s="181">
        <f t="shared" si="59"/>
        <v>0</v>
      </c>
      <c r="T139" s="181">
        <f t="shared" si="59"/>
        <v>0</v>
      </c>
      <c r="U139" s="181">
        <f t="shared" si="59"/>
        <v>127</v>
      </c>
      <c r="V139" s="181">
        <f t="shared" si="59"/>
        <v>187</v>
      </c>
      <c r="W139" s="181">
        <f t="shared" si="59"/>
        <v>168</v>
      </c>
      <c r="X139" s="181">
        <f t="shared" si="59"/>
        <v>152</v>
      </c>
      <c r="Y139" s="181">
        <f t="shared" si="59"/>
        <v>151</v>
      </c>
      <c r="Z139" s="223">
        <f>SUM(B139:Y139)</f>
        <v>1084</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19.386353640177248</v>
      </c>
      <c r="R140" s="189">
        <f t="shared" ca="1" si="60"/>
        <v>18.545506952764576</v>
      </c>
      <c r="S140" s="189">
        <f t="shared" ca="1" si="60"/>
        <v>0</v>
      </c>
      <c r="T140" s="189">
        <f t="shared" ca="1" si="60"/>
        <v>0</v>
      </c>
      <c r="U140" s="189">
        <f t="shared" ca="1" si="60"/>
        <v>19.663016247782799</v>
      </c>
      <c r="V140" s="189">
        <f t="shared" ca="1" si="60"/>
        <v>18.20716290102439</v>
      </c>
      <c r="W140" s="189">
        <f t="shared" ca="1" si="60"/>
        <v>18.489294231852341</v>
      </c>
      <c r="X140" s="189">
        <f t="shared" ca="1" si="60"/>
        <v>18.834325458778125</v>
      </c>
      <c r="Y140" s="189">
        <f t="shared" ca="1" si="60"/>
        <v>18.859929336297704</v>
      </c>
      <c r="Z140" s="263">
        <f t="array" aca="1" ref="Z140" ca="1">SUM(B139:Y139*B140:Y140)</f>
        <v>20376.590791416304</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0.85768181165325075</v>
      </c>
      <c r="R143" s="188">
        <f t="shared" ca="1" si="62"/>
        <v>1.6985284990659224</v>
      </c>
      <c r="S143" s="188">
        <f t="shared" ca="1" si="62"/>
        <v>20.244035451830499</v>
      </c>
      <c r="T143" s="188">
        <f t="shared" ca="1" si="62"/>
        <v>18.231501034024166</v>
      </c>
      <c r="U143" s="188">
        <f t="shared" ca="1" si="62"/>
        <v>-1.4315152137586331</v>
      </c>
      <c r="V143" s="188">
        <f t="shared" ca="1" si="62"/>
        <v>0.24660046166583527</v>
      </c>
      <c r="W143" s="188">
        <f t="shared" ca="1" si="62"/>
        <v>5.621272091223517E-2</v>
      </c>
      <c r="X143" s="188">
        <f t="shared" ca="1" si="62"/>
        <v>0.19078989667518087</v>
      </c>
      <c r="Y143" s="188">
        <f t="shared" ca="1" si="62"/>
        <v>0.16518601915560183</v>
      </c>
      <c r="Z143" s="264">
        <f ca="1">Z140-Z142</f>
        <v>-41337.472705608525</v>
      </c>
    </row>
    <row r="144" spans="1:27" x14ac:dyDescent="0.25">
      <c r="A144" s="183" t="str">
        <f>Economics!A42</f>
        <v>Copper</v>
      </c>
      <c r="B144" s="181">
        <f t="shared" ref="B144:T144" si="63">B49</f>
        <v>31</v>
      </c>
      <c r="C144" s="181">
        <f t="shared" si="63"/>
        <v>36</v>
      </c>
      <c r="D144" s="181">
        <f t="shared" si="63"/>
        <v>30</v>
      </c>
      <c r="E144" s="181">
        <f>E49</f>
        <v>16</v>
      </c>
      <c r="F144" s="181">
        <f t="shared" si="63"/>
        <v>26</v>
      </c>
      <c r="G144" s="181">
        <f t="shared" si="63"/>
        <v>51</v>
      </c>
      <c r="H144" s="181">
        <f t="shared" si="63"/>
        <v>49</v>
      </c>
      <c r="I144" s="181">
        <f t="shared" si="63"/>
        <v>69</v>
      </c>
      <c r="J144" s="181">
        <f t="shared" si="63"/>
        <v>68</v>
      </c>
      <c r="K144" s="181">
        <f t="shared" si="63"/>
        <v>62</v>
      </c>
      <c r="L144" s="181">
        <f t="shared" si="63"/>
        <v>62</v>
      </c>
      <c r="M144" s="181">
        <f t="shared" si="63"/>
        <v>67</v>
      </c>
      <c r="N144" s="181">
        <f t="shared" si="63"/>
        <v>60</v>
      </c>
      <c r="O144" s="181">
        <f t="shared" si="63"/>
        <v>58</v>
      </c>
      <c r="P144" s="181">
        <f t="shared" si="63"/>
        <v>29</v>
      </c>
      <c r="Q144" s="181">
        <f t="shared" si="63"/>
        <v>45</v>
      </c>
      <c r="R144" s="181">
        <f t="shared" si="63"/>
        <v>13</v>
      </c>
      <c r="S144" s="181">
        <f t="shared" si="63"/>
        <v>60</v>
      </c>
      <c r="T144" s="181">
        <f t="shared" si="63"/>
        <v>67</v>
      </c>
      <c r="U144" s="181">
        <v>0</v>
      </c>
      <c r="V144" s="181">
        <v>0</v>
      </c>
      <c r="W144" s="181">
        <v>0</v>
      </c>
      <c r="X144" s="181">
        <f>X49</f>
        <v>49</v>
      </c>
      <c r="Y144" s="181">
        <f>Y49</f>
        <v>34</v>
      </c>
      <c r="Z144" s="223">
        <f>SUM(B144:Y144)</f>
        <v>982</v>
      </c>
      <c r="AA144" s="322" t="s">
        <v>171</v>
      </c>
    </row>
    <row r="145" spans="1:27" x14ac:dyDescent="0.25">
      <c r="A145" s="185">
        <f>Economics!$I41</f>
        <v>1.96</v>
      </c>
      <c r="B145" s="189">
        <f t="shared" ref="B145:Y145" ca="1" si="64">IndGencost(B144,OFFSET(HeatRateStart,1,MATCH($A144,HeatRateNames,0)-1,250,1),$A145)</f>
        <v>31.794562056744805</v>
      </c>
      <c r="C145" s="189">
        <f t="shared" ca="1" si="64"/>
        <v>29.779820355596925</v>
      </c>
      <c r="D145" s="189">
        <f t="shared" ca="1" si="64"/>
        <v>32.291369108478541</v>
      </c>
      <c r="E145" s="189">
        <f ca="1">IndGencost(E144,OFFSET(HeatRateStart,1,MATCH($A144,HeatRateNames,0)-1,250,1),$A145)</f>
        <v>46.638041363704097</v>
      </c>
      <c r="F145" s="189">
        <f t="shared" ca="1" si="64"/>
        <v>34.711791368509672</v>
      </c>
      <c r="G145" s="189">
        <f t="shared" ca="1" si="64"/>
        <v>26.496145590511144</v>
      </c>
      <c r="H145" s="189">
        <f t="shared" ca="1" si="64"/>
        <v>26.782608105262955</v>
      </c>
      <c r="I145" s="189" t="str">
        <f t="shared" ca="1" si="64"/>
        <v>Error - No HeatRate</v>
      </c>
      <c r="J145" s="189">
        <f t="shared" ca="1" si="64"/>
        <v>25.056702469789752</v>
      </c>
      <c r="K145" s="189">
        <f t="shared" ca="1" si="64"/>
        <v>25.403979757398815</v>
      </c>
      <c r="L145" s="189">
        <f t="shared" ca="1" si="64"/>
        <v>25.403979757398815</v>
      </c>
      <c r="M145" s="189">
        <f t="shared" ca="1" si="64"/>
        <v>25.105311512856975</v>
      </c>
      <c r="N145" s="189">
        <f t="shared" ca="1" si="64"/>
        <v>25.552865457328792</v>
      </c>
      <c r="O145" s="189">
        <f t="shared" ca="1" si="64"/>
        <v>25.721170201018257</v>
      </c>
      <c r="P145" s="189">
        <f t="shared" ca="1" si="64"/>
        <v>32.827014247731256</v>
      </c>
      <c r="Q145" s="189">
        <f t="shared" ca="1" si="64"/>
        <v>27.46730725458908</v>
      </c>
      <c r="R145" s="189">
        <f t="shared" ca="1" si="64"/>
        <v>53.992827012694548</v>
      </c>
      <c r="S145" s="189">
        <f t="shared" ca="1" si="64"/>
        <v>25.552865457328792</v>
      </c>
      <c r="T145" s="189">
        <f t="shared" ca="1" si="64"/>
        <v>25.105311512856975</v>
      </c>
      <c r="U145" s="189">
        <f t="shared" ca="1" si="64"/>
        <v>0</v>
      </c>
      <c r="V145" s="189">
        <f t="shared" ca="1" si="64"/>
        <v>0</v>
      </c>
      <c r="W145" s="189">
        <f t="shared" ca="1" si="64"/>
        <v>0</v>
      </c>
      <c r="X145" s="189">
        <f t="shared" ca="1" si="64"/>
        <v>26.782608105262955</v>
      </c>
      <c r="Y145" s="189">
        <f t="shared" ca="1" si="64"/>
        <v>30.502900525905343</v>
      </c>
      <c r="Z145" s="263" t="e">
        <f t="array" aca="1" ref="Z145" ca="1">SUM(B144:Y144*B145:Y145)</f>
        <v>#VALUE!</v>
      </c>
      <c r="AA145" s="322" t="s">
        <v>168</v>
      </c>
    </row>
    <row r="146" spans="1:27" x14ac:dyDescent="0.25">
      <c r="A146" s="184" t="s">
        <v>178</v>
      </c>
      <c r="B146" s="186">
        <v>0</v>
      </c>
      <c r="C146" s="186">
        <f t="shared" ref="C146:T146" si="65">C144</f>
        <v>36</v>
      </c>
      <c r="D146" s="186">
        <f t="shared" si="65"/>
        <v>30</v>
      </c>
      <c r="E146" s="186">
        <f t="shared" si="65"/>
        <v>16</v>
      </c>
      <c r="F146" s="186">
        <f t="shared" si="65"/>
        <v>26</v>
      </c>
      <c r="G146" s="186">
        <f t="shared" si="65"/>
        <v>51</v>
      </c>
      <c r="H146" s="186">
        <f t="shared" si="65"/>
        <v>49</v>
      </c>
      <c r="I146" s="186">
        <f t="shared" si="65"/>
        <v>69</v>
      </c>
      <c r="J146" s="186">
        <f t="shared" si="65"/>
        <v>68</v>
      </c>
      <c r="K146" s="186">
        <f t="shared" si="65"/>
        <v>62</v>
      </c>
      <c r="L146" s="186">
        <f t="shared" si="65"/>
        <v>62</v>
      </c>
      <c r="M146" s="186">
        <f t="shared" si="65"/>
        <v>67</v>
      </c>
      <c r="N146" s="186">
        <f t="shared" si="65"/>
        <v>60</v>
      </c>
      <c r="O146" s="186">
        <f t="shared" si="65"/>
        <v>58</v>
      </c>
      <c r="P146" s="186">
        <f t="shared" si="65"/>
        <v>29</v>
      </c>
      <c r="Q146" s="186">
        <f t="shared" si="65"/>
        <v>45</v>
      </c>
      <c r="R146" s="186">
        <f t="shared" si="65"/>
        <v>13</v>
      </c>
      <c r="S146" s="186">
        <f t="shared" si="65"/>
        <v>60</v>
      </c>
      <c r="T146" s="186">
        <f t="shared" si="65"/>
        <v>67</v>
      </c>
      <c r="U146" s="186"/>
      <c r="V146" s="186"/>
      <c r="W146" s="186"/>
      <c r="X146" s="186">
        <f>X144</f>
        <v>49</v>
      </c>
      <c r="Y146" s="186">
        <f>Y144</f>
        <v>34</v>
      </c>
      <c r="Z146" s="224">
        <f>SUM(B146:Y146)</f>
        <v>951</v>
      </c>
    </row>
    <row r="147" spans="1:27" x14ac:dyDescent="0.25">
      <c r="A147" s="182"/>
      <c r="B147" s="190">
        <f t="shared" ref="B147:Y147" ca="1" si="66">IndGencost(B146,OFFSET(HeatRateStart,1,MATCH($A144,HeatRateNames,0)-1,250,1),$A145)</f>
        <v>0</v>
      </c>
      <c r="C147" s="190">
        <f t="shared" ca="1" si="66"/>
        <v>29.779820355596925</v>
      </c>
      <c r="D147" s="190">
        <f t="shared" ca="1" si="66"/>
        <v>32.291369108478541</v>
      </c>
      <c r="E147" s="190">
        <f ca="1">IndGencost(E146,OFFSET(HeatRateStart,1,MATCH($A144,HeatRateNames,0)-1,250,1),$A145)</f>
        <v>46.638041363704097</v>
      </c>
      <c r="F147" s="190">
        <f t="shared" ca="1" si="66"/>
        <v>34.711791368509672</v>
      </c>
      <c r="G147" s="190">
        <f t="shared" ca="1" si="66"/>
        <v>26.496145590511144</v>
      </c>
      <c r="H147" s="190">
        <f t="shared" ca="1" si="66"/>
        <v>26.782608105262955</v>
      </c>
      <c r="I147" s="190" t="str">
        <f t="shared" ca="1" si="66"/>
        <v>Error - No HeatRate</v>
      </c>
      <c r="J147" s="190">
        <f t="shared" ca="1" si="66"/>
        <v>25.056702469789752</v>
      </c>
      <c r="K147" s="190">
        <f t="shared" ca="1" si="66"/>
        <v>25.403979757398815</v>
      </c>
      <c r="L147" s="190">
        <f t="shared" ca="1" si="66"/>
        <v>25.403979757398815</v>
      </c>
      <c r="M147" s="190">
        <f t="shared" ca="1" si="66"/>
        <v>25.105311512856975</v>
      </c>
      <c r="N147" s="190">
        <f t="shared" ca="1" si="66"/>
        <v>25.552865457328792</v>
      </c>
      <c r="O147" s="190">
        <f t="shared" ca="1" si="66"/>
        <v>25.721170201018257</v>
      </c>
      <c r="P147" s="190">
        <f t="shared" ca="1" si="66"/>
        <v>32.827014247731256</v>
      </c>
      <c r="Q147" s="190">
        <f t="shared" ca="1" si="66"/>
        <v>27.46730725458908</v>
      </c>
      <c r="R147" s="190">
        <f t="shared" ca="1" si="66"/>
        <v>53.992827012694548</v>
      </c>
      <c r="S147" s="190">
        <f t="shared" ca="1" si="66"/>
        <v>25.552865457328792</v>
      </c>
      <c r="T147" s="190">
        <f t="shared" ca="1" si="66"/>
        <v>25.105311512856975</v>
      </c>
      <c r="U147" s="190">
        <f t="shared" ca="1" si="66"/>
        <v>0</v>
      </c>
      <c r="V147" s="190">
        <f t="shared" ca="1" si="66"/>
        <v>0</v>
      </c>
      <c r="W147" s="190">
        <f t="shared" ca="1" si="66"/>
        <v>0</v>
      </c>
      <c r="X147" s="190">
        <f t="shared" ca="1" si="66"/>
        <v>26.782608105262955</v>
      </c>
      <c r="Y147" s="190">
        <f t="shared" ca="1" si="66"/>
        <v>30.502900525905343</v>
      </c>
      <c r="Z147" s="262" t="e">
        <f t="array" aca="1" ref="Z147" ca="1">SUM(B146:Y146*B147:Y147)</f>
        <v>#VALUE!</v>
      </c>
    </row>
    <row r="148" spans="1:27" ht="13.8" thickBot="1" x14ac:dyDescent="0.3">
      <c r="A148" s="187" t="s">
        <v>166</v>
      </c>
      <c r="B148" s="188">
        <f t="shared" ref="B148:Y148" ca="1" si="67">B147-B145</f>
        <v>-31.794562056744805</v>
      </c>
      <c r="C148" s="188">
        <f t="shared" ca="1" si="67"/>
        <v>0</v>
      </c>
      <c r="D148" s="188">
        <f t="shared" ca="1" si="67"/>
        <v>0</v>
      </c>
      <c r="E148" s="188">
        <f t="shared" ca="1" si="67"/>
        <v>0</v>
      </c>
      <c r="F148" s="188">
        <f t="shared" ca="1" si="67"/>
        <v>0</v>
      </c>
      <c r="G148" s="188">
        <f t="shared" ca="1" si="67"/>
        <v>0</v>
      </c>
      <c r="H148" s="188">
        <f t="shared" ca="1" si="67"/>
        <v>0</v>
      </c>
      <c r="I148" s="188" t="e">
        <f t="shared" ca="1" si="67"/>
        <v>#VALUE!</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35</v>
      </c>
      <c r="C149" s="181">
        <f t="shared" si="68"/>
        <v>35</v>
      </c>
      <c r="D149" s="181">
        <f t="shared" si="68"/>
        <v>35</v>
      </c>
      <c r="E149" s="181">
        <f>E50</f>
        <v>35</v>
      </c>
      <c r="F149" s="181">
        <f t="shared" si="68"/>
        <v>34</v>
      </c>
      <c r="G149" s="181">
        <f t="shared" si="68"/>
        <v>35</v>
      </c>
      <c r="H149" s="181">
        <f t="shared" si="68"/>
        <v>37</v>
      </c>
      <c r="I149" s="181">
        <f t="shared" si="68"/>
        <v>37</v>
      </c>
      <c r="J149" s="181">
        <f t="shared" si="68"/>
        <v>37</v>
      </c>
      <c r="K149" s="181">
        <f t="shared" si="68"/>
        <v>37</v>
      </c>
      <c r="L149" s="181">
        <f t="shared" si="68"/>
        <v>37</v>
      </c>
      <c r="M149" s="181">
        <f t="shared" si="68"/>
        <v>37</v>
      </c>
      <c r="N149" s="181">
        <f t="shared" si="68"/>
        <v>37</v>
      </c>
      <c r="O149" s="181">
        <f t="shared" si="68"/>
        <v>37</v>
      </c>
      <c r="P149" s="181">
        <f t="shared" si="68"/>
        <v>37</v>
      </c>
      <c r="Q149" s="181">
        <f t="shared" si="68"/>
        <v>37</v>
      </c>
      <c r="R149" s="181">
        <f t="shared" si="68"/>
        <v>38</v>
      </c>
      <c r="S149" s="181">
        <f t="shared" si="68"/>
        <v>37</v>
      </c>
      <c r="T149" s="181">
        <f t="shared" si="68"/>
        <v>37</v>
      </c>
      <c r="U149" s="181">
        <f t="shared" si="68"/>
        <v>38</v>
      </c>
      <c r="V149" s="181">
        <f t="shared" si="68"/>
        <v>38</v>
      </c>
      <c r="W149" s="181">
        <f t="shared" si="68"/>
        <v>38</v>
      </c>
      <c r="X149" s="181">
        <f t="shared" si="68"/>
        <v>37</v>
      </c>
      <c r="Y149" s="181">
        <f t="shared" si="68"/>
        <v>38</v>
      </c>
      <c r="Z149" s="223">
        <f>SUM(B149:Y149)</f>
        <v>880</v>
      </c>
      <c r="AA149" s="322" t="s">
        <v>179</v>
      </c>
    </row>
    <row r="150" spans="1:27" x14ac:dyDescent="0.25">
      <c r="A150" s="185">
        <f>Economics!$I43</f>
        <v>2.09</v>
      </c>
      <c r="B150" s="189">
        <f t="shared" ref="B150:Y150" ca="1" si="69">IndGencost(B149,OFFSET(HeatRateStart,1,MATCH($A149,HeatRateNames,0)-1,250,1),$A150)</f>
        <v>25.523680573239499</v>
      </c>
      <c r="C150" s="189">
        <f t="shared" ca="1" si="69"/>
        <v>25.523680573239499</v>
      </c>
      <c r="D150" s="189">
        <f t="shared" ca="1" si="69"/>
        <v>25.523680573239499</v>
      </c>
      <c r="E150" s="189">
        <f ca="1">IndGencost(E149,OFFSET(HeatRateStart,1,MATCH($A149,HeatRateNames,0)-1,250,1),$A150)</f>
        <v>25.523680573239499</v>
      </c>
      <c r="F150" s="189">
        <f t="shared" ca="1" si="69"/>
        <v>25.560498064416578</v>
      </c>
      <c r="G150" s="189">
        <f t="shared" ca="1" si="69"/>
        <v>25.523680573239499</v>
      </c>
      <c r="H150" s="189">
        <f t="shared" ca="1" si="69"/>
        <v>25.471689977459551</v>
      </c>
      <c r="I150" s="189">
        <f t="shared" ca="1" si="69"/>
        <v>25.471689977459551</v>
      </c>
      <c r="J150" s="189">
        <f t="shared" ca="1" si="69"/>
        <v>25.471689977459551</v>
      </c>
      <c r="K150" s="189">
        <f t="shared" ca="1" si="69"/>
        <v>25.471689977459551</v>
      </c>
      <c r="L150" s="189">
        <f t="shared" ca="1" si="69"/>
        <v>25.471689977459551</v>
      </c>
      <c r="M150" s="189">
        <f t="shared" ca="1" si="69"/>
        <v>25.471689977459551</v>
      </c>
      <c r="N150" s="189">
        <f t="shared" ca="1" si="69"/>
        <v>25.471689977459551</v>
      </c>
      <c r="O150" s="189">
        <f t="shared" ca="1" si="69"/>
        <v>25.471689977459551</v>
      </c>
      <c r="P150" s="189">
        <f t="shared" ca="1" si="69"/>
        <v>25.471689977459551</v>
      </c>
      <c r="Q150" s="189">
        <f t="shared" ca="1" si="69"/>
        <v>25.471689977459551</v>
      </c>
      <c r="R150" s="189">
        <f t="shared" ca="1" si="69"/>
        <v>25.45537769461594</v>
      </c>
      <c r="S150" s="189">
        <f t="shared" ca="1" si="69"/>
        <v>25.471689977459551</v>
      </c>
      <c r="T150" s="189">
        <f t="shared" ca="1" si="69"/>
        <v>25.471689977459551</v>
      </c>
      <c r="U150" s="189">
        <f t="shared" ca="1" si="69"/>
        <v>25.45537769461594</v>
      </c>
      <c r="V150" s="189">
        <f t="shared" ca="1" si="69"/>
        <v>25.45537769461594</v>
      </c>
      <c r="W150" s="189">
        <f t="shared" ca="1" si="69"/>
        <v>25.45537769461594</v>
      </c>
      <c r="X150" s="189">
        <f t="shared" ca="1" si="69"/>
        <v>25.471689977459551</v>
      </c>
      <c r="Y150" s="189">
        <f t="shared" ca="1" si="69"/>
        <v>25.45537769461594</v>
      </c>
      <c r="Z150" s="263">
        <f t="array" aca="1" ref="Z150" ca="1">SUM(B149:Y149*B150:Y150)</f>
        <v>22424.105675642153</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-25.523680573239499</v>
      </c>
      <c r="C153" s="188">
        <f t="shared" ca="1" si="71"/>
        <v>-25.523680573239499</v>
      </c>
      <c r="D153" s="188">
        <f t="shared" ca="1" si="71"/>
        <v>-25.523680573239499</v>
      </c>
      <c r="E153" s="188">
        <f t="shared" ca="1" si="71"/>
        <v>-25.523680573239499</v>
      </c>
      <c r="F153" s="188">
        <f t="shared" ca="1" si="71"/>
        <v>-25.560498064416578</v>
      </c>
      <c r="G153" s="188">
        <f t="shared" ca="1" si="71"/>
        <v>-25.523680573239499</v>
      </c>
      <c r="H153" s="188">
        <f t="shared" ca="1" si="71"/>
        <v>-25.471689977459551</v>
      </c>
      <c r="I153" s="188">
        <f t="shared" ca="1" si="71"/>
        <v>-25.471689977459551</v>
      </c>
      <c r="J153" s="188">
        <f t="shared" ca="1" si="71"/>
        <v>-25.471689977459551</v>
      </c>
      <c r="K153" s="188">
        <f t="shared" ca="1" si="71"/>
        <v>-25.471689977459551</v>
      </c>
      <c r="L153" s="188">
        <f t="shared" ca="1" si="71"/>
        <v>-25.471689977459551</v>
      </c>
      <c r="M153" s="188">
        <f t="shared" ca="1" si="71"/>
        <v>-25.471689977459551</v>
      </c>
      <c r="N153" s="188">
        <f t="shared" ca="1" si="71"/>
        <v>-25.471689977459551</v>
      </c>
      <c r="O153" s="188">
        <f t="shared" ca="1" si="71"/>
        <v>-25.471689977459551</v>
      </c>
      <c r="P153" s="188">
        <f t="shared" ca="1" si="71"/>
        <v>-25.471689977459551</v>
      </c>
      <c r="Q153" s="188">
        <f t="shared" ca="1" si="71"/>
        <v>-25.471689977459551</v>
      </c>
      <c r="R153" s="188">
        <f t="shared" ca="1" si="71"/>
        <v>-25.45537769461594</v>
      </c>
      <c r="S153" s="188">
        <f t="shared" ca="1" si="71"/>
        <v>-25.471689977459551</v>
      </c>
      <c r="T153" s="188">
        <f t="shared" ca="1" si="71"/>
        <v>-25.471689977459551</v>
      </c>
      <c r="U153" s="188">
        <f t="shared" ca="1" si="71"/>
        <v>-25.45537769461594</v>
      </c>
      <c r="V153" s="188">
        <f t="shared" ca="1" si="71"/>
        <v>-25.45537769461594</v>
      </c>
      <c r="W153" s="188">
        <f t="shared" ca="1" si="71"/>
        <v>-25.45537769461594</v>
      </c>
      <c r="X153" s="188">
        <f t="shared" ca="1" si="71"/>
        <v>-25.471689977459551</v>
      </c>
      <c r="Y153" s="188">
        <f t="shared" ca="1" si="71"/>
        <v>-25.45537769461594</v>
      </c>
      <c r="Z153" s="264">
        <f ca="1">Z150-Z152</f>
        <v>22424.105675642153</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5">
      <c r="A159" s="183" t="str">
        <f>Economics!A45</f>
        <v>Rio Grande 8</v>
      </c>
      <c r="B159" s="181">
        <f t="shared" ref="B159:Y159" si="76">B52</f>
        <v>83</v>
      </c>
      <c r="C159" s="181">
        <f t="shared" si="76"/>
        <v>83</v>
      </c>
      <c r="D159" s="181">
        <f t="shared" si="76"/>
        <v>84</v>
      </c>
      <c r="E159" s="181">
        <f>E52</f>
        <v>83</v>
      </c>
      <c r="F159" s="181">
        <f t="shared" si="76"/>
        <v>83</v>
      </c>
      <c r="G159" s="181">
        <f t="shared" si="76"/>
        <v>83</v>
      </c>
      <c r="H159" s="181">
        <f t="shared" si="76"/>
        <v>82</v>
      </c>
      <c r="I159" s="181">
        <f t="shared" si="76"/>
        <v>84</v>
      </c>
      <c r="J159" s="181">
        <f t="shared" si="76"/>
        <v>83</v>
      </c>
      <c r="K159" s="181">
        <f t="shared" si="76"/>
        <v>84</v>
      </c>
      <c r="L159" s="181">
        <f t="shared" si="76"/>
        <v>83</v>
      </c>
      <c r="M159" s="181">
        <f t="shared" si="76"/>
        <v>84</v>
      </c>
      <c r="N159" s="181">
        <f t="shared" si="76"/>
        <v>83</v>
      </c>
      <c r="O159" s="181">
        <f t="shared" si="76"/>
        <v>84</v>
      </c>
      <c r="P159" s="181">
        <f t="shared" si="76"/>
        <v>83</v>
      </c>
      <c r="Q159" s="181">
        <f t="shared" si="76"/>
        <v>83</v>
      </c>
      <c r="R159" s="181">
        <f t="shared" si="76"/>
        <v>84</v>
      </c>
      <c r="S159" s="181">
        <f t="shared" si="76"/>
        <v>83</v>
      </c>
      <c r="T159" s="181">
        <f t="shared" si="76"/>
        <v>83</v>
      </c>
      <c r="U159" s="181">
        <f t="shared" si="76"/>
        <v>85</v>
      </c>
      <c r="V159" s="181">
        <f t="shared" si="76"/>
        <v>83</v>
      </c>
      <c r="W159" s="181">
        <f t="shared" si="76"/>
        <v>82</v>
      </c>
      <c r="X159" s="181">
        <f t="shared" si="76"/>
        <v>81</v>
      </c>
      <c r="Y159" s="181">
        <f t="shared" si="76"/>
        <v>83</v>
      </c>
      <c r="Z159" s="223">
        <f>SUM(B159:Y159)</f>
        <v>1996</v>
      </c>
      <c r="AA159" s="322" t="s">
        <v>179</v>
      </c>
    </row>
    <row r="160" spans="1:27" x14ac:dyDescent="0.25">
      <c r="A160" s="185">
        <f>Economics!$I45</f>
        <v>2.09</v>
      </c>
      <c r="B160" s="189">
        <f t="shared" ref="B160:Y160" ca="1" si="77">IndGencost(B159,OFFSET(HeatRateStart,1,MATCH($A159,HeatRateNames,0)-1,250,1),$A160)</f>
        <v>21.20041774381356</v>
      </c>
      <c r="C160" s="189">
        <f t="shared" ca="1" si="77"/>
        <v>21.20041774381356</v>
      </c>
      <c r="D160" s="189">
        <f t="shared" ca="1" si="77"/>
        <v>21.2026012721232</v>
      </c>
      <c r="E160" s="189">
        <f ca="1">IndGencost(E159,OFFSET(HeatRateStart,1,MATCH($A159,HeatRateNames,0)-1,250,1),$A160)</f>
        <v>21.20041774381356</v>
      </c>
      <c r="F160" s="189">
        <f t="shared" ca="1" si="77"/>
        <v>21.20041774381356</v>
      </c>
      <c r="G160" s="189">
        <f t="shared" ca="1" si="77"/>
        <v>21.20041774381356</v>
      </c>
      <c r="H160" s="189">
        <f t="shared" ca="1" si="77"/>
        <v>21.198920105026993</v>
      </c>
      <c r="I160" s="189">
        <f t="shared" ca="1" si="77"/>
        <v>21.2026012721232</v>
      </c>
      <c r="J160" s="189">
        <f t="shared" ca="1" si="77"/>
        <v>21.20041774381356</v>
      </c>
      <c r="K160" s="189">
        <f t="shared" ca="1" si="77"/>
        <v>21.2026012721232</v>
      </c>
      <c r="L160" s="189">
        <f t="shared" ca="1" si="77"/>
        <v>21.20041774381356</v>
      </c>
      <c r="M160" s="189">
        <f t="shared" ca="1" si="77"/>
        <v>21.2026012721232</v>
      </c>
      <c r="N160" s="189">
        <f t="shared" ca="1" si="77"/>
        <v>21.20041774381356</v>
      </c>
      <c r="O160" s="189">
        <f t="shared" ca="1" si="77"/>
        <v>21.2026012721232</v>
      </c>
      <c r="P160" s="189">
        <f t="shared" ca="1" si="77"/>
        <v>21.20041774381356</v>
      </c>
      <c r="Q160" s="189">
        <f t="shared" ca="1" si="77"/>
        <v>21.20041774381356</v>
      </c>
      <c r="R160" s="189">
        <f t="shared" ca="1" si="77"/>
        <v>21.2026012721232</v>
      </c>
      <c r="S160" s="189">
        <f t="shared" ca="1" si="77"/>
        <v>21.20041774381356</v>
      </c>
      <c r="T160" s="189">
        <f t="shared" ca="1" si="77"/>
        <v>21.20041774381356</v>
      </c>
      <c r="U160" s="189">
        <f t="shared" ca="1" si="77"/>
        <v>21.205446482090391</v>
      </c>
      <c r="V160" s="189">
        <f t="shared" ca="1" si="77"/>
        <v>21.20041774381356</v>
      </c>
      <c r="W160" s="189">
        <f t="shared" ca="1" si="77"/>
        <v>21.198920105026993</v>
      </c>
      <c r="X160" s="189">
        <f t="shared" ca="1" si="77"/>
        <v>21.198133759079159</v>
      </c>
      <c r="Y160" s="189">
        <f t="shared" ca="1" si="77"/>
        <v>21.20041774381356</v>
      </c>
      <c r="Z160" s="263">
        <f t="array" aca="1" ref="Z160" ca="1">SUM(B159:Y159*B160:Y160)</f>
        <v>42317.131142148974</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0.32068458665822774</v>
      </c>
      <c r="C163" s="188">
        <f t="shared" ca="1" si="79"/>
        <v>0.32068458665822774</v>
      </c>
      <c r="D163" s="188">
        <f t="shared" ca="1" si="79"/>
        <v>0.31850105834858766</v>
      </c>
      <c r="E163" s="188">
        <f t="shared" ca="1" si="79"/>
        <v>0.32068458665822774</v>
      </c>
      <c r="F163" s="188">
        <f t="shared" ca="1" si="79"/>
        <v>0.10865868877215945</v>
      </c>
      <c r="G163" s="188">
        <f t="shared" ca="1" si="79"/>
        <v>9.5283851508618511E-3</v>
      </c>
      <c r="H163" s="188">
        <f t="shared" ca="1" si="79"/>
        <v>0.32218222544479502</v>
      </c>
      <c r="I163" s="188">
        <f t="shared" ca="1" si="79"/>
        <v>0.31850105834858766</v>
      </c>
      <c r="J163" s="188">
        <f t="shared" ca="1" si="79"/>
        <v>0.32068458665822774</v>
      </c>
      <c r="K163" s="188">
        <f t="shared" ca="1" si="79"/>
        <v>0.31850105834858766</v>
      </c>
      <c r="L163" s="188">
        <f t="shared" ca="1" si="79"/>
        <v>0.32068458665822774</v>
      </c>
      <c r="M163" s="188">
        <f t="shared" ca="1" si="79"/>
        <v>0.31850105834858766</v>
      </c>
      <c r="N163" s="188">
        <f t="shared" ca="1" si="79"/>
        <v>0.32068458665822774</v>
      </c>
      <c r="O163" s="188">
        <f t="shared" ca="1" si="79"/>
        <v>0.31850105834858766</v>
      </c>
      <c r="P163" s="188">
        <f t="shared" ca="1" si="79"/>
        <v>0.32068458665822774</v>
      </c>
      <c r="Q163" s="188">
        <f t="shared" ca="1" si="79"/>
        <v>0.32068458665822774</v>
      </c>
      <c r="R163" s="188">
        <f t="shared" ca="1" si="79"/>
        <v>0.31850105834858766</v>
      </c>
      <c r="S163" s="188">
        <f t="shared" ca="1" si="79"/>
        <v>0.32068458665822774</v>
      </c>
      <c r="T163" s="188">
        <f t="shared" ca="1" si="79"/>
        <v>5.0287382768310351E-3</v>
      </c>
      <c r="U163" s="188">
        <f t="shared" ca="1" si="79"/>
        <v>0.23339263747400807</v>
      </c>
      <c r="V163" s="188">
        <f t="shared" ca="1" si="79"/>
        <v>2.8408051042195126E-2</v>
      </c>
      <c r="W163" s="188">
        <f t="shared" ca="1" si="79"/>
        <v>0.11015632755872673</v>
      </c>
      <c r="X163" s="188">
        <f t="shared" ca="1" si="79"/>
        <v>0.32296857139262869</v>
      </c>
      <c r="Y163" s="188">
        <f t="shared" ca="1" si="79"/>
        <v>0.32068458665822774</v>
      </c>
      <c r="Z163" s="264">
        <f ca="1">Z160-Z162</f>
        <v>10191.60452145815</v>
      </c>
      <c r="AA163" s="266"/>
    </row>
    <row r="164" spans="1:27" s="273" customFormat="1" x14ac:dyDescent="0.25">
      <c r="A164" s="306" t="s">
        <v>183</v>
      </c>
      <c r="B164" s="307">
        <f t="shared" ref="B164:Y164" si="80">B159+B154+B149+B144+B139+B134+B129+B124+B119+B114+B109+B104+B101+B98+B95+B92+B89</f>
        <v>745</v>
      </c>
      <c r="C164" s="307">
        <f t="shared" si="80"/>
        <v>778</v>
      </c>
      <c r="D164" s="307">
        <f t="shared" si="80"/>
        <v>800</v>
      </c>
      <c r="E164" s="307">
        <f t="shared" si="80"/>
        <v>810</v>
      </c>
      <c r="F164" s="307">
        <f t="shared" si="80"/>
        <v>904</v>
      </c>
      <c r="G164" s="307">
        <f t="shared" si="80"/>
        <v>964</v>
      </c>
      <c r="H164" s="307">
        <f t="shared" si="80"/>
        <v>893</v>
      </c>
      <c r="I164" s="307">
        <f t="shared" si="80"/>
        <v>960</v>
      </c>
      <c r="J164" s="307">
        <f t="shared" si="80"/>
        <v>990</v>
      </c>
      <c r="K164" s="307">
        <f t="shared" si="80"/>
        <v>1015</v>
      </c>
      <c r="L164" s="307">
        <f t="shared" si="80"/>
        <v>1015</v>
      </c>
      <c r="M164" s="307" t="e">
        <f t="shared" si="80"/>
        <v>#REF!</v>
      </c>
      <c r="N164" s="307">
        <f t="shared" si="80"/>
        <v>980</v>
      </c>
      <c r="O164" s="307">
        <f t="shared" si="80"/>
        <v>958</v>
      </c>
      <c r="P164" s="307">
        <f t="shared" si="80"/>
        <v>933</v>
      </c>
      <c r="Q164" s="307">
        <f t="shared" si="80"/>
        <v>989</v>
      </c>
      <c r="R164" s="307">
        <f t="shared" si="80"/>
        <v>942</v>
      </c>
      <c r="S164" s="307">
        <f t="shared" si="80"/>
        <v>969</v>
      </c>
      <c r="T164" s="307">
        <f t="shared" si="80"/>
        <v>978</v>
      </c>
      <c r="U164" s="307">
        <f t="shared" si="80"/>
        <v>928</v>
      </c>
      <c r="V164" s="307">
        <f t="shared" si="80"/>
        <v>966</v>
      </c>
      <c r="W164" s="307">
        <f t="shared" si="80"/>
        <v>961</v>
      </c>
      <c r="X164" s="307">
        <f t="shared" si="80"/>
        <v>979</v>
      </c>
      <c r="Y164" s="308">
        <f t="shared" si="80"/>
        <v>965</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914</v>
      </c>
      <c r="D165" s="310">
        <f t="shared" si="81"/>
        <v>878</v>
      </c>
      <c r="E165" s="310">
        <f t="shared" si="81"/>
        <v>864</v>
      </c>
      <c r="F165" s="310">
        <f t="shared" si="81"/>
        <v>884</v>
      </c>
      <c r="G165" s="310">
        <f t="shared" si="81"/>
        <v>919</v>
      </c>
      <c r="H165" s="310">
        <f t="shared" si="81"/>
        <v>943</v>
      </c>
      <c r="I165" s="310">
        <f t="shared" si="81"/>
        <v>948</v>
      </c>
      <c r="J165" s="310">
        <f t="shared" si="81"/>
        <v>947</v>
      </c>
      <c r="K165" s="310">
        <f t="shared" si="81"/>
        <v>941</v>
      </c>
      <c r="L165" s="310">
        <f t="shared" si="81"/>
        <v>992</v>
      </c>
      <c r="M165" s="310">
        <f t="shared" si="81"/>
        <v>997</v>
      </c>
      <c r="N165" s="310">
        <f t="shared" si="81"/>
        <v>990</v>
      </c>
      <c r="O165" s="310">
        <f t="shared" si="81"/>
        <v>988</v>
      </c>
      <c r="P165" s="310">
        <f t="shared" si="81"/>
        <v>959</v>
      </c>
      <c r="Q165" s="310">
        <f t="shared" si="81"/>
        <v>975</v>
      </c>
      <c r="R165" s="310">
        <f t="shared" si="81"/>
        <v>943</v>
      </c>
      <c r="S165" s="310">
        <f t="shared" si="81"/>
        <v>990</v>
      </c>
      <c r="T165" s="310">
        <f t="shared" si="81"/>
        <v>1096</v>
      </c>
      <c r="U165" s="310">
        <f t="shared" si="81"/>
        <v>1054</v>
      </c>
      <c r="V165" s="310">
        <f t="shared" si="81"/>
        <v>968</v>
      </c>
      <c r="W165" s="310">
        <f>W161+W156+W151+W146+W141+W136+W131+W126+W121+W116+W111+W106+W102+W99+W96+W93+W90</f>
        <v>938</v>
      </c>
      <c r="X165" s="310">
        <f t="shared" si="81"/>
        <v>958</v>
      </c>
      <c r="Y165" s="311">
        <f t="shared" si="81"/>
        <v>943</v>
      </c>
      <c r="Z165" s="275"/>
      <c r="AA165" s="174" t="e">
        <f ca="1">Z163+Z158+Z153+Z148+Z143+Z138+Z133+Z128+Z123+Z118+Z113+Z108+Z103+Z100+Z97+Z94+Z91</f>
        <v>#VALUE!</v>
      </c>
    </row>
    <row r="166" spans="1:27" x14ac:dyDescent="0.25">
      <c r="A166" s="334" t="s">
        <v>185</v>
      </c>
      <c r="B166" s="335">
        <f t="shared" ref="B166:Y166" si="82">B165-B164</f>
        <v>234</v>
      </c>
      <c r="C166" s="335">
        <f t="shared" si="82"/>
        <v>136</v>
      </c>
      <c r="D166" s="335">
        <f t="shared" si="82"/>
        <v>78</v>
      </c>
      <c r="E166" s="335">
        <f t="shared" si="82"/>
        <v>54</v>
      </c>
      <c r="F166" s="335">
        <f t="shared" si="82"/>
        <v>-20</v>
      </c>
      <c r="G166" s="335">
        <f t="shared" si="82"/>
        <v>-45</v>
      </c>
      <c r="H166" s="335">
        <f t="shared" si="82"/>
        <v>50</v>
      </c>
      <c r="I166" s="335">
        <f t="shared" si="82"/>
        <v>-12</v>
      </c>
      <c r="J166" s="335">
        <f t="shared" si="82"/>
        <v>-43</v>
      </c>
      <c r="K166" s="335">
        <f t="shared" si="82"/>
        <v>-74</v>
      </c>
      <c r="L166" s="335">
        <f t="shared" si="82"/>
        <v>-23</v>
      </c>
      <c r="M166" s="335" t="e">
        <f t="shared" si="82"/>
        <v>#REF!</v>
      </c>
      <c r="N166" s="335">
        <f t="shared" si="82"/>
        <v>10</v>
      </c>
      <c r="O166" s="335">
        <f t="shared" si="82"/>
        <v>30</v>
      </c>
      <c r="P166" s="335">
        <f t="shared" si="82"/>
        <v>26</v>
      </c>
      <c r="Q166" s="335">
        <f t="shared" si="82"/>
        <v>-14</v>
      </c>
      <c r="R166" s="335">
        <f t="shared" si="82"/>
        <v>1</v>
      </c>
      <c r="S166" s="335">
        <f t="shared" si="82"/>
        <v>21</v>
      </c>
      <c r="T166" s="335">
        <f t="shared" si="82"/>
        <v>118</v>
      </c>
      <c r="U166" s="335">
        <f t="shared" si="82"/>
        <v>126</v>
      </c>
      <c r="V166" s="335">
        <f t="shared" si="82"/>
        <v>2</v>
      </c>
      <c r="W166" s="335">
        <f t="shared" si="82"/>
        <v>-23</v>
      </c>
      <c r="X166" s="335">
        <f t="shared" si="82"/>
        <v>-21</v>
      </c>
      <c r="Y166" s="336">
        <f t="shared" si="82"/>
        <v>-22</v>
      </c>
      <c r="Z166" s="340" t="e">
        <f>SUM(B166:Y166)</f>
        <v>#REF!</v>
      </c>
    </row>
    <row r="167" spans="1:27" s="329" customFormat="1" ht="32.25" customHeight="1" thickBot="1" x14ac:dyDescent="0.3">
      <c r="A167" s="337" t="s">
        <v>186</v>
      </c>
      <c r="B167" s="338">
        <f t="shared" ref="B167:Y167" ca="1" si="83">B58</f>
        <v>5</v>
      </c>
      <c r="C167" s="338">
        <f t="shared" ca="1" si="83"/>
        <v>1</v>
      </c>
      <c r="D167" s="338">
        <f t="shared" ca="1" si="83"/>
        <v>6</v>
      </c>
      <c r="E167" s="338">
        <f ca="1">E58</f>
        <v>1</v>
      </c>
      <c r="F167" s="338">
        <f t="shared" ca="1" si="83"/>
        <v>-2</v>
      </c>
      <c r="G167" s="338">
        <f t="shared" ca="1" si="83"/>
        <v>4</v>
      </c>
      <c r="H167" s="338">
        <f t="shared" ca="1" si="83"/>
        <v>6</v>
      </c>
      <c r="I167" s="338">
        <f t="shared" ca="1" si="83"/>
        <v>-9</v>
      </c>
      <c r="J167" s="338">
        <f t="shared" ca="1" si="83"/>
        <v>-3</v>
      </c>
      <c r="K167" s="338">
        <f t="shared" ca="1" si="83"/>
        <v>31</v>
      </c>
      <c r="L167" s="338">
        <f t="shared" ca="1" si="83"/>
        <v>28</v>
      </c>
      <c r="M167" s="338">
        <f t="shared" ca="1" si="83"/>
        <v>23</v>
      </c>
      <c r="N167" s="338">
        <f t="shared" ca="1" si="83"/>
        <v>7</v>
      </c>
      <c r="O167" s="338">
        <f t="shared" ca="1" si="83"/>
        <v>14</v>
      </c>
      <c r="P167" s="338">
        <f t="shared" ca="1" si="83"/>
        <v>4</v>
      </c>
      <c r="Q167" s="338">
        <f t="shared" ca="1" si="83"/>
        <v>9</v>
      </c>
      <c r="R167" s="338">
        <f t="shared" ca="1" si="83"/>
        <v>0</v>
      </c>
      <c r="S167" s="338">
        <f t="shared" ca="1" si="83"/>
        <v>-6</v>
      </c>
      <c r="T167" s="338">
        <f t="shared" ca="1" si="83"/>
        <v>-5</v>
      </c>
      <c r="U167" s="338">
        <f t="shared" ca="1" si="83"/>
        <v>8</v>
      </c>
      <c r="V167" s="338">
        <f t="shared" ca="1" si="83"/>
        <v>1</v>
      </c>
      <c r="W167" s="338">
        <f t="shared" ca="1" si="83"/>
        <v>-5</v>
      </c>
      <c r="X167" s="338">
        <f ca="1">X58</f>
        <v>-8</v>
      </c>
      <c r="Y167" s="339">
        <f t="shared" ca="1" si="83"/>
        <v>7</v>
      </c>
      <c r="Z167" s="327">
        <f ca="1">SUM(B167:Y167)</f>
        <v>117</v>
      </c>
      <c r="AA167" s="328"/>
    </row>
    <row r="168" spans="1:27" ht="13.8" hidden="1" thickBot="1" x14ac:dyDescent="0.3">
      <c r="A168" s="330" t="s">
        <v>187</v>
      </c>
      <c r="B168" s="331">
        <f t="shared" ref="B168:Y168" ca="1" si="84">B167+B166</f>
        <v>239</v>
      </c>
      <c r="C168" s="331">
        <f t="shared" ca="1" si="84"/>
        <v>137</v>
      </c>
      <c r="D168" s="331">
        <f t="shared" ca="1" si="84"/>
        <v>84</v>
      </c>
      <c r="E168" s="331">
        <f t="shared" ca="1" si="84"/>
        <v>55</v>
      </c>
      <c r="F168" s="331">
        <f t="shared" ca="1" si="84"/>
        <v>-22</v>
      </c>
      <c r="G168" s="331">
        <f t="shared" ca="1" si="84"/>
        <v>-41</v>
      </c>
      <c r="H168" s="331">
        <f t="shared" ca="1" si="84"/>
        <v>56</v>
      </c>
      <c r="I168" s="331">
        <f t="shared" ca="1" si="84"/>
        <v>-21</v>
      </c>
      <c r="J168" s="331">
        <f t="shared" ca="1" si="84"/>
        <v>-46</v>
      </c>
      <c r="K168" s="331">
        <f t="shared" ca="1" si="84"/>
        <v>-43</v>
      </c>
      <c r="L168" s="331">
        <f t="shared" ca="1" si="84"/>
        <v>5</v>
      </c>
      <c r="M168" s="331" t="e">
        <f t="shared" ca="1" si="84"/>
        <v>#REF!</v>
      </c>
      <c r="N168" s="331">
        <f t="shared" ca="1" si="84"/>
        <v>17</v>
      </c>
      <c r="O168" s="331">
        <f t="shared" ca="1" si="84"/>
        <v>44</v>
      </c>
      <c r="P168" s="331">
        <f t="shared" ca="1" si="84"/>
        <v>30</v>
      </c>
      <c r="Q168" s="331">
        <f t="shared" ca="1" si="84"/>
        <v>-5</v>
      </c>
      <c r="R168" s="331">
        <f t="shared" ca="1" si="84"/>
        <v>1</v>
      </c>
      <c r="S168" s="331">
        <f t="shared" ca="1" si="84"/>
        <v>15</v>
      </c>
      <c r="T168" s="331">
        <f t="shared" ca="1" si="84"/>
        <v>113</v>
      </c>
      <c r="U168" s="331">
        <f t="shared" ca="1" si="84"/>
        <v>134</v>
      </c>
      <c r="V168" s="331">
        <f t="shared" ca="1" si="84"/>
        <v>3</v>
      </c>
      <c r="W168" s="331">
        <f t="shared" ca="1" si="84"/>
        <v>-28</v>
      </c>
      <c r="X168" s="331">
        <f t="shared" ca="1" si="84"/>
        <v>-29</v>
      </c>
      <c r="Y168" s="331">
        <f t="shared" ca="1" si="84"/>
        <v>-15</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582</v>
      </c>
      <c r="C171" s="342">
        <f t="shared" si="85"/>
        <v>557</v>
      </c>
      <c r="D171" s="342">
        <f t="shared" si="85"/>
        <v>536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525</v>
      </c>
      <c r="F171" s="342">
        <f t="shared" si="85"/>
        <v>431</v>
      </c>
      <c r="G171" s="342">
        <f t="shared" si="85"/>
        <v>367</v>
      </c>
      <c r="H171" s="342">
        <f t="shared" si="85"/>
        <v>429</v>
      </c>
      <c r="I171" s="342">
        <f t="shared" si="85"/>
        <v>376</v>
      </c>
      <c r="J171" s="342">
        <f t="shared" si="85"/>
        <v>344</v>
      </c>
      <c r="K171" s="342">
        <f t="shared" si="85"/>
        <v>318</v>
      </c>
      <c r="L171" s="342">
        <f t="shared" si="85"/>
        <v>315</v>
      </c>
      <c r="M171" s="342">
        <f t="shared" si="85"/>
        <v>309</v>
      </c>
      <c r="N171" s="342">
        <f t="shared" si="85"/>
        <v>349</v>
      </c>
      <c r="O171" s="342">
        <f t="shared" si="85"/>
        <v>371</v>
      </c>
      <c r="P171" s="342">
        <f t="shared" si="85"/>
        <v>401</v>
      </c>
      <c r="Q171" s="342">
        <f t="shared" si="85"/>
        <v>371</v>
      </c>
      <c r="R171" s="342">
        <f t="shared" si="85"/>
        <v>418</v>
      </c>
      <c r="S171" s="342">
        <f t="shared" si="85"/>
        <v>365</v>
      </c>
      <c r="T171" s="342">
        <f t="shared" si="85"/>
        <v>355</v>
      </c>
      <c r="U171" s="342">
        <f t="shared" si="85"/>
        <v>370</v>
      </c>
      <c r="V171" s="342">
        <f t="shared" si="85"/>
        <v>330</v>
      </c>
      <c r="W171" s="342">
        <f t="shared" si="85"/>
        <v>334</v>
      </c>
      <c r="X171" s="342">
        <f t="shared" si="85"/>
        <v>379</v>
      </c>
      <c r="Y171" s="343">
        <f t="shared" si="85"/>
        <v>395</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258</v>
      </c>
      <c r="D172" s="345">
        <f t="shared" si="86"/>
        <v>304</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307</v>
      </c>
      <c r="G172" s="345">
        <f t="shared" si="86"/>
        <v>282</v>
      </c>
      <c r="H172" s="345">
        <f t="shared" si="86"/>
        <v>239</v>
      </c>
      <c r="I172" s="345">
        <f t="shared" si="86"/>
        <v>224</v>
      </c>
      <c r="J172" s="345">
        <f t="shared" si="86"/>
        <v>225</v>
      </c>
      <c r="K172" s="345">
        <f t="shared" si="86"/>
        <v>231</v>
      </c>
      <c r="L172" s="345">
        <f t="shared" si="86"/>
        <v>180</v>
      </c>
      <c r="M172" s="345">
        <f t="shared" si="86"/>
        <v>175</v>
      </c>
      <c r="N172" s="345">
        <f t="shared" si="86"/>
        <v>182</v>
      </c>
      <c r="O172" s="345">
        <f t="shared" si="86"/>
        <v>184</v>
      </c>
      <c r="P172" s="345">
        <f t="shared" si="86"/>
        <v>213</v>
      </c>
      <c r="Q172" s="345">
        <f t="shared" si="86"/>
        <v>197</v>
      </c>
      <c r="R172" s="345">
        <f t="shared" si="86"/>
        <v>228</v>
      </c>
      <c r="S172" s="345">
        <f t="shared" si="86"/>
        <v>182</v>
      </c>
      <c r="T172" s="345">
        <f t="shared" si="86"/>
        <v>115</v>
      </c>
      <c r="U172" s="345">
        <f t="shared" si="86"/>
        <v>118</v>
      </c>
      <c r="V172" s="345">
        <f t="shared" si="86"/>
        <v>184</v>
      </c>
      <c r="W172" s="345">
        <f t="shared" si="86"/>
        <v>189</v>
      </c>
      <c r="X172" s="345">
        <f t="shared" si="86"/>
        <v>224</v>
      </c>
      <c r="Y172" s="346">
        <f t="shared" si="86"/>
        <v>239</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4"/>
  <sheetViews>
    <sheetView showGridLines="0" topLeftCell="D1" zoomScale="60" zoomScaleNormal="60" workbookViewId="0">
      <pane ySplit="2" topLeftCell="A84" activePane="bottomLeft" state="frozen"/>
      <selection pane="bottomLeft" activeCell="O100" sqref="O100:AA10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5">
      <c r="A3" s="638" t="s">
        <v>63</v>
      </c>
      <c r="B3" s="639" t="s">
        <v>62</v>
      </c>
      <c r="C3" s="539" t="s">
        <v>152</v>
      </c>
      <c r="D3" s="539"/>
      <c r="E3" s="539"/>
      <c r="F3" s="715">
        <v>70</v>
      </c>
      <c r="G3" s="715">
        <v>50</v>
      </c>
      <c r="H3" s="715">
        <v>50</v>
      </c>
      <c r="I3" s="715">
        <v>50</v>
      </c>
      <c r="J3" s="715">
        <v>50</v>
      </c>
      <c r="K3" s="715">
        <v>70</v>
      </c>
      <c r="L3" s="715">
        <v>90</v>
      </c>
      <c r="M3" s="715">
        <v>105</v>
      </c>
      <c r="N3" s="715">
        <v>120</v>
      </c>
      <c r="O3" s="715">
        <v>140</v>
      </c>
      <c r="P3" s="715">
        <v>130</v>
      </c>
      <c r="Q3" s="715">
        <v>130</v>
      </c>
      <c r="R3" s="715">
        <v>150</v>
      </c>
      <c r="S3" s="715">
        <v>150</v>
      </c>
      <c r="T3" s="715">
        <v>150</v>
      </c>
      <c r="U3" s="715">
        <v>150</v>
      </c>
      <c r="V3" s="715">
        <v>150</v>
      </c>
      <c r="W3" s="715">
        <v>150</v>
      </c>
      <c r="X3" s="715">
        <v>150</v>
      </c>
      <c r="Y3" s="715">
        <v>150</v>
      </c>
      <c r="Z3" s="715">
        <v>150</v>
      </c>
      <c r="AA3" s="715">
        <v>150</v>
      </c>
      <c r="AB3" s="715">
        <v>130</v>
      </c>
      <c r="AC3" s="715">
        <v>75</v>
      </c>
      <c r="AD3" s="689">
        <f>SUM(F3:AC3)</f>
        <v>2760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8" t="s">
        <v>65</v>
      </c>
      <c r="B4" s="639"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9">
        <f>SUM(F4:AC4)</f>
        <v>600</v>
      </c>
      <c r="AE4" s="587">
        <f t="shared" si="0"/>
        <v>0</v>
      </c>
      <c r="AF4" s="538" t="str">
        <f t="shared" si="1"/>
        <v>sell</v>
      </c>
    </row>
    <row r="5" spans="1:75" s="360" customFormat="1" ht="12.75" customHeight="1" x14ac:dyDescent="0.25">
      <c r="A5" s="638" t="s">
        <v>64</v>
      </c>
      <c r="B5" s="539" t="s">
        <v>61</v>
      </c>
      <c r="C5" s="539" t="s">
        <v>279</v>
      </c>
      <c r="D5" s="539"/>
      <c r="E5" s="539"/>
      <c r="F5" s="715">
        <v>7</v>
      </c>
      <c r="G5" s="715">
        <v>7</v>
      </c>
      <c r="H5" s="715">
        <v>7</v>
      </c>
      <c r="I5" s="715">
        <v>7</v>
      </c>
      <c r="J5" s="715">
        <v>17</v>
      </c>
      <c r="K5" s="715">
        <v>27</v>
      </c>
      <c r="L5" s="715">
        <v>17</v>
      </c>
      <c r="M5" s="715">
        <v>27</v>
      </c>
      <c r="N5" s="715">
        <v>27</v>
      </c>
      <c r="O5" s="715">
        <v>34</v>
      </c>
      <c r="P5" s="715">
        <v>34</v>
      </c>
      <c r="Q5" s="715">
        <v>34</v>
      </c>
      <c r="R5" s="715">
        <v>34</v>
      </c>
      <c r="S5" s="715">
        <v>34</v>
      </c>
      <c r="T5" s="715">
        <v>34</v>
      </c>
      <c r="U5" s="715">
        <v>34</v>
      </c>
      <c r="V5" s="715">
        <v>34</v>
      </c>
      <c r="W5" s="715">
        <v>34</v>
      </c>
      <c r="X5" s="715">
        <v>34</v>
      </c>
      <c r="Y5" s="715">
        <v>34</v>
      </c>
      <c r="Z5" s="715">
        <v>34</v>
      </c>
      <c r="AA5" s="715">
        <v>34</v>
      </c>
      <c r="AB5" s="715">
        <v>24</v>
      </c>
      <c r="AC5" s="715">
        <v>14</v>
      </c>
      <c r="AD5" s="689">
        <f t="shared" ref="AD5:AD11" si="2">SUM(E5:AC5)</f>
        <v>623</v>
      </c>
      <c r="AE5" s="587">
        <f t="shared" si="0"/>
        <v>0</v>
      </c>
      <c r="AF5" s="538" t="str">
        <f t="shared" si="1"/>
        <v>sell</v>
      </c>
    </row>
    <row r="6" spans="1:75" s="360" customFormat="1" ht="12.75" customHeight="1" x14ac:dyDescent="0.25">
      <c r="A6" s="640"/>
      <c r="B6" s="623"/>
      <c r="C6" s="621"/>
      <c r="D6" s="622"/>
      <c r="E6" s="539"/>
      <c r="F6" s="693"/>
      <c r="G6" s="693"/>
      <c r="H6" s="693"/>
      <c r="I6" s="693"/>
      <c r="J6" s="693"/>
      <c r="K6" s="693"/>
      <c r="L6" s="693"/>
      <c r="M6" s="715"/>
      <c r="N6" s="605"/>
      <c r="O6" s="605"/>
      <c r="P6" s="605"/>
      <c r="Q6" s="605"/>
      <c r="R6" s="605"/>
      <c r="S6" s="605"/>
      <c r="T6" s="605"/>
      <c r="U6" s="605"/>
      <c r="V6" s="605"/>
      <c r="W6" s="605"/>
      <c r="X6" s="605"/>
      <c r="Y6" s="605"/>
      <c r="Z6" s="605"/>
      <c r="AA6" s="605"/>
      <c r="AB6" s="605"/>
      <c r="AC6" s="693"/>
      <c r="AD6" s="689">
        <f t="shared" si="2"/>
        <v>0</v>
      </c>
      <c r="AE6" s="587">
        <f t="shared" si="0"/>
        <v>0</v>
      </c>
      <c r="AF6" s="538" t="str">
        <f t="shared" si="1"/>
        <v>sell</v>
      </c>
    </row>
    <row r="7" spans="1:75" s="360" customFormat="1" ht="12.75" customHeight="1" x14ac:dyDescent="0.25">
      <c r="A7" s="640"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f>F3177-103</f>
        <v>-103</v>
      </c>
      <c r="AD7" s="598">
        <f t="shared" si="2"/>
        <v>-2472</v>
      </c>
      <c r="AE7" s="587">
        <f t="shared" si="0"/>
        <v>0</v>
      </c>
      <c r="AF7" s="538" t="str">
        <f t="shared" si="1"/>
        <v>buy</v>
      </c>
    </row>
    <row r="8" spans="1:75" s="360" customFormat="1" ht="12.75" customHeight="1" x14ac:dyDescent="0.25">
      <c r="A8" s="640" t="s">
        <v>66</v>
      </c>
      <c r="B8" s="539"/>
      <c r="C8" s="621" t="s">
        <v>152</v>
      </c>
      <c r="D8" s="539"/>
      <c r="E8" s="605"/>
      <c r="F8" s="715"/>
      <c r="G8" s="715"/>
      <c r="H8" s="715"/>
      <c r="I8" s="715"/>
      <c r="J8" s="715"/>
      <c r="K8" s="715"/>
      <c r="L8" s="715"/>
      <c r="M8" s="715"/>
      <c r="N8" s="715"/>
      <c r="O8" s="715"/>
      <c r="P8" s="715"/>
      <c r="Q8" s="715"/>
      <c r="R8" s="715"/>
      <c r="S8" s="715"/>
      <c r="T8" s="715"/>
      <c r="U8" s="715"/>
      <c r="V8" s="715"/>
      <c r="W8" s="715"/>
      <c r="X8" s="715"/>
      <c r="Y8" s="715"/>
      <c r="Z8" s="715"/>
      <c r="AA8" s="715"/>
      <c r="AB8" s="715"/>
      <c r="AC8" s="715"/>
      <c r="AD8" s="598">
        <f t="shared" si="2"/>
        <v>0</v>
      </c>
      <c r="AE8" s="587">
        <f t="shared" si="0"/>
        <v>0</v>
      </c>
      <c r="AF8" s="538" t="str">
        <f t="shared" si="1"/>
        <v>sell</v>
      </c>
    </row>
    <row r="9" spans="1:75" s="360" customFormat="1" ht="12.75" customHeight="1" x14ac:dyDescent="0.25">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16">
        <f>SUM(E9:AC9)</f>
        <v>0</v>
      </c>
      <c r="AE9" s="587">
        <f>AD9*D9</f>
        <v>0</v>
      </c>
      <c r="AF9" s="538" t="str">
        <f>IF(AD9&lt;0,"buy","sell")</f>
        <v>sell</v>
      </c>
    </row>
    <row r="10" spans="1:75" s="360" customFormat="1" ht="12.75" customHeight="1" x14ac:dyDescent="0.25">
      <c r="A10" s="722" t="s">
        <v>370</v>
      </c>
      <c r="B10" s="539"/>
      <c r="C10" s="621" t="s">
        <v>152</v>
      </c>
      <c r="D10" s="539"/>
      <c r="E10" s="539"/>
      <c r="F10" s="725">
        <v>25</v>
      </c>
      <c r="G10" s="725">
        <v>25</v>
      </c>
      <c r="H10" s="725">
        <v>25</v>
      </c>
      <c r="I10" s="725">
        <v>25</v>
      </c>
      <c r="J10" s="725">
        <v>25</v>
      </c>
      <c r="K10" s="725">
        <v>25</v>
      </c>
      <c r="L10" s="725"/>
      <c r="M10" s="725"/>
      <c r="N10" s="725"/>
      <c r="O10" s="725"/>
      <c r="P10" s="725"/>
      <c r="Q10" s="725"/>
      <c r="R10" s="725"/>
      <c r="S10" s="725"/>
      <c r="T10" s="725"/>
      <c r="U10" s="725"/>
      <c r="V10" s="725"/>
      <c r="W10" s="725"/>
      <c r="X10" s="725"/>
      <c r="Y10" s="725"/>
      <c r="Z10" s="725"/>
      <c r="AA10" s="725"/>
      <c r="AB10" s="725">
        <v>25</v>
      </c>
      <c r="AC10" s="725">
        <v>25</v>
      </c>
      <c r="AD10" s="716">
        <f>SUM(E10:AC10)</f>
        <v>200</v>
      </c>
      <c r="AE10" s="587">
        <f t="shared" ref="AE10:AE15" si="3">AD10*D10</f>
        <v>0</v>
      </c>
      <c r="AF10" s="538" t="str">
        <f t="shared" ref="AF10:AF15" si="4">IF(AD10&lt;0,"buy","sell")</f>
        <v>sell</v>
      </c>
    </row>
    <row r="11" spans="1:75" s="360" customFormat="1" ht="12.75" customHeight="1" x14ac:dyDescent="0.25">
      <c r="A11" s="722" t="s">
        <v>374</v>
      </c>
      <c r="B11" s="637"/>
      <c r="C11" s="539" t="s">
        <v>152</v>
      </c>
      <c r="D11" s="622"/>
      <c r="E11" s="539"/>
      <c r="F11" s="725">
        <v>3</v>
      </c>
      <c r="G11" s="725">
        <v>3</v>
      </c>
      <c r="H11" s="725">
        <v>3</v>
      </c>
      <c r="I11" s="725">
        <v>3</v>
      </c>
      <c r="J11" s="725">
        <v>3</v>
      </c>
      <c r="K11" s="725">
        <v>3</v>
      </c>
      <c r="L11" s="725"/>
      <c r="M11" s="725"/>
      <c r="N11" s="725"/>
      <c r="O11" s="725"/>
      <c r="P11" s="725"/>
      <c r="Q11" s="725"/>
      <c r="R11" s="725"/>
      <c r="S11" s="725"/>
      <c r="T11" s="725"/>
      <c r="U11" s="725"/>
      <c r="V11" s="725"/>
      <c r="W11" s="725"/>
      <c r="X11" s="725"/>
      <c r="Y11" s="725"/>
      <c r="Z11" s="725"/>
      <c r="AA11" s="725"/>
      <c r="AB11" s="725">
        <v>3</v>
      </c>
      <c r="AC11" s="725">
        <v>3</v>
      </c>
      <c r="AD11" s="689">
        <f t="shared" si="2"/>
        <v>24</v>
      </c>
      <c r="AE11" s="587">
        <f t="shared" si="3"/>
        <v>0</v>
      </c>
      <c r="AF11" s="538" t="str">
        <f t="shared" si="4"/>
        <v>sell</v>
      </c>
    </row>
    <row r="12" spans="1:75" s="360" customFormat="1" ht="12.75" customHeight="1" x14ac:dyDescent="0.25">
      <c r="A12" s="722" t="s">
        <v>372</v>
      </c>
      <c r="B12" s="637"/>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9">
        <f>SUM(E12:AC12)</f>
        <v>0</v>
      </c>
      <c r="AE12" s="587">
        <f t="shared" si="3"/>
        <v>0</v>
      </c>
      <c r="AF12" s="538" t="str">
        <f t="shared" si="4"/>
        <v>sell</v>
      </c>
    </row>
    <row r="13" spans="1:75" s="360" customFormat="1" ht="12.75" customHeight="1" x14ac:dyDescent="0.25">
      <c r="A13" s="722" t="s">
        <v>375</v>
      </c>
      <c r="B13" s="637"/>
      <c r="C13" s="539" t="s">
        <v>152</v>
      </c>
      <c r="D13" s="622"/>
      <c r="E13" s="539"/>
      <c r="F13" s="714">
        <v>75</v>
      </c>
      <c r="G13" s="714">
        <v>75</v>
      </c>
      <c r="H13" s="714">
        <v>75</v>
      </c>
      <c r="I13" s="714">
        <v>75</v>
      </c>
      <c r="J13" s="714">
        <v>75</v>
      </c>
      <c r="K13" s="714">
        <v>75</v>
      </c>
      <c r="L13" s="715"/>
      <c r="M13" s="715"/>
      <c r="N13" s="715"/>
      <c r="O13" s="715"/>
      <c r="P13" s="715"/>
      <c r="Q13" s="715"/>
      <c r="R13" s="715"/>
      <c r="S13" s="715"/>
      <c r="T13" s="715"/>
      <c r="U13" s="715"/>
      <c r="V13" s="715"/>
      <c r="W13" s="715"/>
      <c r="X13" s="715"/>
      <c r="Y13" s="715"/>
      <c r="Z13" s="715"/>
      <c r="AA13" s="715"/>
      <c r="AB13" s="714">
        <v>75</v>
      </c>
      <c r="AC13" s="714">
        <v>75</v>
      </c>
      <c r="AD13" s="689">
        <f>SUM(E13:AC13)</f>
        <v>600</v>
      </c>
      <c r="AE13" s="587">
        <f t="shared" si="3"/>
        <v>0</v>
      </c>
      <c r="AF13" s="538" t="str">
        <f t="shared" si="4"/>
        <v>sell</v>
      </c>
    </row>
    <row r="14" spans="1:75" s="360" customFormat="1" ht="12.75" customHeight="1" x14ac:dyDescent="0.25">
      <c r="A14" s="722" t="s">
        <v>373</v>
      </c>
      <c r="B14" s="637"/>
      <c r="C14" s="621" t="s">
        <v>152</v>
      </c>
      <c r="D14" s="622"/>
      <c r="E14" s="539"/>
      <c r="F14" s="715"/>
      <c r="G14" s="715"/>
      <c r="H14" s="715"/>
      <c r="I14" s="715"/>
      <c r="J14" s="715"/>
      <c r="K14" s="715"/>
      <c r="L14" s="715"/>
      <c r="M14" s="715"/>
      <c r="N14" s="715"/>
      <c r="O14" s="715"/>
      <c r="P14" s="715"/>
      <c r="Q14" s="715"/>
      <c r="R14" s="715"/>
      <c r="S14" s="715"/>
      <c r="T14" s="715"/>
      <c r="U14" s="715"/>
      <c r="V14" s="715"/>
      <c r="W14" s="715"/>
      <c r="X14" s="715"/>
      <c r="Y14" s="715"/>
      <c r="Z14" s="715"/>
      <c r="AA14" s="715"/>
      <c r="AB14" s="715"/>
      <c r="AC14" s="715"/>
      <c r="AD14" s="689">
        <f>SUM(E14:AC14)</f>
        <v>0</v>
      </c>
      <c r="AE14" s="587">
        <f t="shared" si="3"/>
        <v>0</v>
      </c>
      <c r="AF14" s="538" t="str">
        <f t="shared" si="4"/>
        <v>sell</v>
      </c>
    </row>
    <row r="15" spans="1:75" s="360" customFormat="1" ht="12.75" customHeight="1" x14ac:dyDescent="0.25">
      <c r="A15" s="640" t="s">
        <v>364</v>
      </c>
      <c r="B15" s="637"/>
      <c r="C15" s="539" t="s">
        <v>152</v>
      </c>
      <c r="D15" s="622"/>
      <c r="E15" s="539"/>
      <c r="F15" s="693"/>
      <c r="G15" s="693"/>
      <c r="H15" s="693"/>
      <c r="I15" s="693"/>
      <c r="J15" s="693"/>
      <c r="K15" s="693"/>
      <c r="L15" s="693"/>
      <c r="M15" s="714"/>
      <c r="N15" s="714"/>
      <c r="O15" s="714"/>
      <c r="P15" s="714"/>
      <c r="Q15" s="714"/>
      <c r="R15" s="714"/>
      <c r="S15" s="714"/>
      <c r="T15" s="714"/>
      <c r="U15" s="714"/>
      <c r="V15" s="714"/>
      <c r="W15" s="714"/>
      <c r="X15" s="714"/>
      <c r="Y15" s="714"/>
      <c r="Z15" s="714"/>
      <c r="AA15" s="714"/>
      <c r="AB15" s="632"/>
      <c r="AC15" s="632"/>
      <c r="AD15" s="689">
        <f>SUM(E15:AC15)</f>
        <v>0</v>
      </c>
      <c r="AE15" s="587">
        <f t="shared" si="3"/>
        <v>0</v>
      </c>
      <c r="AF15" s="538" t="str">
        <f t="shared" si="4"/>
        <v>sell</v>
      </c>
    </row>
    <row r="16" spans="1:75" s="360" customFormat="1" ht="12.75" customHeight="1" x14ac:dyDescent="0.25">
      <c r="A16" s="640" t="s">
        <v>364</v>
      </c>
      <c r="B16" s="639"/>
      <c r="C16" s="539" t="s">
        <v>152</v>
      </c>
      <c r="D16" s="641"/>
      <c r="E16" s="539"/>
      <c r="F16" s="715"/>
      <c r="G16" s="714"/>
      <c r="H16" s="714"/>
      <c r="I16" s="714"/>
      <c r="J16" s="714"/>
      <c r="K16" s="714"/>
      <c r="L16" s="714"/>
      <c r="M16" s="693"/>
      <c r="N16" s="693"/>
      <c r="O16" s="693"/>
      <c r="P16" s="693"/>
      <c r="Q16" s="693"/>
      <c r="R16" s="693"/>
      <c r="S16" s="693"/>
      <c r="T16" s="693"/>
      <c r="U16" s="693"/>
      <c r="V16" s="693"/>
      <c r="W16" s="693"/>
      <c r="X16" s="693"/>
      <c r="Y16" s="693"/>
      <c r="Z16" s="693"/>
      <c r="AA16" s="693"/>
      <c r="AB16" s="693"/>
      <c r="AC16" s="714"/>
      <c r="AD16" s="689">
        <f>SUM(F16:AC16)</f>
        <v>0</v>
      </c>
      <c r="AE16" s="587">
        <f t="shared" si="0"/>
        <v>0</v>
      </c>
      <c r="AF16" s="538" t="str">
        <f t="shared" si="1"/>
        <v>sell</v>
      </c>
    </row>
    <row r="17" spans="1:32" s="360" customFormat="1" ht="12.75" customHeight="1" x14ac:dyDescent="0.25">
      <c r="A17" s="640" t="s">
        <v>364</v>
      </c>
      <c r="B17" s="639"/>
      <c r="C17" s="539" t="s">
        <v>152</v>
      </c>
      <c r="D17" s="641"/>
      <c r="E17" s="539"/>
      <c r="F17" s="715"/>
      <c r="G17" s="714"/>
      <c r="H17" s="714"/>
      <c r="I17" s="714"/>
      <c r="J17" s="714"/>
      <c r="K17" s="714"/>
      <c r="L17" s="714"/>
      <c r="M17" s="693"/>
      <c r="N17" s="693"/>
      <c r="O17" s="693"/>
      <c r="P17" s="693"/>
      <c r="Q17" s="693"/>
      <c r="R17" s="693"/>
      <c r="S17" s="693"/>
      <c r="T17" s="693"/>
      <c r="U17" s="693"/>
      <c r="V17" s="693"/>
      <c r="W17" s="693"/>
      <c r="X17" s="693"/>
      <c r="Y17" s="693"/>
      <c r="Z17" s="693"/>
      <c r="AA17" s="693"/>
      <c r="AB17" s="693"/>
      <c r="AC17" s="714"/>
      <c r="AD17" s="689">
        <f>SUM(F17:AC17)</f>
        <v>0</v>
      </c>
      <c r="AE17" s="587">
        <f>AD17*D17</f>
        <v>0</v>
      </c>
      <c r="AF17" s="538" t="str">
        <f>IF(AD17&lt;0,"buy","sell")</f>
        <v>sell</v>
      </c>
    </row>
    <row r="18" spans="1:32" s="360" customFormat="1" x14ac:dyDescent="0.25">
      <c r="A18" s="672" t="s">
        <v>206</v>
      </c>
      <c r="B18" s="668"/>
      <c r="C18" s="668"/>
      <c r="D18" s="556"/>
      <c r="E18" s="556"/>
      <c r="F18" s="694"/>
      <c r="G18" s="694"/>
      <c r="H18" s="694"/>
      <c r="I18" s="694"/>
      <c r="J18" s="694"/>
      <c r="K18" s="694"/>
      <c r="L18" s="694"/>
      <c r="M18" s="694"/>
      <c r="N18" s="694"/>
      <c r="O18" s="694"/>
      <c r="P18" s="694"/>
      <c r="Q18" s="694"/>
      <c r="R18" s="694"/>
      <c r="S18" s="694"/>
      <c r="T18" s="694"/>
      <c r="U18" s="694"/>
      <c r="V18" s="694"/>
      <c r="W18" s="694"/>
      <c r="X18" s="694"/>
      <c r="Y18" s="694"/>
      <c r="Z18" s="694"/>
      <c r="AA18" s="694"/>
      <c r="AB18" s="694"/>
      <c r="AC18" s="704"/>
      <c r="AD18" s="596"/>
      <c r="AE18" s="409"/>
      <c r="AF18" s="636"/>
    </row>
    <row r="19" spans="1:32" s="360" customFormat="1" ht="12.75" customHeight="1" x14ac:dyDescent="0.25">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5"/>
      <c r="AD19" s="370"/>
      <c r="AE19" s="494"/>
      <c r="AF19" s="494"/>
    </row>
    <row r="20" spans="1:32" s="360" customFormat="1" hidden="1" x14ac:dyDescent="0.25">
      <c r="A20" s="643" t="s">
        <v>278</v>
      </c>
      <c r="B20" s="488" t="s">
        <v>241</v>
      </c>
      <c r="C20" s="488" t="s">
        <v>152</v>
      </c>
      <c r="D20" s="489">
        <f t="shared" ref="D20:D43" si="5">F122</f>
        <v>-0.25</v>
      </c>
      <c r="E20" s="489"/>
      <c r="F20" s="697"/>
      <c r="G20" s="684"/>
      <c r="H20" s="685"/>
      <c r="I20" s="685"/>
      <c r="J20" s="685"/>
      <c r="K20" s="685"/>
      <c r="L20" s="685"/>
      <c r="M20" s="685"/>
      <c r="N20" s="685"/>
      <c r="O20" s="685"/>
      <c r="P20" s="685"/>
      <c r="Q20" s="685"/>
      <c r="R20" s="685"/>
      <c r="S20" s="685"/>
      <c r="T20" s="685"/>
      <c r="U20" s="685"/>
      <c r="V20" s="685"/>
      <c r="W20" s="685"/>
      <c r="X20" s="685"/>
      <c r="Y20" s="685"/>
      <c r="Z20" s="685"/>
      <c r="AA20" s="685"/>
      <c r="AB20" s="685"/>
      <c r="AC20" s="701"/>
      <c r="AD20" s="597">
        <f t="shared" ref="AD20:AD109" si="6">SUM(F20:AC20)</f>
        <v>0</v>
      </c>
      <c r="AE20" s="492">
        <f t="shared" ref="AE20:AE68" si="7">AD20*D20</f>
        <v>0</v>
      </c>
      <c r="AF20" s="467" t="str">
        <f>IF(AD20&lt;0,"buy","sell")</f>
        <v>sell</v>
      </c>
    </row>
    <row r="21" spans="1:32" s="360" customFormat="1" hidden="1" x14ac:dyDescent="0.25">
      <c r="A21" s="643" t="s">
        <v>278</v>
      </c>
      <c r="B21" s="488" t="s">
        <v>241</v>
      </c>
      <c r="C21" s="488" t="s">
        <v>152</v>
      </c>
      <c r="D21" s="489">
        <f t="shared" si="5"/>
        <v>-0.25</v>
      </c>
      <c r="E21" s="489"/>
      <c r="F21" s="697"/>
      <c r="G21" s="685"/>
      <c r="H21" s="685"/>
      <c r="I21" s="685"/>
      <c r="J21" s="685"/>
      <c r="K21" s="685"/>
      <c r="L21" s="685"/>
      <c r="M21" s="685"/>
      <c r="N21" s="685"/>
      <c r="O21" s="685"/>
      <c r="P21" s="685"/>
      <c r="Q21" s="685"/>
      <c r="R21" s="685"/>
      <c r="S21" s="685"/>
      <c r="T21" s="685"/>
      <c r="U21" s="685"/>
      <c r="V21" s="685"/>
      <c r="W21" s="685"/>
      <c r="X21" s="685"/>
      <c r="Y21" s="685"/>
      <c r="Z21" s="685"/>
      <c r="AA21" s="685"/>
      <c r="AB21" s="697"/>
      <c r="AC21" s="701"/>
      <c r="AD21" s="597">
        <f t="shared" si="6"/>
        <v>0</v>
      </c>
      <c r="AE21" s="492">
        <f t="shared" si="7"/>
        <v>0</v>
      </c>
      <c r="AF21" s="467" t="str">
        <f t="shared" ref="AF21:AF43" si="8">IF(AD21&lt;0,"buy","sell")</f>
        <v>sell</v>
      </c>
    </row>
    <row r="22" spans="1:32" s="360" customFormat="1" hidden="1" x14ac:dyDescent="0.25">
      <c r="A22" s="643" t="s">
        <v>278</v>
      </c>
      <c r="B22" s="488" t="s">
        <v>241</v>
      </c>
      <c r="C22" s="488" t="s">
        <v>152</v>
      </c>
      <c r="D22" s="489">
        <f t="shared" si="5"/>
        <v>-0.25</v>
      </c>
      <c r="E22" s="489"/>
      <c r="F22" s="697"/>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701"/>
      <c r="AD22" s="597">
        <f t="shared" si="6"/>
        <v>0</v>
      </c>
      <c r="AE22" s="492">
        <f t="shared" si="7"/>
        <v>0</v>
      </c>
      <c r="AF22" s="467" t="str">
        <f t="shared" si="8"/>
        <v>sell</v>
      </c>
    </row>
    <row r="23" spans="1:32" s="360" customFormat="1" hidden="1" x14ac:dyDescent="0.25">
      <c r="A23" s="643" t="s">
        <v>278</v>
      </c>
      <c r="B23" s="488" t="s">
        <v>241</v>
      </c>
      <c r="C23" s="488" t="s">
        <v>152</v>
      </c>
      <c r="D23" s="489">
        <f t="shared" si="5"/>
        <v>-0.25</v>
      </c>
      <c r="E23" s="489"/>
      <c r="F23" s="697"/>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701"/>
      <c r="AD23" s="597">
        <f t="shared" si="6"/>
        <v>0</v>
      </c>
      <c r="AE23" s="492">
        <f t="shared" si="7"/>
        <v>0</v>
      </c>
      <c r="AF23" s="467" t="str">
        <f t="shared" si="8"/>
        <v>sell</v>
      </c>
    </row>
    <row r="24" spans="1:32" s="360" customFormat="1" hidden="1" x14ac:dyDescent="0.25">
      <c r="A24" s="643" t="s">
        <v>278</v>
      </c>
      <c r="B24" s="488" t="s">
        <v>241</v>
      </c>
      <c r="C24" s="488" t="s">
        <v>152</v>
      </c>
      <c r="D24" s="489">
        <f t="shared" si="5"/>
        <v>-0.25</v>
      </c>
      <c r="E24" s="489"/>
      <c r="F24" s="697"/>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701"/>
      <c r="AD24" s="597">
        <f t="shared" si="6"/>
        <v>0</v>
      </c>
      <c r="AE24" s="492">
        <f t="shared" si="7"/>
        <v>0</v>
      </c>
      <c r="AF24" s="467" t="str">
        <f>IF(AD24&lt;0,"buy","sell")</f>
        <v>sell</v>
      </c>
    </row>
    <row r="25" spans="1:32" s="360" customFormat="1" hidden="1" x14ac:dyDescent="0.25">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6"/>
      <c r="AD25" s="597">
        <f t="shared" si="6"/>
        <v>0</v>
      </c>
      <c r="AE25" s="492">
        <f t="shared" si="7"/>
        <v>0</v>
      </c>
      <c r="AF25" s="467" t="str">
        <f t="shared" si="8"/>
        <v>sell</v>
      </c>
    </row>
    <row r="26" spans="1:32" s="360" customFormat="1" hidden="1" x14ac:dyDescent="0.25">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6"/>
      <c r="AD26" s="597">
        <f t="shared" si="6"/>
        <v>0</v>
      </c>
      <c r="AE26" s="492">
        <f t="shared" si="7"/>
        <v>0</v>
      </c>
      <c r="AF26" s="467" t="str">
        <f t="shared" si="8"/>
        <v>sell</v>
      </c>
    </row>
    <row r="27" spans="1:32" s="360" customFormat="1" hidden="1" x14ac:dyDescent="0.25">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6"/>
      <c r="AD27" s="597">
        <f t="shared" si="6"/>
        <v>0</v>
      </c>
      <c r="AE27" s="492">
        <f t="shared" si="7"/>
        <v>0</v>
      </c>
      <c r="AF27" s="467" t="str">
        <f t="shared" si="8"/>
        <v>sell</v>
      </c>
    </row>
    <row r="28" spans="1:32" s="360" customFormat="1" hidden="1" x14ac:dyDescent="0.25">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6"/>
      <c r="AD28" s="597">
        <f t="shared" si="6"/>
        <v>0</v>
      </c>
      <c r="AE28" s="492">
        <f t="shared" si="7"/>
        <v>0</v>
      </c>
      <c r="AF28" s="467" t="str">
        <f t="shared" si="8"/>
        <v>sell</v>
      </c>
    </row>
    <row r="29" spans="1:32" s="360" customFormat="1" hidden="1" x14ac:dyDescent="0.25">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6"/>
      <c r="AD29" s="597">
        <f t="shared" si="6"/>
        <v>0</v>
      </c>
      <c r="AE29" s="492">
        <f t="shared" si="7"/>
        <v>0</v>
      </c>
      <c r="AF29" s="467" t="str">
        <f t="shared" si="8"/>
        <v>sell</v>
      </c>
    </row>
    <row r="30" spans="1:32" s="360" customFormat="1" hidden="1" x14ac:dyDescent="0.25">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6"/>
      <c r="AD30" s="597">
        <f t="shared" si="6"/>
        <v>0</v>
      </c>
      <c r="AE30" s="492">
        <f t="shared" si="7"/>
        <v>0</v>
      </c>
      <c r="AF30" s="467" t="str">
        <f t="shared" si="8"/>
        <v>sell</v>
      </c>
    </row>
    <row r="31" spans="1:32" s="360" customFormat="1" hidden="1" x14ac:dyDescent="0.25">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6"/>
      <c r="AD31" s="597">
        <f t="shared" si="6"/>
        <v>0</v>
      </c>
      <c r="AE31" s="492">
        <f t="shared" si="7"/>
        <v>0</v>
      </c>
      <c r="AF31" s="467" t="str">
        <f t="shared" si="8"/>
        <v>sell</v>
      </c>
    </row>
    <row r="32" spans="1:32" s="360" customFormat="1" hidden="1" x14ac:dyDescent="0.25">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6"/>
      <c r="AD32" s="597">
        <f t="shared" si="6"/>
        <v>0</v>
      </c>
      <c r="AE32" s="492">
        <f t="shared" si="7"/>
        <v>0</v>
      </c>
      <c r="AF32" s="467" t="str">
        <f t="shared" si="8"/>
        <v>sell</v>
      </c>
    </row>
    <row r="33" spans="1:32" s="360" customFormat="1" hidden="1" x14ac:dyDescent="0.25">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6"/>
      <c r="AD33" s="597">
        <f t="shared" si="6"/>
        <v>0</v>
      </c>
      <c r="AE33" s="492">
        <f t="shared" si="7"/>
        <v>0</v>
      </c>
      <c r="AF33" s="467" t="str">
        <f t="shared" si="8"/>
        <v>sell</v>
      </c>
    </row>
    <row r="34" spans="1:32" s="360" customFormat="1" hidden="1" x14ac:dyDescent="0.25">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6"/>
      <c r="AD34" s="597">
        <f t="shared" si="6"/>
        <v>0</v>
      </c>
      <c r="AE34" s="492">
        <f t="shared" si="7"/>
        <v>0</v>
      </c>
      <c r="AF34" s="467" t="str">
        <f t="shared" si="8"/>
        <v>sell</v>
      </c>
    </row>
    <row r="35" spans="1:32" s="360" customFormat="1" hidden="1" x14ac:dyDescent="0.25">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6"/>
      <c r="AD35" s="597">
        <f t="shared" si="6"/>
        <v>0</v>
      </c>
      <c r="AE35" s="492">
        <f t="shared" si="7"/>
        <v>0</v>
      </c>
      <c r="AF35" s="467" t="str">
        <f t="shared" si="8"/>
        <v>sell</v>
      </c>
    </row>
    <row r="36" spans="1:32" s="360" customFormat="1" hidden="1" x14ac:dyDescent="0.25">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8"/>
      <c r="AB36" s="685"/>
      <c r="AC36" s="706"/>
      <c r="AD36" s="597">
        <f t="shared" si="6"/>
        <v>0</v>
      </c>
      <c r="AE36" s="492">
        <f t="shared" si="7"/>
        <v>0</v>
      </c>
      <c r="AF36" s="467" t="str">
        <f t="shared" si="8"/>
        <v>sell</v>
      </c>
    </row>
    <row r="37" spans="1:32" s="360" customFormat="1" hidden="1" x14ac:dyDescent="0.25">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6"/>
      <c r="AD37" s="597">
        <f t="shared" si="6"/>
        <v>0</v>
      </c>
      <c r="AE37" s="492">
        <f t="shared" si="7"/>
        <v>0</v>
      </c>
      <c r="AF37" s="467" t="str">
        <f t="shared" si="8"/>
        <v>sell</v>
      </c>
    </row>
    <row r="38" spans="1:32" s="360" customFormat="1" hidden="1" x14ac:dyDescent="0.25">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6"/>
      <c r="AD38" s="597">
        <f t="shared" si="6"/>
        <v>0</v>
      </c>
      <c r="AE38" s="492">
        <f t="shared" si="7"/>
        <v>0</v>
      </c>
      <c r="AF38" s="467" t="str">
        <f t="shared" si="8"/>
        <v>sell</v>
      </c>
    </row>
    <row r="39" spans="1:32" s="360" customFormat="1" hidden="1" x14ac:dyDescent="0.25">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6"/>
      <c r="AD39" s="597">
        <f t="shared" si="6"/>
        <v>0</v>
      </c>
      <c r="AE39" s="492">
        <f t="shared" si="7"/>
        <v>0</v>
      </c>
      <c r="AF39" s="467" t="str">
        <f t="shared" si="8"/>
        <v>sell</v>
      </c>
    </row>
    <row r="40" spans="1:32" s="360" customFormat="1" hidden="1" x14ac:dyDescent="0.25">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6"/>
      <c r="AD40" s="597">
        <f t="shared" si="6"/>
        <v>0</v>
      </c>
      <c r="AE40" s="492">
        <f t="shared" si="7"/>
        <v>0</v>
      </c>
      <c r="AF40" s="467" t="str">
        <f t="shared" si="8"/>
        <v>sell</v>
      </c>
    </row>
    <row r="41" spans="1:32" s="360" customFormat="1" hidden="1" x14ac:dyDescent="0.25">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6"/>
      <c r="AD41" s="597">
        <f t="shared" si="6"/>
        <v>0</v>
      </c>
      <c r="AE41" s="492">
        <f t="shared" si="7"/>
        <v>0</v>
      </c>
      <c r="AF41" s="467" t="str">
        <f t="shared" si="8"/>
        <v>sell</v>
      </c>
    </row>
    <row r="42" spans="1:32" s="360" customFormat="1" hidden="1" x14ac:dyDescent="0.25">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6"/>
      <c r="AD42" s="597">
        <f t="shared" si="6"/>
        <v>0</v>
      </c>
      <c r="AE42" s="492">
        <f t="shared" si="7"/>
        <v>0</v>
      </c>
      <c r="AF42" s="467" t="str">
        <f t="shared" si="8"/>
        <v>sell</v>
      </c>
    </row>
    <row r="43" spans="1:32" s="360" customFormat="1" hidden="1" x14ac:dyDescent="0.25">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6">
        <v>0</v>
      </c>
      <c r="AD43" s="597">
        <f t="shared" si="6"/>
        <v>0</v>
      </c>
      <c r="AE43" s="492">
        <f t="shared" si="7"/>
        <v>0</v>
      </c>
      <c r="AF43" s="467" t="str">
        <f t="shared" si="8"/>
        <v>sell</v>
      </c>
    </row>
    <row r="44" spans="1:32" s="360" customFormat="1" hidden="1" x14ac:dyDescent="0.25">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6"/>
      <c r="AD44" s="597">
        <f t="shared" si="6"/>
        <v>0</v>
      </c>
      <c r="AE44" s="492">
        <f t="shared" si="7"/>
        <v>0</v>
      </c>
      <c r="AF44" s="467"/>
    </row>
    <row r="45" spans="1:32" s="360" customFormat="1" hidden="1" x14ac:dyDescent="0.25">
      <c r="A45" s="643" t="s">
        <v>278</v>
      </c>
      <c r="B45" s="488" t="s">
        <v>241</v>
      </c>
      <c r="C45" s="488" t="s">
        <v>280</v>
      </c>
      <c r="D45" s="489">
        <f t="shared" ref="D45:D67" si="9">F152</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6"/>
      <c r="AD45" s="597">
        <f t="shared" si="6"/>
        <v>0</v>
      </c>
      <c r="AE45" s="492">
        <f t="shared" si="7"/>
        <v>0</v>
      </c>
      <c r="AF45" s="467" t="str">
        <f>IF(AD45&lt;0,"buy","sell")</f>
        <v>sell</v>
      </c>
    </row>
    <row r="46" spans="1:32" s="360" customFormat="1" hidden="1" x14ac:dyDescent="0.25">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6"/>
      <c r="AD46" s="597">
        <f t="shared" si="6"/>
        <v>0</v>
      </c>
      <c r="AE46" s="492">
        <f t="shared" si="7"/>
        <v>0</v>
      </c>
      <c r="AF46" s="467" t="str">
        <f t="shared" ref="AF46:AF69" si="10">IF(AD46&lt;0,"buy","sell")</f>
        <v>sell</v>
      </c>
    </row>
    <row r="47" spans="1:32" s="360" customFormat="1" hidden="1" x14ac:dyDescent="0.25">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6"/>
      <c r="AD47" s="597">
        <f t="shared" si="6"/>
        <v>0</v>
      </c>
      <c r="AE47" s="492">
        <f t="shared" si="7"/>
        <v>0</v>
      </c>
      <c r="AF47" s="467" t="str">
        <f t="shared" si="10"/>
        <v>sell</v>
      </c>
    </row>
    <row r="48" spans="1:32" s="360" customFormat="1" hidden="1" x14ac:dyDescent="0.25">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6"/>
      <c r="AD48" s="597">
        <f t="shared" si="6"/>
        <v>0</v>
      </c>
      <c r="AE48" s="492">
        <f t="shared" si="7"/>
        <v>0</v>
      </c>
      <c r="AF48" s="467" t="str">
        <f t="shared" si="10"/>
        <v>sell</v>
      </c>
    </row>
    <row r="49" spans="1:32" s="360" customFormat="1" hidden="1" x14ac:dyDescent="0.25">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6"/>
      <c r="AD49" s="597">
        <f t="shared" si="6"/>
        <v>0</v>
      </c>
      <c r="AE49" s="492">
        <f t="shared" si="7"/>
        <v>0</v>
      </c>
      <c r="AF49" s="467" t="str">
        <f t="shared" si="10"/>
        <v>sell</v>
      </c>
    </row>
    <row r="50" spans="1:32" s="360" customFormat="1" hidden="1" x14ac:dyDescent="0.25">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6"/>
      <c r="AD50" s="597">
        <f t="shared" si="6"/>
        <v>0</v>
      </c>
      <c r="AE50" s="492">
        <f t="shared" si="7"/>
        <v>0</v>
      </c>
      <c r="AF50" s="467" t="str">
        <f t="shared" si="10"/>
        <v>sell</v>
      </c>
    </row>
    <row r="51" spans="1:32" s="360" customFormat="1" hidden="1" x14ac:dyDescent="0.25">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6"/>
      <c r="AD51" s="597">
        <f t="shared" si="6"/>
        <v>0</v>
      </c>
      <c r="AE51" s="492">
        <f t="shared" si="7"/>
        <v>0</v>
      </c>
      <c r="AF51" s="467" t="str">
        <f t="shared" si="10"/>
        <v>sell</v>
      </c>
    </row>
    <row r="52" spans="1:32" s="360" customFormat="1" hidden="1" x14ac:dyDescent="0.25">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6"/>
      <c r="AD52" s="597">
        <f t="shared" si="6"/>
        <v>0</v>
      </c>
      <c r="AE52" s="492">
        <f t="shared" si="7"/>
        <v>0</v>
      </c>
      <c r="AF52" s="467" t="str">
        <f t="shared" si="10"/>
        <v>sell</v>
      </c>
    </row>
    <row r="53" spans="1:32" s="360" customFormat="1" hidden="1" x14ac:dyDescent="0.25">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6"/>
      <c r="AD53" s="597">
        <f t="shared" si="6"/>
        <v>0</v>
      </c>
      <c r="AE53" s="492">
        <f t="shared" si="7"/>
        <v>0</v>
      </c>
      <c r="AF53" s="467" t="str">
        <f t="shared" si="10"/>
        <v>sell</v>
      </c>
    </row>
    <row r="54" spans="1:32" s="360" customFormat="1" hidden="1" x14ac:dyDescent="0.25">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6"/>
      <c r="AD54" s="597">
        <f t="shared" si="6"/>
        <v>0</v>
      </c>
      <c r="AE54" s="492">
        <f t="shared" si="7"/>
        <v>0</v>
      </c>
      <c r="AF54" s="467" t="str">
        <f t="shared" si="10"/>
        <v>sell</v>
      </c>
    </row>
    <row r="55" spans="1:32" s="360" customFormat="1" hidden="1" x14ac:dyDescent="0.25">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6"/>
      <c r="AD55" s="597">
        <f t="shared" si="6"/>
        <v>0</v>
      </c>
      <c r="AE55" s="492">
        <f t="shared" si="7"/>
        <v>0</v>
      </c>
      <c r="AF55" s="467" t="str">
        <f t="shared" si="10"/>
        <v>sell</v>
      </c>
    </row>
    <row r="56" spans="1:32" s="360" customFormat="1" hidden="1" x14ac:dyDescent="0.25">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6"/>
      <c r="AD56" s="597">
        <f t="shared" si="6"/>
        <v>0</v>
      </c>
      <c r="AE56" s="492">
        <f t="shared" si="7"/>
        <v>0</v>
      </c>
      <c r="AF56" s="467" t="str">
        <f t="shared" si="10"/>
        <v>sell</v>
      </c>
    </row>
    <row r="57" spans="1:32" s="360" customFormat="1" hidden="1" x14ac:dyDescent="0.25">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6"/>
      <c r="AD57" s="597">
        <f t="shared" si="6"/>
        <v>0</v>
      </c>
      <c r="AE57" s="492">
        <f t="shared" si="7"/>
        <v>0</v>
      </c>
      <c r="AF57" s="467" t="str">
        <f t="shared" si="10"/>
        <v>sell</v>
      </c>
    </row>
    <row r="58" spans="1:32" s="360" customFormat="1" hidden="1" x14ac:dyDescent="0.25">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6"/>
      <c r="AD58" s="597">
        <f t="shared" si="6"/>
        <v>0</v>
      </c>
      <c r="AE58" s="492">
        <f t="shared" si="7"/>
        <v>0</v>
      </c>
      <c r="AF58" s="467" t="str">
        <f t="shared" si="10"/>
        <v>sell</v>
      </c>
    </row>
    <row r="59" spans="1:32" s="360" customFormat="1" hidden="1" x14ac:dyDescent="0.25">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6"/>
      <c r="AD59" s="597">
        <f t="shared" si="6"/>
        <v>0</v>
      </c>
      <c r="AE59" s="492">
        <f t="shared" si="7"/>
        <v>0</v>
      </c>
      <c r="AF59" s="467" t="str">
        <f t="shared" si="10"/>
        <v>sell</v>
      </c>
    </row>
    <row r="60" spans="1:32" s="360" customFormat="1" hidden="1" x14ac:dyDescent="0.25">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6"/>
      <c r="AD60" s="597">
        <f t="shared" si="6"/>
        <v>0</v>
      </c>
      <c r="AE60" s="492">
        <f t="shared" si="7"/>
        <v>0</v>
      </c>
      <c r="AF60" s="467" t="str">
        <f t="shared" si="10"/>
        <v>sell</v>
      </c>
    </row>
    <row r="61" spans="1:32" s="360" customFormat="1" hidden="1" x14ac:dyDescent="0.25">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6"/>
      <c r="AD61" s="597">
        <f t="shared" si="6"/>
        <v>0</v>
      </c>
      <c r="AE61" s="492">
        <f t="shared" si="7"/>
        <v>0</v>
      </c>
      <c r="AF61" s="467" t="str">
        <f t="shared" si="10"/>
        <v>sell</v>
      </c>
    </row>
    <row r="62" spans="1:32" s="360" customFormat="1" hidden="1" x14ac:dyDescent="0.25">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6"/>
      <c r="AD62" s="597">
        <f t="shared" si="6"/>
        <v>0</v>
      </c>
      <c r="AE62" s="492">
        <f t="shared" si="7"/>
        <v>0</v>
      </c>
      <c r="AF62" s="467" t="str">
        <f t="shared" si="10"/>
        <v>sell</v>
      </c>
    </row>
    <row r="63" spans="1:32" s="360" customFormat="1" hidden="1" x14ac:dyDescent="0.25">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6"/>
      <c r="AD63" s="597">
        <f t="shared" si="6"/>
        <v>0</v>
      </c>
      <c r="AE63" s="492">
        <f t="shared" si="7"/>
        <v>0</v>
      </c>
      <c r="AF63" s="467" t="str">
        <f t="shared" si="10"/>
        <v>sell</v>
      </c>
    </row>
    <row r="64" spans="1:32" s="360" customFormat="1" hidden="1" x14ac:dyDescent="0.25">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6"/>
      <c r="AD64" s="597">
        <f t="shared" si="6"/>
        <v>0</v>
      </c>
      <c r="AE64" s="492">
        <f t="shared" si="7"/>
        <v>0</v>
      </c>
      <c r="AF64" s="467" t="str">
        <f t="shared" si="10"/>
        <v>sell</v>
      </c>
    </row>
    <row r="65" spans="1:32" s="360" customFormat="1" hidden="1" x14ac:dyDescent="0.25">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6"/>
      <c r="AD65" s="597">
        <f t="shared" si="6"/>
        <v>0</v>
      </c>
      <c r="AE65" s="492">
        <f t="shared" si="7"/>
        <v>0</v>
      </c>
      <c r="AF65" s="467" t="str">
        <f t="shared" si="10"/>
        <v>sell</v>
      </c>
    </row>
    <row r="66" spans="1:32" s="360" customFormat="1" hidden="1" x14ac:dyDescent="0.25">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6"/>
      <c r="AD66" s="597">
        <f t="shared" si="6"/>
        <v>0</v>
      </c>
      <c r="AE66" s="492">
        <f t="shared" si="7"/>
        <v>0</v>
      </c>
      <c r="AF66" s="467" t="str">
        <f t="shared" si="10"/>
        <v>sell</v>
      </c>
    </row>
    <row r="67" spans="1:32" s="360" customFormat="1" hidden="1" x14ac:dyDescent="0.25">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6"/>
      <c r="AD67" s="597">
        <f t="shared" si="6"/>
        <v>0</v>
      </c>
      <c r="AE67" s="492">
        <f t="shared" si="7"/>
        <v>0</v>
      </c>
      <c r="AF67" s="467" t="str">
        <f t="shared" si="10"/>
        <v>sell</v>
      </c>
    </row>
    <row r="68" spans="1:32" s="360" customFormat="1" hidden="1" x14ac:dyDescent="0.25">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6"/>
      <c r="AD68" s="598">
        <f t="shared" si="6"/>
        <v>0</v>
      </c>
      <c r="AE68" s="587">
        <f t="shared" si="7"/>
        <v>0</v>
      </c>
      <c r="AF68" s="538" t="str">
        <f t="shared" si="10"/>
        <v>sell</v>
      </c>
    </row>
    <row r="69" spans="1:32" s="360" customFormat="1" ht="12.75" customHeight="1" x14ac:dyDescent="0.25">
      <c r="A69" s="678"/>
      <c r="B69" s="679"/>
      <c r="C69" s="679"/>
      <c r="D69" s="680"/>
      <c r="E69" s="680" t="s">
        <v>15</v>
      </c>
      <c r="F69" s="697"/>
      <c r="G69" s="684"/>
      <c r="H69" s="685"/>
      <c r="I69" s="685"/>
      <c r="J69" s="685"/>
      <c r="K69" s="685"/>
      <c r="L69" s="685"/>
      <c r="M69" s="685"/>
      <c r="N69" s="685"/>
      <c r="O69" s="685"/>
      <c r="P69" s="685"/>
      <c r="Q69" s="685"/>
      <c r="R69" s="685"/>
      <c r="S69" s="685"/>
      <c r="T69" s="685"/>
      <c r="U69" s="685"/>
      <c r="V69" s="685"/>
      <c r="W69" s="685"/>
      <c r="X69" s="685"/>
      <c r="Y69" s="685"/>
      <c r="Z69" s="685"/>
      <c r="AA69" s="685"/>
      <c r="AB69" s="685"/>
      <c r="AC69" s="701"/>
      <c r="AD69" s="598">
        <f>SUM(F69:AC69)</f>
        <v>0</v>
      </c>
      <c r="AE69" s="587">
        <f t="shared" ref="AE69:AE77" si="11">AD69*D69</f>
        <v>0</v>
      </c>
      <c r="AF69" s="538" t="str">
        <f t="shared" si="10"/>
        <v>sell</v>
      </c>
    </row>
    <row r="70" spans="1:32" s="360" customFormat="1" ht="12.75" customHeight="1" x14ac:dyDescent="0.25">
      <c r="A70" s="643" t="s">
        <v>367</v>
      </c>
      <c r="B70" s="681" t="s">
        <v>241</v>
      </c>
      <c r="C70" s="681" t="s">
        <v>152</v>
      </c>
      <c r="D70" s="707"/>
      <c r="E70" s="682"/>
      <c r="F70" s="697"/>
      <c r="G70" s="702"/>
      <c r="H70" s="702"/>
      <c r="I70" s="702"/>
      <c r="J70" s="702"/>
      <c r="K70" s="702"/>
      <c r="L70" s="702"/>
      <c r="M70" s="695"/>
      <c r="N70" s="695"/>
      <c r="O70" s="695"/>
      <c r="P70" s="695"/>
      <c r="Q70" s="695"/>
      <c r="R70" s="695"/>
      <c r="S70" s="695"/>
      <c r="T70" s="695"/>
      <c r="U70" s="695"/>
      <c r="V70" s="695"/>
      <c r="W70" s="695"/>
      <c r="X70" s="695"/>
      <c r="Y70" s="695"/>
      <c r="Z70" s="695"/>
      <c r="AA70" s="695"/>
      <c r="AB70" s="695"/>
      <c r="AC70" s="703"/>
      <c r="AD70" s="598">
        <f t="shared" ref="AD70:AD77" si="12">SUM(E70:AC70)</f>
        <v>0</v>
      </c>
      <c r="AE70" s="587">
        <f t="shared" si="11"/>
        <v>0</v>
      </c>
      <c r="AF70" s="538" t="str">
        <f t="shared" ref="AF70:AF77" si="13">IF(AD70&lt;0,"buy","sell")</f>
        <v>sell</v>
      </c>
    </row>
    <row r="71" spans="1:32" s="360" customFormat="1" ht="12.75" customHeight="1" x14ac:dyDescent="0.25">
      <c r="A71" s="643" t="s">
        <v>368</v>
      </c>
      <c r="B71" s="681" t="s">
        <v>241</v>
      </c>
      <c r="C71" s="681" t="s">
        <v>152</v>
      </c>
      <c r="D71" s="707"/>
      <c r="E71" s="682"/>
      <c r="F71" s="726"/>
      <c r="G71" s="702"/>
      <c r="H71" s="702"/>
      <c r="I71" s="702"/>
      <c r="J71" s="702"/>
      <c r="K71" s="702"/>
      <c r="L71" s="702"/>
      <c r="M71" s="695"/>
      <c r="N71" s="695"/>
      <c r="O71" s="695"/>
      <c r="P71" s="695"/>
      <c r="Q71" s="695"/>
      <c r="R71" s="695"/>
      <c r="S71" s="695"/>
      <c r="T71" s="695"/>
      <c r="U71" s="695"/>
      <c r="V71" s="695"/>
      <c r="W71" s="695"/>
      <c r="X71" s="695"/>
      <c r="Y71" s="695"/>
      <c r="Z71" s="695"/>
      <c r="AA71" s="695"/>
      <c r="AB71" s="695"/>
      <c r="AC71" s="703"/>
      <c r="AD71" s="598">
        <f t="shared" si="12"/>
        <v>0</v>
      </c>
      <c r="AE71" s="587">
        <f t="shared" si="11"/>
        <v>0</v>
      </c>
      <c r="AF71" s="538" t="str">
        <f t="shared" si="13"/>
        <v>sell</v>
      </c>
    </row>
    <row r="72" spans="1:32" s="360" customFormat="1" ht="12.75" customHeight="1" x14ac:dyDescent="0.25">
      <c r="A72" s="643" t="s">
        <v>369</v>
      </c>
      <c r="B72" s="681" t="s">
        <v>241</v>
      </c>
      <c r="C72" s="681" t="s">
        <v>152</v>
      </c>
      <c r="D72" s="707"/>
      <c r="E72" s="682"/>
      <c r="F72" s="697"/>
      <c r="G72" s="702"/>
      <c r="H72" s="702"/>
      <c r="I72" s="702"/>
      <c r="J72" s="702"/>
      <c r="K72" s="702"/>
      <c r="L72" s="702"/>
      <c r="M72" s="695"/>
      <c r="N72" s="695"/>
      <c r="O72" s="695"/>
      <c r="P72" s="695"/>
      <c r="Q72" s="695"/>
      <c r="R72" s="695"/>
      <c r="S72" s="695"/>
      <c r="T72" s="695"/>
      <c r="U72" s="695"/>
      <c r="V72" s="695"/>
      <c r="W72" s="695"/>
      <c r="X72" s="695"/>
      <c r="Y72" s="695"/>
      <c r="Z72" s="695"/>
      <c r="AA72" s="695"/>
      <c r="AB72" s="695"/>
      <c r="AC72" s="703"/>
      <c r="AD72" s="598">
        <f>SUM(E72:AC72)</f>
        <v>0</v>
      </c>
      <c r="AE72" s="587">
        <f>AD72*D72</f>
        <v>0</v>
      </c>
      <c r="AF72" s="538" t="str">
        <f>IF(AD72&lt;0,"buy","sell")</f>
        <v>sell</v>
      </c>
    </row>
    <row r="73" spans="1:32" s="360" customFormat="1" ht="12.75" customHeight="1" x14ac:dyDescent="0.25">
      <c r="A73" s="643" t="s">
        <v>225</v>
      </c>
      <c r="B73" s="681" t="s">
        <v>241</v>
      </c>
      <c r="C73" s="681" t="s">
        <v>152</v>
      </c>
      <c r="D73" s="707"/>
      <c r="E73" s="682"/>
      <c r="F73" s="697"/>
      <c r="G73" s="702"/>
      <c r="H73" s="702"/>
      <c r="I73" s="702"/>
      <c r="J73" s="702"/>
      <c r="K73" s="702"/>
      <c r="L73" s="702"/>
      <c r="M73" s="695"/>
      <c r="N73" s="695"/>
      <c r="O73" s="695"/>
      <c r="P73" s="695"/>
      <c r="Q73" s="695"/>
      <c r="R73" s="695"/>
      <c r="S73" s="695"/>
      <c r="T73" s="695"/>
      <c r="U73" s="695"/>
      <c r="V73" s="695"/>
      <c r="W73" s="695"/>
      <c r="X73" s="695"/>
      <c r="Y73" s="695"/>
      <c r="Z73" s="695"/>
      <c r="AA73" s="695"/>
      <c r="AB73" s="695"/>
      <c r="AC73" s="703"/>
      <c r="AD73" s="598">
        <f t="shared" si="12"/>
        <v>0</v>
      </c>
      <c r="AE73" s="587">
        <f t="shared" si="11"/>
        <v>0</v>
      </c>
      <c r="AF73" s="538" t="str">
        <f t="shared" si="13"/>
        <v>sell</v>
      </c>
    </row>
    <row r="74" spans="1:32" s="360" customFormat="1" ht="12.75" customHeight="1" x14ac:dyDescent="0.25">
      <c r="A74" s="643" t="s">
        <v>366</v>
      </c>
      <c r="B74" s="681" t="s">
        <v>365</v>
      </c>
      <c r="C74" s="681" t="s">
        <v>152</v>
      </c>
      <c r="D74" s="717"/>
      <c r="E74" s="682"/>
      <c r="F74" s="718"/>
      <c r="G74" s="718"/>
      <c r="H74" s="718"/>
      <c r="I74" s="718"/>
      <c r="J74" s="718"/>
      <c r="K74" s="718"/>
      <c r="L74" s="697"/>
      <c r="M74" s="697"/>
      <c r="N74" s="697"/>
      <c r="O74" s="697"/>
      <c r="P74" s="697"/>
      <c r="Q74" s="697"/>
      <c r="R74" s="697"/>
      <c r="S74" s="697"/>
      <c r="T74" s="697"/>
      <c r="U74" s="697"/>
      <c r="V74" s="697"/>
      <c r="W74" s="697"/>
      <c r="X74" s="697"/>
      <c r="Y74" s="697"/>
      <c r="Z74" s="697"/>
      <c r="AA74" s="697"/>
      <c r="AB74" s="718"/>
      <c r="AC74" s="718"/>
      <c r="AD74" s="598">
        <f>SUM(E74:AC74)</f>
        <v>0</v>
      </c>
      <c r="AE74" s="587">
        <f>AD74*D74</f>
        <v>0</v>
      </c>
      <c r="AF74" s="538" t="str">
        <f>IF(AD74&lt;0,"buy","sell")</f>
        <v>sell</v>
      </c>
    </row>
    <row r="75" spans="1:32" s="360" customFormat="1" ht="12.75" customHeight="1" x14ac:dyDescent="0.25">
      <c r="A75" s="643" t="s">
        <v>370</v>
      </c>
      <c r="B75" s="681" t="s">
        <v>241</v>
      </c>
      <c r="C75" s="681" t="s">
        <v>152</v>
      </c>
      <c r="D75" s="717"/>
      <c r="E75" s="682"/>
      <c r="F75" s="718"/>
      <c r="G75" s="718"/>
      <c r="H75" s="718"/>
      <c r="I75" s="718"/>
      <c r="J75" s="718"/>
      <c r="K75" s="718"/>
      <c r="L75" s="701"/>
      <c r="M75" s="695"/>
      <c r="N75" s="695"/>
      <c r="O75" s="695"/>
      <c r="P75" s="695"/>
      <c r="Q75" s="695"/>
      <c r="R75" s="695"/>
      <c r="S75" s="695"/>
      <c r="T75" s="695"/>
      <c r="U75" s="695"/>
      <c r="V75" s="695"/>
      <c r="W75" s="695"/>
      <c r="X75" s="695"/>
      <c r="Y75" s="695"/>
      <c r="Z75" s="695"/>
      <c r="AA75" s="695"/>
      <c r="AB75" s="699"/>
      <c r="AC75" s="699"/>
      <c r="AD75" s="598">
        <f>SUM(E75:AC75)</f>
        <v>0</v>
      </c>
      <c r="AE75" s="587">
        <f>AD75*D75</f>
        <v>0</v>
      </c>
      <c r="AF75" s="538" t="str">
        <f>IF(AD75&lt;0,"buy","sell")</f>
        <v>sell</v>
      </c>
    </row>
    <row r="76" spans="1:32" s="360" customFormat="1" ht="12.75" customHeight="1" x14ac:dyDescent="0.25">
      <c r="A76" s="643" t="s">
        <v>366</v>
      </c>
      <c r="B76" s="681" t="s">
        <v>241</v>
      </c>
      <c r="C76" s="681" t="s">
        <v>152</v>
      </c>
      <c r="D76" s="681"/>
      <c r="E76" s="682"/>
      <c r="F76" s="701"/>
      <c r="G76" s="699"/>
      <c r="H76" s="699"/>
      <c r="I76" s="699"/>
      <c r="J76" s="699"/>
      <c r="K76" s="699"/>
      <c r="L76" s="699"/>
      <c r="M76" s="695"/>
      <c r="N76" s="695"/>
      <c r="O76" s="695"/>
      <c r="P76" s="695"/>
      <c r="Q76" s="695"/>
      <c r="R76" s="695"/>
      <c r="S76" s="695"/>
      <c r="T76" s="695"/>
      <c r="U76" s="695"/>
      <c r="V76" s="695"/>
      <c r="W76" s="695"/>
      <c r="X76" s="695"/>
      <c r="Y76" s="695"/>
      <c r="Z76" s="695"/>
      <c r="AA76" s="695"/>
      <c r="AB76" s="695"/>
      <c r="AC76" s="700"/>
      <c r="AD76" s="598">
        <f>SUM(E76:AC76)</f>
        <v>0</v>
      </c>
      <c r="AE76" s="587">
        <f>AD76*D76</f>
        <v>0</v>
      </c>
      <c r="AF76" s="538" t="str">
        <f>IF(AD76&lt;0,"buy","sell")</f>
        <v>sell</v>
      </c>
    </row>
    <row r="77" spans="1:32" s="360" customFormat="1" x14ac:dyDescent="0.25">
      <c r="A77" s="643"/>
      <c r="B77" s="681"/>
      <c r="C77" s="681"/>
      <c r="D77" s="488"/>
      <c r="E77" s="682"/>
      <c r="F77" s="691"/>
      <c r="G77" s="692"/>
      <c r="H77" s="692"/>
      <c r="I77" s="692"/>
      <c r="J77" s="692"/>
      <c r="K77" s="692"/>
      <c r="L77" s="692"/>
      <c r="M77" s="692"/>
      <c r="N77" s="695"/>
      <c r="O77" s="692"/>
      <c r="P77" s="692"/>
      <c r="Q77" s="692"/>
      <c r="R77" s="692"/>
      <c r="S77" s="692"/>
      <c r="T77" s="692"/>
      <c r="U77" s="692"/>
      <c r="V77" s="692"/>
      <c r="W77" s="692"/>
      <c r="X77" s="692"/>
      <c r="Y77" s="692"/>
      <c r="Z77" s="692"/>
      <c r="AA77" s="692"/>
      <c r="AB77" s="692"/>
      <c r="AC77" s="683"/>
      <c r="AD77" s="598">
        <f t="shared" si="12"/>
        <v>0</v>
      </c>
      <c r="AE77" s="587">
        <f t="shared" si="11"/>
        <v>0</v>
      </c>
      <c r="AF77" s="538" t="str">
        <f t="shared" si="13"/>
        <v>sell</v>
      </c>
    </row>
    <row r="78" spans="1:32" s="360" customFormat="1" x14ac:dyDescent="0.25">
      <c r="A78" s="644"/>
      <c r="B78" s="581"/>
      <c r="C78" s="581"/>
      <c r="D78" s="582"/>
      <c r="E78" s="565"/>
      <c r="F78" s="720"/>
      <c r="G78" s="583"/>
      <c r="H78" s="583"/>
      <c r="I78" s="583"/>
      <c r="J78" s="583"/>
      <c r="K78" s="583"/>
      <c r="L78" s="583"/>
      <c r="M78" s="583"/>
      <c r="N78" s="583"/>
      <c r="O78" s="646"/>
      <c r="P78" s="646"/>
      <c r="Q78" s="646"/>
      <c r="R78" s="646"/>
      <c r="S78" s="646"/>
      <c r="T78" s="646"/>
      <c r="U78" s="646"/>
      <c r="V78" s="646"/>
      <c r="W78" s="646"/>
      <c r="X78" s="646"/>
      <c r="Y78" s="583"/>
      <c r="Z78" s="583"/>
      <c r="AA78" s="583"/>
      <c r="AB78" s="646"/>
      <c r="AC78" s="646"/>
      <c r="AD78" s="688"/>
      <c r="AE78" s="587"/>
      <c r="AF78" s="538"/>
    </row>
    <row r="79" spans="1:32" s="360" customFormat="1" x14ac:dyDescent="0.25">
      <c r="A79" s="644" t="s">
        <v>229</v>
      </c>
      <c r="B79" s="581" t="s">
        <v>365</v>
      </c>
      <c r="C79" s="581" t="s">
        <v>152</v>
      </c>
      <c r="D79" s="582">
        <v>10</v>
      </c>
      <c r="E79" s="565"/>
      <c r="F79" s="720">
        <v>40</v>
      </c>
      <c r="G79" s="583">
        <v>40</v>
      </c>
      <c r="H79" s="583">
        <v>40</v>
      </c>
      <c r="I79" s="583">
        <v>40</v>
      </c>
      <c r="J79" s="583">
        <v>40</v>
      </c>
      <c r="K79" s="583"/>
      <c r="L79" s="583"/>
      <c r="M79" s="583"/>
      <c r="N79" s="583"/>
      <c r="O79" s="646"/>
      <c r="P79" s="646"/>
      <c r="Q79" s="646"/>
      <c r="R79" s="646"/>
      <c r="S79" s="646"/>
      <c r="T79" s="646"/>
      <c r="U79" s="646"/>
      <c r="V79" s="646"/>
      <c r="W79" s="646"/>
      <c r="X79" s="646"/>
      <c r="Y79" s="583"/>
      <c r="Z79" s="583"/>
      <c r="AA79" s="583"/>
      <c r="AB79" s="646"/>
      <c r="AC79" s="646"/>
      <c r="AD79" s="688">
        <f t="shared" ref="AD79:AD105" si="14">SUM(E79:AC79)</f>
        <v>200</v>
      </c>
      <c r="AE79" s="587">
        <f t="shared" ref="AE79:AE93" si="15">AD79*D79</f>
        <v>2000</v>
      </c>
      <c r="AF79" s="538" t="str">
        <f t="shared" ref="AF79:AF93" si="16">IF(AD79&lt;0,"buy","sell")</f>
        <v>sell</v>
      </c>
    </row>
    <row r="80" spans="1:32" s="360" customFormat="1" x14ac:dyDescent="0.25">
      <c r="A80" s="644" t="s">
        <v>225</v>
      </c>
      <c r="B80" s="581" t="s">
        <v>365</v>
      </c>
      <c r="C80" s="581" t="s">
        <v>152</v>
      </c>
      <c r="D80" s="582">
        <v>4</v>
      </c>
      <c r="E80" s="565"/>
      <c r="F80" s="720"/>
      <c r="G80" s="583">
        <v>40</v>
      </c>
      <c r="H80" s="583">
        <v>40</v>
      </c>
      <c r="I80" s="583">
        <v>40</v>
      </c>
      <c r="J80" s="583">
        <v>40</v>
      </c>
      <c r="K80" s="583"/>
      <c r="L80" s="583"/>
      <c r="M80" s="583"/>
      <c r="N80" s="583"/>
      <c r="O80" s="646"/>
      <c r="P80" s="646"/>
      <c r="Q80" s="646"/>
      <c r="R80" s="646"/>
      <c r="S80" s="646"/>
      <c r="T80" s="646"/>
      <c r="U80" s="646"/>
      <c r="V80" s="646"/>
      <c r="W80" s="646"/>
      <c r="X80" s="646"/>
      <c r="Y80" s="583"/>
      <c r="Z80" s="583"/>
      <c r="AA80" s="583"/>
      <c r="AB80" s="646"/>
      <c r="AC80" s="646"/>
      <c r="AD80" s="688">
        <f t="shared" si="14"/>
        <v>160</v>
      </c>
      <c r="AE80" s="587">
        <f t="shared" si="15"/>
        <v>640</v>
      </c>
      <c r="AF80" s="538" t="str">
        <f t="shared" si="16"/>
        <v>sell</v>
      </c>
    </row>
    <row r="81" spans="1:32" s="360" customFormat="1" x14ac:dyDescent="0.25">
      <c r="A81" s="644" t="s">
        <v>225</v>
      </c>
      <c r="B81" s="581" t="s">
        <v>385</v>
      </c>
      <c r="C81" s="581" t="s">
        <v>152</v>
      </c>
      <c r="D81" s="582">
        <v>80</v>
      </c>
      <c r="E81" s="565"/>
      <c r="F81" s="720"/>
      <c r="G81" s="583"/>
      <c r="H81" s="583"/>
      <c r="I81" s="583"/>
      <c r="J81" s="583"/>
      <c r="K81" s="583"/>
      <c r="L81" s="583"/>
      <c r="M81" s="583"/>
      <c r="N81" s="583"/>
      <c r="O81" s="646"/>
      <c r="P81" s="646"/>
      <c r="Q81" s="646"/>
      <c r="R81" s="646"/>
      <c r="S81" s="646"/>
      <c r="T81" s="646"/>
      <c r="U81" s="646"/>
      <c r="V81" s="646"/>
      <c r="W81" s="646"/>
      <c r="X81" s="646"/>
      <c r="Y81" s="583"/>
      <c r="Z81" s="583"/>
      <c r="AA81" s="583"/>
      <c r="AB81" s="646">
        <v>40</v>
      </c>
      <c r="AC81" s="646">
        <v>40</v>
      </c>
      <c r="AD81" s="688">
        <f>SUM(E81:AC81)</f>
        <v>80</v>
      </c>
      <c r="AE81" s="587">
        <f>AD81*D81</f>
        <v>6400</v>
      </c>
      <c r="AF81" s="538" t="str">
        <f>IF(AD81&lt;0,"buy","sell")</f>
        <v>sell</v>
      </c>
    </row>
    <row r="82" spans="1:32" s="360" customFormat="1" x14ac:dyDescent="0.25">
      <c r="A82" s="644" t="s">
        <v>379</v>
      </c>
      <c r="B82" s="581" t="s">
        <v>365</v>
      </c>
      <c r="C82" s="581" t="s">
        <v>152</v>
      </c>
      <c r="D82" s="582">
        <v>70</v>
      </c>
      <c r="E82" s="565"/>
      <c r="F82" s="720"/>
      <c r="G82" s="583"/>
      <c r="H82" s="583"/>
      <c r="I82" s="583"/>
      <c r="J82" s="583"/>
      <c r="K82" s="583">
        <v>40</v>
      </c>
      <c r="L82" s="583"/>
      <c r="M82" s="583"/>
      <c r="N82" s="583"/>
      <c r="O82" s="646"/>
      <c r="P82" s="646"/>
      <c r="Q82" s="646"/>
      <c r="R82" s="646"/>
      <c r="S82" s="646"/>
      <c r="T82" s="646"/>
      <c r="U82" s="646"/>
      <c r="V82" s="646"/>
      <c r="W82" s="646"/>
      <c r="X82" s="646"/>
      <c r="Y82" s="583"/>
      <c r="Z82" s="583"/>
      <c r="AA82" s="583"/>
      <c r="AB82" s="646"/>
      <c r="AC82" s="646"/>
      <c r="AD82" s="688">
        <f t="shared" si="14"/>
        <v>40</v>
      </c>
      <c r="AE82" s="587">
        <f t="shared" si="15"/>
        <v>2800</v>
      </c>
      <c r="AF82" s="538" t="str">
        <f t="shared" si="16"/>
        <v>sell</v>
      </c>
    </row>
    <row r="83" spans="1:32" s="360" customFormat="1" x14ac:dyDescent="0.25">
      <c r="A83" s="644" t="s">
        <v>65</v>
      </c>
      <c r="B83" s="581" t="s">
        <v>365</v>
      </c>
      <c r="C83" s="581" t="s">
        <v>376</v>
      </c>
      <c r="D83" s="582">
        <v>120</v>
      </c>
      <c r="E83" s="565"/>
      <c r="F83" s="720"/>
      <c r="G83" s="583">
        <v>20</v>
      </c>
      <c r="H83" s="583">
        <v>20</v>
      </c>
      <c r="I83" s="583">
        <v>20</v>
      </c>
      <c r="J83" s="583">
        <v>20</v>
      </c>
      <c r="K83" s="583">
        <v>20</v>
      </c>
      <c r="L83" s="583">
        <v>20</v>
      </c>
      <c r="M83" s="583">
        <v>20</v>
      </c>
      <c r="N83" s="583"/>
      <c r="O83" s="646"/>
      <c r="P83" s="646"/>
      <c r="Q83" s="646"/>
      <c r="R83" s="646"/>
      <c r="S83" s="646"/>
      <c r="T83" s="646"/>
      <c r="U83" s="646"/>
      <c r="V83" s="646"/>
      <c r="W83" s="646"/>
      <c r="X83" s="646"/>
      <c r="Y83" s="583"/>
      <c r="Z83" s="583"/>
      <c r="AA83" s="583"/>
      <c r="AB83" s="646"/>
      <c r="AC83" s="646"/>
      <c r="AD83" s="688">
        <f t="shared" si="14"/>
        <v>140</v>
      </c>
      <c r="AE83" s="587">
        <f t="shared" si="15"/>
        <v>16800</v>
      </c>
      <c r="AF83" s="538" t="str">
        <f t="shared" si="16"/>
        <v>sell</v>
      </c>
    </row>
    <row r="84" spans="1:32" s="360" customFormat="1" x14ac:dyDescent="0.25">
      <c r="A84" s="644" t="s">
        <v>65</v>
      </c>
      <c r="B84" s="581" t="s">
        <v>365</v>
      </c>
      <c r="C84" s="581" t="s">
        <v>376</v>
      </c>
      <c r="D84" s="582">
        <v>135</v>
      </c>
      <c r="E84" s="565"/>
      <c r="F84" s="720"/>
      <c r="G84" s="583"/>
      <c r="H84" s="583"/>
      <c r="I84" s="583"/>
      <c r="J84" s="583"/>
      <c r="K84" s="583"/>
      <c r="L84" s="583"/>
      <c r="M84" s="583"/>
      <c r="N84" s="583">
        <v>20</v>
      </c>
      <c r="O84" s="646"/>
      <c r="P84" s="646"/>
      <c r="Q84" s="646"/>
      <c r="R84" s="646"/>
      <c r="S84" s="646"/>
      <c r="T84" s="646"/>
      <c r="U84" s="646"/>
      <c r="V84" s="646"/>
      <c r="W84" s="646"/>
      <c r="X84" s="646"/>
      <c r="Y84" s="583"/>
      <c r="Z84" s="583"/>
      <c r="AA84" s="583"/>
      <c r="AB84" s="646"/>
      <c r="AC84" s="646"/>
      <c r="AD84" s="688">
        <f t="shared" si="14"/>
        <v>20</v>
      </c>
      <c r="AE84" s="587">
        <f>AD84*D84</f>
        <v>2700</v>
      </c>
      <c r="AF84" s="538" t="str">
        <f>IF(AD84&lt;0,"buy","sell")</f>
        <v>sell</v>
      </c>
    </row>
    <row r="85" spans="1:32" s="360" customFormat="1" x14ac:dyDescent="0.25">
      <c r="A85" s="644" t="s">
        <v>65</v>
      </c>
      <c r="B85" s="581" t="s">
        <v>365</v>
      </c>
      <c r="C85" s="581" t="s">
        <v>376</v>
      </c>
      <c r="D85" s="582">
        <v>145</v>
      </c>
      <c r="E85" s="565"/>
      <c r="F85" s="720"/>
      <c r="G85" s="583"/>
      <c r="H85" s="583"/>
      <c r="I85" s="583"/>
      <c r="J85" s="583"/>
      <c r="K85" s="583"/>
      <c r="L85" s="583"/>
      <c r="M85" s="583"/>
      <c r="N85" s="583"/>
      <c r="O85" s="583">
        <v>20</v>
      </c>
      <c r="P85" s="646"/>
      <c r="Q85" s="646"/>
      <c r="R85" s="646"/>
      <c r="S85" s="646"/>
      <c r="T85" s="646"/>
      <c r="U85" s="646"/>
      <c r="V85" s="646"/>
      <c r="W85" s="646"/>
      <c r="X85" s="646"/>
      <c r="Y85" s="583"/>
      <c r="Z85" s="583"/>
      <c r="AA85" s="583"/>
      <c r="AB85" s="646"/>
      <c r="AC85" s="646"/>
      <c r="AD85" s="688">
        <f t="shared" si="14"/>
        <v>20</v>
      </c>
      <c r="AE85" s="587">
        <f>AD85*D85</f>
        <v>2900</v>
      </c>
      <c r="AF85" s="538" t="str">
        <f>IF(AD85&lt;0,"buy","sell")</f>
        <v>sell</v>
      </c>
    </row>
    <row r="86" spans="1:32" s="360" customFormat="1" x14ac:dyDescent="0.25">
      <c r="A86" s="644" t="s">
        <v>65</v>
      </c>
      <c r="B86" s="581" t="s">
        <v>365</v>
      </c>
      <c r="C86" s="581" t="s">
        <v>376</v>
      </c>
      <c r="D86" s="582">
        <v>155</v>
      </c>
      <c r="E86" s="565"/>
      <c r="F86" s="720"/>
      <c r="G86" s="583"/>
      <c r="H86" s="583"/>
      <c r="I86" s="583"/>
      <c r="J86" s="583"/>
      <c r="K86" s="583"/>
      <c r="L86" s="583"/>
      <c r="M86" s="583"/>
      <c r="N86" s="583"/>
      <c r="O86" s="646"/>
      <c r="P86" s="583">
        <v>20</v>
      </c>
      <c r="Q86" s="583">
        <v>20</v>
      </c>
      <c r="R86" s="646"/>
      <c r="S86" s="646"/>
      <c r="T86" s="646"/>
      <c r="U86" s="646"/>
      <c r="V86" s="646"/>
      <c r="W86" s="646"/>
      <c r="X86" s="646"/>
      <c r="Y86" s="583"/>
      <c r="Z86" s="583"/>
      <c r="AA86" s="583"/>
      <c r="AB86" s="646"/>
      <c r="AC86" s="646"/>
      <c r="AD86" s="688">
        <f t="shared" si="14"/>
        <v>40</v>
      </c>
      <c r="AE86" s="587">
        <f>AD86*D86</f>
        <v>6200</v>
      </c>
      <c r="AF86" s="538" t="str">
        <f>IF(AD86&lt;0,"buy","sell")</f>
        <v>sell</v>
      </c>
    </row>
    <row r="87" spans="1:32" s="360" customFormat="1" x14ac:dyDescent="0.25">
      <c r="A87" s="644" t="s">
        <v>65</v>
      </c>
      <c r="B87" s="581" t="s">
        <v>365</v>
      </c>
      <c r="C87" s="581" t="s">
        <v>376</v>
      </c>
      <c r="D87" s="582">
        <v>150</v>
      </c>
      <c r="E87" s="565"/>
      <c r="F87" s="720"/>
      <c r="G87" s="583"/>
      <c r="H87" s="583"/>
      <c r="I87" s="583"/>
      <c r="J87" s="583"/>
      <c r="K87" s="583"/>
      <c r="L87" s="583"/>
      <c r="M87" s="583"/>
      <c r="N87" s="583"/>
      <c r="O87" s="646"/>
      <c r="P87" s="583"/>
      <c r="Q87" s="583"/>
      <c r="R87" s="646"/>
      <c r="S87" s="646"/>
      <c r="T87" s="646"/>
      <c r="U87" s="583">
        <v>10</v>
      </c>
      <c r="V87" s="583">
        <v>10</v>
      </c>
      <c r="W87" s="583">
        <v>10</v>
      </c>
      <c r="X87" s="583">
        <v>10</v>
      </c>
      <c r="Y87" s="583">
        <v>10</v>
      </c>
      <c r="Z87" s="583">
        <v>10</v>
      </c>
      <c r="AA87" s="583">
        <v>10</v>
      </c>
      <c r="AB87" s="646"/>
      <c r="AC87" s="646"/>
      <c r="AD87" s="688">
        <f t="shared" si="14"/>
        <v>70</v>
      </c>
      <c r="AE87" s="587">
        <f>AD87*D87</f>
        <v>10500</v>
      </c>
      <c r="AF87" s="538" t="str">
        <f>IF(AD87&lt;0,"buy","sell")</f>
        <v>sell</v>
      </c>
    </row>
    <row r="88" spans="1:32" s="360" customFormat="1" x14ac:dyDescent="0.25">
      <c r="A88" s="644" t="s">
        <v>65</v>
      </c>
      <c r="B88" s="581" t="s">
        <v>365</v>
      </c>
      <c r="C88" s="581" t="s">
        <v>376</v>
      </c>
      <c r="D88" s="582">
        <v>125</v>
      </c>
      <c r="E88" s="565"/>
      <c r="F88" s="720"/>
      <c r="G88" s="583"/>
      <c r="H88" s="583"/>
      <c r="I88" s="583"/>
      <c r="J88" s="583"/>
      <c r="K88" s="583"/>
      <c r="L88" s="583"/>
      <c r="M88" s="583"/>
      <c r="N88" s="583"/>
      <c r="O88" s="646"/>
      <c r="P88" s="583"/>
      <c r="Q88" s="583"/>
      <c r="R88" s="646"/>
      <c r="S88" s="646"/>
      <c r="T88" s="646"/>
      <c r="U88" s="583"/>
      <c r="V88" s="583"/>
      <c r="W88" s="583"/>
      <c r="X88" s="583"/>
      <c r="Y88" s="583"/>
      <c r="Z88" s="583"/>
      <c r="AA88" s="583"/>
      <c r="AB88" s="646">
        <v>15</v>
      </c>
      <c r="AC88" s="646">
        <v>15</v>
      </c>
      <c r="AD88" s="688">
        <f>SUM(E88:AC88)</f>
        <v>30</v>
      </c>
      <c r="AE88" s="587">
        <f>AD88*D88</f>
        <v>3750</v>
      </c>
      <c r="AF88" s="538" t="str">
        <f>IF(AD88&lt;0,"buy","sell")</f>
        <v>sell</v>
      </c>
    </row>
    <row r="89" spans="1:32" s="360" customFormat="1" x14ac:dyDescent="0.25">
      <c r="A89" s="644" t="s">
        <v>67</v>
      </c>
      <c r="B89" s="581" t="s">
        <v>365</v>
      </c>
      <c r="C89" s="581" t="s">
        <v>280</v>
      </c>
      <c r="D89" s="582">
        <v>60</v>
      </c>
      <c r="E89" s="565"/>
      <c r="F89" s="720"/>
      <c r="G89" s="583"/>
      <c r="H89" s="583">
        <v>25</v>
      </c>
      <c r="I89" s="583">
        <v>40</v>
      </c>
      <c r="J89" s="583">
        <v>75</v>
      </c>
      <c r="K89" s="583">
        <v>60</v>
      </c>
      <c r="L89" s="583"/>
      <c r="M89" s="583"/>
      <c r="N89" s="583"/>
      <c r="O89" s="646"/>
      <c r="P89" s="646"/>
      <c r="Q89" s="646"/>
      <c r="R89" s="646"/>
      <c r="S89" s="646"/>
      <c r="T89" s="646"/>
      <c r="U89" s="583"/>
      <c r="V89" s="646"/>
      <c r="W89" s="646"/>
      <c r="X89" s="646"/>
      <c r="Y89" s="583"/>
      <c r="Z89" s="583"/>
      <c r="AA89" s="583"/>
      <c r="AB89" s="646"/>
      <c r="AC89" s="646"/>
      <c r="AD89" s="688">
        <f t="shared" si="14"/>
        <v>200</v>
      </c>
      <c r="AE89" s="587">
        <f t="shared" si="15"/>
        <v>12000</v>
      </c>
      <c r="AF89" s="538" t="str">
        <f t="shared" si="16"/>
        <v>sell</v>
      </c>
    </row>
    <row r="90" spans="1:32" s="360" customFormat="1" x14ac:dyDescent="0.25">
      <c r="A90" s="644" t="s">
        <v>64</v>
      </c>
      <c r="B90" s="581" t="s">
        <v>365</v>
      </c>
      <c r="C90" s="581" t="s">
        <v>152</v>
      </c>
      <c r="D90" s="582">
        <v>80</v>
      </c>
      <c r="E90" s="565"/>
      <c r="F90" s="720"/>
      <c r="G90" s="583"/>
      <c r="H90" s="583"/>
      <c r="I90" s="583"/>
      <c r="J90" s="583"/>
      <c r="K90" s="583"/>
      <c r="L90" s="583">
        <v>40</v>
      </c>
      <c r="M90" s="583"/>
      <c r="N90" s="583"/>
      <c r="O90" s="646"/>
      <c r="P90" s="646"/>
      <c r="Q90" s="646"/>
      <c r="R90" s="646"/>
      <c r="S90" s="646"/>
      <c r="T90" s="646"/>
      <c r="U90" s="583"/>
      <c r="V90" s="646"/>
      <c r="W90" s="646"/>
      <c r="X90" s="646"/>
      <c r="Y90" s="583"/>
      <c r="Z90" s="583"/>
      <c r="AA90" s="583"/>
      <c r="AB90" s="646"/>
      <c r="AC90" s="646"/>
      <c r="AD90" s="688">
        <f t="shared" si="14"/>
        <v>40</v>
      </c>
      <c r="AE90" s="587">
        <f t="shared" si="15"/>
        <v>3200</v>
      </c>
      <c r="AF90" s="538" t="str">
        <f t="shared" si="16"/>
        <v>sell</v>
      </c>
    </row>
    <row r="91" spans="1:32" s="360" customFormat="1" x14ac:dyDescent="0.25">
      <c r="A91" s="644" t="s">
        <v>64</v>
      </c>
      <c r="B91" s="581" t="s">
        <v>365</v>
      </c>
      <c r="C91" s="581" t="s">
        <v>152</v>
      </c>
      <c r="D91" s="582">
        <v>120</v>
      </c>
      <c r="E91" s="565"/>
      <c r="F91" s="720"/>
      <c r="G91" s="583"/>
      <c r="H91" s="583"/>
      <c r="I91" s="583"/>
      <c r="J91" s="583"/>
      <c r="K91" s="583"/>
      <c r="L91" s="583"/>
      <c r="M91" s="583">
        <v>40</v>
      </c>
      <c r="N91" s="583"/>
      <c r="O91" s="646"/>
      <c r="P91" s="646"/>
      <c r="Q91" s="646"/>
      <c r="R91" s="646"/>
      <c r="S91" s="646"/>
      <c r="T91" s="646"/>
      <c r="U91" s="583"/>
      <c r="V91" s="646"/>
      <c r="W91" s="646"/>
      <c r="X91" s="646"/>
      <c r="Y91" s="583"/>
      <c r="Z91" s="583"/>
      <c r="AA91" s="583"/>
      <c r="AB91" s="646"/>
      <c r="AC91" s="646"/>
      <c r="AD91" s="688">
        <f t="shared" si="14"/>
        <v>40</v>
      </c>
      <c r="AE91" s="587">
        <f>AD91*D91</f>
        <v>4800</v>
      </c>
      <c r="AF91" s="538" t="str">
        <f>IF(AD91&lt;0,"buy","sell")</f>
        <v>sell</v>
      </c>
    </row>
    <row r="92" spans="1:32" s="360" customFormat="1" x14ac:dyDescent="0.25">
      <c r="A92" s="644" t="s">
        <v>64</v>
      </c>
      <c r="B92" s="581" t="s">
        <v>365</v>
      </c>
      <c r="C92" s="581" t="s">
        <v>152</v>
      </c>
      <c r="D92" s="582">
        <v>100</v>
      </c>
      <c r="E92" s="565"/>
      <c r="F92" s="720"/>
      <c r="G92" s="583"/>
      <c r="H92" s="583"/>
      <c r="I92" s="583"/>
      <c r="J92" s="583"/>
      <c r="K92" s="583"/>
      <c r="L92" s="583"/>
      <c r="M92" s="583"/>
      <c r="N92" s="583"/>
      <c r="O92" s="646"/>
      <c r="P92" s="646"/>
      <c r="Q92" s="646"/>
      <c r="R92" s="646"/>
      <c r="S92" s="646"/>
      <c r="T92" s="646"/>
      <c r="U92" s="583"/>
      <c r="V92" s="646"/>
      <c r="W92" s="646"/>
      <c r="X92" s="646"/>
      <c r="Y92" s="583"/>
      <c r="Z92" s="583"/>
      <c r="AA92" s="583">
        <v>50</v>
      </c>
      <c r="AB92" s="646"/>
      <c r="AC92" s="646"/>
      <c r="AD92" s="688">
        <f>SUM(E92:AC92)</f>
        <v>50</v>
      </c>
      <c r="AE92" s="587">
        <f>AD92*D92</f>
        <v>5000</v>
      </c>
      <c r="AF92" s="538" t="str">
        <f>IF(AD92&lt;0,"buy","sell")</f>
        <v>sell</v>
      </c>
    </row>
    <row r="93" spans="1:32" s="360" customFormat="1" x14ac:dyDescent="0.25">
      <c r="A93" s="644" t="s">
        <v>68</v>
      </c>
      <c r="B93" s="581" t="s">
        <v>365</v>
      </c>
      <c r="C93" s="581" t="s">
        <v>152</v>
      </c>
      <c r="D93" s="582">
        <v>80</v>
      </c>
      <c r="E93" s="565"/>
      <c r="F93" s="720"/>
      <c r="G93" s="583"/>
      <c r="H93" s="583"/>
      <c r="I93" s="583"/>
      <c r="J93" s="583"/>
      <c r="K93" s="583"/>
      <c r="L93" s="583">
        <v>40</v>
      </c>
      <c r="M93" s="583"/>
      <c r="N93" s="583"/>
      <c r="O93" s="646"/>
      <c r="P93" s="646"/>
      <c r="Q93" s="646"/>
      <c r="R93" s="646"/>
      <c r="S93" s="646"/>
      <c r="T93" s="646"/>
      <c r="U93" s="583"/>
      <c r="V93" s="646"/>
      <c r="W93" s="646"/>
      <c r="X93" s="646"/>
      <c r="Y93" s="583"/>
      <c r="Z93" s="583"/>
      <c r="AA93" s="583"/>
      <c r="AB93" s="646"/>
      <c r="AC93" s="646"/>
      <c r="AD93" s="688">
        <f t="shared" si="14"/>
        <v>40</v>
      </c>
      <c r="AE93" s="587">
        <f t="shared" si="15"/>
        <v>3200</v>
      </c>
      <c r="AF93" s="538" t="str">
        <f t="shared" si="16"/>
        <v>sell</v>
      </c>
    </row>
    <row r="94" spans="1:32" s="360" customFormat="1" x14ac:dyDescent="0.25">
      <c r="A94" s="644" t="s">
        <v>68</v>
      </c>
      <c r="B94" s="581" t="s">
        <v>365</v>
      </c>
      <c r="C94" s="581" t="s">
        <v>152</v>
      </c>
      <c r="D94" s="582">
        <v>120</v>
      </c>
      <c r="E94" s="565"/>
      <c r="F94" s="720"/>
      <c r="G94" s="583"/>
      <c r="H94" s="583"/>
      <c r="I94" s="583"/>
      <c r="J94" s="583"/>
      <c r="K94" s="583"/>
      <c r="L94" s="583"/>
      <c r="M94" s="583">
        <v>40</v>
      </c>
      <c r="N94" s="583"/>
      <c r="O94" s="646"/>
      <c r="P94" s="646"/>
      <c r="Q94" s="646"/>
      <c r="R94" s="646"/>
      <c r="S94" s="646"/>
      <c r="T94" s="646"/>
      <c r="U94" s="583"/>
      <c r="V94" s="646"/>
      <c r="W94" s="646"/>
      <c r="X94" s="646"/>
      <c r="Y94" s="583"/>
      <c r="Z94" s="583"/>
      <c r="AA94" s="583"/>
      <c r="AB94" s="646"/>
      <c r="AC94" s="646"/>
      <c r="AD94" s="688">
        <f t="shared" si="14"/>
        <v>40</v>
      </c>
      <c r="AE94" s="587">
        <f t="shared" ref="AE94:AE104" si="17">AD94*D94</f>
        <v>4800</v>
      </c>
      <c r="AF94" s="538" t="str">
        <f t="shared" ref="AF94:AF104" si="18">IF(AD94&lt;0,"buy","sell")</f>
        <v>sell</v>
      </c>
    </row>
    <row r="95" spans="1:32" s="360" customFormat="1" x14ac:dyDescent="0.25">
      <c r="A95" s="644" t="s">
        <v>68</v>
      </c>
      <c r="B95" s="581" t="s">
        <v>365</v>
      </c>
      <c r="C95" s="581" t="s">
        <v>152</v>
      </c>
      <c r="D95" s="582">
        <v>110</v>
      </c>
      <c r="E95" s="565"/>
      <c r="F95" s="720"/>
      <c r="G95" s="583"/>
      <c r="H95" s="583"/>
      <c r="I95" s="583"/>
      <c r="J95" s="583"/>
      <c r="K95" s="583"/>
      <c r="L95" s="583"/>
      <c r="M95" s="583"/>
      <c r="N95" s="583"/>
      <c r="O95" s="646"/>
      <c r="P95" s="646"/>
      <c r="Q95" s="646"/>
      <c r="R95" s="646"/>
      <c r="S95" s="646"/>
      <c r="T95" s="646"/>
      <c r="U95" s="583"/>
      <c r="V95" s="646"/>
      <c r="W95" s="583">
        <v>25</v>
      </c>
      <c r="X95" s="583">
        <v>25</v>
      </c>
      <c r="Y95" s="583"/>
      <c r="Z95" s="583"/>
      <c r="AA95" s="583"/>
      <c r="AB95" s="646"/>
      <c r="AC95" s="646"/>
      <c r="AD95" s="688">
        <f t="shared" si="14"/>
        <v>50</v>
      </c>
      <c r="AE95" s="587">
        <f t="shared" si="17"/>
        <v>5500</v>
      </c>
      <c r="AF95" s="538" t="str">
        <f t="shared" si="18"/>
        <v>sell</v>
      </c>
    </row>
    <row r="96" spans="1:32" s="360" customFormat="1" x14ac:dyDescent="0.25">
      <c r="A96" s="644" t="s">
        <v>68</v>
      </c>
      <c r="B96" s="581" t="s">
        <v>365</v>
      </c>
      <c r="C96" s="581" t="s">
        <v>152</v>
      </c>
      <c r="D96" s="582">
        <v>20</v>
      </c>
      <c r="E96" s="565"/>
      <c r="F96" s="720"/>
      <c r="G96" s="583"/>
      <c r="H96" s="583"/>
      <c r="I96" s="583"/>
      <c r="J96" s="583"/>
      <c r="K96" s="583"/>
      <c r="L96" s="583"/>
      <c r="M96" s="583"/>
      <c r="N96" s="583"/>
      <c r="O96" s="646"/>
      <c r="P96" s="646"/>
      <c r="Q96" s="646"/>
      <c r="R96" s="646"/>
      <c r="S96" s="646"/>
      <c r="T96" s="646"/>
      <c r="U96" s="583"/>
      <c r="V96" s="646"/>
      <c r="W96" s="583"/>
      <c r="X96" s="583"/>
      <c r="Y96" s="583"/>
      <c r="Z96" s="583"/>
      <c r="AA96" s="583"/>
      <c r="AB96" s="646"/>
      <c r="AC96" s="646">
        <v>110</v>
      </c>
      <c r="AD96" s="688">
        <f>SUM(E96:AC96)</f>
        <v>110</v>
      </c>
      <c r="AE96" s="587">
        <f>AD96*D96</f>
        <v>2200</v>
      </c>
      <c r="AF96" s="538" t="str">
        <f>IF(AD96&lt;0,"buy","sell")</f>
        <v>sell</v>
      </c>
    </row>
    <row r="97" spans="1:32" s="360" customFormat="1" x14ac:dyDescent="0.25">
      <c r="A97" s="644" t="s">
        <v>67</v>
      </c>
      <c r="B97" s="581" t="s">
        <v>365</v>
      </c>
      <c r="C97" s="581" t="s">
        <v>280</v>
      </c>
      <c r="D97" s="582">
        <v>125</v>
      </c>
      <c r="E97" s="565"/>
      <c r="F97" s="720"/>
      <c r="G97" s="583"/>
      <c r="H97" s="583"/>
      <c r="I97" s="583"/>
      <c r="J97" s="583"/>
      <c r="K97" s="583"/>
      <c r="L97" s="583"/>
      <c r="M97" s="583">
        <v>40</v>
      </c>
      <c r="N97" s="583">
        <v>25</v>
      </c>
      <c r="O97" s="646"/>
      <c r="P97" s="646"/>
      <c r="Q97" s="646"/>
      <c r="R97" s="646"/>
      <c r="S97" s="646"/>
      <c r="T97" s="646"/>
      <c r="U97" s="583"/>
      <c r="V97" s="646"/>
      <c r="W97" s="646"/>
      <c r="X97" s="646"/>
      <c r="Y97" s="583"/>
      <c r="Z97" s="583"/>
      <c r="AA97" s="583"/>
      <c r="AB97" s="646"/>
      <c r="AC97" s="646"/>
      <c r="AD97" s="688">
        <f t="shared" si="14"/>
        <v>65</v>
      </c>
      <c r="AE97" s="587">
        <f t="shared" si="17"/>
        <v>8125</v>
      </c>
      <c r="AF97" s="538" t="str">
        <f t="shared" si="18"/>
        <v>sell</v>
      </c>
    </row>
    <row r="98" spans="1:32" s="360" customFormat="1" x14ac:dyDescent="0.25">
      <c r="A98" s="644" t="s">
        <v>67</v>
      </c>
      <c r="B98" s="581" t="s">
        <v>365</v>
      </c>
      <c r="C98" s="581" t="s">
        <v>280</v>
      </c>
      <c r="D98" s="582">
        <v>150</v>
      </c>
      <c r="E98" s="565"/>
      <c r="F98" s="720"/>
      <c r="G98" s="583"/>
      <c r="H98" s="583"/>
      <c r="I98" s="583"/>
      <c r="J98" s="583"/>
      <c r="K98" s="583"/>
      <c r="L98" s="583"/>
      <c r="M98" s="583"/>
      <c r="N98" s="583"/>
      <c r="O98" s="583">
        <v>25</v>
      </c>
      <c r="P98" s="583">
        <v>25</v>
      </c>
      <c r="Q98" s="583">
        <v>25</v>
      </c>
      <c r="R98" s="646"/>
      <c r="S98" s="646"/>
      <c r="T98" s="646"/>
      <c r="U98" s="583"/>
      <c r="V98" s="646"/>
      <c r="W98" s="646"/>
      <c r="X98" s="646"/>
      <c r="Y98" s="583"/>
      <c r="Z98" s="583"/>
      <c r="AA98" s="583"/>
      <c r="AB98" s="646"/>
      <c r="AC98" s="646"/>
      <c r="AD98" s="688">
        <f t="shared" si="14"/>
        <v>75</v>
      </c>
      <c r="AE98" s="587">
        <f t="shared" si="17"/>
        <v>11250</v>
      </c>
      <c r="AF98" s="538" t="str">
        <f t="shared" si="18"/>
        <v>sell</v>
      </c>
    </row>
    <row r="99" spans="1:32" s="360" customFormat="1" x14ac:dyDescent="0.25">
      <c r="A99" s="644" t="s">
        <v>67</v>
      </c>
      <c r="B99" s="581" t="s">
        <v>365</v>
      </c>
      <c r="C99" s="581" t="s">
        <v>280</v>
      </c>
      <c r="D99" s="582">
        <v>80</v>
      </c>
      <c r="E99" s="565"/>
      <c r="F99" s="720"/>
      <c r="G99" s="583"/>
      <c r="H99" s="583"/>
      <c r="I99" s="583"/>
      <c r="J99" s="583"/>
      <c r="K99" s="583"/>
      <c r="L99" s="583"/>
      <c r="M99" s="583"/>
      <c r="N99" s="583"/>
      <c r="O99" s="583"/>
      <c r="P99" s="583"/>
      <c r="Q99" s="583"/>
      <c r="R99" s="646"/>
      <c r="S99" s="646"/>
      <c r="T99" s="646"/>
      <c r="U99" s="583"/>
      <c r="V99" s="646"/>
      <c r="W99" s="646"/>
      <c r="X99" s="646"/>
      <c r="Y99" s="583"/>
      <c r="Z99" s="583"/>
      <c r="AA99" s="583"/>
      <c r="AB99" s="646">
        <v>30</v>
      </c>
      <c r="AC99" s="646">
        <v>30</v>
      </c>
      <c r="AD99" s="688">
        <f>SUM(E99:AC99)</f>
        <v>60</v>
      </c>
      <c r="AE99" s="587">
        <f>AD99*D99</f>
        <v>4800</v>
      </c>
      <c r="AF99" s="538" t="str">
        <f>IF(AD99&lt;0,"buy","sell")</f>
        <v>sell</v>
      </c>
    </row>
    <row r="100" spans="1:32" s="360" customFormat="1" x14ac:dyDescent="0.25">
      <c r="A100" s="644" t="s">
        <v>380</v>
      </c>
      <c r="B100" s="581" t="s">
        <v>365</v>
      </c>
      <c r="C100" s="581" t="s">
        <v>152</v>
      </c>
      <c r="D100" s="582">
        <v>170</v>
      </c>
      <c r="E100" s="565"/>
      <c r="F100" s="720"/>
      <c r="G100" s="583"/>
      <c r="H100" s="583"/>
      <c r="I100" s="583"/>
      <c r="J100" s="583"/>
      <c r="K100" s="583"/>
      <c r="L100" s="583"/>
      <c r="M100" s="583"/>
      <c r="N100" s="583">
        <v>19</v>
      </c>
      <c r="O100" s="583">
        <v>22</v>
      </c>
      <c r="P100" s="583">
        <v>24</v>
      </c>
      <c r="Q100" s="583">
        <v>24</v>
      </c>
      <c r="R100" s="583">
        <v>24</v>
      </c>
      <c r="S100" s="583">
        <v>24</v>
      </c>
      <c r="T100" s="583">
        <v>24</v>
      </c>
      <c r="U100" s="583">
        <v>24</v>
      </c>
      <c r="V100" s="583">
        <v>24</v>
      </c>
      <c r="W100" s="583">
        <v>24</v>
      </c>
      <c r="X100" s="583">
        <v>24</v>
      </c>
      <c r="Y100" s="583">
        <v>24</v>
      </c>
      <c r="Z100" s="583">
        <v>24</v>
      </c>
      <c r="AA100" s="583">
        <v>24</v>
      </c>
      <c r="AB100" s="646"/>
      <c r="AC100" s="646"/>
      <c r="AD100" s="688">
        <f t="shared" si="14"/>
        <v>329</v>
      </c>
      <c r="AE100" s="587">
        <f t="shared" si="17"/>
        <v>55930</v>
      </c>
      <c r="AF100" s="538" t="str">
        <f t="shared" si="18"/>
        <v>sell</v>
      </c>
    </row>
    <row r="101" spans="1:32" s="360" customFormat="1" x14ac:dyDescent="0.25">
      <c r="A101" s="644" t="s">
        <v>66</v>
      </c>
      <c r="B101" s="581" t="s">
        <v>365</v>
      </c>
      <c r="C101" s="581" t="s">
        <v>152</v>
      </c>
      <c r="D101" s="582">
        <v>135</v>
      </c>
      <c r="E101" s="565"/>
      <c r="F101" s="720"/>
      <c r="G101" s="583"/>
      <c r="H101" s="583"/>
      <c r="I101" s="583"/>
      <c r="J101" s="583"/>
      <c r="K101" s="583"/>
      <c r="L101" s="583"/>
      <c r="M101" s="583"/>
      <c r="N101" s="583">
        <v>30</v>
      </c>
      <c r="O101" s="646"/>
      <c r="P101" s="646"/>
      <c r="Q101" s="646"/>
      <c r="R101" s="646"/>
      <c r="S101" s="646"/>
      <c r="T101" s="646"/>
      <c r="U101" s="583"/>
      <c r="V101" s="646"/>
      <c r="W101" s="646"/>
      <c r="X101" s="646"/>
      <c r="Y101" s="583"/>
      <c r="Z101" s="583"/>
      <c r="AA101" s="583"/>
      <c r="AB101" s="646"/>
      <c r="AC101" s="646"/>
      <c r="AD101" s="688">
        <f t="shared" si="14"/>
        <v>30</v>
      </c>
      <c r="AE101" s="587">
        <f t="shared" si="17"/>
        <v>4050</v>
      </c>
      <c r="AF101" s="538" t="str">
        <f t="shared" si="18"/>
        <v>sell</v>
      </c>
    </row>
    <row r="102" spans="1:32" s="360" customFormat="1" x14ac:dyDescent="0.25">
      <c r="A102" s="644" t="s">
        <v>66</v>
      </c>
      <c r="B102" s="581" t="s">
        <v>365</v>
      </c>
      <c r="C102" s="581" t="s">
        <v>152</v>
      </c>
      <c r="D102" s="582">
        <v>100</v>
      </c>
      <c r="E102" s="565"/>
      <c r="F102" s="720"/>
      <c r="G102" s="583"/>
      <c r="H102" s="583"/>
      <c r="I102" s="583"/>
      <c r="J102" s="583"/>
      <c r="K102" s="583"/>
      <c r="L102" s="583"/>
      <c r="M102" s="583"/>
      <c r="N102" s="583"/>
      <c r="O102" s="646"/>
      <c r="P102" s="646"/>
      <c r="Q102" s="646"/>
      <c r="R102" s="646"/>
      <c r="S102" s="646"/>
      <c r="T102" s="646"/>
      <c r="U102" s="583">
        <v>25</v>
      </c>
      <c r="V102" s="583">
        <v>25</v>
      </c>
      <c r="W102" s="583">
        <v>25</v>
      </c>
      <c r="X102" s="583">
        <v>25</v>
      </c>
      <c r="Y102" s="583"/>
      <c r="Z102" s="583"/>
      <c r="AA102" s="583"/>
      <c r="AB102" s="646"/>
      <c r="AC102" s="646"/>
      <c r="AD102" s="688">
        <f t="shared" si="14"/>
        <v>100</v>
      </c>
      <c r="AE102" s="587">
        <f t="shared" si="17"/>
        <v>10000</v>
      </c>
      <c r="AF102" s="538" t="str">
        <f t="shared" si="18"/>
        <v>sell</v>
      </c>
    </row>
    <row r="103" spans="1:32" s="360" customFormat="1" x14ac:dyDescent="0.25">
      <c r="A103" s="644" t="s">
        <v>66</v>
      </c>
      <c r="B103" s="581" t="s">
        <v>365</v>
      </c>
      <c r="C103" s="581" t="s">
        <v>152</v>
      </c>
      <c r="D103" s="582">
        <v>30</v>
      </c>
      <c r="E103" s="565"/>
      <c r="F103" s="720"/>
      <c r="G103" s="583"/>
      <c r="H103" s="583"/>
      <c r="I103" s="583"/>
      <c r="J103" s="583"/>
      <c r="K103" s="583"/>
      <c r="L103" s="583"/>
      <c r="M103" s="583"/>
      <c r="N103" s="583"/>
      <c r="O103" s="646"/>
      <c r="P103" s="646"/>
      <c r="Q103" s="646"/>
      <c r="R103" s="646"/>
      <c r="S103" s="646"/>
      <c r="T103" s="646"/>
      <c r="U103" s="583"/>
      <c r="V103" s="583"/>
      <c r="W103" s="583"/>
      <c r="X103" s="583"/>
      <c r="Y103" s="583"/>
      <c r="Z103" s="583"/>
      <c r="AA103" s="583"/>
      <c r="AB103" s="646"/>
      <c r="AC103" s="646">
        <v>50</v>
      </c>
      <c r="AD103" s="688">
        <f>SUM(E103:AC103)</f>
        <v>50</v>
      </c>
      <c r="AE103" s="587">
        <f>AD103*D103</f>
        <v>1500</v>
      </c>
      <c r="AF103" s="538" t="str">
        <f>IF(AD103&lt;0,"buy","sell")</f>
        <v>sell</v>
      </c>
    </row>
    <row r="104" spans="1:32" s="360" customFormat="1" x14ac:dyDescent="0.25">
      <c r="A104" s="644" t="s">
        <v>226</v>
      </c>
      <c r="B104" s="581" t="s">
        <v>365</v>
      </c>
      <c r="C104" s="581" t="s">
        <v>280</v>
      </c>
      <c r="D104" s="582">
        <v>170</v>
      </c>
      <c r="E104" s="565"/>
      <c r="F104" s="720"/>
      <c r="G104" s="583"/>
      <c r="H104" s="583"/>
      <c r="I104" s="583"/>
      <c r="J104" s="583"/>
      <c r="K104" s="583"/>
      <c r="L104" s="583"/>
      <c r="M104" s="583"/>
      <c r="N104" s="583">
        <v>25</v>
      </c>
      <c r="O104" s="583">
        <v>25</v>
      </c>
      <c r="P104" s="583">
        <v>25</v>
      </c>
      <c r="Q104" s="583">
        <v>25</v>
      </c>
      <c r="R104" s="583">
        <v>25</v>
      </c>
      <c r="S104" s="583">
        <v>25</v>
      </c>
      <c r="T104" s="583">
        <v>25</v>
      </c>
      <c r="U104" s="583">
        <v>50</v>
      </c>
      <c r="V104" s="583">
        <v>50</v>
      </c>
      <c r="W104" s="583">
        <v>75</v>
      </c>
      <c r="X104" s="583">
        <v>75</v>
      </c>
      <c r="Y104" s="583">
        <v>75</v>
      </c>
      <c r="Z104" s="583">
        <v>75</v>
      </c>
      <c r="AA104" s="583">
        <v>75</v>
      </c>
      <c r="AB104" s="646">
        <v>75</v>
      </c>
      <c r="AC104" s="646"/>
      <c r="AD104" s="688">
        <f t="shared" si="14"/>
        <v>725</v>
      </c>
      <c r="AE104" s="587">
        <f t="shared" si="17"/>
        <v>123250</v>
      </c>
      <c r="AF104" s="538" t="str">
        <f t="shared" si="18"/>
        <v>sell</v>
      </c>
    </row>
    <row r="105" spans="1:32" s="360" customFormat="1" x14ac:dyDescent="0.25">
      <c r="A105" s="644"/>
      <c r="B105" s="581"/>
      <c r="C105" s="581"/>
      <c r="D105" s="582"/>
      <c r="E105" s="565"/>
      <c r="F105" s="690"/>
      <c r="G105" s="646"/>
      <c r="H105" s="646"/>
      <c r="I105" s="646"/>
      <c r="J105" s="646"/>
      <c r="K105" s="646"/>
      <c r="L105" s="646"/>
      <c r="M105" s="646"/>
      <c r="N105" s="696"/>
      <c r="O105" s="646"/>
      <c r="P105" s="646"/>
      <c r="Q105" s="646"/>
      <c r="R105" s="646"/>
      <c r="S105" s="646"/>
      <c r="T105" s="646"/>
      <c r="U105" s="583"/>
      <c r="V105" s="646"/>
      <c r="W105" s="646"/>
      <c r="X105" s="646"/>
      <c r="Y105" s="583"/>
      <c r="Z105" s="583"/>
      <c r="AA105" s="583"/>
      <c r="AB105" s="646"/>
      <c r="AC105" s="646"/>
      <c r="AD105" s="688">
        <f t="shared" si="14"/>
        <v>0</v>
      </c>
      <c r="AE105" s="587">
        <f t="shared" ref="AE105:AE113" si="19">AD105*D105</f>
        <v>0</v>
      </c>
      <c r="AF105" s="538" t="str">
        <f t="shared" ref="AF105:AF113" si="20">IF(AD105&lt;0,"buy","sell")</f>
        <v>sell</v>
      </c>
    </row>
    <row r="106" spans="1:32" s="360" customFormat="1" ht="12" customHeight="1" x14ac:dyDescent="0.25">
      <c r="A106" s="678"/>
      <c r="B106" s="679"/>
      <c r="C106" s="679"/>
      <c r="D106" s="680"/>
      <c r="E106" s="684"/>
      <c r="F106" s="685"/>
      <c r="G106" s="684"/>
      <c r="H106" s="685"/>
      <c r="I106" s="685"/>
      <c r="J106" s="685"/>
      <c r="K106" s="685"/>
      <c r="L106" s="685"/>
      <c r="M106" s="685"/>
      <c r="N106" s="685"/>
      <c r="O106" s="685"/>
      <c r="P106" s="685"/>
      <c r="Q106" s="685"/>
      <c r="R106" s="685"/>
      <c r="S106" s="685"/>
      <c r="T106" s="685"/>
      <c r="U106" s="685"/>
      <c r="V106" s="685"/>
      <c r="W106" s="685"/>
      <c r="X106" s="685"/>
      <c r="Y106" s="685"/>
      <c r="Z106" s="685"/>
      <c r="AA106" s="685"/>
      <c r="AB106" s="685"/>
      <c r="AC106" s="685"/>
      <c r="AD106" s="598">
        <f t="shared" si="6"/>
        <v>0</v>
      </c>
      <c r="AE106" s="587">
        <f t="shared" si="19"/>
        <v>0</v>
      </c>
      <c r="AF106" s="538" t="str">
        <f t="shared" si="20"/>
        <v>sell</v>
      </c>
    </row>
    <row r="107" spans="1:32" s="360" customFormat="1" ht="12" customHeight="1" x14ac:dyDescent="0.25">
      <c r="A107" s="678"/>
      <c r="B107" s="679"/>
      <c r="C107" s="679"/>
      <c r="D107" s="680"/>
      <c r="E107" s="684"/>
      <c r="F107" s="685"/>
      <c r="G107" s="684"/>
      <c r="H107" s="685"/>
      <c r="I107" s="685"/>
      <c r="J107" s="685"/>
      <c r="K107" s="685"/>
      <c r="L107" s="685"/>
      <c r="M107" s="685"/>
      <c r="N107" s="685"/>
      <c r="O107" s="685"/>
      <c r="P107" s="685"/>
      <c r="Q107" s="685"/>
      <c r="R107" s="685"/>
      <c r="S107" s="685"/>
      <c r="T107" s="685"/>
      <c r="U107" s="685"/>
      <c r="V107" s="685"/>
      <c r="W107" s="685"/>
      <c r="X107" s="685"/>
      <c r="Y107" s="685"/>
      <c r="Z107" s="685"/>
      <c r="AA107" s="685"/>
      <c r="AB107" s="685"/>
      <c r="AC107" s="685"/>
      <c r="AD107" s="598">
        <f t="shared" si="6"/>
        <v>0</v>
      </c>
      <c r="AE107" s="587">
        <f t="shared" si="19"/>
        <v>0</v>
      </c>
      <c r="AF107" s="538" t="str">
        <f t="shared" si="20"/>
        <v>sell</v>
      </c>
    </row>
    <row r="108" spans="1:32" s="360" customFormat="1" ht="12" customHeight="1" x14ac:dyDescent="0.25">
      <c r="A108" s="678"/>
      <c r="B108" s="679"/>
      <c r="C108" s="679"/>
      <c r="D108" s="719"/>
      <c r="E108" s="684"/>
      <c r="F108" s="685"/>
      <c r="G108" s="684"/>
      <c r="H108" s="685"/>
      <c r="I108" s="685"/>
      <c r="J108" s="685"/>
      <c r="K108" s="721"/>
      <c r="L108" s="685"/>
      <c r="M108" s="685"/>
      <c r="N108" s="685"/>
      <c r="O108" s="685"/>
      <c r="P108" s="685"/>
      <c r="Q108" s="685"/>
      <c r="R108" s="685"/>
      <c r="S108" s="685"/>
      <c r="T108" s="685"/>
      <c r="U108" s="685"/>
      <c r="V108" s="685"/>
      <c r="W108" s="685"/>
      <c r="X108" s="685"/>
      <c r="Y108" s="685"/>
      <c r="Z108" s="685"/>
      <c r="AA108" s="685"/>
      <c r="AB108" s="685"/>
      <c r="AC108" s="685"/>
      <c r="AD108" s="598">
        <f t="shared" si="6"/>
        <v>0</v>
      </c>
      <c r="AE108" s="587">
        <f t="shared" si="19"/>
        <v>0</v>
      </c>
      <c r="AF108" s="538" t="str">
        <f t="shared" si="20"/>
        <v>sell</v>
      </c>
    </row>
    <row r="109" spans="1:32" s="360" customFormat="1" ht="12.75" customHeight="1" x14ac:dyDescent="0.25">
      <c r="A109" s="678"/>
      <c r="B109" s="679"/>
      <c r="C109" s="679"/>
      <c r="D109" s="680"/>
      <c r="E109" s="684"/>
      <c r="F109" s="686"/>
      <c r="G109" s="687"/>
      <c r="H109" s="685"/>
      <c r="I109" s="685"/>
      <c r="J109" s="685"/>
      <c r="K109" s="685"/>
      <c r="L109" s="685"/>
      <c r="M109" s="685"/>
      <c r="N109" s="685"/>
      <c r="O109" s="685"/>
      <c r="P109" s="685"/>
      <c r="Q109" s="685"/>
      <c r="R109" s="685"/>
      <c r="S109" s="685"/>
      <c r="T109" s="685"/>
      <c r="U109" s="685"/>
      <c r="V109" s="686"/>
      <c r="W109" s="686"/>
      <c r="X109" s="686"/>
      <c r="Y109" s="686"/>
      <c r="Z109" s="686"/>
      <c r="AA109" s="686"/>
      <c r="AB109" s="686"/>
      <c r="AC109" s="686"/>
      <c r="AD109" s="688">
        <f t="shared" si="6"/>
        <v>0</v>
      </c>
      <c r="AE109" s="587">
        <f t="shared" si="19"/>
        <v>0</v>
      </c>
      <c r="AF109" s="538" t="str">
        <f t="shared" si="20"/>
        <v>sell</v>
      </c>
    </row>
    <row r="110" spans="1:32" s="360" customFormat="1" x14ac:dyDescent="0.25">
      <c r="A110" s="644"/>
      <c r="B110" s="581"/>
      <c r="C110" s="581"/>
      <c r="D110" s="582"/>
      <c r="E110" s="565"/>
      <c r="F110" s="627"/>
      <c r="G110" s="583"/>
      <c r="H110" s="583"/>
      <c r="I110" s="583"/>
      <c r="J110" s="583"/>
      <c r="K110" s="583"/>
      <c r="L110" s="583"/>
      <c r="M110" s="583"/>
      <c r="N110" s="583"/>
      <c r="O110" s="583"/>
      <c r="P110" s="583"/>
      <c r="Q110" s="583"/>
      <c r="R110" s="583"/>
      <c r="S110" s="583"/>
      <c r="T110" s="583"/>
      <c r="U110" s="583"/>
      <c r="V110" s="583"/>
      <c r="W110" s="583"/>
      <c r="X110" s="583"/>
      <c r="Y110" s="583"/>
      <c r="Z110" s="583"/>
      <c r="AA110" s="583"/>
      <c r="AB110" s="583"/>
      <c r="AC110" s="583"/>
      <c r="AD110" s="688">
        <f>SUM(F110:AC110)</f>
        <v>0</v>
      </c>
      <c r="AE110" s="587">
        <f t="shared" si="19"/>
        <v>0</v>
      </c>
      <c r="AF110" s="538" t="str">
        <f t="shared" si="20"/>
        <v>sell</v>
      </c>
    </row>
    <row r="111" spans="1:32" s="360" customFormat="1" x14ac:dyDescent="0.25">
      <c r="A111" s="644"/>
      <c r="B111" s="581"/>
      <c r="C111" s="581"/>
      <c r="D111" s="582"/>
      <c r="E111" s="565"/>
      <c r="F111" s="627"/>
      <c r="G111" s="583"/>
      <c r="H111" s="583"/>
      <c r="I111" s="583"/>
      <c r="J111" s="583"/>
      <c r="K111" s="583"/>
      <c r="L111" s="583"/>
      <c r="M111" s="583"/>
      <c r="N111" s="583"/>
      <c r="O111" s="583"/>
      <c r="P111" s="583"/>
      <c r="Q111" s="583"/>
      <c r="R111" s="583"/>
      <c r="S111" s="583"/>
      <c r="T111" s="583"/>
      <c r="U111" s="583"/>
      <c r="V111" s="583"/>
      <c r="W111" s="583"/>
      <c r="X111" s="583"/>
      <c r="Y111" s="583"/>
      <c r="Z111" s="583"/>
      <c r="AA111" s="583"/>
      <c r="AB111" s="583"/>
      <c r="AC111" s="583"/>
      <c r="AD111" s="688">
        <f>SUM(E111:AC111)</f>
        <v>0</v>
      </c>
      <c r="AE111" s="587">
        <f t="shared" si="19"/>
        <v>0</v>
      </c>
      <c r="AF111" s="538" t="str">
        <f t="shared" si="20"/>
        <v>sell</v>
      </c>
    </row>
    <row r="112" spans="1:32" s="360" customFormat="1" x14ac:dyDescent="0.25">
      <c r="A112" s="644"/>
      <c r="B112" s="581"/>
      <c r="C112" s="581"/>
      <c r="D112" s="582"/>
      <c r="E112" s="565"/>
      <c r="F112" s="627"/>
      <c r="G112" s="583"/>
      <c r="H112" s="583"/>
      <c r="I112" s="583"/>
      <c r="J112" s="583"/>
      <c r="K112" s="583"/>
      <c r="L112" s="583"/>
      <c r="M112" s="583"/>
      <c r="N112" s="583"/>
      <c r="O112" s="583"/>
      <c r="P112" s="583"/>
      <c r="Q112" s="583"/>
      <c r="R112" s="583"/>
      <c r="S112" s="583"/>
      <c r="T112" s="583"/>
      <c r="U112" s="583"/>
      <c r="V112" s="583"/>
      <c r="W112" s="583"/>
      <c r="X112" s="583"/>
      <c r="Y112" s="583"/>
      <c r="Z112" s="583"/>
      <c r="AA112" s="583"/>
      <c r="AB112" s="583"/>
      <c r="AC112" s="583"/>
      <c r="AD112" s="688">
        <f>SUM(F112:AC112)</f>
        <v>0</v>
      </c>
      <c r="AE112" s="587">
        <f t="shared" si="19"/>
        <v>0</v>
      </c>
      <c r="AF112" s="538" t="str">
        <f t="shared" si="20"/>
        <v>sell</v>
      </c>
    </row>
    <row r="113" spans="1:33" s="360" customFormat="1" x14ac:dyDescent="0.25">
      <c r="A113" s="644"/>
      <c r="B113" s="581"/>
      <c r="C113" s="581"/>
      <c r="D113" s="582"/>
      <c r="E113" s="723"/>
      <c r="F113" s="724"/>
      <c r="G113" s="583"/>
      <c r="H113" s="583"/>
      <c r="I113" s="583"/>
      <c r="J113" s="583"/>
      <c r="K113" s="583"/>
      <c r="L113" s="583"/>
      <c r="M113" s="583"/>
      <c r="N113" s="583"/>
      <c r="O113" s="583"/>
      <c r="P113" s="583"/>
      <c r="Q113" s="583"/>
      <c r="R113" s="583"/>
      <c r="S113" s="583"/>
      <c r="T113" s="583"/>
      <c r="U113" s="583"/>
      <c r="V113" s="583"/>
      <c r="W113" s="583"/>
      <c r="X113" s="583"/>
      <c r="Y113" s="583"/>
      <c r="Z113" s="583"/>
      <c r="AA113" s="583"/>
      <c r="AB113" s="583"/>
      <c r="AC113" s="583"/>
      <c r="AD113" s="688">
        <f>SUM(E113:AC113)</f>
        <v>0</v>
      </c>
      <c r="AE113" s="587">
        <f t="shared" si="19"/>
        <v>0</v>
      </c>
      <c r="AF113" s="538" t="str">
        <f t="shared" si="20"/>
        <v>sell</v>
      </c>
    </row>
    <row r="114" spans="1:33" s="360" customFormat="1" x14ac:dyDescent="0.25">
      <c r="A114" s="667"/>
      <c r="B114" s="668"/>
      <c r="C114" s="668"/>
      <c r="D114" s="556"/>
      <c r="E114" s="556"/>
      <c r="F114" s="557"/>
      <c r="G114" s="557"/>
      <c r="H114" s="557"/>
      <c r="I114" s="557"/>
      <c r="J114" s="557"/>
      <c r="K114" s="557"/>
      <c r="L114" s="557"/>
      <c r="M114" s="557"/>
      <c r="N114" s="557"/>
      <c r="O114" s="557"/>
      <c r="P114" s="557"/>
      <c r="Q114" s="557"/>
      <c r="R114" s="557"/>
      <c r="S114" s="557"/>
      <c r="T114" s="557"/>
      <c r="U114" s="557"/>
      <c r="V114" s="557"/>
      <c r="W114" s="557"/>
      <c r="X114" s="557"/>
      <c r="Y114" s="557"/>
      <c r="Z114" s="557"/>
      <c r="AA114" s="557"/>
      <c r="AB114" s="557"/>
      <c r="AC114" s="559"/>
      <c r="AD114" s="688"/>
      <c r="AE114" s="587"/>
      <c r="AF114" s="538"/>
    </row>
    <row r="115" spans="1:33" s="360" customFormat="1" x14ac:dyDescent="0.25">
      <c r="A115" s="667" t="s">
        <v>67</v>
      </c>
      <c r="B115" s="668" t="s">
        <v>365</v>
      </c>
      <c r="C115" s="668" t="s">
        <v>280</v>
      </c>
      <c r="D115" s="556">
        <v>10</v>
      </c>
      <c r="E115" s="556"/>
      <c r="F115" s="558"/>
      <c r="G115" s="558"/>
      <c r="H115" s="557"/>
      <c r="I115" s="557"/>
      <c r="J115" s="557"/>
      <c r="K115" s="557"/>
      <c r="L115" s="557"/>
      <c r="M115" s="557"/>
      <c r="N115" s="557"/>
      <c r="O115" s="557">
        <v>-25</v>
      </c>
      <c r="P115" s="557">
        <v>-25</v>
      </c>
      <c r="Q115" s="557">
        <v>-25</v>
      </c>
      <c r="R115" s="557"/>
      <c r="S115" s="557"/>
      <c r="T115" s="557"/>
      <c r="U115" s="558"/>
      <c r="V115" s="557"/>
      <c r="W115" s="557"/>
      <c r="X115" s="557"/>
      <c r="Y115" s="557"/>
      <c r="Z115" s="557"/>
      <c r="AA115" s="557"/>
      <c r="AB115" s="557"/>
      <c r="AC115" s="559"/>
      <c r="AD115" s="688">
        <f>SUM(E115:AC115)</f>
        <v>-75</v>
      </c>
      <c r="AE115" s="587">
        <f>AD115*D115</f>
        <v>-750</v>
      </c>
      <c r="AF115" s="538" t="str">
        <f>IF(AD115&lt;0,"buy","sell")</f>
        <v>buy</v>
      </c>
    </row>
    <row r="116" spans="1:33" s="360" customFormat="1" x14ac:dyDescent="0.25">
      <c r="A116" s="555"/>
      <c r="B116" s="564"/>
      <c r="C116" s="564"/>
      <c r="D116" s="556"/>
      <c r="E116" s="645"/>
      <c r="F116" s="558"/>
      <c r="G116" s="558"/>
      <c r="H116" s="557"/>
      <c r="I116" s="557"/>
      <c r="J116" s="557"/>
      <c r="K116" s="557"/>
      <c r="L116" s="557"/>
      <c r="M116" s="557"/>
      <c r="N116" s="557"/>
      <c r="O116" s="557"/>
      <c r="P116" s="557"/>
      <c r="Q116" s="557"/>
      <c r="R116" s="557"/>
      <c r="S116" s="557"/>
      <c r="T116" s="557"/>
      <c r="U116" s="560"/>
      <c r="V116" s="557"/>
      <c r="W116" s="557"/>
      <c r="X116" s="557"/>
      <c r="Y116" s="557"/>
      <c r="Z116" s="557"/>
      <c r="AA116" s="557"/>
      <c r="AB116" s="557"/>
      <c r="AC116" s="559"/>
      <c r="AD116" s="688"/>
      <c r="AE116" s="587"/>
      <c r="AF116" s="538"/>
    </row>
    <row r="117" spans="1:33" s="360" customFormat="1" x14ac:dyDescent="0.25">
      <c r="A117" s="562" t="s">
        <v>207</v>
      </c>
      <c r="B117" s="495"/>
      <c r="C117" s="495"/>
      <c r="D117" s="495"/>
      <c r="E117" s="495"/>
      <c r="F117" s="630"/>
      <c r="G117" s="495"/>
      <c r="H117" s="495"/>
      <c r="I117" s="495"/>
      <c r="J117" s="495"/>
      <c r="K117" s="495"/>
      <c r="L117" s="495"/>
      <c r="M117" s="495"/>
      <c r="N117" s="495"/>
      <c r="O117" s="495"/>
      <c r="P117" s="495"/>
      <c r="Q117" s="495"/>
      <c r="R117" s="495"/>
      <c r="S117" s="495"/>
      <c r="T117" s="495"/>
      <c r="U117" s="495"/>
      <c r="V117" s="495"/>
      <c r="W117" s="495"/>
      <c r="X117" s="495"/>
      <c r="Y117" s="495"/>
      <c r="Z117" s="495"/>
      <c r="AA117" s="495"/>
      <c r="AB117" s="495"/>
      <c r="AC117" s="495"/>
      <c r="AD117" s="495"/>
      <c r="AE117" s="495"/>
      <c r="AF117" s="495"/>
    </row>
    <row r="118" spans="1:33" x14ac:dyDescent="0.25">
      <c r="A118" s="360"/>
      <c r="B118" s="371"/>
      <c r="C118" s="371"/>
      <c r="D118" s="372"/>
      <c r="E118" s="372"/>
      <c r="F118" s="444"/>
      <c r="G118" s="373"/>
      <c r="H118" s="373"/>
      <c r="I118" s="373"/>
      <c r="J118" s="373"/>
      <c r="K118" s="373"/>
      <c r="L118" s="373"/>
      <c r="M118" s="373"/>
      <c r="N118" s="373"/>
      <c r="O118" s="373"/>
      <c r="P118" s="373"/>
      <c r="Q118" s="373"/>
      <c r="R118" s="373"/>
      <c r="S118" s="373"/>
      <c r="T118" s="373"/>
      <c r="U118" s="373"/>
      <c r="V118" s="373"/>
      <c r="W118" s="373"/>
      <c r="X118" s="373"/>
      <c r="Y118" s="373"/>
      <c r="Z118" s="455"/>
      <c r="AA118" s="455"/>
      <c r="AB118" s="455"/>
      <c r="AC118" s="541"/>
      <c r="AD118" s="473"/>
      <c r="AE118" s="474"/>
      <c r="AF118" s="455"/>
      <c r="AG118" s="360"/>
    </row>
    <row r="119" spans="1:33" s="360" customFormat="1" ht="17.399999999999999" x14ac:dyDescent="0.3">
      <c r="A119" s="441" t="s">
        <v>242</v>
      </c>
      <c r="B119" s="442"/>
      <c r="C119" s="549"/>
      <c r="D119" s="443"/>
      <c r="E119" s="443"/>
      <c r="F119" s="445"/>
      <c r="G119" s="445"/>
      <c r="H119" s="377"/>
      <c r="I119" s="377"/>
      <c r="J119" s="377"/>
      <c r="K119" s="378"/>
      <c r="L119" s="377"/>
      <c r="M119" s="377"/>
      <c r="N119" s="377"/>
      <c r="O119" s="377"/>
      <c r="P119" s="377"/>
      <c r="Q119" s="377"/>
      <c r="R119" s="377"/>
      <c r="S119" s="377" t="s">
        <v>15</v>
      </c>
      <c r="T119" s="377"/>
      <c r="U119" s="377"/>
      <c r="V119" s="377"/>
      <c r="W119" s="377"/>
      <c r="X119" s="377"/>
      <c r="Y119" s="377"/>
      <c r="Z119" s="379"/>
      <c r="AA119" s="379"/>
      <c r="AB119" s="379"/>
      <c r="AC119" s="542"/>
      <c r="AD119" s="473"/>
      <c r="AE119" s="474"/>
      <c r="AF119" s="379"/>
    </row>
    <row r="120" spans="1:33" s="360" customFormat="1" ht="18" thickBot="1" x14ac:dyDescent="0.35">
      <c r="A120" s="446"/>
      <c r="B120" s="447"/>
      <c r="C120" s="447"/>
      <c r="D120" s="443"/>
      <c r="E120" s="443"/>
      <c r="F120" s="628" t="s">
        <v>272</v>
      </c>
      <c r="G120" s="445"/>
      <c r="H120" s="377"/>
      <c r="I120" s="377"/>
      <c r="J120" s="377"/>
      <c r="K120" s="380"/>
      <c r="L120" s="380"/>
      <c r="M120" s="377"/>
      <c r="N120" s="377"/>
      <c r="O120" s="377"/>
      <c r="P120" s="377"/>
      <c r="Q120" s="377"/>
      <c r="R120" s="377"/>
      <c r="S120" s="377"/>
      <c r="T120" s="377"/>
      <c r="U120" s="377"/>
      <c r="V120" s="377"/>
      <c r="W120" s="377"/>
      <c r="X120" s="377"/>
      <c r="Y120" s="377"/>
      <c r="Z120" s="379"/>
      <c r="AA120" s="379"/>
      <c r="AB120" s="379"/>
      <c r="AC120" s="542"/>
      <c r="AD120" s="473"/>
      <c r="AE120" s="474"/>
      <c r="AF120" s="379"/>
    </row>
    <row r="121" spans="1:33" s="360" customFormat="1" ht="18" thickBot="1" x14ac:dyDescent="0.35">
      <c r="A121" s="448" t="s">
        <v>7</v>
      </c>
      <c r="B121" s="449"/>
      <c r="C121" s="449" t="s">
        <v>266</v>
      </c>
      <c r="D121" s="450" t="s">
        <v>9</v>
      </c>
      <c r="E121" s="449"/>
      <c r="F121" s="629" t="s">
        <v>320</v>
      </c>
      <c r="G121" s="452"/>
      <c r="H121" s="377"/>
      <c r="I121" s="377"/>
      <c r="J121" s="377"/>
      <c r="K121" s="380"/>
      <c r="L121" s="378"/>
      <c r="M121" s="377"/>
      <c r="N121" s="377"/>
      <c r="O121" s="377"/>
      <c r="P121" s="377"/>
      <c r="Q121" s="377"/>
      <c r="R121" s="377"/>
      <c r="S121" s="377"/>
      <c r="T121" s="377"/>
      <c r="U121" s="377"/>
      <c r="V121" s="377"/>
      <c r="W121" s="377"/>
      <c r="X121" s="377"/>
      <c r="Y121" s="377"/>
      <c r="AA121" s="379"/>
      <c r="AB121" s="379"/>
      <c r="AC121" s="542"/>
      <c r="AD121" s="473"/>
      <c r="AE121" s="474"/>
      <c r="AF121" s="379"/>
    </row>
    <row r="122" spans="1:33" s="360" customFormat="1" ht="17.399999999999999" x14ac:dyDescent="0.3">
      <c r="A122" s="453" t="s">
        <v>244</v>
      </c>
      <c r="B122" s="454" t="s">
        <v>245</v>
      </c>
      <c r="C122" s="454"/>
      <c r="D122" s="585"/>
      <c r="E122" s="454"/>
      <c r="F122" s="595">
        <f>D123-0.25</f>
        <v>-0.25</v>
      </c>
      <c r="G122" s="445" t="s">
        <v>321</v>
      </c>
      <c r="H122" s="377"/>
      <c r="I122" s="377"/>
      <c r="J122" s="377"/>
      <c r="K122" s="380"/>
      <c r="L122" s="378"/>
      <c r="M122" s="377"/>
      <c r="N122" s="377"/>
      <c r="O122" s="377"/>
      <c r="P122" s="377"/>
      <c r="Q122" s="377"/>
      <c r="R122" s="377"/>
      <c r="S122" s="377"/>
      <c r="T122" s="377"/>
      <c r="U122" s="377"/>
      <c r="V122" s="377"/>
      <c r="W122" s="377"/>
      <c r="X122" s="377"/>
      <c r="Y122" s="377"/>
      <c r="Z122" s="379" t="s">
        <v>208</v>
      </c>
      <c r="AA122" s="379"/>
      <c r="AB122" s="379"/>
      <c r="AC122" s="543"/>
      <c r="AD122" s="469"/>
      <c r="AE122" s="470"/>
      <c r="AF122" s="379"/>
    </row>
    <row r="123" spans="1:33" s="360" customFormat="1" x14ac:dyDescent="0.25">
      <c r="A123" s="447">
        <v>24</v>
      </c>
      <c r="B123" s="447">
        <v>1</v>
      </c>
      <c r="C123" s="455">
        <v>1</v>
      </c>
      <c r="D123" s="588"/>
      <c r="E123" s="540"/>
      <c r="F123" s="595">
        <f t="shared" ref="F123:F146" si="21">D124-0.25</f>
        <v>-0.25</v>
      </c>
      <c r="G123" s="563">
        <f>D123+0.56</f>
        <v>0.56000000000000005</v>
      </c>
      <c r="H123" s="377"/>
      <c r="I123" s="377"/>
      <c r="J123" s="377"/>
      <c r="K123" s="380"/>
      <c r="L123" s="377"/>
      <c r="M123" s="377"/>
      <c r="N123" s="377"/>
      <c r="O123" s="377"/>
      <c r="P123" s="377"/>
      <c r="Q123" s="377"/>
      <c r="R123" s="377"/>
      <c r="S123" s="377"/>
      <c r="T123" s="377"/>
      <c r="U123" s="377"/>
      <c r="V123" s="377"/>
      <c r="W123" s="377"/>
      <c r="X123" s="377"/>
      <c r="Y123" s="377"/>
      <c r="Z123" s="379"/>
      <c r="AA123" s="544"/>
      <c r="AB123" s="544"/>
      <c r="AC123" s="543"/>
      <c r="AD123" s="410"/>
      <c r="AE123" s="410"/>
      <c r="AF123" s="544"/>
    </row>
    <row r="124" spans="1:33" s="360" customFormat="1" x14ac:dyDescent="0.25">
      <c r="A124" s="445">
        <v>1</v>
      </c>
      <c r="B124" s="445">
        <v>2</v>
      </c>
      <c r="C124" s="455">
        <v>1</v>
      </c>
      <c r="D124" s="588"/>
      <c r="E124" s="499"/>
      <c r="F124" s="595">
        <f t="shared" si="21"/>
        <v>-0.25</v>
      </c>
      <c r="G124" s="563">
        <f t="shared" ref="G124:G147" si="22">D124+0.56</f>
        <v>0.56000000000000005</v>
      </c>
      <c r="H124" s="377"/>
      <c r="I124" s="377"/>
      <c r="J124" s="377"/>
      <c r="K124" s="380"/>
      <c r="L124" s="377"/>
      <c r="M124" s="377"/>
      <c r="N124" s="377"/>
      <c r="O124" s="377"/>
      <c r="P124" s="377"/>
      <c r="Q124" s="377"/>
      <c r="R124" s="377"/>
      <c r="S124" s="377"/>
      <c r="T124" s="377"/>
      <c r="U124" s="377"/>
      <c r="V124" s="377"/>
      <c r="W124" s="377"/>
      <c r="X124" s="377"/>
      <c r="Y124" s="377"/>
      <c r="Z124" s="544" t="s">
        <v>267</v>
      </c>
      <c r="AA124" s="544"/>
      <c r="AB124" s="544"/>
      <c r="AC124" s="543"/>
      <c r="AD124" s="490">
        <f>SUM(AD19:AD106)</f>
        <v>2804</v>
      </c>
      <c r="AE124" s="490">
        <f>SUM(AE19:AE106)</f>
        <v>314295</v>
      </c>
      <c r="AF124" s="544"/>
    </row>
    <row r="125" spans="1:33" s="360" customFormat="1" x14ac:dyDescent="0.25">
      <c r="A125" s="447">
        <v>2</v>
      </c>
      <c r="B125" s="447">
        <v>3</v>
      </c>
      <c r="C125" s="455">
        <v>1</v>
      </c>
      <c r="D125" s="588"/>
      <c r="E125" s="499"/>
      <c r="F125" s="595">
        <f t="shared" si="21"/>
        <v>-0.25</v>
      </c>
      <c r="G125" s="563">
        <f t="shared" si="22"/>
        <v>0.56000000000000005</v>
      </c>
      <c r="H125" s="377"/>
      <c r="I125" s="377"/>
      <c r="J125" s="377"/>
      <c r="K125" s="380"/>
      <c r="L125" s="377"/>
      <c r="M125" s="377"/>
      <c r="N125" s="377"/>
      <c r="O125" s="377"/>
      <c r="P125" s="377"/>
      <c r="Q125" s="377"/>
      <c r="R125" s="377"/>
      <c r="S125" s="377"/>
      <c r="T125" s="377"/>
      <c r="U125" s="377"/>
      <c r="V125" s="377"/>
      <c r="W125" s="377"/>
      <c r="X125" s="377"/>
      <c r="Y125" s="377"/>
      <c r="Z125" s="544" t="s">
        <v>268</v>
      </c>
      <c r="AA125" s="544"/>
      <c r="AB125" s="544"/>
      <c r="AC125" s="545"/>
      <c r="AD125" s="477">
        <f>SUM(AD106:AD114)</f>
        <v>0</v>
      </c>
      <c r="AE125" s="477">
        <f>SUM(AE106:AE114)</f>
        <v>0</v>
      </c>
      <c r="AF125" s="544"/>
    </row>
    <row r="126" spans="1:33" s="360" customFormat="1" x14ac:dyDescent="0.25">
      <c r="A126" s="445">
        <v>3</v>
      </c>
      <c r="B126" s="445">
        <v>4</v>
      </c>
      <c r="C126" s="455">
        <v>1</v>
      </c>
      <c r="D126" s="588"/>
      <c r="E126" s="499"/>
      <c r="F126" s="595">
        <f t="shared" si="21"/>
        <v>-0.25</v>
      </c>
      <c r="G126" s="563">
        <f t="shared" si="22"/>
        <v>0.56000000000000005</v>
      </c>
      <c r="H126" s="384"/>
      <c r="I126" s="384"/>
      <c r="J126" s="384"/>
      <c r="K126" s="385"/>
      <c r="L126" s="384"/>
      <c r="M126" s="377"/>
      <c r="N126" s="377"/>
      <c r="O126" s="384"/>
      <c r="P126" s="384"/>
      <c r="Q126" s="384"/>
      <c r="R126" s="384"/>
      <c r="S126" s="384"/>
      <c r="T126" s="384"/>
      <c r="U126" s="384"/>
      <c r="V126" s="384"/>
      <c r="W126" s="384"/>
      <c r="X126" s="384"/>
      <c r="Y126" s="384"/>
      <c r="Z126" s="391"/>
      <c r="AA126" s="391"/>
      <c r="AB126" s="391"/>
      <c r="AC126" s="483"/>
      <c r="AF126" s="391"/>
    </row>
    <row r="127" spans="1:33" s="410" customFormat="1" x14ac:dyDescent="0.25">
      <c r="A127" s="447">
        <v>4</v>
      </c>
      <c r="B127" s="447">
        <v>5</v>
      </c>
      <c r="C127" s="455">
        <v>1</v>
      </c>
      <c r="D127" s="588"/>
      <c r="E127" s="499"/>
      <c r="F127" s="595">
        <f t="shared" si="21"/>
        <v>-0.25</v>
      </c>
      <c r="G127" s="563">
        <f t="shared" si="22"/>
        <v>0.56000000000000005</v>
      </c>
      <c r="H127" s="384"/>
      <c r="I127" s="360"/>
      <c r="J127" s="360"/>
      <c r="K127" s="360"/>
      <c r="L127" s="360"/>
      <c r="M127" s="360"/>
      <c r="N127" s="360"/>
      <c r="O127" s="377"/>
      <c r="P127" s="377"/>
      <c r="Q127" s="388"/>
      <c r="R127" s="388"/>
      <c r="S127" s="388"/>
      <c r="T127" s="388"/>
      <c r="U127" s="388"/>
      <c r="V127" s="388"/>
      <c r="W127" s="388"/>
      <c r="X127" s="388"/>
      <c r="Y127" s="388"/>
      <c r="Z127" s="673" t="s">
        <v>281</v>
      </c>
      <c r="AA127" s="673"/>
      <c r="AB127" s="673"/>
      <c r="AC127" s="674"/>
      <c r="AD127" s="675"/>
      <c r="AE127" s="676"/>
      <c r="AG127" s="360"/>
    </row>
    <row r="128" spans="1:33" s="410" customFormat="1" x14ac:dyDescent="0.25">
      <c r="A128" s="445">
        <v>5</v>
      </c>
      <c r="B128" s="445">
        <v>6</v>
      </c>
      <c r="C128" s="455">
        <v>1</v>
      </c>
      <c r="D128" s="588"/>
      <c r="E128" s="499"/>
      <c r="F128" s="595">
        <f t="shared" si="21"/>
        <v>-0.25</v>
      </c>
      <c r="G128" s="563">
        <f t="shared" si="22"/>
        <v>0.56000000000000005</v>
      </c>
      <c r="H128" s="377"/>
      <c r="I128" s="360"/>
      <c r="J128" s="360"/>
      <c r="K128" s="360"/>
      <c r="L128" s="360"/>
      <c r="M128" s="360"/>
      <c r="N128" s="360"/>
      <c r="O128" s="377"/>
      <c r="P128" s="377"/>
      <c r="Q128" s="377"/>
      <c r="R128" s="377"/>
      <c r="S128" s="377"/>
      <c r="T128" s="377"/>
      <c r="U128" s="377"/>
      <c r="V128" s="377"/>
      <c r="W128" s="377"/>
      <c r="X128" s="377"/>
      <c r="Y128" s="377"/>
      <c r="Z128" s="673"/>
      <c r="AA128" s="673"/>
      <c r="AB128" s="673"/>
      <c r="AC128" s="674"/>
      <c r="AD128" s="675"/>
      <c r="AE128" s="676"/>
      <c r="AG128" s="377"/>
    </row>
    <row r="129" spans="1:33" s="410" customFormat="1" x14ac:dyDescent="0.25">
      <c r="A129" s="447">
        <v>6</v>
      </c>
      <c r="B129" s="447">
        <v>7</v>
      </c>
      <c r="C129" s="455">
        <v>1</v>
      </c>
      <c r="D129" s="588"/>
      <c r="E129" s="499"/>
      <c r="F129" s="595">
        <f t="shared" si="21"/>
        <v>-0.25</v>
      </c>
      <c r="G129" s="563">
        <f t="shared" si="22"/>
        <v>0.56000000000000005</v>
      </c>
      <c r="H129" s="389"/>
      <c r="I129" s="360"/>
      <c r="J129" s="360"/>
      <c r="K129" s="360"/>
      <c r="L129" s="360"/>
      <c r="M129" s="360"/>
      <c r="N129" s="360"/>
      <c r="O129" s="377"/>
      <c r="P129" s="377"/>
      <c r="Q129" s="389"/>
      <c r="R129" s="389"/>
      <c r="S129" s="389"/>
      <c r="T129" s="389"/>
      <c r="U129" s="389"/>
      <c r="V129" s="389"/>
      <c r="W129" s="389"/>
      <c r="X129" s="389"/>
      <c r="Y129" s="389"/>
      <c r="Z129" s="673" t="s">
        <v>268</v>
      </c>
      <c r="AA129" s="673"/>
      <c r="AB129" s="673"/>
      <c r="AC129" s="674"/>
      <c r="AD129" s="677">
        <f>SUM(AD114:AD116)</f>
        <v>-75</v>
      </c>
      <c r="AE129" s="677">
        <f>SUM(AE114:AE116)</f>
        <v>-750</v>
      </c>
      <c r="AG129" s="360"/>
    </row>
    <row r="130" spans="1:33" s="410" customFormat="1" x14ac:dyDescent="0.25">
      <c r="A130" s="445">
        <v>7</v>
      </c>
      <c r="B130" s="445">
        <v>8</v>
      </c>
      <c r="C130" s="455">
        <v>1</v>
      </c>
      <c r="D130" s="588"/>
      <c r="E130" s="499"/>
      <c r="F130" s="595">
        <f t="shared" si="21"/>
        <v>-0.25</v>
      </c>
      <c r="G130" s="563">
        <f t="shared" si="22"/>
        <v>0.56000000000000005</v>
      </c>
      <c r="H130" s="389"/>
      <c r="I130" s="360"/>
      <c r="J130" s="360"/>
      <c r="K130" s="360"/>
      <c r="L130" s="360"/>
      <c r="M130" s="360"/>
      <c r="N130" s="360"/>
      <c r="O130" s="377"/>
      <c r="P130" s="377"/>
      <c r="Q130" s="389"/>
      <c r="R130" s="389"/>
      <c r="S130" s="389"/>
      <c r="T130" s="389"/>
      <c r="U130" s="389"/>
      <c r="V130" s="389"/>
      <c r="W130" s="389"/>
      <c r="X130" s="389"/>
      <c r="Y130" s="389"/>
      <c r="AC130" s="484"/>
      <c r="AG130" s="360"/>
    </row>
    <row r="131" spans="1:33" s="410" customFormat="1" x14ac:dyDescent="0.25">
      <c r="A131" s="447">
        <v>8</v>
      </c>
      <c r="B131" s="447">
        <v>9</v>
      </c>
      <c r="C131" s="455">
        <v>1</v>
      </c>
      <c r="D131" s="588"/>
      <c r="E131" s="499"/>
      <c r="F131" s="595">
        <f t="shared" si="21"/>
        <v>-0.25</v>
      </c>
      <c r="G131" s="563">
        <f t="shared" si="22"/>
        <v>0.56000000000000005</v>
      </c>
      <c r="H131" s="377"/>
      <c r="I131" s="360"/>
      <c r="J131" s="360"/>
      <c r="K131" s="360"/>
      <c r="L131" s="360"/>
      <c r="M131" s="360"/>
      <c r="N131" s="360"/>
      <c r="O131" s="377"/>
      <c r="P131" s="377"/>
      <c r="Q131" s="377"/>
      <c r="R131" s="377"/>
      <c r="S131" s="377"/>
      <c r="T131" s="377"/>
      <c r="U131" s="377"/>
      <c r="V131" s="377"/>
      <c r="W131" s="377"/>
      <c r="X131" s="377"/>
      <c r="Y131" s="377"/>
      <c r="AC131" s="484"/>
      <c r="AG131" s="360"/>
    </row>
    <row r="132" spans="1:33" s="410" customFormat="1" x14ac:dyDescent="0.25">
      <c r="A132" s="445">
        <v>9</v>
      </c>
      <c r="B132" s="445">
        <v>10</v>
      </c>
      <c r="C132" s="455">
        <v>1</v>
      </c>
      <c r="D132" s="588"/>
      <c r="E132" s="499"/>
      <c r="F132" s="595">
        <f t="shared" si="21"/>
        <v>-0.25</v>
      </c>
      <c r="G132" s="563">
        <f t="shared" si="22"/>
        <v>0.56000000000000005</v>
      </c>
      <c r="H132" s="377"/>
      <c r="I132" s="360"/>
      <c r="J132" s="360"/>
      <c r="K132" s="360"/>
      <c r="L132" s="360"/>
      <c r="M132" s="360"/>
      <c r="N132" s="360"/>
      <c r="O132" s="377"/>
      <c r="P132" s="377"/>
      <c r="Q132" s="377"/>
      <c r="R132" s="377"/>
      <c r="S132" s="377"/>
      <c r="T132" s="377"/>
      <c r="U132" s="377"/>
      <c r="V132" s="377"/>
      <c r="W132" s="377"/>
      <c r="X132" s="377"/>
      <c r="Y132" s="377"/>
      <c r="AC132" s="484"/>
      <c r="AG132" s="360"/>
    </row>
    <row r="133" spans="1:33" s="410" customFormat="1" x14ac:dyDescent="0.25">
      <c r="A133" s="447">
        <v>10</v>
      </c>
      <c r="B133" s="447">
        <v>11</v>
      </c>
      <c r="C133" s="455">
        <v>1</v>
      </c>
      <c r="D133" s="588"/>
      <c r="E133" s="499"/>
      <c r="F133" s="595">
        <f t="shared" si="21"/>
        <v>-0.25</v>
      </c>
      <c r="G133" s="563">
        <f t="shared" si="22"/>
        <v>0.56000000000000005</v>
      </c>
      <c r="H133" s="390"/>
      <c r="I133" s="412"/>
      <c r="J133" s="412"/>
      <c r="K133" s="412"/>
      <c r="L133" s="412"/>
      <c r="M133" s="412"/>
      <c r="N133" s="412"/>
      <c r="O133" s="390"/>
      <c r="P133" s="390"/>
      <c r="Q133" s="390"/>
      <c r="R133" s="390"/>
      <c r="S133" s="390"/>
      <c r="T133" s="390"/>
      <c r="U133" s="390"/>
      <c r="V133" s="390"/>
      <c r="W133" s="390"/>
      <c r="X133" s="390"/>
      <c r="Y133" s="390"/>
      <c r="AC133" s="484"/>
      <c r="AG133" s="360"/>
    </row>
    <row r="134" spans="1:33" s="410" customFormat="1" x14ac:dyDescent="0.25">
      <c r="A134" s="445">
        <v>11</v>
      </c>
      <c r="B134" s="445">
        <v>12</v>
      </c>
      <c r="C134" s="455">
        <v>1</v>
      </c>
      <c r="D134" s="588"/>
      <c r="E134" s="499"/>
      <c r="F134" s="595">
        <f t="shared" si="21"/>
        <v>-0.25</v>
      </c>
      <c r="G134" s="563">
        <f t="shared" si="22"/>
        <v>0.56000000000000005</v>
      </c>
      <c r="H134" s="391"/>
      <c r="I134" s="360"/>
      <c r="J134" s="360"/>
      <c r="K134" s="360"/>
      <c r="L134" s="360"/>
      <c r="M134" s="360"/>
      <c r="N134" s="360"/>
      <c r="O134" s="391"/>
      <c r="P134" s="391"/>
      <c r="Q134" s="391"/>
      <c r="R134" s="391"/>
      <c r="S134" s="391"/>
      <c r="T134" s="391"/>
      <c r="U134" s="391"/>
      <c r="V134" s="391"/>
      <c r="W134" s="391"/>
      <c r="X134" s="391"/>
      <c r="Y134" s="391"/>
      <c r="AC134" s="484"/>
      <c r="AG134" s="360"/>
    </row>
    <row r="135" spans="1:33" s="410" customFormat="1" x14ac:dyDescent="0.25">
      <c r="A135" s="447">
        <v>12</v>
      </c>
      <c r="B135" s="447">
        <v>13</v>
      </c>
      <c r="C135" s="455">
        <v>1</v>
      </c>
      <c r="D135" s="588"/>
      <c r="E135" s="499"/>
      <c r="F135" s="595">
        <f t="shared" si="21"/>
        <v>-0.25</v>
      </c>
      <c r="G135" s="563">
        <f t="shared" si="22"/>
        <v>0.56000000000000005</v>
      </c>
      <c r="H135" s="391"/>
      <c r="I135" s="360"/>
      <c r="J135" s="360"/>
      <c r="K135" s="360"/>
      <c r="L135" s="360"/>
      <c r="M135" s="360"/>
      <c r="N135" s="360"/>
      <c r="O135" s="391"/>
      <c r="P135" s="391"/>
      <c r="Q135" s="391"/>
      <c r="R135" s="391"/>
      <c r="S135" s="391"/>
      <c r="T135" s="391"/>
      <c r="U135" s="391"/>
      <c r="V135" s="391"/>
      <c r="W135" s="391"/>
      <c r="X135" s="391"/>
      <c r="Y135" s="391"/>
      <c r="Z135" s="391"/>
      <c r="AA135" s="391"/>
      <c r="AB135" s="391"/>
      <c r="AC135" s="483"/>
      <c r="AG135" s="360"/>
    </row>
    <row r="136" spans="1:33" s="410" customFormat="1" x14ac:dyDescent="0.25">
      <c r="A136" s="445">
        <v>13</v>
      </c>
      <c r="B136" s="445">
        <v>14</v>
      </c>
      <c r="C136" s="455">
        <v>1</v>
      </c>
      <c r="D136" s="588"/>
      <c r="E136" s="499"/>
      <c r="F136" s="595">
        <f t="shared" si="21"/>
        <v>-0.25</v>
      </c>
      <c r="G136" s="563">
        <f t="shared" si="22"/>
        <v>0.56000000000000005</v>
      </c>
      <c r="H136" s="391"/>
      <c r="I136" s="360"/>
      <c r="J136" s="360"/>
      <c r="K136" s="360"/>
      <c r="L136" s="360"/>
      <c r="M136" s="360"/>
      <c r="N136" s="360"/>
      <c r="O136" s="391"/>
      <c r="P136" s="391"/>
      <c r="Q136" s="391"/>
      <c r="R136" s="391"/>
      <c r="S136" s="391"/>
      <c r="T136" s="391"/>
      <c r="U136" s="391"/>
      <c r="V136" s="391"/>
      <c r="W136" s="391"/>
      <c r="X136" s="391"/>
      <c r="Y136" s="391"/>
      <c r="Z136" s="391"/>
      <c r="AA136" s="391"/>
      <c r="AB136" s="391"/>
      <c r="AC136" s="483"/>
      <c r="AD136" s="473"/>
      <c r="AE136" s="474"/>
      <c r="AF136" s="475"/>
      <c r="AG136" s="360"/>
    </row>
    <row r="137" spans="1:33" s="410" customFormat="1" x14ac:dyDescent="0.25">
      <c r="A137" s="447">
        <v>14</v>
      </c>
      <c r="B137" s="447">
        <v>15</v>
      </c>
      <c r="C137" s="455">
        <v>1</v>
      </c>
      <c r="D137" s="588"/>
      <c r="E137" s="499"/>
      <c r="F137" s="595">
        <f t="shared" si="21"/>
        <v>-0.25</v>
      </c>
      <c r="G137" s="563">
        <f t="shared" si="22"/>
        <v>0.56000000000000005</v>
      </c>
      <c r="H137" s="391"/>
      <c r="I137" s="360"/>
      <c r="J137" s="360"/>
      <c r="K137" s="360"/>
      <c r="L137" s="360"/>
      <c r="M137" s="360"/>
      <c r="N137" s="360"/>
      <c r="O137" s="391"/>
      <c r="P137" s="391"/>
      <c r="Q137" s="391"/>
      <c r="R137" s="391"/>
      <c r="S137" s="391"/>
      <c r="T137" s="391"/>
      <c r="U137" s="391"/>
      <c r="V137" s="391"/>
      <c r="W137" s="391"/>
      <c r="X137" s="391"/>
      <c r="Y137" s="391"/>
      <c r="Z137" s="391"/>
      <c r="AA137" s="391"/>
      <c r="AB137" s="391"/>
      <c r="AC137" s="483"/>
      <c r="AD137" s="473"/>
      <c r="AE137" s="474"/>
      <c r="AF137" s="475"/>
    </row>
    <row r="138" spans="1:33" s="476" customFormat="1" ht="13.8" thickBot="1" x14ac:dyDescent="0.3">
      <c r="A138" s="445">
        <v>15</v>
      </c>
      <c r="B138" s="445">
        <v>16</v>
      </c>
      <c r="C138" s="455">
        <v>1</v>
      </c>
      <c r="D138" s="588"/>
      <c r="E138" s="499"/>
      <c r="F138" s="595">
        <f t="shared" si="21"/>
        <v>-0.25</v>
      </c>
      <c r="G138" s="563">
        <f t="shared" si="22"/>
        <v>0.56000000000000005</v>
      </c>
      <c r="H138" s="391"/>
      <c r="I138" s="360"/>
      <c r="J138" s="360"/>
      <c r="K138" s="360"/>
      <c r="L138" s="360"/>
      <c r="M138" s="360"/>
      <c r="N138" s="360"/>
      <c r="O138" s="391"/>
      <c r="P138" s="391"/>
      <c r="Q138" s="391"/>
      <c r="R138" s="391"/>
      <c r="S138" s="391"/>
      <c r="T138" s="391"/>
      <c r="U138" s="391"/>
      <c r="V138" s="391"/>
      <c r="W138" s="391"/>
      <c r="X138" s="391"/>
      <c r="Y138" s="391"/>
      <c r="Z138" s="391"/>
      <c r="AA138" s="391"/>
      <c r="AB138" s="391"/>
      <c r="AC138" s="483"/>
      <c r="AD138" s="473"/>
      <c r="AE138" s="474"/>
      <c r="AF138" s="475"/>
      <c r="AG138" s="410"/>
    </row>
    <row r="139" spans="1:33" s="410" customFormat="1" x14ac:dyDescent="0.25">
      <c r="A139" s="447">
        <v>16</v>
      </c>
      <c r="B139" s="447">
        <v>17</v>
      </c>
      <c r="C139" s="455">
        <v>1</v>
      </c>
      <c r="D139" s="588"/>
      <c r="E139" s="499"/>
      <c r="F139" s="595">
        <f t="shared" si="21"/>
        <v>-0.25</v>
      </c>
      <c r="G139" s="563">
        <f t="shared" si="22"/>
        <v>0.56000000000000005</v>
      </c>
      <c r="H139" s="391"/>
      <c r="I139" s="360"/>
      <c r="J139" s="360"/>
      <c r="K139" s="360"/>
      <c r="L139" s="360"/>
      <c r="M139" s="360"/>
      <c r="N139" s="360"/>
      <c r="O139" s="391"/>
      <c r="P139" s="391"/>
      <c r="Q139" s="391"/>
      <c r="R139" s="391"/>
      <c r="S139" s="391"/>
      <c r="T139" s="391"/>
      <c r="U139" s="391"/>
      <c r="V139" s="391"/>
      <c r="W139" s="391"/>
      <c r="X139" s="391"/>
      <c r="Y139" s="391"/>
      <c r="Z139" s="391"/>
      <c r="AA139" s="391"/>
      <c r="AB139" s="391"/>
      <c r="AC139" s="483"/>
      <c r="AD139" s="473"/>
      <c r="AE139" s="474"/>
      <c r="AF139" s="475"/>
    </row>
    <row r="140" spans="1:33" s="360" customFormat="1" x14ac:dyDescent="0.25">
      <c r="A140" s="445">
        <v>17</v>
      </c>
      <c r="B140" s="445">
        <v>18</v>
      </c>
      <c r="C140" s="455">
        <v>1</v>
      </c>
      <c r="D140" s="588"/>
      <c r="E140" s="499"/>
      <c r="F140" s="595">
        <f t="shared" si="21"/>
        <v>-0.25</v>
      </c>
      <c r="G140" s="563">
        <f t="shared" si="22"/>
        <v>0.56000000000000005</v>
      </c>
      <c r="H140" s="391"/>
      <c r="O140" s="391"/>
      <c r="P140" s="391"/>
      <c r="Q140" s="391"/>
      <c r="R140" s="391"/>
      <c r="S140" s="391"/>
      <c r="T140" s="391"/>
      <c r="U140" s="391"/>
      <c r="V140" s="391"/>
      <c r="W140" s="391"/>
      <c r="X140" s="391"/>
      <c r="Y140" s="391"/>
      <c r="Z140" s="391"/>
      <c r="AA140" s="391"/>
      <c r="AB140" s="391"/>
      <c r="AC140" s="483"/>
      <c r="AD140" s="473"/>
      <c r="AE140" s="546"/>
      <c r="AF140" s="410"/>
      <c r="AG140" s="410"/>
    </row>
    <row r="141" spans="1:33" s="360" customFormat="1" x14ac:dyDescent="0.25">
      <c r="A141" s="447">
        <v>18</v>
      </c>
      <c r="B141" s="447">
        <v>19</v>
      </c>
      <c r="C141" s="455">
        <v>1</v>
      </c>
      <c r="D141" s="588"/>
      <c r="E141" s="499"/>
      <c r="F141" s="595">
        <f t="shared" si="21"/>
        <v>-0.25</v>
      </c>
      <c r="G141" s="563">
        <f t="shared" si="22"/>
        <v>0.56000000000000005</v>
      </c>
      <c r="H141" s="394"/>
      <c r="O141" s="393"/>
      <c r="P141" s="393"/>
      <c r="Q141" s="394"/>
      <c r="R141" s="394"/>
      <c r="S141" s="394"/>
      <c r="T141" s="394"/>
      <c r="U141" s="394"/>
      <c r="V141" s="394"/>
      <c r="W141" s="394"/>
      <c r="X141" s="394"/>
      <c r="Y141" s="394"/>
      <c r="Z141" s="394"/>
      <c r="AA141" s="394"/>
      <c r="AB141" s="394"/>
      <c r="AC141" s="485"/>
      <c r="AD141" s="410"/>
      <c r="AE141" s="410"/>
      <c r="AF141" s="410"/>
      <c r="AG141" s="410"/>
    </row>
    <row r="142" spans="1:33" s="360" customFormat="1" x14ac:dyDescent="0.25">
      <c r="A142" s="445">
        <v>19</v>
      </c>
      <c r="B142" s="445">
        <v>20</v>
      </c>
      <c r="C142" s="455">
        <v>1</v>
      </c>
      <c r="D142" s="588"/>
      <c r="E142" s="499"/>
      <c r="F142" s="595">
        <f t="shared" si="21"/>
        <v>-0.25</v>
      </c>
      <c r="G142" s="563">
        <f t="shared" si="22"/>
        <v>0.56000000000000005</v>
      </c>
      <c r="H142" s="395"/>
      <c r="O142" s="419"/>
      <c r="P142" s="419"/>
      <c r="Q142" s="395"/>
      <c r="R142" s="395"/>
      <c r="S142" s="395"/>
      <c r="T142" s="395"/>
      <c r="U142" s="395"/>
      <c r="V142" s="395"/>
      <c r="W142" s="395"/>
      <c r="X142" s="395"/>
      <c r="Y142" s="395"/>
      <c r="Z142" s="395"/>
      <c r="AA142" s="395"/>
      <c r="AB142" s="395"/>
      <c r="AC142" s="486"/>
      <c r="AD142" s="547"/>
      <c r="AE142" s="477"/>
      <c r="AF142" s="410"/>
      <c r="AG142" s="410"/>
    </row>
    <row r="143" spans="1:33" s="410" customFormat="1" x14ac:dyDescent="0.25">
      <c r="A143" s="447">
        <v>20</v>
      </c>
      <c r="B143" s="447">
        <v>21</v>
      </c>
      <c r="C143" s="455">
        <v>1</v>
      </c>
      <c r="D143" s="588"/>
      <c r="E143" s="499"/>
      <c r="F143" s="595">
        <f t="shared" si="21"/>
        <v>-0.25</v>
      </c>
      <c r="G143" s="563">
        <f t="shared" si="22"/>
        <v>0.56000000000000005</v>
      </c>
      <c r="H143" s="395"/>
      <c r="I143" s="360"/>
      <c r="J143" s="360"/>
      <c r="K143" s="360"/>
      <c r="L143" s="360"/>
      <c r="M143" s="360"/>
      <c r="N143" s="360"/>
      <c r="O143" s="419"/>
      <c r="P143" s="419"/>
      <c r="Q143" s="395"/>
      <c r="R143" s="395"/>
      <c r="S143" s="395"/>
      <c r="T143" s="395"/>
      <c r="U143" s="395"/>
      <c r="V143" s="395"/>
      <c r="W143" s="395"/>
      <c r="X143" s="395"/>
      <c r="Y143" s="395"/>
      <c r="Z143" s="395"/>
      <c r="AA143" s="395"/>
      <c r="AB143" s="395"/>
      <c r="AC143" s="486"/>
      <c r="AD143" s="477"/>
      <c r="AE143" s="477"/>
    </row>
    <row r="144" spans="1:33" s="410" customFormat="1" x14ac:dyDescent="0.25">
      <c r="A144" s="445">
        <v>21</v>
      </c>
      <c r="B144" s="445">
        <v>22</v>
      </c>
      <c r="C144" s="455">
        <v>1</v>
      </c>
      <c r="D144" s="588"/>
      <c r="E144" s="499"/>
      <c r="F144" s="595">
        <f t="shared" si="21"/>
        <v>-0.25</v>
      </c>
      <c r="G144" s="563">
        <f t="shared" si="22"/>
        <v>0.56000000000000005</v>
      </c>
      <c r="H144" s="395"/>
      <c r="I144" s="360"/>
      <c r="J144" s="438"/>
      <c r="K144" s="360"/>
      <c r="L144" s="360"/>
      <c r="M144" s="360"/>
      <c r="N144" s="360"/>
      <c r="O144" s="419"/>
      <c r="P144" s="419"/>
      <c r="Q144" s="395"/>
      <c r="R144" s="395"/>
      <c r="S144" s="395"/>
      <c r="T144" s="395"/>
      <c r="U144" s="395"/>
      <c r="V144" s="395"/>
      <c r="W144" s="395"/>
      <c r="X144" s="395"/>
      <c r="Y144" s="395"/>
      <c r="Z144" s="395"/>
      <c r="AA144" s="395"/>
      <c r="AB144" s="395"/>
      <c r="AC144" s="486"/>
      <c r="AD144" s="360"/>
      <c r="AE144" s="360"/>
    </row>
    <row r="145" spans="1:33" s="410" customFormat="1" x14ac:dyDescent="0.25">
      <c r="A145" s="447">
        <v>22</v>
      </c>
      <c r="B145" s="447">
        <v>23</v>
      </c>
      <c r="C145" s="455">
        <v>1</v>
      </c>
      <c r="D145" s="588"/>
      <c r="E145" s="499"/>
      <c r="F145" s="595">
        <f t="shared" si="21"/>
        <v>-0.25</v>
      </c>
      <c r="G145" s="563">
        <f t="shared" si="22"/>
        <v>0.56000000000000005</v>
      </c>
      <c r="H145" s="395"/>
      <c r="I145" s="360"/>
      <c r="J145" s="360"/>
      <c r="K145" s="360"/>
      <c r="L145" s="360"/>
      <c r="M145" s="360"/>
      <c r="N145" s="360"/>
      <c r="O145" s="419"/>
      <c r="P145" s="419"/>
      <c r="Q145" s="395"/>
      <c r="R145" s="395"/>
      <c r="S145" s="395"/>
      <c r="T145" s="395"/>
      <c r="U145" s="395"/>
      <c r="V145" s="395"/>
      <c r="W145" s="395"/>
      <c r="X145" s="395"/>
      <c r="Y145" s="395"/>
      <c r="Z145" s="395"/>
      <c r="AA145" s="395"/>
      <c r="AB145" s="395"/>
      <c r="AC145" s="486"/>
      <c r="AD145" s="473"/>
      <c r="AE145" s="546"/>
      <c r="AF145" s="548"/>
    </row>
    <row r="146" spans="1:33" s="410" customFormat="1" x14ac:dyDescent="0.25">
      <c r="A146" s="447">
        <v>23</v>
      </c>
      <c r="B146" s="445">
        <v>24</v>
      </c>
      <c r="C146" s="455">
        <v>1</v>
      </c>
      <c r="D146" s="588"/>
      <c r="E146" s="540"/>
      <c r="F146" s="595">
        <f t="shared" si="21"/>
        <v>-0.25</v>
      </c>
      <c r="G146" s="563">
        <f t="shared" si="22"/>
        <v>0.56000000000000005</v>
      </c>
      <c r="H146" s="398"/>
      <c r="I146" s="360"/>
      <c r="J146" s="360"/>
      <c r="K146" s="360"/>
      <c r="L146" s="360"/>
      <c r="M146" s="360"/>
      <c r="N146" s="360"/>
      <c r="O146" s="420"/>
      <c r="P146" s="420"/>
      <c r="Q146" s="398"/>
      <c r="R146" s="398"/>
      <c r="S146" s="398"/>
      <c r="T146" s="398"/>
      <c r="U146" s="398"/>
      <c r="V146" s="398"/>
      <c r="W146" s="398"/>
      <c r="X146" s="398"/>
      <c r="Y146" s="398"/>
      <c r="Z146" s="395"/>
      <c r="AA146" s="395"/>
      <c r="AB146" s="395"/>
      <c r="AC146" s="486"/>
      <c r="AD146" s="473"/>
      <c r="AE146" s="546"/>
      <c r="AF146" s="548"/>
    </row>
    <row r="147" spans="1:33" s="410" customFormat="1" x14ac:dyDescent="0.25">
      <c r="A147" s="584">
        <v>24</v>
      </c>
      <c r="B147" s="447">
        <v>1</v>
      </c>
      <c r="C147" s="455">
        <v>1</v>
      </c>
      <c r="D147" s="590"/>
      <c r="E147" s="496"/>
      <c r="F147" s="360"/>
      <c r="G147" s="563">
        <f t="shared" si="22"/>
        <v>0.56000000000000005</v>
      </c>
      <c r="H147" s="398"/>
      <c r="I147" s="360"/>
      <c r="J147" s="360"/>
      <c r="K147" s="360"/>
      <c r="L147" s="360"/>
      <c r="M147" s="360"/>
      <c r="N147" s="360"/>
      <c r="O147" s="420"/>
      <c r="P147" s="420"/>
      <c r="Q147" s="398"/>
      <c r="R147" s="398"/>
      <c r="S147" s="398"/>
      <c r="T147" s="398"/>
      <c r="U147" s="398"/>
      <c r="V147" s="398"/>
      <c r="W147" s="398"/>
      <c r="X147" s="398"/>
      <c r="Y147" s="398"/>
      <c r="Z147" s="395"/>
      <c r="AA147" s="395"/>
      <c r="AB147" s="395"/>
      <c r="AC147" s="486"/>
      <c r="AD147" s="477"/>
      <c r="AE147" s="477"/>
      <c r="AF147" s="548"/>
    </row>
    <row r="148" spans="1:33" s="410" customFormat="1" ht="13.8" thickBot="1" x14ac:dyDescent="0.3">
      <c r="A148" s="360"/>
      <c r="B148" s="360"/>
      <c r="C148" s="360"/>
      <c r="D148" s="588"/>
      <c r="E148" s="360"/>
      <c r="F148" s="458"/>
      <c r="G148" s="445"/>
      <c r="H148" s="398"/>
      <c r="I148" s="360"/>
      <c r="J148" s="360"/>
      <c r="K148" s="360"/>
      <c r="L148" s="360"/>
      <c r="M148" s="360"/>
      <c r="N148" s="360"/>
      <c r="O148" s="420"/>
      <c r="P148" s="420"/>
      <c r="Q148" s="398"/>
      <c r="R148" s="398"/>
      <c r="S148" s="398"/>
      <c r="T148" s="398"/>
      <c r="U148" s="398"/>
      <c r="V148" s="398"/>
      <c r="W148" s="398"/>
      <c r="X148" s="398"/>
      <c r="Y148" s="398"/>
      <c r="Z148" s="395"/>
      <c r="AA148" s="395"/>
      <c r="AB148" s="395"/>
      <c r="AC148" s="486"/>
      <c r="AF148" s="471"/>
      <c r="AG148" s="476"/>
    </row>
    <row r="149" spans="1:33" s="410" customFormat="1" ht="17.399999999999999" x14ac:dyDescent="0.3">
      <c r="A149" s="444"/>
      <c r="B149" s="457" t="s">
        <v>243</v>
      </c>
      <c r="C149" s="458"/>
      <c r="D149" s="591"/>
      <c r="E149" s="458"/>
      <c r="F149" s="671"/>
      <c r="G149" s="445"/>
      <c r="H149" s="445"/>
      <c r="I149" s="360"/>
      <c r="J149" s="360"/>
      <c r="K149" s="360"/>
      <c r="L149" s="360"/>
      <c r="M149" s="360"/>
      <c r="N149" s="360"/>
      <c r="O149" s="459"/>
      <c r="P149" s="459"/>
      <c r="Q149" s="445"/>
      <c r="R149" s="445"/>
      <c r="S149" s="445"/>
      <c r="T149" s="445"/>
      <c r="U149" s="445"/>
      <c r="V149" s="445"/>
      <c r="W149" s="445"/>
      <c r="X149" s="445"/>
      <c r="Y149" s="398"/>
      <c r="Z149" s="395"/>
      <c r="AA149" s="395"/>
      <c r="AB149" s="395"/>
      <c r="AC149" s="486"/>
      <c r="AF149" s="471"/>
    </row>
    <row r="150" spans="1:33" s="410" customFormat="1" ht="18" thickBot="1" x14ac:dyDescent="0.35">
      <c r="A150" s="445"/>
      <c r="B150" s="445"/>
      <c r="C150" s="445"/>
      <c r="D150" s="592"/>
      <c r="E150" s="445"/>
      <c r="F150" s="670" t="s">
        <v>272</v>
      </c>
      <c r="G150" s="445"/>
      <c r="H150" s="445"/>
      <c r="I150" s="360"/>
      <c r="J150" s="360"/>
      <c r="K150" s="360"/>
      <c r="L150" s="360"/>
      <c r="M150" s="360"/>
      <c r="N150" s="360"/>
      <c r="O150" s="459"/>
      <c r="P150" s="459"/>
      <c r="Q150" s="445"/>
      <c r="R150" s="445"/>
      <c r="S150" s="445"/>
      <c r="T150" s="445"/>
      <c r="U150" s="445"/>
      <c r="V150" s="445"/>
      <c r="W150" s="445"/>
      <c r="X150" s="445"/>
      <c r="Y150" s="398"/>
      <c r="Z150" s="395"/>
      <c r="AA150" s="395"/>
      <c r="AB150" s="395"/>
      <c r="AC150" s="486"/>
      <c r="AF150" s="360"/>
      <c r="AG150" s="360"/>
    </row>
    <row r="151" spans="1:33" s="410" customFormat="1" ht="18" thickBot="1" x14ac:dyDescent="0.35">
      <c r="A151" s="448" t="s">
        <v>7</v>
      </c>
      <c r="B151" s="449"/>
      <c r="C151" s="449" t="s">
        <v>266</v>
      </c>
      <c r="D151" s="589"/>
      <c r="E151" s="449"/>
      <c r="F151" s="669" t="s">
        <v>320</v>
      </c>
      <c r="G151" s="450"/>
      <c r="H151" s="445" t="s">
        <v>273</v>
      </c>
      <c r="I151" s="360"/>
      <c r="J151" s="360"/>
      <c r="K151" s="360"/>
      <c r="L151" s="360"/>
      <c r="M151" s="360"/>
      <c r="N151" s="360"/>
      <c r="O151" s="459"/>
      <c r="P151" s="459"/>
      <c r="Q151" s="445"/>
      <c r="R151" s="445"/>
      <c r="S151" s="445"/>
      <c r="T151" s="445"/>
      <c r="U151" s="445"/>
      <c r="V151" s="445"/>
      <c r="W151" s="445"/>
      <c r="X151" s="445"/>
      <c r="Y151" s="398"/>
      <c r="Z151" s="398"/>
      <c r="AA151" s="398"/>
      <c r="AB151" s="398"/>
      <c r="AC151" s="487"/>
      <c r="AF151" s="360"/>
      <c r="AG151" s="360"/>
    </row>
    <row r="152" spans="1:33" s="410" customFormat="1" ht="17.399999999999999" x14ac:dyDescent="0.3">
      <c r="A152" s="453" t="s">
        <v>244</v>
      </c>
      <c r="B152" s="454" t="s">
        <v>245</v>
      </c>
      <c r="C152" s="454"/>
      <c r="D152" s="593"/>
      <c r="E152" s="451"/>
      <c r="F152" s="595">
        <f t="shared" ref="F152:F176" si="23">D153-0.25</f>
        <v>-0.25</v>
      </c>
      <c r="G152" s="445" t="s">
        <v>321</v>
      </c>
      <c r="H152" s="460">
        <v>4.3999999999999997E-2</v>
      </c>
      <c r="I152" s="461" t="s">
        <v>275</v>
      </c>
      <c r="J152" s="360"/>
      <c r="K152" s="360"/>
      <c r="L152" s="360"/>
      <c r="M152" s="462" t="s">
        <v>276</v>
      </c>
      <c r="N152" s="463"/>
      <c r="O152" s="459"/>
      <c r="P152" s="459"/>
      <c r="Q152" s="445"/>
      <c r="R152" s="445"/>
      <c r="S152" s="445"/>
      <c r="T152" s="445"/>
      <c r="U152" s="445"/>
      <c r="V152" s="445"/>
      <c r="W152" s="445"/>
      <c r="X152" s="445"/>
      <c r="Y152" s="398"/>
      <c r="Z152" s="398"/>
      <c r="AA152" s="398"/>
      <c r="AB152" s="398"/>
      <c r="AC152" s="487"/>
      <c r="AF152" s="360"/>
      <c r="AG152" s="360"/>
    </row>
    <row r="153" spans="1:33" s="410" customFormat="1" x14ac:dyDescent="0.25">
      <c r="A153" s="447">
        <v>24</v>
      </c>
      <c r="B153" s="445">
        <v>1</v>
      </c>
      <c r="C153" s="455">
        <v>1</v>
      </c>
      <c r="D153" s="588"/>
      <c r="E153" s="540"/>
      <c r="F153" s="595">
        <f t="shared" si="23"/>
        <v>-0.25</v>
      </c>
      <c r="G153" s="563">
        <f>D153+0.56</f>
        <v>0.56000000000000005</v>
      </c>
      <c r="I153" s="464" t="s">
        <v>274</v>
      </c>
      <c r="J153" s="465"/>
      <c r="K153" s="360"/>
      <c r="L153" s="360"/>
      <c r="M153" s="360"/>
      <c r="N153" s="360"/>
      <c r="O153" s="459"/>
      <c r="P153" s="459"/>
      <c r="Q153" s="445"/>
      <c r="R153" s="445"/>
      <c r="S153" s="445"/>
      <c r="T153" s="445"/>
      <c r="U153" s="445"/>
      <c r="V153" s="445"/>
      <c r="W153" s="445"/>
      <c r="X153" s="445"/>
      <c r="Y153" s="398"/>
      <c r="Z153" s="398"/>
      <c r="AA153" s="468"/>
      <c r="AB153" s="398"/>
      <c r="AC153" s="487"/>
      <c r="AD153" s="360"/>
      <c r="AE153" s="360"/>
      <c r="AF153" s="360"/>
    </row>
    <row r="154" spans="1:33" s="410" customFormat="1" x14ac:dyDescent="0.25">
      <c r="A154" s="445">
        <v>1</v>
      </c>
      <c r="B154" s="445">
        <v>2</v>
      </c>
      <c r="C154" s="455">
        <v>1</v>
      </c>
      <c r="D154" s="594"/>
      <c r="E154" s="499"/>
      <c r="F154" s="595">
        <f t="shared" si="23"/>
        <v>-0.25</v>
      </c>
      <c r="G154" s="563">
        <f t="shared" ref="G154:G176" si="24">D154+0.56</f>
        <v>0.56000000000000005</v>
      </c>
      <c r="I154" s="464"/>
      <c r="J154" s="465"/>
      <c r="K154" s="360"/>
      <c r="L154" s="360"/>
      <c r="M154" s="360"/>
      <c r="N154" s="360"/>
      <c r="O154" s="459"/>
      <c r="P154" s="459"/>
      <c r="Q154" s="445"/>
      <c r="R154" s="445"/>
      <c r="S154" s="445"/>
      <c r="T154" s="445"/>
      <c r="U154" s="445"/>
      <c r="V154" s="445"/>
      <c r="W154" s="445"/>
      <c r="X154" s="445"/>
      <c r="Y154" s="398"/>
      <c r="Z154" s="398"/>
      <c r="AA154" s="468"/>
      <c r="AB154" s="398"/>
      <c r="AC154" s="487"/>
      <c r="AD154" s="411"/>
      <c r="AE154" s="360"/>
      <c r="AF154" s="360"/>
    </row>
    <row r="155" spans="1:33" s="410" customFormat="1" x14ac:dyDescent="0.25">
      <c r="A155" s="447">
        <v>2</v>
      </c>
      <c r="B155" s="445">
        <v>3</v>
      </c>
      <c r="C155" s="455">
        <v>1</v>
      </c>
      <c r="D155" s="590"/>
      <c r="E155" s="499"/>
      <c r="F155" s="595">
        <f t="shared" si="23"/>
        <v>-0.25</v>
      </c>
      <c r="G155" s="563">
        <f t="shared" si="24"/>
        <v>0.56000000000000005</v>
      </c>
      <c r="I155" s="464"/>
      <c r="J155" s="465"/>
      <c r="K155" s="383"/>
      <c r="L155" s="383"/>
      <c r="M155" s="383"/>
      <c r="N155" s="383"/>
      <c r="O155" s="459"/>
      <c r="P155" s="459"/>
      <c r="Q155" s="445"/>
      <c r="R155" s="445"/>
      <c r="S155" s="445"/>
      <c r="T155" s="445"/>
      <c r="U155" s="445"/>
      <c r="V155" s="445"/>
      <c r="W155" s="445"/>
      <c r="X155" s="445"/>
      <c r="Y155" s="398"/>
      <c r="Z155" s="398"/>
      <c r="AA155" s="468"/>
      <c r="AB155" s="398"/>
      <c r="AC155" s="487"/>
      <c r="AF155" s="360"/>
    </row>
    <row r="156" spans="1:33" s="410" customFormat="1" x14ac:dyDescent="0.25">
      <c r="A156" s="445">
        <v>3</v>
      </c>
      <c r="B156" s="445">
        <v>4</v>
      </c>
      <c r="C156" s="455">
        <v>1</v>
      </c>
      <c r="D156" s="590"/>
      <c r="E156" s="499"/>
      <c r="F156" s="595">
        <f t="shared" si="23"/>
        <v>-0.25</v>
      </c>
      <c r="G156" s="563">
        <f t="shared" si="24"/>
        <v>0.56000000000000005</v>
      </c>
      <c r="I156" s="466"/>
      <c r="J156" s="465"/>
      <c r="K156" s="445"/>
      <c r="L156" s="445"/>
      <c r="M156" s="459"/>
      <c r="N156" s="459"/>
      <c r="O156" s="445"/>
      <c r="P156" s="445"/>
      <c r="Q156" s="445"/>
      <c r="R156" s="445"/>
      <c r="S156" s="445"/>
      <c r="T156" s="445"/>
      <c r="U156" s="445"/>
      <c r="V156" s="445"/>
      <c r="W156" s="445"/>
      <c r="X156" s="445"/>
      <c r="Y156" s="398"/>
      <c r="Z156" s="398"/>
      <c r="AA156" s="468"/>
      <c r="AB156" s="398"/>
      <c r="AC156" s="487"/>
      <c r="AD156" s="439"/>
      <c r="AE156" s="440"/>
      <c r="AF156" s="360"/>
    </row>
    <row r="157" spans="1:33" s="410" customFormat="1" x14ac:dyDescent="0.25">
      <c r="A157" s="447">
        <v>4</v>
      </c>
      <c r="B157" s="445">
        <v>5</v>
      </c>
      <c r="C157" s="455">
        <v>1</v>
      </c>
      <c r="D157" s="590"/>
      <c r="E157" s="499"/>
      <c r="F157" s="595">
        <f t="shared" si="23"/>
        <v>-0.25</v>
      </c>
      <c r="G157" s="563">
        <f t="shared" si="24"/>
        <v>0.56000000000000005</v>
      </c>
      <c r="I157" s="466"/>
      <c r="J157" s="465"/>
      <c r="K157" s="445"/>
      <c r="L157" s="445"/>
      <c r="M157" s="459"/>
      <c r="N157" s="459"/>
      <c r="O157" s="445"/>
      <c r="P157" s="445"/>
      <c r="Q157" s="445"/>
      <c r="R157" s="445"/>
      <c r="S157" s="445"/>
      <c r="T157" s="445"/>
      <c r="U157" s="445"/>
      <c r="V157" s="445"/>
      <c r="W157" s="445"/>
      <c r="X157" s="445"/>
      <c r="Y157" s="398"/>
      <c r="Z157" s="398"/>
      <c r="AA157" s="468"/>
      <c r="AB157" s="398"/>
      <c r="AC157" s="487"/>
      <c r="AD157" s="411"/>
      <c r="AE157" s="360"/>
      <c r="AF157" s="360"/>
    </row>
    <row r="158" spans="1:33" s="410" customFormat="1" x14ac:dyDescent="0.25">
      <c r="A158" s="445">
        <v>5</v>
      </c>
      <c r="B158" s="445">
        <v>6</v>
      </c>
      <c r="C158" s="455">
        <v>1</v>
      </c>
      <c r="D158" s="590"/>
      <c r="E158" s="499"/>
      <c r="F158" s="595">
        <f t="shared" si="23"/>
        <v>-0.25</v>
      </c>
      <c r="G158" s="563">
        <f t="shared" si="24"/>
        <v>0.56000000000000005</v>
      </c>
      <c r="I158" s="466"/>
      <c r="J158" s="465"/>
      <c r="K158" s="445"/>
      <c r="L158" s="445"/>
      <c r="M158" s="459"/>
      <c r="N158" s="459"/>
      <c r="O158" s="445"/>
      <c r="P158" s="445"/>
      <c r="Q158" s="445"/>
      <c r="R158" s="445"/>
      <c r="S158" s="445"/>
      <c r="T158" s="445"/>
      <c r="U158" s="445"/>
      <c r="V158" s="445"/>
      <c r="W158" s="445"/>
      <c r="X158" s="445"/>
      <c r="Y158" s="398"/>
      <c r="Z158" s="398"/>
      <c r="AA158" s="468"/>
      <c r="AB158" s="398"/>
      <c r="AC158" s="487"/>
      <c r="AD158" s="411"/>
      <c r="AE158" s="360"/>
      <c r="AF158" s="360"/>
    </row>
    <row r="159" spans="1:33" s="410" customFormat="1" x14ac:dyDescent="0.25">
      <c r="A159" s="447">
        <v>6</v>
      </c>
      <c r="B159" s="445">
        <v>7</v>
      </c>
      <c r="C159" s="455">
        <v>1</v>
      </c>
      <c r="D159" s="590"/>
      <c r="E159" s="499"/>
      <c r="F159" s="595">
        <f t="shared" si="23"/>
        <v>-0.25</v>
      </c>
      <c r="G159" s="563">
        <f t="shared" si="24"/>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11"/>
      <c r="AE159" s="360"/>
      <c r="AF159" s="360"/>
    </row>
    <row r="160" spans="1:33" s="410" customFormat="1" x14ac:dyDescent="0.25">
      <c r="A160" s="445">
        <v>7</v>
      </c>
      <c r="B160" s="445">
        <v>8</v>
      </c>
      <c r="C160" s="455">
        <v>1</v>
      </c>
      <c r="D160" s="590"/>
      <c r="E160" s="499"/>
      <c r="F160" s="595">
        <f t="shared" si="23"/>
        <v>-0.25</v>
      </c>
      <c r="G160" s="563">
        <f t="shared" si="24"/>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11"/>
      <c r="AE160" s="360"/>
      <c r="AF160" s="360"/>
    </row>
    <row r="161" spans="1:32" s="410" customFormat="1" x14ac:dyDescent="0.25">
      <c r="A161" s="447">
        <v>8</v>
      </c>
      <c r="B161" s="445">
        <v>9</v>
      </c>
      <c r="C161" s="455">
        <v>1</v>
      </c>
      <c r="D161" s="590"/>
      <c r="E161" s="499"/>
      <c r="F161" s="595">
        <f t="shared" si="23"/>
        <v>-0.25</v>
      </c>
      <c r="G161" s="563">
        <f t="shared" si="24"/>
        <v>0.56000000000000005</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3"/>
      <c r="AE161" s="404"/>
      <c r="AF161" s="411"/>
    </row>
    <row r="162" spans="1:32" s="410" customFormat="1" x14ac:dyDescent="0.25">
      <c r="A162" s="445">
        <v>9</v>
      </c>
      <c r="B162" s="445">
        <v>10</v>
      </c>
      <c r="C162" s="455">
        <v>1</v>
      </c>
      <c r="D162" s="590"/>
      <c r="E162" s="499"/>
      <c r="F162" s="595">
        <f t="shared" si="23"/>
        <v>-0.25</v>
      </c>
      <c r="G162" s="563">
        <f t="shared" si="24"/>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5"/>
      <c r="AE162" s="405"/>
      <c r="AF162" s="411"/>
    </row>
    <row r="163" spans="1:32" s="410" customFormat="1" x14ac:dyDescent="0.25">
      <c r="A163" s="447">
        <v>10</v>
      </c>
      <c r="B163" s="445">
        <v>11</v>
      </c>
      <c r="C163" s="455">
        <v>1</v>
      </c>
      <c r="D163" s="590"/>
      <c r="E163" s="499"/>
      <c r="F163" s="595">
        <f t="shared" si="23"/>
        <v>-0.25</v>
      </c>
      <c r="G163" s="563">
        <f t="shared" si="24"/>
        <v>0.56000000000000005</v>
      </c>
      <c r="I163" s="466"/>
      <c r="J163" s="465"/>
      <c r="K163" s="445"/>
      <c r="L163" s="445"/>
      <c r="M163" s="459"/>
      <c r="N163" s="459"/>
      <c r="O163" s="445"/>
      <c r="P163" s="445"/>
      <c r="Q163" s="445"/>
      <c r="R163" s="445"/>
      <c r="S163" s="445"/>
      <c r="T163" s="445"/>
      <c r="U163" s="445"/>
      <c r="V163" s="445"/>
      <c r="W163" s="445"/>
      <c r="X163" s="445"/>
      <c r="Y163" s="398"/>
      <c r="Z163" s="377"/>
      <c r="AA163" s="468"/>
      <c r="AB163" s="377"/>
      <c r="AC163" s="482"/>
      <c r="AD163" s="403"/>
      <c r="AE163" s="404"/>
      <c r="AF163" s="411"/>
    </row>
    <row r="164" spans="1:32" s="410" customFormat="1" x14ac:dyDescent="0.25">
      <c r="A164" s="445">
        <v>11</v>
      </c>
      <c r="B164" s="445">
        <v>12</v>
      </c>
      <c r="C164" s="455">
        <v>1</v>
      </c>
      <c r="D164" s="590"/>
      <c r="E164" s="499"/>
      <c r="F164" s="595">
        <f t="shared" si="23"/>
        <v>-0.25</v>
      </c>
      <c r="G164" s="563">
        <f t="shared" si="24"/>
        <v>0.56000000000000005</v>
      </c>
      <c r="I164" s="466"/>
      <c r="J164" s="465"/>
      <c r="K164" s="445"/>
      <c r="L164" s="445"/>
      <c r="M164" s="459"/>
      <c r="N164" s="459"/>
      <c r="O164" s="445"/>
      <c r="P164" s="445"/>
      <c r="Q164" s="445"/>
      <c r="R164" s="445"/>
      <c r="S164" s="445"/>
      <c r="T164" s="445"/>
      <c r="U164" s="445"/>
      <c r="V164" s="445"/>
      <c r="W164" s="445"/>
      <c r="X164" s="445"/>
      <c r="Y164" s="398"/>
      <c r="Z164" s="377"/>
      <c r="AA164" s="468"/>
      <c r="AB164" s="377"/>
      <c r="AC164" s="482"/>
      <c r="AD164" s="408"/>
      <c r="AE164" s="406"/>
      <c r="AF164" s="411"/>
    </row>
    <row r="165" spans="1:32" s="410" customFormat="1" x14ac:dyDescent="0.25">
      <c r="A165" s="447">
        <v>12</v>
      </c>
      <c r="B165" s="445">
        <v>13</v>
      </c>
      <c r="C165" s="455">
        <v>1</v>
      </c>
      <c r="D165" s="590"/>
      <c r="E165" s="499"/>
      <c r="F165" s="595">
        <f t="shared" si="23"/>
        <v>-0.25</v>
      </c>
      <c r="G165" s="563">
        <f t="shared" si="24"/>
        <v>0.56000000000000005</v>
      </c>
      <c r="I165" s="466"/>
      <c r="J165" s="465"/>
      <c r="K165" s="445"/>
      <c r="L165" s="445"/>
      <c r="M165" s="459"/>
      <c r="N165" s="459"/>
      <c r="O165" s="445"/>
      <c r="P165" s="445"/>
      <c r="Q165" s="445"/>
      <c r="R165" s="445"/>
      <c r="S165" s="445"/>
      <c r="T165" s="445"/>
      <c r="U165" s="445"/>
      <c r="V165" s="445"/>
      <c r="W165" s="445"/>
      <c r="X165" s="445"/>
      <c r="Y165" s="398"/>
      <c r="Z165" s="377"/>
      <c r="AA165" s="468"/>
      <c r="AB165" s="377"/>
      <c r="AC165" s="482"/>
      <c r="AD165" s="408"/>
      <c r="AE165" s="406"/>
      <c r="AF165" s="411"/>
    </row>
    <row r="166" spans="1:32" s="410" customFormat="1" x14ac:dyDescent="0.25">
      <c r="A166" s="445">
        <v>13</v>
      </c>
      <c r="B166" s="445">
        <v>14</v>
      </c>
      <c r="C166" s="455">
        <v>1</v>
      </c>
      <c r="D166" s="590"/>
      <c r="E166" s="499"/>
      <c r="F166" s="595">
        <f t="shared" si="23"/>
        <v>-0.25</v>
      </c>
      <c r="G166" s="563">
        <f t="shared" si="24"/>
        <v>0.56000000000000005</v>
      </c>
      <c r="I166" s="466"/>
      <c r="J166" s="465"/>
      <c r="K166" s="445"/>
      <c r="L166" s="445"/>
      <c r="M166" s="459"/>
      <c r="N166" s="459"/>
      <c r="O166" s="445"/>
      <c r="P166" s="445"/>
      <c r="Q166" s="445"/>
      <c r="R166" s="445"/>
      <c r="S166" s="445"/>
      <c r="T166" s="445"/>
      <c r="U166" s="445"/>
      <c r="V166" s="445"/>
      <c r="W166" s="445"/>
      <c r="X166" s="445"/>
      <c r="Y166" s="398"/>
      <c r="Z166" s="377"/>
      <c r="AA166" s="468"/>
      <c r="AB166" s="377"/>
      <c r="AC166" s="482"/>
      <c r="AD166" s="408"/>
      <c r="AE166" s="421"/>
      <c r="AF166" s="411"/>
    </row>
    <row r="167" spans="1:32" s="410" customFormat="1" x14ac:dyDescent="0.25">
      <c r="A167" s="447">
        <v>14</v>
      </c>
      <c r="B167" s="445">
        <v>15</v>
      </c>
      <c r="C167" s="455">
        <v>1</v>
      </c>
      <c r="D167" s="590"/>
      <c r="E167" s="499"/>
      <c r="F167" s="595">
        <f t="shared" si="23"/>
        <v>-0.25</v>
      </c>
      <c r="G167" s="563">
        <f t="shared" si="24"/>
        <v>0.56000000000000005</v>
      </c>
      <c r="H167" s="410" t="s">
        <v>170</v>
      </c>
      <c r="I167" s="466"/>
      <c r="J167" s="465"/>
      <c r="K167" s="445"/>
      <c r="L167" s="445"/>
      <c r="M167" s="459"/>
      <c r="N167" s="459"/>
      <c r="O167" s="445"/>
      <c r="P167" s="445"/>
      <c r="Q167" s="445"/>
      <c r="R167" s="445"/>
      <c r="S167" s="445"/>
      <c r="T167" s="445"/>
      <c r="U167" s="445"/>
      <c r="V167" s="445"/>
      <c r="W167" s="445"/>
      <c r="X167" s="445"/>
      <c r="Y167" s="398"/>
      <c r="Z167" s="377"/>
      <c r="AA167" s="468"/>
      <c r="AB167" s="377"/>
      <c r="AC167" s="482"/>
      <c r="AD167" s="408"/>
      <c r="AE167" s="422"/>
      <c r="AF167" s="360"/>
    </row>
    <row r="168" spans="1:32" s="410" customFormat="1" x14ac:dyDescent="0.25">
      <c r="A168" s="445">
        <v>15</v>
      </c>
      <c r="B168" s="445">
        <v>16</v>
      </c>
      <c r="C168" s="455">
        <v>1</v>
      </c>
      <c r="D168" s="590"/>
      <c r="E168" s="499"/>
      <c r="F168" s="595">
        <f t="shared" si="23"/>
        <v>-0.25</v>
      </c>
      <c r="G168" s="563">
        <f t="shared" si="24"/>
        <v>0.56000000000000005</v>
      </c>
      <c r="I168" s="466"/>
      <c r="J168" s="465"/>
      <c r="K168" s="445"/>
      <c r="L168" s="445"/>
      <c r="M168" s="459"/>
      <c r="N168" s="459"/>
      <c r="O168" s="445"/>
      <c r="P168" s="445"/>
      <c r="Q168" s="445"/>
      <c r="R168" s="445"/>
      <c r="S168" s="445"/>
      <c r="T168" s="445"/>
      <c r="U168" s="445"/>
      <c r="V168" s="445"/>
      <c r="W168" s="445"/>
      <c r="X168" s="445"/>
      <c r="Y168" s="398"/>
      <c r="Z168" s="377"/>
      <c r="AA168" s="468"/>
      <c r="AB168" s="377"/>
      <c r="AC168" s="482"/>
      <c r="AD168" s="403"/>
      <c r="AE168" s="404"/>
      <c r="AF168" s="360"/>
    </row>
    <row r="169" spans="1:32" s="410" customFormat="1" x14ac:dyDescent="0.25">
      <c r="A169" s="447">
        <v>16</v>
      </c>
      <c r="B169" s="445">
        <v>17</v>
      </c>
      <c r="C169" s="455">
        <v>1</v>
      </c>
      <c r="D169" s="590"/>
      <c r="E169" s="499"/>
      <c r="F169" s="595">
        <f t="shared" si="23"/>
        <v>-0.25</v>
      </c>
      <c r="G169" s="563">
        <f t="shared" si="24"/>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403"/>
      <c r="AE169" s="404"/>
      <c r="AF169" s="405"/>
    </row>
    <row r="170" spans="1:32" s="410" customFormat="1" x14ac:dyDescent="0.25">
      <c r="A170" s="445">
        <v>17</v>
      </c>
      <c r="B170" s="445">
        <v>18</v>
      </c>
      <c r="C170" s="455">
        <v>1</v>
      </c>
      <c r="D170" s="590"/>
      <c r="E170" s="499"/>
      <c r="F170" s="595">
        <f t="shared" si="23"/>
        <v>-0.25</v>
      </c>
      <c r="G170" s="563">
        <f t="shared" si="24"/>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88"/>
      <c r="AE170" s="388"/>
      <c r="AF170" s="403"/>
    </row>
    <row r="171" spans="1:32" s="410" customFormat="1" x14ac:dyDescent="0.25">
      <c r="A171" s="447">
        <v>18</v>
      </c>
      <c r="B171" s="445">
        <v>19</v>
      </c>
      <c r="C171" s="455">
        <v>1</v>
      </c>
      <c r="D171" s="590"/>
      <c r="E171" s="499"/>
      <c r="F171" s="595">
        <f t="shared" si="23"/>
        <v>-0.25</v>
      </c>
      <c r="G171" s="563">
        <f t="shared" si="24"/>
        <v>0.56000000000000005</v>
      </c>
      <c r="I171" s="466"/>
      <c r="J171" s="465"/>
      <c r="K171" s="445"/>
      <c r="L171" s="445"/>
      <c r="M171" s="459"/>
      <c r="N171" s="459"/>
      <c r="O171" s="445"/>
      <c r="R171" s="445"/>
      <c r="S171" s="445"/>
      <c r="T171" s="445"/>
      <c r="U171" s="445"/>
      <c r="V171" s="445"/>
      <c r="W171" s="445"/>
      <c r="X171" s="445"/>
      <c r="Y171" s="398"/>
      <c r="Z171" s="377"/>
      <c r="AA171" s="468"/>
      <c r="AB171" s="377"/>
      <c r="AC171" s="482"/>
      <c r="AD171" s="377"/>
      <c r="AE171" s="377"/>
      <c r="AF171" s="403"/>
    </row>
    <row r="172" spans="1:32" s="410" customFormat="1" x14ac:dyDescent="0.25">
      <c r="A172" s="445">
        <v>19</v>
      </c>
      <c r="B172" s="445">
        <v>20</v>
      </c>
      <c r="C172" s="455">
        <v>1</v>
      </c>
      <c r="D172" s="590"/>
      <c r="E172" s="499"/>
      <c r="F172" s="595">
        <f t="shared" si="23"/>
        <v>-0.25</v>
      </c>
      <c r="G172" s="563">
        <f t="shared" si="24"/>
        <v>0.56000000000000005</v>
      </c>
      <c r="I172" s="466"/>
      <c r="J172" s="465"/>
      <c r="K172" s="445"/>
      <c r="L172" s="445"/>
      <c r="M172" s="459"/>
      <c r="N172" s="459"/>
      <c r="O172" s="445"/>
      <c r="R172" s="445"/>
      <c r="S172" s="445"/>
      <c r="T172" s="445"/>
      <c r="U172" s="445"/>
      <c r="V172" s="445"/>
      <c r="W172" s="445"/>
      <c r="X172" s="445"/>
      <c r="Y172" s="398"/>
      <c r="Z172" s="377"/>
      <c r="AA172" s="468"/>
      <c r="AB172" s="377"/>
      <c r="AC172" s="482"/>
      <c r="AD172" s="389"/>
      <c r="AE172" s="389"/>
      <c r="AF172" s="401"/>
    </row>
    <row r="173" spans="1:32" s="410" customFormat="1" x14ac:dyDescent="0.25">
      <c r="A173" s="447">
        <v>20</v>
      </c>
      <c r="B173" s="445">
        <v>21</v>
      </c>
      <c r="C173" s="455">
        <v>1</v>
      </c>
      <c r="D173" s="590"/>
      <c r="E173" s="499"/>
      <c r="F173" s="595">
        <f t="shared" si="23"/>
        <v>-0.25</v>
      </c>
      <c r="G173" s="563">
        <f t="shared" si="24"/>
        <v>0.56000000000000005</v>
      </c>
      <c r="I173" s="466"/>
      <c r="J173" s="465"/>
      <c r="K173" s="445"/>
      <c r="L173" s="445"/>
      <c r="M173" s="459"/>
      <c r="N173" s="459"/>
      <c r="O173" s="445"/>
      <c r="R173" s="445"/>
      <c r="S173" s="445"/>
      <c r="T173" s="445"/>
      <c r="U173" s="445"/>
      <c r="V173" s="445"/>
      <c r="W173" s="445"/>
      <c r="X173" s="445"/>
      <c r="Y173" s="398"/>
      <c r="Z173" s="377"/>
      <c r="AA173" s="468"/>
      <c r="AB173" s="377"/>
      <c r="AC173" s="482"/>
      <c r="AD173" s="389"/>
      <c r="AE173" s="389"/>
      <c r="AF173" s="374"/>
    </row>
    <row r="174" spans="1:32" s="410" customFormat="1" x14ac:dyDescent="0.25">
      <c r="A174" s="445">
        <v>21</v>
      </c>
      <c r="B174" s="445">
        <v>22</v>
      </c>
      <c r="C174" s="455">
        <v>1</v>
      </c>
      <c r="D174" s="590"/>
      <c r="E174" s="499"/>
      <c r="F174" s="595">
        <f t="shared" si="23"/>
        <v>-0.25</v>
      </c>
      <c r="G174" s="563">
        <f t="shared" si="24"/>
        <v>0.56000000000000005</v>
      </c>
      <c r="I174" s="466"/>
      <c r="J174" s="465"/>
      <c r="K174" s="445"/>
      <c r="L174" s="445"/>
      <c r="M174" s="459"/>
      <c r="N174" s="459"/>
      <c r="O174" s="445"/>
      <c r="R174" s="445"/>
      <c r="S174" s="445"/>
      <c r="T174" s="445"/>
      <c r="U174" s="445"/>
      <c r="V174" s="445"/>
      <c r="W174" s="445"/>
      <c r="X174" s="445"/>
      <c r="Y174" s="398"/>
      <c r="Z174" s="377"/>
      <c r="AA174" s="468"/>
      <c r="AB174" s="377"/>
      <c r="AC174" s="482"/>
      <c r="AD174" s="377"/>
      <c r="AE174" s="377"/>
      <c r="AF174" s="374"/>
    </row>
    <row r="175" spans="1:32" s="410" customFormat="1" x14ac:dyDescent="0.25">
      <c r="A175" s="447">
        <v>22</v>
      </c>
      <c r="B175" s="445">
        <v>23</v>
      </c>
      <c r="C175" s="455">
        <v>1</v>
      </c>
      <c r="D175" s="590"/>
      <c r="E175" s="499"/>
      <c r="F175" s="595">
        <f t="shared" si="23"/>
        <v>-0.25</v>
      </c>
      <c r="G175" s="563">
        <f t="shared" si="24"/>
        <v>0.56000000000000005</v>
      </c>
      <c r="I175" s="466"/>
      <c r="J175" s="465"/>
      <c r="K175" s="445"/>
      <c r="L175" s="445"/>
      <c r="M175" s="459"/>
      <c r="N175" s="459"/>
      <c r="O175" s="445"/>
      <c r="R175" s="445"/>
      <c r="S175" s="445"/>
      <c r="T175" s="445"/>
      <c r="U175" s="445"/>
      <c r="V175" s="445"/>
      <c r="W175" s="445"/>
      <c r="X175" s="445"/>
      <c r="Y175" s="398"/>
      <c r="Z175" s="377"/>
      <c r="AA175" s="468"/>
      <c r="AB175" s="377"/>
      <c r="AC175" s="482"/>
      <c r="AD175" s="377"/>
      <c r="AE175" s="377"/>
      <c r="AF175" s="374"/>
    </row>
    <row r="176" spans="1:32" s="410" customFormat="1" x14ac:dyDescent="0.25">
      <c r="A176" s="447">
        <v>23</v>
      </c>
      <c r="B176" s="445">
        <v>24</v>
      </c>
      <c r="C176" s="455">
        <v>1</v>
      </c>
      <c r="D176" s="590"/>
      <c r="E176" s="540"/>
      <c r="F176" s="595">
        <f t="shared" si="23"/>
        <v>-0.25</v>
      </c>
      <c r="G176" s="563">
        <f t="shared" si="24"/>
        <v>0.56000000000000005</v>
      </c>
      <c r="I176" s="466"/>
      <c r="J176" s="465"/>
      <c r="K176" s="445"/>
      <c r="L176" s="445"/>
      <c r="M176" s="459"/>
      <c r="N176" s="459"/>
      <c r="O176" s="445"/>
      <c r="R176" s="445"/>
      <c r="S176" s="445"/>
      <c r="T176" s="445"/>
      <c r="U176" s="445"/>
      <c r="V176" s="445"/>
      <c r="W176" s="445"/>
      <c r="X176" s="445"/>
      <c r="Y176" s="398"/>
      <c r="Z176" s="377"/>
      <c r="AA176" s="468"/>
      <c r="AB176" s="377"/>
      <c r="AC176" s="482"/>
      <c r="AD176" s="390"/>
      <c r="AE176" s="390"/>
      <c r="AF176" s="381"/>
    </row>
    <row r="177" spans="1:32" s="410" customFormat="1" x14ac:dyDescent="0.25">
      <c r="A177" s="377">
        <v>24</v>
      </c>
      <c r="B177" s="445">
        <v>1</v>
      </c>
      <c r="C177" s="455">
        <v>1</v>
      </c>
      <c r="D177" s="590"/>
      <c r="E177" s="496"/>
      <c r="F177" s="377"/>
      <c r="G177" s="563">
        <f>D177+0.56</f>
        <v>0.56000000000000005</v>
      </c>
      <c r="H177" s="456"/>
      <c r="I177" s="466"/>
      <c r="J177" s="465"/>
      <c r="K177" s="445"/>
      <c r="L177" s="445"/>
      <c r="M177" s="459"/>
      <c r="N177" s="459"/>
      <c r="O177" s="445"/>
      <c r="R177" s="445"/>
      <c r="S177" s="445"/>
      <c r="T177" s="445"/>
      <c r="U177" s="445"/>
      <c r="V177" s="445"/>
      <c r="W177" s="445"/>
      <c r="X177" s="445"/>
      <c r="Y177" s="377"/>
      <c r="Z177" s="377"/>
      <c r="AA177" s="377"/>
      <c r="AB177" s="377"/>
      <c r="AC177" s="482"/>
      <c r="AD177" s="391"/>
      <c r="AE177" s="391"/>
      <c r="AF177" s="381"/>
    </row>
    <row r="178" spans="1:32" s="410" customFormat="1" x14ac:dyDescent="0.25">
      <c r="A178" s="377"/>
      <c r="B178" s="377"/>
      <c r="C178" s="377"/>
      <c r="D178" s="586"/>
      <c r="E178" s="498"/>
      <c r="F178" s="377"/>
      <c r="G178" s="377"/>
      <c r="H178" s="400"/>
      <c r="I178" s="377"/>
      <c r="J178" s="377"/>
      <c r="K178" s="377"/>
      <c r="L178" s="377"/>
      <c r="M178" s="392"/>
      <c r="N178" s="392"/>
      <c r="O178" s="377"/>
      <c r="R178" s="377"/>
      <c r="S178" s="377"/>
      <c r="T178" s="377"/>
      <c r="U178" s="377"/>
      <c r="V178" s="377"/>
      <c r="W178" s="377"/>
      <c r="X178" s="377"/>
      <c r="Y178" s="377"/>
      <c r="Z178" s="377"/>
      <c r="AA178" s="377"/>
      <c r="AB178" s="377"/>
      <c r="AC178" s="482"/>
      <c r="AD178" s="391"/>
      <c r="AE178" s="391"/>
      <c r="AF178" s="381"/>
    </row>
    <row r="179" spans="1:32" s="410" customFormat="1" x14ac:dyDescent="0.25">
      <c r="A179" s="377"/>
      <c r="B179" s="377"/>
      <c r="C179" s="377"/>
      <c r="D179" s="377"/>
      <c r="E179" s="377"/>
      <c r="F179" s="377"/>
      <c r="G179" s="377"/>
      <c r="H179" s="377"/>
      <c r="I179" s="377"/>
      <c r="J179" s="377"/>
      <c r="K179" s="377"/>
      <c r="L179" s="377"/>
      <c r="M179" s="392"/>
      <c r="N179" s="392"/>
      <c r="O179" s="377"/>
      <c r="R179" s="377"/>
      <c r="S179" s="377"/>
      <c r="T179" s="377"/>
      <c r="U179" s="377"/>
      <c r="V179" s="377"/>
      <c r="W179" s="377"/>
      <c r="X179" s="377"/>
      <c r="Y179" s="377"/>
      <c r="Z179" s="377"/>
      <c r="AA179" s="377"/>
      <c r="AB179" s="377"/>
      <c r="AC179" s="482"/>
      <c r="AD179" s="391"/>
      <c r="AE179" s="391"/>
      <c r="AF179" s="386"/>
    </row>
    <row r="180" spans="1:32" s="410" customFormat="1" x14ac:dyDescent="0.25">
      <c r="A180" s="377"/>
      <c r="B180" s="377"/>
      <c r="C180" s="377"/>
      <c r="D180" s="377"/>
      <c r="E180" s="377"/>
      <c r="F180" s="377"/>
      <c r="G180" s="377"/>
      <c r="H180" s="377"/>
      <c r="I180" s="377"/>
      <c r="J180" s="377"/>
      <c r="K180" s="377"/>
      <c r="L180" s="377"/>
      <c r="M180" s="392"/>
      <c r="N180" s="392"/>
      <c r="O180" s="377"/>
      <c r="R180" s="377"/>
      <c r="S180" s="377"/>
      <c r="T180" s="377"/>
      <c r="U180" s="377"/>
      <c r="V180" s="377"/>
      <c r="W180" s="377"/>
      <c r="X180" s="377"/>
      <c r="Y180" s="377"/>
      <c r="Z180" s="377"/>
      <c r="AA180" s="377"/>
      <c r="AB180" s="377"/>
      <c r="AC180" s="482"/>
      <c r="AD180" s="391"/>
      <c r="AE180" s="391"/>
      <c r="AF180" s="388"/>
    </row>
    <row r="181" spans="1:32" s="410" customFormat="1" x14ac:dyDescent="0.25">
      <c r="A181" s="377"/>
      <c r="B181" s="377"/>
      <c r="C181" s="377"/>
      <c r="D181" s="377"/>
      <c r="E181" s="377"/>
      <c r="F181" s="377"/>
      <c r="G181" s="377"/>
      <c r="H181" s="377"/>
      <c r="I181" s="377"/>
      <c r="J181" s="377"/>
      <c r="K181" s="377"/>
      <c r="L181" s="377"/>
      <c r="M181" s="392"/>
      <c r="N181" s="392"/>
      <c r="O181" s="377"/>
      <c r="R181" s="377"/>
      <c r="S181" s="377"/>
      <c r="T181" s="377"/>
      <c r="U181" s="377"/>
      <c r="V181" s="377"/>
      <c r="W181" s="377"/>
      <c r="X181" s="377"/>
      <c r="Y181" s="377"/>
      <c r="Z181" s="377"/>
      <c r="AA181" s="377"/>
      <c r="AB181" s="377"/>
      <c r="AC181" s="482"/>
      <c r="AD181" s="391"/>
      <c r="AE181" s="391"/>
      <c r="AF181" s="377"/>
    </row>
    <row r="182" spans="1:32" s="410" customFormat="1" x14ac:dyDescent="0.25">
      <c r="A182" s="377"/>
      <c r="B182" s="377"/>
      <c r="C182" s="377"/>
      <c r="D182" s="377"/>
      <c r="E182" s="377"/>
      <c r="F182" s="377"/>
      <c r="G182" s="377"/>
      <c r="H182" s="377"/>
      <c r="I182" s="377"/>
      <c r="J182" s="377"/>
      <c r="K182" s="377"/>
      <c r="L182" s="377"/>
      <c r="M182" s="392"/>
      <c r="N182" s="392"/>
      <c r="O182" s="377"/>
      <c r="R182" s="377"/>
      <c r="S182" s="377"/>
      <c r="T182" s="377"/>
      <c r="U182" s="377"/>
      <c r="V182" s="377"/>
      <c r="W182" s="377"/>
      <c r="X182" s="377"/>
      <c r="Y182" s="377"/>
      <c r="Z182" s="377"/>
      <c r="AA182" s="377"/>
      <c r="AB182" s="377"/>
      <c r="AC182" s="482"/>
      <c r="AD182" s="391"/>
      <c r="AE182" s="391"/>
      <c r="AF182" s="389"/>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1"/>
      <c r="AE183" s="391"/>
      <c r="AF183" s="389"/>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4"/>
      <c r="AE184" s="394"/>
      <c r="AF184" s="377"/>
    </row>
    <row r="185" spans="1:32" s="410" customFormat="1" x14ac:dyDescent="0.25">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5"/>
      <c r="AF185" s="390"/>
    </row>
    <row r="186" spans="1:32" s="410" customFormat="1" x14ac:dyDescent="0.25">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5"/>
      <c r="AF186" s="391"/>
    </row>
    <row r="187" spans="1:32" s="410" customFormat="1" x14ac:dyDescent="0.25">
      <c r="A187" s="377"/>
      <c r="B187" s="377"/>
      <c r="C187" s="377"/>
      <c r="D187" s="377"/>
      <c r="E187" s="377"/>
      <c r="F187" s="377"/>
      <c r="G187" s="377"/>
      <c r="H187" s="377"/>
      <c r="I187" s="377"/>
      <c r="L187" s="377"/>
      <c r="M187" s="392"/>
      <c r="N187" s="392"/>
      <c r="O187" s="377"/>
      <c r="R187" s="377"/>
      <c r="S187" s="377"/>
      <c r="T187" s="377"/>
      <c r="U187" s="377"/>
      <c r="V187" s="377"/>
      <c r="W187" s="377"/>
      <c r="X187" s="377"/>
      <c r="Y187" s="377"/>
      <c r="Z187" s="377"/>
      <c r="AA187" s="377"/>
      <c r="AB187" s="377"/>
      <c r="AC187" s="482"/>
      <c r="AD187" s="395"/>
      <c r="AE187" s="395"/>
      <c r="AF187" s="391"/>
    </row>
    <row r="188" spans="1:32" s="410" customFormat="1" x14ac:dyDescent="0.25">
      <c r="A188" s="377"/>
      <c r="B188" s="377"/>
      <c r="C188" s="377"/>
      <c r="D188" s="377"/>
      <c r="E188" s="377"/>
      <c r="F188" s="377"/>
      <c r="G188" s="377"/>
      <c r="H188" s="377"/>
      <c r="I188" s="377"/>
      <c r="L188" s="377"/>
      <c r="M188" s="392"/>
      <c r="N188" s="392"/>
      <c r="O188" s="377"/>
      <c r="R188" s="377"/>
      <c r="S188" s="377"/>
      <c r="T188" s="377"/>
      <c r="U188" s="377"/>
      <c r="V188" s="377"/>
      <c r="W188" s="377"/>
      <c r="X188" s="377"/>
      <c r="Y188" s="377"/>
      <c r="Z188" s="377"/>
      <c r="AA188" s="377"/>
      <c r="AB188" s="377"/>
      <c r="AC188" s="482"/>
      <c r="AD188" s="395"/>
      <c r="AE188" s="395"/>
      <c r="AF188" s="391"/>
    </row>
    <row r="189" spans="1:32" s="410" customFormat="1" x14ac:dyDescent="0.25">
      <c r="A189" s="377"/>
      <c r="B189" s="377"/>
      <c r="C189" s="377"/>
      <c r="D189" s="377"/>
      <c r="E189" s="377"/>
      <c r="F189" s="377"/>
      <c r="G189" s="377"/>
      <c r="H189" s="377"/>
      <c r="I189" s="377"/>
      <c r="L189" s="377"/>
      <c r="M189" s="392"/>
      <c r="N189" s="392"/>
      <c r="O189" s="377"/>
      <c r="R189" s="377"/>
      <c r="S189" s="377"/>
      <c r="T189" s="377"/>
      <c r="U189" s="377"/>
      <c r="V189" s="377"/>
      <c r="W189" s="377"/>
      <c r="X189" s="377"/>
      <c r="Y189" s="377"/>
      <c r="Z189" s="377"/>
      <c r="AA189" s="377"/>
      <c r="AB189" s="377"/>
      <c r="AC189" s="482"/>
      <c r="AD189" s="395"/>
      <c r="AE189" s="398"/>
      <c r="AF189" s="391"/>
    </row>
    <row r="190" spans="1:32" s="410" customFormat="1" x14ac:dyDescent="0.25">
      <c r="A190" s="377"/>
      <c r="B190" s="377"/>
      <c r="C190" s="377"/>
      <c r="D190" s="377"/>
      <c r="E190" s="377"/>
      <c r="F190" s="377"/>
      <c r="G190" s="377"/>
      <c r="H190" s="377"/>
      <c r="I190" s="377"/>
      <c r="L190" s="377"/>
      <c r="M190" s="392"/>
      <c r="N190" s="392"/>
      <c r="O190" s="377"/>
      <c r="R190" s="377"/>
      <c r="S190" s="377"/>
      <c r="T190" s="377"/>
      <c r="U190" s="377"/>
      <c r="V190" s="377"/>
      <c r="W190" s="377"/>
      <c r="X190" s="377"/>
      <c r="Y190" s="377"/>
      <c r="Z190" s="377"/>
      <c r="AA190" s="377"/>
      <c r="AB190" s="377"/>
      <c r="AC190" s="482"/>
      <c r="AD190" s="395"/>
      <c r="AE190" s="398"/>
      <c r="AF190" s="391"/>
    </row>
    <row r="191" spans="1:32" s="410" customFormat="1" x14ac:dyDescent="0.25">
      <c r="A191" s="377"/>
      <c r="B191" s="377"/>
      <c r="C191" s="377"/>
      <c r="D191" s="377"/>
      <c r="E191" s="377"/>
      <c r="F191" s="377"/>
      <c r="G191" s="377"/>
      <c r="H191" s="377"/>
      <c r="I191" s="377"/>
      <c r="L191" s="377"/>
      <c r="M191" s="392"/>
      <c r="N191" s="392"/>
      <c r="O191" s="377"/>
      <c r="R191" s="377"/>
      <c r="S191" s="377"/>
      <c r="T191" s="377"/>
      <c r="U191" s="377"/>
      <c r="V191" s="377"/>
      <c r="W191" s="377"/>
      <c r="X191" s="377"/>
      <c r="Y191" s="377"/>
      <c r="Z191" s="377"/>
      <c r="AA191" s="377"/>
      <c r="AB191" s="377"/>
      <c r="AC191" s="482"/>
      <c r="AD191" s="395"/>
      <c r="AE191" s="398"/>
      <c r="AF191" s="391"/>
    </row>
    <row r="192" spans="1:32" s="410" customFormat="1" x14ac:dyDescent="0.25">
      <c r="A192" s="377"/>
      <c r="B192" s="377"/>
      <c r="C192" s="377"/>
      <c r="D192" s="377"/>
      <c r="E192" s="377"/>
      <c r="F192" s="377"/>
      <c r="G192" s="377"/>
      <c r="H192" s="377"/>
      <c r="I192" s="377"/>
      <c r="L192" s="377"/>
      <c r="M192" s="392"/>
      <c r="N192" s="392"/>
      <c r="O192" s="377"/>
      <c r="R192" s="377"/>
      <c r="S192" s="377"/>
      <c r="T192" s="377"/>
      <c r="U192" s="377"/>
      <c r="V192" s="377"/>
      <c r="W192" s="377"/>
      <c r="X192" s="377"/>
      <c r="Y192" s="377"/>
      <c r="Z192" s="377"/>
      <c r="AA192" s="377"/>
      <c r="AB192" s="377"/>
      <c r="AC192" s="482"/>
      <c r="AD192" s="395"/>
      <c r="AE192" s="398"/>
      <c r="AF192" s="391"/>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5"/>
      <c r="AE193" s="398"/>
      <c r="AF193" s="393"/>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8"/>
      <c r="AE194" s="398"/>
      <c r="AF194" s="395"/>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8"/>
      <c r="AE195" s="398"/>
      <c r="AF195" s="395"/>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8"/>
      <c r="AE196" s="398"/>
      <c r="AF196" s="395"/>
    </row>
    <row r="197" spans="1:32" s="410" customForma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8"/>
      <c r="AE197" s="398"/>
      <c r="AF197" s="395"/>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8"/>
      <c r="AE198" s="398"/>
      <c r="AF198" s="396"/>
    </row>
    <row r="199" spans="1:32" s="410" customFormat="1" x14ac:dyDescent="0.25">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1"/>
    </row>
    <row r="200" spans="1:32" s="410" customFormat="1" x14ac:dyDescent="0.25">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6"/>
      <c r="AF200" s="393"/>
    </row>
    <row r="201" spans="1:32" s="410" customFormat="1" x14ac:dyDescent="0.25">
      <c r="A201" s="377"/>
      <c r="B201" s="377"/>
      <c r="C201" s="377"/>
      <c r="D201" s="377"/>
      <c r="E201" s="377"/>
      <c r="F201" s="377"/>
      <c r="G201" s="377"/>
      <c r="H201" s="377"/>
      <c r="I201" s="377"/>
      <c r="L201" s="377"/>
      <c r="M201" s="392"/>
      <c r="N201" s="392"/>
      <c r="O201" s="377"/>
      <c r="P201" s="377"/>
      <c r="Q201" s="377"/>
      <c r="R201" s="377"/>
      <c r="S201" s="377"/>
      <c r="T201" s="377"/>
      <c r="U201" s="377"/>
      <c r="V201" s="377"/>
      <c r="W201" s="377"/>
      <c r="X201" s="377"/>
      <c r="Y201" s="377"/>
      <c r="Z201" s="377"/>
      <c r="AA201" s="377"/>
      <c r="AB201" s="377"/>
      <c r="AC201" s="482"/>
      <c r="AD201" s="396"/>
      <c r="AE201" s="399"/>
      <c r="AF201" s="395"/>
    </row>
    <row r="202" spans="1:32" s="410" customFormat="1" x14ac:dyDescent="0.25">
      <c r="A202" s="377"/>
      <c r="B202" s="377"/>
      <c r="C202" s="377"/>
      <c r="D202" s="377"/>
      <c r="E202" s="377"/>
      <c r="F202" s="377"/>
      <c r="G202" s="377"/>
      <c r="H202" s="377"/>
      <c r="I202" s="377"/>
      <c r="L202" s="377"/>
      <c r="M202" s="392"/>
      <c r="N202" s="392"/>
      <c r="O202" s="377"/>
      <c r="P202" s="377"/>
      <c r="Q202" s="377"/>
      <c r="R202" s="377"/>
      <c r="S202" s="377"/>
      <c r="T202" s="377"/>
      <c r="U202" s="377"/>
      <c r="V202" s="377"/>
      <c r="W202" s="377"/>
      <c r="X202" s="377"/>
      <c r="Y202" s="377"/>
      <c r="Z202" s="377"/>
      <c r="AA202" s="377"/>
      <c r="AB202" s="377"/>
      <c r="AC202" s="482"/>
      <c r="AD202" s="396"/>
      <c r="AE202" s="397"/>
      <c r="AF202" s="395"/>
    </row>
    <row r="203" spans="1:32" s="410" customFormat="1" x14ac:dyDescent="0.25">
      <c r="A203" s="377"/>
      <c r="B203" s="377"/>
      <c r="C203" s="377"/>
      <c r="D203" s="377"/>
      <c r="E203" s="377"/>
      <c r="F203" s="377"/>
      <c r="G203" s="377"/>
      <c r="H203" s="377"/>
      <c r="I203" s="377"/>
      <c r="L203" s="377"/>
      <c r="M203" s="392"/>
      <c r="N203" s="392"/>
      <c r="O203" s="377"/>
      <c r="P203" s="377"/>
      <c r="Q203" s="377"/>
      <c r="R203" s="377"/>
      <c r="S203" s="377"/>
      <c r="T203" s="377"/>
      <c r="U203" s="377"/>
      <c r="V203" s="377"/>
      <c r="W203" s="377"/>
      <c r="X203" s="377"/>
      <c r="Y203" s="377"/>
      <c r="Z203" s="377"/>
      <c r="AA203" s="377"/>
      <c r="AB203" s="377"/>
      <c r="AC203" s="482"/>
      <c r="AD203" s="396"/>
      <c r="AE203" s="397"/>
      <c r="AF203" s="395"/>
    </row>
    <row r="204" spans="1:32" s="410" customFormat="1" x14ac:dyDescent="0.25">
      <c r="A204" s="377"/>
      <c r="B204" s="377"/>
      <c r="C204" s="377"/>
      <c r="D204" s="377"/>
      <c r="E204" s="377"/>
      <c r="F204" s="377"/>
      <c r="G204" s="377"/>
      <c r="H204" s="377"/>
      <c r="I204" s="377"/>
      <c r="L204" s="377"/>
      <c r="M204" s="392"/>
      <c r="N204" s="392"/>
      <c r="O204" s="377"/>
      <c r="P204" s="377"/>
      <c r="Q204" s="377"/>
      <c r="R204" s="377"/>
      <c r="S204" s="377"/>
      <c r="T204" s="377"/>
      <c r="U204" s="377"/>
      <c r="V204" s="377"/>
      <c r="W204" s="377"/>
      <c r="X204" s="377"/>
      <c r="Y204" s="377"/>
      <c r="Z204" s="377"/>
      <c r="AA204" s="377"/>
      <c r="AB204" s="377"/>
      <c r="AC204" s="482"/>
      <c r="AD204" s="396"/>
      <c r="AE204" s="397"/>
      <c r="AF204" s="395"/>
    </row>
    <row r="205" spans="1:32" s="410" customFormat="1" ht="12.75" customHeight="1" x14ac:dyDescent="0.25">
      <c r="A205" s="377"/>
      <c r="B205" s="377"/>
      <c r="C205" s="377"/>
      <c r="D205" s="377"/>
      <c r="E205" s="377"/>
      <c r="F205" s="377"/>
      <c r="G205" s="377"/>
      <c r="H205" s="377"/>
      <c r="I205" s="377"/>
      <c r="L205" s="377"/>
      <c r="M205" s="392"/>
      <c r="N205" s="392"/>
      <c r="O205" s="377"/>
      <c r="P205" s="377"/>
      <c r="Q205" s="377"/>
      <c r="R205" s="377"/>
      <c r="S205" s="377"/>
      <c r="T205" s="377"/>
      <c r="U205" s="377"/>
      <c r="V205" s="377"/>
      <c r="W205" s="377"/>
      <c r="X205" s="377"/>
      <c r="Y205" s="377"/>
      <c r="Z205" s="377"/>
      <c r="AA205" s="377"/>
      <c r="AB205" s="377"/>
      <c r="AC205" s="482"/>
      <c r="AD205" s="396"/>
      <c r="AE205" s="396"/>
      <c r="AF205" s="395"/>
    </row>
    <row r="206" spans="1:32" s="410" customFormat="1" x14ac:dyDescent="0.25">
      <c r="A206" s="377"/>
      <c r="B206" s="377"/>
      <c r="C206" s="377"/>
      <c r="D206" s="377"/>
      <c r="E206" s="377"/>
      <c r="F206" s="377"/>
      <c r="G206" s="377"/>
      <c r="H206" s="377"/>
      <c r="I206" s="377"/>
      <c r="L206" s="377"/>
      <c r="M206" s="392"/>
      <c r="N206" s="392"/>
      <c r="O206" s="377"/>
      <c r="P206" s="377"/>
      <c r="Q206" s="377"/>
      <c r="R206" s="377"/>
      <c r="S206" s="377"/>
      <c r="T206" s="377"/>
      <c r="U206" s="377"/>
      <c r="V206" s="377"/>
      <c r="W206" s="377"/>
      <c r="X206" s="377"/>
      <c r="Y206" s="377"/>
      <c r="Z206" s="377"/>
      <c r="AA206" s="377"/>
      <c r="AB206" s="377"/>
      <c r="AC206" s="482"/>
      <c r="AD206" s="396"/>
      <c r="AE206" s="399"/>
      <c r="AF206" s="395"/>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96"/>
      <c r="AE207" s="397"/>
      <c r="AF207" s="395"/>
    </row>
    <row r="208" spans="1:32" s="410" customForma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98"/>
      <c r="AE208" s="396"/>
      <c r="AF208" s="395"/>
    </row>
    <row r="209" spans="1:32" s="410" customForma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98"/>
      <c r="AE209" s="396"/>
      <c r="AF209" s="395"/>
    </row>
    <row r="210" spans="1:32" s="410" customForma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98"/>
      <c r="AE210" s="396"/>
      <c r="AF210" s="398"/>
    </row>
    <row r="211" spans="1:32" s="410" customForma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98"/>
    </row>
    <row r="213" spans="1:32" s="410" customForma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98"/>
    </row>
    <row r="214" spans="1:32" s="410" customForma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98"/>
    </row>
    <row r="215" spans="1:32" s="410" customForma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98"/>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98"/>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98"/>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410" customFormat="1" ht="12" customHeigh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410" customFormat="1" ht="12" customHeigh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410" customFormat="1" ht="12" customHeigh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410" customFormat="1" ht="12" customHeigh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410" customFormat="1" ht="12" customHeigh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410" customFormat="1" ht="12" customHeigh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c r="AG239" s="410"/>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c r="AG240" s="410"/>
    </row>
    <row r="241" spans="1:33"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c r="AG241" s="410"/>
    </row>
    <row r="242" spans="1:33"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G242" s="410"/>
    </row>
    <row r="243" spans="1:33"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0"/>
    </row>
    <row r="244" spans="1:33"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0"/>
    </row>
    <row r="245" spans="1:33"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3"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3"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3"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3"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3"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3"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3"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3"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3"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3"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3"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row>
    <row r="262" spans="1:34" s="360" customForma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411"/>
      <c r="AH263" s="405"/>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11"/>
      <c r="AH264" s="407"/>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11"/>
      <c r="AH265" s="405"/>
    </row>
    <row r="266" spans="1:34" s="360" customFormat="1" ht="14.25" customHeigh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11"/>
      <c r="AH266" s="404"/>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H267" s="404"/>
    </row>
    <row r="268" spans="1:34" s="412" customFormat="1" ht="12" customHeigh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60"/>
      <c r="AH268" s="405"/>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H269" s="405"/>
    </row>
    <row r="270" spans="1:34" s="360" customFormat="1" ht="17.2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H270" s="405"/>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H271" s="395"/>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404"/>
      <c r="AH272" s="376"/>
    </row>
    <row r="273" spans="1:34" s="360"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404"/>
      <c r="AH273" s="376"/>
    </row>
    <row r="274" spans="1:34" s="360" customFormat="1" ht="13.5"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402"/>
      <c r="AH274" s="377"/>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75"/>
      <c r="AH275" s="377"/>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75"/>
      <c r="AH276" s="377"/>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5"/>
      <c r="AH277" s="377"/>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2"/>
      <c r="AH278" s="384"/>
    </row>
    <row r="279" spans="1:34" s="360" customFormat="1" ht="15.75" customHeigh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2"/>
      <c r="AH279" s="388"/>
    </row>
    <row r="280" spans="1:34" s="360" customFormat="1" ht="15.75" customHeigh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82"/>
      <c r="AH280" s="377"/>
    </row>
    <row r="281" spans="1:34" s="360" customFormat="1" ht="12.75" customHeigh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87"/>
      <c r="AH281" s="389"/>
    </row>
    <row r="282" spans="1:34" s="360"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88"/>
      <c r="AH282" s="389"/>
    </row>
    <row r="283" spans="1:34" s="360" customForma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77"/>
      <c r="AH283" s="377"/>
    </row>
    <row r="284" spans="1:34" s="360"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89"/>
      <c r="AH284" s="390"/>
    </row>
    <row r="285" spans="1:34" s="360" customForma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89"/>
      <c r="AH285" s="391"/>
    </row>
    <row r="286" spans="1:34" s="360" customForma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77"/>
      <c r="AH286" s="391"/>
    </row>
    <row r="287" spans="1:34" s="360" customFormat="1" ht="14.25" customHeight="1" x14ac:dyDescent="0.25">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0"/>
      <c r="AH287" s="391"/>
    </row>
    <row r="288" spans="1:34" s="360"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c r="AH288" s="391"/>
    </row>
    <row r="289" spans="1:34" s="360"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1"/>
      <c r="AH289" s="391"/>
    </row>
    <row r="290" spans="1:34" s="383" customFormat="1" x14ac:dyDescent="0.25">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1"/>
      <c r="AH290" s="391"/>
    </row>
    <row r="291" spans="1:34" s="383" customFormat="1" ht="12" customHeight="1" x14ac:dyDescent="0.25">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1"/>
    </row>
    <row r="292" spans="1:34" s="383"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1"/>
    </row>
    <row r="293" spans="1:34" s="384" customFormat="1" ht="11.25" customHeigh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1"/>
    </row>
    <row r="294" spans="1:34" s="388"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1"/>
    </row>
    <row r="295" spans="1:34" x14ac:dyDescent="0.25">
      <c r="AG295" s="393"/>
    </row>
    <row r="296" spans="1:34" s="389"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5"/>
    </row>
    <row r="297" spans="1:34" s="389"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5"/>
    </row>
    <row r="298" spans="1:34" x14ac:dyDescent="0.25">
      <c r="AG298" s="395"/>
    </row>
    <row r="299" spans="1:34" x14ac:dyDescent="0.25">
      <c r="AG299" s="395"/>
    </row>
    <row r="300" spans="1:34" s="392" customFormat="1" x14ac:dyDescent="0.25">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97"/>
    </row>
    <row r="301" spans="1:34" s="392" customFormat="1" x14ac:dyDescent="0.25">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3"/>
    </row>
    <row r="302" spans="1:34" s="392" customFormat="1" x14ac:dyDescent="0.25">
      <c r="A302" s="377"/>
      <c r="B302" s="377"/>
      <c r="C302" s="377"/>
      <c r="D302" s="377"/>
      <c r="E302" s="377"/>
      <c r="F302" s="377"/>
      <c r="G302" s="377"/>
      <c r="H302" s="377"/>
      <c r="I302" s="377"/>
      <c r="J302" s="377"/>
      <c r="K302" s="377"/>
      <c r="L302" s="377"/>
      <c r="O302" s="377"/>
      <c r="P302" s="377"/>
      <c r="Q302" s="377"/>
      <c r="R302" s="377"/>
      <c r="S302" s="377"/>
      <c r="T302" s="377"/>
      <c r="U302" s="377"/>
      <c r="V302" s="377"/>
      <c r="W302" s="377"/>
      <c r="X302" s="377"/>
      <c r="Y302" s="377"/>
      <c r="Z302" s="377"/>
      <c r="AA302" s="377"/>
      <c r="AB302" s="377"/>
      <c r="AC302" s="482"/>
      <c r="AD302" s="377"/>
      <c r="AE302" s="381"/>
      <c r="AF302" s="377"/>
      <c r="AG302" s="383"/>
    </row>
    <row r="303" spans="1:34" s="392" customFormat="1" x14ac:dyDescent="0.25">
      <c r="A303" s="377"/>
      <c r="B303" s="377"/>
      <c r="C303" s="377"/>
      <c r="D303" s="377"/>
      <c r="E303" s="377"/>
      <c r="F303" s="377"/>
      <c r="G303" s="377"/>
      <c r="H303" s="377"/>
      <c r="I303" s="377"/>
      <c r="J303" s="377"/>
      <c r="K303" s="377"/>
      <c r="L303" s="377"/>
      <c r="O303" s="377"/>
      <c r="P303" s="377"/>
      <c r="Q303" s="377"/>
      <c r="R303" s="377"/>
      <c r="S303" s="377"/>
      <c r="T303" s="377"/>
      <c r="U303" s="377"/>
      <c r="V303" s="377"/>
      <c r="W303" s="377"/>
      <c r="X303" s="377"/>
      <c r="Y303" s="377"/>
      <c r="Z303" s="377"/>
      <c r="AA303" s="377"/>
      <c r="AB303" s="377"/>
      <c r="AC303" s="482"/>
      <c r="AD303" s="377"/>
      <c r="AE303" s="381"/>
      <c r="AF303" s="377"/>
      <c r="AG303" s="384"/>
    </row>
    <row r="304" spans="1:34" s="392" customFormat="1" x14ac:dyDescent="0.25">
      <c r="A304" s="377"/>
      <c r="B304" s="377"/>
      <c r="C304" s="377"/>
      <c r="D304" s="377"/>
      <c r="E304" s="377"/>
      <c r="F304" s="377"/>
      <c r="G304" s="377"/>
      <c r="H304" s="377"/>
      <c r="I304" s="377"/>
      <c r="J304" s="377"/>
      <c r="K304" s="377"/>
      <c r="L304" s="377"/>
      <c r="O304" s="377"/>
      <c r="P304" s="377"/>
      <c r="Q304" s="377"/>
      <c r="R304" s="377"/>
      <c r="S304" s="377"/>
      <c r="T304" s="377"/>
      <c r="U304" s="377"/>
      <c r="V304" s="377"/>
      <c r="W304" s="377"/>
      <c r="X304" s="377"/>
      <c r="Y304" s="377"/>
      <c r="Z304" s="377"/>
      <c r="AA304" s="377"/>
      <c r="AB304" s="377"/>
      <c r="AC304" s="482"/>
      <c r="AD304" s="377"/>
      <c r="AE304" s="381"/>
      <c r="AF304" s="377"/>
      <c r="AG304" s="388"/>
    </row>
    <row r="305" spans="1:33" s="392" customFormat="1" x14ac:dyDescent="0.25">
      <c r="A305" s="377"/>
      <c r="B305" s="377"/>
      <c r="C305" s="377"/>
      <c r="D305" s="377"/>
      <c r="E305" s="377"/>
      <c r="F305" s="377"/>
      <c r="G305" s="377"/>
      <c r="H305" s="377"/>
      <c r="I305" s="377"/>
      <c r="J305" s="377"/>
      <c r="K305" s="377"/>
      <c r="L305" s="377"/>
      <c r="O305" s="377"/>
      <c r="P305" s="377"/>
      <c r="Q305" s="377"/>
      <c r="R305" s="377"/>
      <c r="S305" s="377"/>
      <c r="T305" s="377"/>
      <c r="U305" s="377"/>
      <c r="V305" s="377"/>
      <c r="W305" s="377"/>
      <c r="X305" s="377"/>
      <c r="Y305" s="377"/>
      <c r="Z305" s="377"/>
      <c r="AA305" s="377"/>
      <c r="AB305" s="377"/>
      <c r="AC305" s="482"/>
      <c r="AD305" s="377"/>
      <c r="AE305" s="381"/>
      <c r="AF305" s="377"/>
      <c r="AG305" s="377"/>
    </row>
    <row r="306" spans="1:33" s="392" customFormat="1" x14ac:dyDescent="0.25">
      <c r="A306" s="377"/>
      <c r="B306" s="377"/>
      <c r="C306" s="377"/>
      <c r="D306" s="377"/>
      <c r="E306" s="377"/>
      <c r="F306" s="377"/>
      <c r="G306" s="377"/>
      <c r="H306" s="377"/>
      <c r="I306" s="377"/>
      <c r="J306" s="377"/>
      <c r="K306" s="377"/>
      <c r="L306" s="377"/>
      <c r="O306" s="377"/>
      <c r="P306" s="377"/>
      <c r="Q306" s="377"/>
      <c r="R306" s="377"/>
      <c r="S306" s="377"/>
      <c r="T306" s="377"/>
      <c r="U306" s="377"/>
      <c r="V306" s="377"/>
      <c r="W306" s="377"/>
      <c r="X306" s="377"/>
      <c r="Y306" s="377"/>
      <c r="Z306" s="377"/>
      <c r="AA306" s="377"/>
      <c r="AB306" s="377"/>
      <c r="AC306" s="482"/>
      <c r="AD306" s="377"/>
      <c r="AE306" s="381"/>
      <c r="AF306" s="377"/>
      <c r="AG306" s="389"/>
    </row>
    <row r="307" spans="1:33" s="392" customFormat="1" x14ac:dyDescent="0.25">
      <c r="A307" s="377"/>
      <c r="B307" s="377"/>
      <c r="C307" s="377"/>
      <c r="D307" s="377"/>
      <c r="E307" s="377"/>
      <c r="F307" s="377"/>
      <c r="G307" s="377"/>
      <c r="H307" s="377"/>
      <c r="I307" s="377"/>
      <c r="J307" s="377"/>
      <c r="K307" s="377"/>
      <c r="L307" s="377"/>
      <c r="O307" s="377"/>
      <c r="P307" s="377"/>
      <c r="Q307" s="377"/>
      <c r="R307" s="377"/>
      <c r="S307" s="377"/>
      <c r="T307" s="377"/>
      <c r="U307" s="377"/>
      <c r="V307" s="377"/>
      <c r="W307" s="377"/>
      <c r="X307" s="377"/>
      <c r="Y307" s="377"/>
      <c r="Z307" s="377"/>
      <c r="AA307" s="377"/>
      <c r="AB307" s="377"/>
      <c r="AC307" s="482"/>
      <c r="AD307" s="377"/>
      <c r="AE307" s="381"/>
      <c r="AF307" s="377"/>
      <c r="AG307" s="389"/>
    </row>
    <row r="309" spans="1:33" s="390"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77"/>
    </row>
    <row r="310" spans="1:33" s="391"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1"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1"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2"/>
    </row>
    <row r="313" spans="1:33" s="391"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2"/>
    </row>
    <row r="314" spans="1:33" s="391"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2"/>
    </row>
    <row r="315" spans="1:33" s="391"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2"/>
    </row>
    <row r="316" spans="1:33" s="391"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2"/>
    </row>
    <row r="317" spans="1:33" s="394"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2"/>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77"/>
    </row>
    <row r="319" spans="1:33" s="395" customFormat="1" ht="12.75" customHeigh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0"/>
    </row>
    <row r="320" spans="1:33" s="395" customFormat="1" ht="12.75" customHeigh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5" customFormat="1" ht="12.75" customHeigh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1"/>
    </row>
    <row r="322" spans="1:33" s="395" customFormat="1" ht="12.75" customHeigh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1"/>
    </row>
    <row r="323" spans="1:33" s="395" customFormat="1" ht="12.75" customHeigh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1"/>
    </row>
    <row r="324" spans="1:33" s="395" customFormat="1" ht="12.75" customHeigh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1"/>
    </row>
    <row r="325" spans="1:33" s="395" customFormat="1" ht="12.75" customHeigh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1"/>
    </row>
    <row r="326" spans="1:33" s="395" customFormat="1" ht="12.75" customHeigh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1"/>
    </row>
    <row r="327" spans="1:33" s="398" customFormat="1" x14ac:dyDescent="0.25">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4"/>
    </row>
    <row r="328" spans="1:33" s="398" customFormat="1" x14ac:dyDescent="0.25">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s="398" customFormat="1" x14ac:dyDescent="0.25">
      <c r="A329" s="377"/>
      <c r="B329" s="377"/>
      <c r="C329" s="377"/>
      <c r="D329" s="377"/>
      <c r="E329" s="377"/>
      <c r="F329" s="377"/>
      <c r="G329" s="377"/>
      <c r="H329" s="377"/>
      <c r="I329" s="377"/>
      <c r="J329" s="377"/>
      <c r="K329" s="377"/>
      <c r="L329" s="377"/>
      <c r="M329" s="392"/>
      <c r="N329" s="392"/>
      <c r="O329" s="377"/>
      <c r="P329" s="377"/>
      <c r="Q329" s="377"/>
      <c r="R329" s="377"/>
      <c r="S329" s="377"/>
      <c r="T329" s="377"/>
      <c r="U329" s="377"/>
      <c r="V329" s="377"/>
      <c r="W329" s="377"/>
      <c r="X329" s="377"/>
      <c r="Y329" s="377"/>
      <c r="Z329" s="377"/>
      <c r="AA329" s="377"/>
      <c r="AB329" s="377"/>
      <c r="AC329" s="482"/>
      <c r="AD329" s="377"/>
      <c r="AE329" s="381"/>
      <c r="AF329" s="377"/>
      <c r="AG329" s="395"/>
    </row>
    <row r="330" spans="1:33" s="398" customFormat="1" x14ac:dyDescent="0.25">
      <c r="A330" s="377"/>
      <c r="B330" s="377"/>
      <c r="C330" s="377"/>
      <c r="D330" s="377"/>
      <c r="E330" s="377"/>
      <c r="F330" s="377"/>
      <c r="G330" s="377"/>
      <c r="H330" s="377"/>
      <c r="I330" s="377"/>
      <c r="J330" s="377"/>
      <c r="K330" s="377"/>
      <c r="L330" s="377"/>
      <c r="M330" s="392"/>
      <c r="N330" s="392"/>
      <c r="O330" s="377"/>
      <c r="P330" s="377"/>
      <c r="Q330" s="377"/>
      <c r="R330" s="377"/>
      <c r="S330" s="377"/>
      <c r="T330" s="377"/>
      <c r="U330" s="377"/>
      <c r="V330" s="377"/>
      <c r="W330" s="377"/>
      <c r="X330" s="377"/>
      <c r="Y330" s="377"/>
      <c r="Z330" s="377"/>
      <c r="AA330" s="377"/>
      <c r="AB330" s="377"/>
      <c r="AC330" s="482"/>
      <c r="AD330" s="377"/>
      <c r="AE330" s="381"/>
      <c r="AF330" s="377"/>
      <c r="AG330" s="395"/>
    </row>
    <row r="331" spans="1:33" s="398" customFormat="1" x14ac:dyDescent="0.25">
      <c r="A331" s="377"/>
      <c r="B331" s="377"/>
      <c r="C331" s="377"/>
      <c r="D331" s="377"/>
      <c r="E331" s="377"/>
      <c r="F331" s="377"/>
      <c r="G331" s="377"/>
      <c r="H331" s="377"/>
      <c r="I331" s="377"/>
      <c r="J331" s="377"/>
      <c r="K331" s="377"/>
      <c r="L331" s="377"/>
      <c r="M331" s="392"/>
      <c r="N331" s="392"/>
      <c r="O331" s="377"/>
      <c r="P331" s="377"/>
      <c r="Q331" s="377"/>
      <c r="R331" s="377"/>
      <c r="S331" s="377"/>
      <c r="T331" s="377"/>
      <c r="U331" s="377"/>
      <c r="V331" s="377"/>
      <c r="W331" s="377"/>
      <c r="X331" s="377"/>
      <c r="Y331" s="377"/>
      <c r="Z331" s="377"/>
      <c r="AA331" s="377"/>
      <c r="AB331" s="377"/>
      <c r="AC331" s="482"/>
      <c r="AD331" s="377"/>
      <c r="AE331" s="381"/>
      <c r="AF331" s="377"/>
      <c r="AG331" s="395"/>
    </row>
    <row r="332" spans="1:33" s="398" customFormat="1" x14ac:dyDescent="0.25">
      <c r="A332" s="377"/>
      <c r="B332" s="377"/>
      <c r="C332" s="377"/>
      <c r="D332" s="377"/>
      <c r="E332" s="377"/>
      <c r="F332" s="377"/>
      <c r="G332" s="377"/>
      <c r="H332" s="377"/>
      <c r="I332" s="377"/>
      <c r="J332" s="377"/>
      <c r="K332" s="377"/>
      <c r="L332" s="377"/>
      <c r="M332" s="392"/>
      <c r="N332" s="392"/>
      <c r="O332" s="377"/>
      <c r="P332" s="377"/>
      <c r="Q332" s="377"/>
      <c r="R332" s="377"/>
      <c r="S332" s="377"/>
      <c r="T332" s="377"/>
      <c r="U332" s="377"/>
      <c r="V332" s="377"/>
      <c r="W332" s="377"/>
      <c r="X332" s="377"/>
      <c r="Y332" s="377"/>
      <c r="Z332" s="377"/>
      <c r="AA332" s="377"/>
      <c r="AB332" s="377"/>
      <c r="AC332" s="482"/>
      <c r="AD332" s="377"/>
      <c r="AE332" s="381"/>
      <c r="AF332" s="377"/>
      <c r="AG332" s="395"/>
    </row>
    <row r="333" spans="1:33" s="398" customFormat="1" x14ac:dyDescent="0.25">
      <c r="A333" s="377"/>
      <c r="B333" s="377"/>
      <c r="C333" s="377"/>
      <c r="D333" s="377"/>
      <c r="E333" s="377"/>
      <c r="F333" s="377"/>
      <c r="G333" s="377"/>
      <c r="H333" s="377"/>
      <c r="I333" s="377"/>
      <c r="J333" s="377"/>
      <c r="K333" s="377"/>
      <c r="L333" s="377"/>
      <c r="M333" s="392"/>
      <c r="N333" s="392"/>
      <c r="O333" s="377"/>
      <c r="P333" s="377"/>
      <c r="Q333" s="377"/>
      <c r="R333" s="377"/>
      <c r="S333" s="377"/>
      <c r="T333" s="377"/>
      <c r="U333" s="377"/>
      <c r="V333" s="377"/>
      <c r="W333" s="377"/>
      <c r="X333" s="377"/>
      <c r="Y333" s="377"/>
      <c r="Z333" s="377"/>
      <c r="AA333" s="377"/>
      <c r="AB333" s="377"/>
      <c r="AC333" s="482"/>
      <c r="AD333" s="377"/>
      <c r="AE333" s="381"/>
      <c r="AF333" s="377"/>
      <c r="AG333" s="395"/>
    </row>
    <row r="334" spans="1:33" s="398" customFormat="1" x14ac:dyDescent="0.25">
      <c r="A334" s="377"/>
      <c r="B334" s="377"/>
      <c r="C334" s="377"/>
      <c r="D334" s="377"/>
      <c r="E334" s="377"/>
      <c r="F334" s="377"/>
      <c r="G334" s="377"/>
      <c r="H334" s="377"/>
      <c r="I334" s="377"/>
      <c r="J334" s="377"/>
      <c r="K334" s="377"/>
      <c r="L334" s="377"/>
      <c r="M334" s="392"/>
      <c r="N334" s="392"/>
      <c r="O334" s="377"/>
      <c r="P334" s="377"/>
      <c r="Q334" s="377"/>
      <c r="R334" s="377"/>
      <c r="S334" s="377"/>
      <c r="T334" s="377"/>
      <c r="U334" s="377"/>
      <c r="V334" s="377"/>
      <c r="W334" s="377"/>
      <c r="X334" s="377"/>
      <c r="Y334" s="377"/>
      <c r="Z334" s="377"/>
      <c r="AA334" s="377"/>
      <c r="AB334" s="377"/>
      <c r="AC334" s="482"/>
      <c r="AD334" s="377"/>
      <c r="AE334" s="381"/>
      <c r="AF334" s="377"/>
      <c r="AG334" s="395"/>
    </row>
    <row r="335" spans="1:33" x14ac:dyDescent="0.25">
      <c r="AG335" s="395"/>
    </row>
    <row r="336" spans="1:33" x14ac:dyDescent="0.25">
      <c r="AG336" s="395"/>
    </row>
    <row r="337" spans="33:33" x14ac:dyDescent="0.25">
      <c r="AG337" s="398"/>
    </row>
    <row r="338" spans="33:33" x14ac:dyDescent="0.25">
      <c r="AG338" s="398"/>
    </row>
    <row r="339" spans="33:33" x14ac:dyDescent="0.25">
      <c r="AG339" s="398"/>
    </row>
    <row r="340" spans="33:33" x14ac:dyDescent="0.25">
      <c r="AG340" s="398"/>
    </row>
    <row r="341" spans="33:33" x14ac:dyDescent="0.25">
      <c r="AG341" s="398"/>
    </row>
    <row r="342" spans="33:33" x14ac:dyDescent="0.25">
      <c r="AG342" s="398"/>
    </row>
    <row r="343" spans="33:33" x14ac:dyDescent="0.25">
      <c r="AG343" s="398"/>
    </row>
    <row r="344" spans="33:33" x14ac:dyDescent="0.25">
      <c r="AG344"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118</xdr:row>
                    <xdr:rowOff>167640</xdr:rowOff>
                  </from>
                  <to>
                    <xdr:col>12</xdr:col>
                    <xdr:colOff>99060</xdr:colOff>
                    <xdr:row>119</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20247.430098684214</v>
      </c>
      <c r="F12" s="33">
        <f>(D12*$C$6)+(C12*$C$7)</f>
        <v>2.09</v>
      </c>
      <c r="G12" s="32">
        <f ca="1">E12*F12</f>
        <v>42317.12890625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10729.23800089713</v>
      </c>
      <c r="F14" s="33">
        <f>(D14*$C$6)+(C14*$C$7)</f>
        <v>2.09</v>
      </c>
      <c r="G14" s="32">
        <f ca="1">E14*F14</f>
        <v>22424.107421875</v>
      </c>
      <c r="H14" s="33"/>
    </row>
    <row r="15" spans="1:8" x14ac:dyDescent="0.25">
      <c r="B15" s="240" t="s">
        <v>18</v>
      </c>
      <c r="E15" s="34">
        <f ca="1">SUM(E12:E14)</f>
        <v>30976.668099581344</v>
      </c>
      <c r="F15" s="35"/>
      <c r="G15" s="34">
        <f ca="1">SUM(G12:G14)</f>
        <v>64741.236328125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10396.220304528062</v>
      </c>
      <c r="F22" s="33">
        <f>IF($I$22=1,C22*$C$8,C22*$G$7)+IF($J$22=1,D22*$C$6,D22*$G$6)</f>
        <v>1.96</v>
      </c>
      <c r="G22" s="32">
        <f t="shared" ref="G22:G29" ca="1" si="0">F22*E22</f>
        <v>20376.591796875</v>
      </c>
      <c r="I22" s="247">
        <f>IF(C8&lt;G7,1,0)</f>
        <v>0</v>
      </c>
      <c r="J22" s="247">
        <f>IF(C6&lt;G6,1,0)</f>
        <v>1</v>
      </c>
      <c r="K22" s="248"/>
      <c r="L22" s="249"/>
    </row>
    <row r="23" spans="1:12" x14ac:dyDescent="0.25">
      <c r="B23" s="238" t="s">
        <v>51</v>
      </c>
      <c r="C23" s="239">
        <v>1</v>
      </c>
      <c r="D23" s="239">
        <v>0</v>
      </c>
      <c r="E23" s="32">
        <f ca="1">-INDEX(Economics!$A$34:$D$45,MATCH(Fuel!B23,Economics!$A$34:$A$45,0),4)/Fuel!F23</f>
        <v>15392.846181441328</v>
      </c>
      <c r="F23" s="33">
        <f t="shared" ref="F23:F29" si="1">IF($I$22=1,C23*$C$8,C23*$G$7)+IF($J$22=1,D23*$C$6,D23*$G$6)</f>
        <v>1.96</v>
      </c>
      <c r="G23" s="32">
        <f t="shared" ca="1" si="0"/>
        <v>30169.978515625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18511.872209821428</v>
      </c>
      <c r="F25" s="33">
        <f t="shared" si="1"/>
        <v>1.96</v>
      </c>
      <c r="G25" s="32">
        <f t="shared" ca="1" si="0"/>
        <v>36283.26953125</v>
      </c>
      <c r="I25" s="31"/>
      <c r="J25" s="31"/>
      <c r="K25" s="31"/>
    </row>
    <row r="26" spans="1:12" x14ac:dyDescent="0.25">
      <c r="B26" s="238" t="s">
        <v>47</v>
      </c>
      <c r="C26" s="239">
        <v>1</v>
      </c>
      <c r="D26" s="239">
        <v>0</v>
      </c>
      <c r="E26" s="32">
        <f ca="1">-INDEX(Economics!$A$34:$D$45,MATCH(Fuel!B26,Economics!$A$34:$A$45,0),4)/Fuel!F26</f>
        <v>13457.837412308674</v>
      </c>
      <c r="F26" s="33">
        <f t="shared" si="1"/>
        <v>1.96</v>
      </c>
      <c r="G26" s="32">
        <f t="shared" ca="1" si="0"/>
        <v>26377.361328125</v>
      </c>
      <c r="I26" s="31"/>
      <c r="J26" s="31"/>
      <c r="K26" s="31"/>
    </row>
    <row r="27" spans="1:12" x14ac:dyDescent="0.25">
      <c r="B27" s="250" t="s">
        <v>46</v>
      </c>
      <c r="C27" s="239">
        <v>1</v>
      </c>
      <c r="D27" s="239">
        <v>0</v>
      </c>
      <c r="E27" s="32">
        <f ca="1">-INDEX(Economics!$A$34:$D$45,MATCH(Fuel!B27,Economics!$A$34:$A$45,0),4)/Fuel!F27</f>
        <v>12773.61985809949</v>
      </c>
      <c r="F27" s="33">
        <f t="shared" si="1"/>
        <v>1.96</v>
      </c>
      <c r="G27" s="32">
        <f t="shared" ca="1" si="0"/>
        <v>25036.294921875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70532.395966198979</v>
      </c>
      <c r="F30" s="35"/>
      <c r="G30" s="34">
        <f ca="1">SUM(G22:G29)</f>
        <v>138243.49609375</v>
      </c>
      <c r="I30" s="31"/>
      <c r="J30" s="31"/>
      <c r="K30" s="31"/>
    </row>
    <row r="31" spans="1:12" x14ac:dyDescent="0.25">
      <c r="B31" s="240"/>
      <c r="I31" s="31"/>
      <c r="J31" s="31"/>
      <c r="K31" s="31"/>
    </row>
    <row r="32" spans="1:12" ht="13.8" thickBot="1" x14ac:dyDescent="0.3">
      <c r="B32" s="240" t="s">
        <v>18</v>
      </c>
      <c r="E32" s="7">
        <f ca="1">E15+E18+E30</f>
        <v>101509.06406578032</v>
      </c>
      <c r="F32" s="8"/>
      <c r="G32" s="7">
        <f ca="1">G15+G18+G30</f>
        <v>202984.732421875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521081.1</v>
      </c>
      <c r="C3" s="117">
        <f ca="1">6.8*0.75*E3</f>
        <v>128382.29999999999</v>
      </c>
      <c r="D3" s="117">
        <f ca="1">C3+B3</f>
        <v>649463.39999999991</v>
      </c>
      <c r="E3" s="118">
        <f ca="1">SUM(Preschedule!B59:Y59)</f>
        <v>25173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-75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1125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1359</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-28202.516160000003</v>
      </c>
      <c r="C28" s="120"/>
      <c r="D28" s="120">
        <f>C28+B28</f>
        <v>-28202.516160000003</v>
      </c>
      <c r="E28" s="114">
        <f>SUM(Preschedule!B56:Y56)</f>
        <v>2157</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-19458.432000000001</v>
      </c>
      <c r="C30" s="120"/>
      <c r="D30" s="120">
        <f>C30+B30</f>
        <v>-19458.432000000001</v>
      </c>
      <c r="E30" s="114">
        <f>SUM(Preschedule!B53:Y53)</f>
        <v>3192</v>
      </c>
      <c r="F30" s="120">
        <f>H30*I30</f>
        <v>6.0960000000000001</v>
      </c>
      <c r="G30" s="79">
        <f>-IF(E30=0,0,D30/E30)</f>
        <v>6.0960000000000001</v>
      </c>
      <c r="H30" s="134">
        <v>10.16</v>
      </c>
      <c r="I30" s="135">
        <v>0.6</v>
      </c>
    </row>
    <row r="31" spans="1:9" ht="12" x14ac:dyDescent="0.25">
      <c r="A31" s="83" t="s">
        <v>44</v>
      </c>
      <c r="B31" s="120">
        <f>-F31*E31</f>
        <v>-19458.432000000001</v>
      </c>
      <c r="C31" s="120"/>
      <c r="D31" s="120">
        <f>C31+B31</f>
        <v>-19458.432000000001</v>
      </c>
      <c r="E31" s="114">
        <f>SUM(Preschedule!B54:Y54)</f>
        <v>3192</v>
      </c>
      <c r="F31" s="120">
        <f>H31*I31</f>
        <v>6.0960000000000001</v>
      </c>
      <c r="G31" s="79">
        <f>-IF(E31=0,0,D31/E31)</f>
        <v>6.0960000000000001</v>
      </c>
      <c r="H31" s="134">
        <v>10.16</v>
      </c>
      <c r="I31" s="135">
        <v>0.6</v>
      </c>
    </row>
    <row r="32" spans="1:9" ht="12" x14ac:dyDescent="0.25">
      <c r="A32" s="83" t="s">
        <v>45</v>
      </c>
      <c r="B32" s="120">
        <f>-F32*E32</f>
        <v>-19452.335999999999</v>
      </c>
      <c r="C32" s="120"/>
      <c r="D32" s="120">
        <f>C32+B32</f>
        <v>-19452.335999999999</v>
      </c>
      <c r="E32" s="114">
        <f>SUM(Preschedule!B55:Y55)</f>
        <v>3191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-25036.294921875</v>
      </c>
      <c r="C34" s="120"/>
      <c r="D34" s="120">
        <f ca="1">IF(ISTEXT(B34),0,C34+B34)</f>
        <v>-25036.294921875</v>
      </c>
      <c r="E34" s="114">
        <f>SUM(Preschedule!B41:Y41)</f>
        <v>1100</v>
      </c>
      <c r="F34" s="120">
        <f ca="1">-IF(OR(ISTEXT(B34),E34=0),0,B34/E34)</f>
        <v>22.760268110795455</v>
      </c>
      <c r="G34" s="79">
        <f t="shared" ref="G34:G45" ca="1" si="6">-IF(E34=0,0,D34/E34)</f>
        <v>22.760268110795455</v>
      </c>
      <c r="H34" s="136"/>
      <c r="I34" s="135">
        <f>INDEX(FuelPriceTable,MATCH(A34,FuelNames,0),5)</f>
        <v>1.96</v>
      </c>
    </row>
    <row r="35" spans="1:9" ht="12" x14ac:dyDescent="0.25">
      <c r="A35" s="83" t="s">
        <v>47</v>
      </c>
      <c r="B35" s="120">
        <f ca="1">Gencost(Preschedule!B42:Y42,OFFSET(HeatRateStart,1,MATCH(A35,HeatRateNames,0)-1,250,1),I35)</f>
        <v>-26377.361328125</v>
      </c>
      <c r="C35" s="120"/>
      <c r="D35" s="120">
        <f t="shared" ref="D35:D45" ca="1" si="7">IF(ISTEXT(B35),0,C35+B35)</f>
        <v>-26377.361328125</v>
      </c>
      <c r="E35" s="114">
        <f>SUM(Preschedule!B42:Y42)</f>
        <v>1281</v>
      </c>
      <c r="F35" s="120">
        <f t="shared" ref="F35:F45" ca="1" si="8">-IF(OR(ISTEXT(B35),E35=0),0,B35/E35)</f>
        <v>20.591226641783763</v>
      </c>
      <c r="G35" s="79">
        <f t="shared" ca="1" si="6"/>
        <v>20.591226641783763</v>
      </c>
      <c r="H35" s="136"/>
      <c r="I35" s="135">
        <f t="shared" ref="I35:I45" si="9">INDEX(FuelPriceTable,MATCH(A35,FuelNames,0),5)</f>
        <v>1.96</v>
      </c>
    </row>
    <row r="36" spans="1:9" ht="12" x14ac:dyDescent="0.25">
      <c r="A36" s="83" t="s">
        <v>48</v>
      </c>
      <c r="B36" s="120">
        <f ca="1">Gencost(Preschedule!B43:Y43,OFFSET(HeatRateStart,1,MATCH(A36,HeatRateNames,0)-1,250,1),I36)</f>
        <v>-36283.26953125</v>
      </c>
      <c r="C36" s="120"/>
      <c r="D36" s="120">
        <f t="shared" ca="1" si="7"/>
        <v>-36283.26953125</v>
      </c>
      <c r="E36" s="114">
        <f>SUM(Preschedule!B43:Y43)</f>
        <v>1824</v>
      </c>
      <c r="F36" s="120">
        <f t="shared" ca="1" si="8"/>
        <v>19.892143383360747</v>
      </c>
      <c r="G36" s="79">
        <f t="shared" ca="1" si="6"/>
        <v>19.892143383360747</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-30169.978515625</v>
      </c>
      <c r="C39" s="120"/>
      <c r="D39" s="120">
        <f t="shared" ca="1" si="7"/>
        <v>-30169.978515625</v>
      </c>
      <c r="E39" s="114">
        <f>SUM(Preschedule!B46:Y46)</f>
        <v>1648</v>
      </c>
      <c r="F39" s="120">
        <f t="shared" ca="1" si="8"/>
        <v>18.30702579831614</v>
      </c>
      <c r="G39" s="79">
        <f t="shared" ca="1" si="6"/>
        <v>18.30702579831614</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-20376.591796875</v>
      </c>
      <c r="C41" s="120"/>
      <c r="D41" s="120">
        <f t="shared" ca="1" si="7"/>
        <v>-20376.591796875</v>
      </c>
      <c r="E41" s="114">
        <f>SUM(Preschedule!B48:Y48)</f>
        <v>1084</v>
      </c>
      <c r="F41" s="120">
        <f t="shared" ca="1" si="8"/>
        <v>18.797593908556273</v>
      </c>
      <c r="G41" s="79">
        <f t="shared" ca="1" si="6"/>
        <v>18.797593908556273</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1081</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-22424.107421875</v>
      </c>
      <c r="C43" s="120"/>
      <c r="D43" s="120">
        <f t="shared" ca="1" si="7"/>
        <v>-22424.107421875</v>
      </c>
      <c r="E43" s="114">
        <f>SUM(Preschedule!B50:Y50)</f>
        <v>880</v>
      </c>
      <c r="F43" s="120">
        <f t="shared" ca="1" si="8"/>
        <v>25.481940252130681</v>
      </c>
      <c r="G43" s="79">
        <f t="shared" ca="1" si="6"/>
        <v>25.481940252130681</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-42317.12890625</v>
      </c>
      <c r="C45" s="120"/>
      <c r="D45" s="120">
        <f t="shared" ca="1" si="7"/>
        <v>-42317.12890625</v>
      </c>
      <c r="E45" s="114">
        <f>SUM(Preschedule!B52:Y52)</f>
        <v>1996</v>
      </c>
      <c r="F45" s="120">
        <f t="shared" ca="1" si="8"/>
        <v>21.200966385896795</v>
      </c>
      <c r="G45" s="79">
        <f t="shared" ca="1" si="6"/>
        <v>21.200966385896795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37088.47152777778</v>
      </c>
    </row>
    <row r="32" spans="2:2" x14ac:dyDescent="0.25">
      <c r="B32" t="s">
        <v>387</v>
      </c>
    </row>
    <row r="33" spans="2:2" x14ac:dyDescent="0.25">
      <c r="B33" t="s">
        <v>388</v>
      </c>
    </row>
    <row r="34" spans="2:2" x14ac:dyDescent="0.25">
      <c r="B34" t="s">
        <v>389</v>
      </c>
    </row>
    <row r="35" spans="2:2" x14ac:dyDescent="0.25">
      <c r="B35" t="s">
        <v>362</v>
      </c>
    </row>
    <row r="36" spans="2:2" x14ac:dyDescent="0.25">
      <c r="B36" t="s">
        <v>363</v>
      </c>
    </row>
    <row r="37" spans="2:2" x14ac:dyDescent="0.25">
      <c r="B37" t="s">
        <v>384</v>
      </c>
    </row>
    <row r="38" spans="2:2" x14ac:dyDescent="0.25">
      <c r="B38" t="s">
        <v>361</v>
      </c>
    </row>
    <row r="39" spans="2:2" x14ac:dyDescent="0.25">
      <c r="B39" t="s">
        <v>390</v>
      </c>
    </row>
    <row r="40" spans="2:2" x14ac:dyDescent="0.25">
      <c r="B40" t="s">
        <v>391</v>
      </c>
    </row>
    <row r="41" spans="2:2" x14ac:dyDescent="0.25">
      <c r="B41" t="s">
        <v>392</v>
      </c>
    </row>
    <row r="42" spans="2:2" x14ac:dyDescent="0.25">
      <c r="B42" t="s">
        <v>383</v>
      </c>
    </row>
    <row r="43" spans="2:2" x14ac:dyDescent="0.25">
      <c r="B43" t="s">
        <v>371</v>
      </c>
    </row>
    <row r="44" spans="2:2" x14ac:dyDescent="0.25">
      <c r="B44" t="s">
        <v>377</v>
      </c>
    </row>
    <row r="45" spans="2:2" x14ac:dyDescent="0.25">
      <c r="B45" t="s">
        <v>381</v>
      </c>
    </row>
    <row r="46" spans="2:2" x14ac:dyDescent="0.25">
      <c r="B46" t="s">
        <v>386</v>
      </c>
    </row>
    <row r="47" spans="2:2" x14ac:dyDescent="0.25">
      <c r="B47" t="s">
        <v>382</v>
      </c>
    </row>
    <row r="48" spans="2:2" x14ac:dyDescent="0.25">
      <c r="B48" t="s">
        <v>393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2001-04-11T07:15:57Z</cp:lastPrinted>
  <dcterms:created xsi:type="dcterms:W3CDTF">1998-02-07T06:53:21Z</dcterms:created>
  <dcterms:modified xsi:type="dcterms:W3CDTF">2023-09-10T11:09:07Z</dcterms:modified>
</cp:coreProperties>
</file>