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5480" windowHeight="10932"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7" i="6"/>
  <c r="AE107" i="6"/>
  <c r="AF107" i="6"/>
  <c r="AD109" i="6"/>
  <c r="AE109" i="6"/>
  <c r="AF109" i="6"/>
  <c r="F115"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G140" i="6"/>
  <c r="F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s_mcrouch</author>
    <author>A satisfied Microsoft Office user</author>
  </authors>
  <commentList>
    <comment ref="G58" authorId="0" shapeId="0">
      <text>
        <r>
          <rPr>
            <b/>
            <sz val="8"/>
            <color indexed="81"/>
            <rFont val="Tahoma"/>
          </rPr>
          <t>smerris:</t>
        </r>
        <r>
          <rPr>
            <sz val="8"/>
            <color indexed="81"/>
            <rFont val="Tahoma"/>
          </rPr>
          <t xml:space="preserve">
PAC CUT  : 12 MW
</t>
        </r>
      </text>
    </comment>
    <comment ref="K58" authorId="0" shapeId="0">
      <text>
        <r>
          <rPr>
            <b/>
            <sz val="8"/>
            <color indexed="81"/>
            <rFont val="Tahoma"/>
          </rPr>
          <t>smerris:</t>
        </r>
        <r>
          <rPr>
            <sz val="8"/>
            <color indexed="81"/>
            <rFont val="Tahoma"/>
          </rPr>
          <t xml:space="preserve">
20 MW OF SPIN
</t>
        </r>
      </text>
    </comment>
    <comment ref="L58" authorId="0" shapeId="0">
      <text>
        <r>
          <rPr>
            <b/>
            <sz val="8"/>
            <color indexed="81"/>
            <rFont val="Tahoma"/>
          </rPr>
          <t>smerris:</t>
        </r>
        <r>
          <rPr>
            <sz val="8"/>
            <color indexed="81"/>
            <rFont val="Tahoma"/>
          </rPr>
          <t xml:space="preserve">
20 MW OF SPIN
</t>
        </r>
      </text>
    </comment>
    <comment ref="M58" authorId="0" shapeId="0">
      <text>
        <r>
          <rPr>
            <b/>
            <sz val="8"/>
            <color indexed="81"/>
            <rFont val="Tahoma"/>
          </rPr>
          <t>smerris:</t>
        </r>
        <r>
          <rPr>
            <sz val="8"/>
            <color indexed="81"/>
            <rFont val="Tahoma"/>
          </rPr>
          <t xml:space="preserve">
20 MW OF SPIN</t>
        </r>
      </text>
    </comment>
    <comment ref="N58" authorId="0" shapeId="0">
      <text>
        <r>
          <rPr>
            <b/>
            <sz val="8"/>
            <color indexed="81"/>
            <rFont val="Tahoma"/>
          </rPr>
          <t>smerris:</t>
        </r>
        <r>
          <rPr>
            <sz val="8"/>
            <color indexed="81"/>
            <rFont val="Tahoma"/>
          </rPr>
          <t xml:space="preserve">
20 MW OF SPIN
</t>
        </r>
      </text>
    </comment>
    <comment ref="O58" authorId="0" shapeId="0">
      <text>
        <r>
          <rPr>
            <b/>
            <sz val="8"/>
            <color indexed="81"/>
            <rFont val="Tahoma"/>
          </rPr>
          <t>smerris:</t>
        </r>
        <r>
          <rPr>
            <sz val="8"/>
            <color indexed="81"/>
            <rFont val="Tahoma"/>
          </rPr>
          <t xml:space="preserve">
20 MW OF SPIN
</t>
        </r>
      </text>
    </comment>
    <comment ref="P58" authorId="0" shapeId="0">
      <text>
        <r>
          <rPr>
            <b/>
            <sz val="8"/>
            <color indexed="81"/>
            <rFont val="Tahoma"/>
          </rPr>
          <t>smerris:</t>
        </r>
        <r>
          <rPr>
            <sz val="8"/>
            <color indexed="81"/>
            <rFont val="Tahoma"/>
          </rPr>
          <t xml:space="preserve">
20 MW OF SPIN
</t>
        </r>
      </text>
    </comment>
    <comment ref="Q58" authorId="0" shapeId="0">
      <text>
        <r>
          <rPr>
            <b/>
            <sz val="8"/>
            <color indexed="81"/>
            <rFont val="Tahoma"/>
          </rPr>
          <t>smerris:</t>
        </r>
        <r>
          <rPr>
            <sz val="8"/>
            <color indexed="81"/>
            <rFont val="Tahoma"/>
          </rPr>
          <t xml:space="preserve">
20 MW OF SPIN
</t>
        </r>
      </text>
    </comment>
    <comment ref="R58" authorId="0" shapeId="0">
      <text>
        <r>
          <rPr>
            <b/>
            <sz val="8"/>
            <color indexed="81"/>
            <rFont val="Tahoma"/>
          </rPr>
          <t>smerris:</t>
        </r>
        <r>
          <rPr>
            <sz val="8"/>
            <color indexed="81"/>
            <rFont val="Tahoma"/>
          </rPr>
          <t xml:space="preserve">
20 OF MW OF SPIN
</t>
        </r>
      </text>
    </comment>
    <comment ref="T58" authorId="1" shapeId="0">
      <text>
        <r>
          <rPr>
            <sz val="8"/>
            <color indexed="81"/>
            <rFont val="Tahoma"/>
          </rPr>
          <t xml:space="preserve">BUYING 25 SPIN
LINDER
</t>
        </r>
      </text>
    </comment>
    <comment ref="U58" authorId="1" shapeId="0">
      <text>
        <r>
          <rPr>
            <sz val="10"/>
            <color indexed="81"/>
            <rFont val="Tahoma"/>
            <family val="2"/>
          </rPr>
          <t>buying 25 spin
Linder</t>
        </r>
        <r>
          <rPr>
            <sz val="8"/>
            <color indexed="81"/>
            <rFont val="Tahoma"/>
          </rPr>
          <t xml:space="preserve">
</t>
        </r>
      </text>
    </comment>
    <comment ref="V58" authorId="1" shapeId="0">
      <text>
        <r>
          <rPr>
            <sz val="10"/>
            <color indexed="81"/>
            <rFont val="Tahoma"/>
            <family val="2"/>
          </rPr>
          <t>buying 25 mgw  spin
Linder</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s_mcrouch</author>
    <author>Williams</author>
    <author>Holden Salisbury</author>
    <author>r_slinger</author>
  </authors>
  <commentList>
    <comment ref="A8" authorId="0" shapeId="0">
      <text>
        <r>
          <rPr>
            <sz val="16"/>
            <color indexed="81"/>
            <rFont val="Tahoma"/>
            <family val="2"/>
          </rPr>
          <t>Amrad</t>
        </r>
      </text>
    </comment>
    <comment ref="A11" authorId="1" shapeId="0">
      <text>
        <r>
          <rPr>
            <sz val="10"/>
            <color indexed="81"/>
            <rFont val="Tahoma"/>
            <family val="2"/>
          </rPr>
          <t xml:space="preserve">2 mgw of 12 remarkeded see ink sheet
Linder
</t>
        </r>
      </text>
    </comment>
    <comment ref="F11" authorId="1" shapeId="0">
      <text>
        <r>
          <rPr>
            <b/>
            <sz val="8"/>
            <color indexed="81"/>
            <rFont val="Tahoma"/>
          </rPr>
          <t xml:space="preserve">s_mcrouch:
</t>
        </r>
        <r>
          <rPr>
            <b/>
            <sz val="12"/>
            <color indexed="81"/>
            <rFont val="Tahoma"/>
            <family val="2"/>
          </rPr>
          <t>REMARKETED TO PNM AT FOUR CORNERS, 2MW, only 10 mws goes Palo Verde</t>
        </r>
      </text>
    </comment>
    <comment ref="G11" authorId="2" shapeId="0">
      <text>
        <r>
          <rPr>
            <b/>
            <sz val="14"/>
            <color indexed="81"/>
            <rFont val="Tahoma"/>
            <family val="2"/>
          </rPr>
          <t>Williams:</t>
        </r>
        <r>
          <rPr>
            <sz val="14"/>
            <color indexed="81"/>
            <rFont val="Tahoma"/>
            <family val="2"/>
          </rPr>
          <t xml:space="preserve">
Cut to a 10 for 1-6
</t>
        </r>
      </text>
    </comment>
    <comment ref="D18" authorId="3" shapeId="0">
      <text>
        <r>
          <rPr>
            <sz val="10"/>
            <color indexed="81"/>
            <rFont val="Tahoma"/>
            <family val="2"/>
          </rPr>
          <t>NOTE TO SELF.
The CALPX lines are hidden.  They are rows 16-64.</t>
        </r>
      </text>
    </comment>
    <comment ref="F78" authorId="2" shapeId="0">
      <text>
        <r>
          <rPr>
            <b/>
            <sz val="8"/>
            <color indexed="81"/>
            <rFont val="Tahoma"/>
          </rPr>
          <t>Williams:</t>
        </r>
        <r>
          <rPr>
            <sz val="8"/>
            <color indexed="81"/>
            <rFont val="Tahoma"/>
          </rPr>
          <t xml:space="preserve">
</t>
        </r>
      </text>
    </comment>
    <comment ref="F79" authorId="2" shapeId="0">
      <text>
        <r>
          <rPr>
            <b/>
            <sz val="8"/>
            <color indexed="81"/>
            <rFont val="Tahoma"/>
          </rPr>
          <t>Williams:</t>
        </r>
        <r>
          <rPr>
            <sz val="8"/>
            <color indexed="81"/>
            <rFont val="Tahoma"/>
          </rPr>
          <t xml:space="preserve">
Sale of EPMi length of buy/resale</t>
        </r>
      </text>
    </comment>
    <comment ref="I81" authorId="4" shapeId="0">
      <text>
        <r>
          <rPr>
            <b/>
            <sz val="8"/>
            <color indexed="81"/>
            <rFont val="Tahoma"/>
          </rPr>
          <t>r_slinger:</t>
        </r>
        <r>
          <rPr>
            <sz val="8"/>
            <color indexed="81"/>
            <rFont val="Tahoma"/>
          </rPr>
          <t xml:space="preserve">
OTHER SIDE OF B/R TO SEND POWER TO METROWATER.</t>
        </r>
      </text>
    </comment>
    <comment ref="J81" authorId="4" shapeId="0">
      <text>
        <r>
          <rPr>
            <b/>
            <sz val="8"/>
            <color indexed="81"/>
            <rFont val="Tahoma"/>
          </rPr>
          <t>r_slinger:</t>
        </r>
        <r>
          <rPr>
            <sz val="8"/>
            <color indexed="81"/>
            <rFont val="Tahoma"/>
          </rPr>
          <t xml:space="preserve">
OTHER SIDE OF B/R TO SEND POWER TO METROWATER.</t>
        </r>
      </text>
    </comment>
    <comment ref="K81" authorId="4" shapeId="0">
      <text>
        <r>
          <rPr>
            <b/>
            <sz val="8"/>
            <color indexed="81"/>
            <rFont val="Tahoma"/>
          </rPr>
          <t>r_slinger:</t>
        </r>
        <r>
          <rPr>
            <sz val="8"/>
            <color indexed="81"/>
            <rFont val="Tahoma"/>
          </rPr>
          <t xml:space="preserve">
OTHER SIDE OF B/R TO SEND POWER TO METROWATER.</t>
        </r>
      </text>
    </comment>
    <comment ref="K86" authorId="1" shapeId="0">
      <text>
        <r>
          <rPr>
            <b/>
            <sz val="10"/>
            <color indexed="81"/>
            <rFont val="Tahoma"/>
            <family val="2"/>
          </rPr>
          <t>50 integrated to 12 at 14 after</t>
        </r>
      </text>
    </comment>
    <comment ref="F95" authorId="2" shapeId="0">
      <text>
        <r>
          <rPr>
            <b/>
            <sz val="8"/>
            <color indexed="81"/>
            <rFont val="Tahoma"/>
          </rPr>
          <t>Williams:</t>
        </r>
        <r>
          <rPr>
            <sz val="8"/>
            <color indexed="81"/>
            <rFont val="Tahoma"/>
          </rPr>
          <t xml:space="preserve">
Buy/Resale with EPE from PV to 4C</t>
        </r>
      </text>
    </comment>
    <comment ref="I98" authorId="4" shapeId="0">
      <text>
        <r>
          <rPr>
            <b/>
            <sz val="8"/>
            <color indexed="81"/>
            <rFont val="Tahoma"/>
          </rPr>
          <t>r_slinger:</t>
        </r>
        <r>
          <rPr>
            <sz val="8"/>
            <color indexed="81"/>
            <rFont val="Tahoma"/>
          </rPr>
          <t xml:space="preserve">
B/R TO GET PNM PARKING TO FC SO WE COULD SEND IT TO METROWATER.</t>
        </r>
      </text>
    </comment>
    <comment ref="J98" authorId="4" shapeId="0">
      <text>
        <r>
          <rPr>
            <b/>
            <sz val="8"/>
            <color indexed="81"/>
            <rFont val="Tahoma"/>
          </rPr>
          <t>r_slinger:</t>
        </r>
        <r>
          <rPr>
            <sz val="8"/>
            <color indexed="81"/>
            <rFont val="Tahoma"/>
          </rPr>
          <t xml:space="preserve">
B/R TO GET PNM PARKING TO FC SO WE COULD SEND IT TO METROWATER.</t>
        </r>
      </text>
    </comment>
    <comment ref="K98" authorId="4" shapeId="0">
      <text>
        <r>
          <rPr>
            <b/>
            <sz val="8"/>
            <color indexed="81"/>
            <rFont val="Tahoma"/>
          </rPr>
          <t>r_slinger:</t>
        </r>
        <r>
          <rPr>
            <sz val="8"/>
            <color indexed="81"/>
            <rFont val="Tahoma"/>
          </rPr>
          <t xml:space="preserve">
B/R TO GET PNM PARKING TO FC SO WE COULD SEND IT TO METROWATER.</t>
        </r>
      </text>
    </comment>
    <comment ref="F100" authorId="2" shapeId="0">
      <text>
        <r>
          <rPr>
            <b/>
            <sz val="8"/>
            <color indexed="81"/>
            <rFont val="Tahoma"/>
          </rPr>
          <t>Williams:</t>
        </r>
        <r>
          <rPr>
            <sz val="8"/>
            <color indexed="81"/>
            <rFont val="Tahoma"/>
          </rPr>
          <t xml:space="preserve">
EPMI buy-resale from PV to 4C</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<sst xmlns="http://schemas.openxmlformats.org/spreadsheetml/2006/main" count="823" uniqueCount="393">
  <si>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</si>
  <si>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</si>
  <si>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</si>
  <si>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</si>
  <si>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</si>
  <si>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</si>
  <si>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</si>
  <si>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</si>
  <si>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</si>
  <si>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</si>
  <si>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</si>
  <si>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</si>
  <si>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</si>
  <si>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</si>
  <si>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</si>
  <si>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</si>
  <si>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</si>
  <si>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</si>
  <si>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</si>
  <si>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</si>
  <si>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</si>
  <si>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</si>
  <si>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</si>
  <si>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</si>
  <si>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</si>
  <si>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</si>
  <si>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</si>
  <si>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</si>
  <si>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</si>
  <si>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</si>
  <si>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</si>
  <si>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</si>
  <si>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</si>
  <si>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</si>
  <si>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</si>
  <si>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</si>
  <si>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</si>
  <si>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</si>
  <si>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</si>
  <si>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</si>
  <si>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</si>
  <si>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</si>
  <si>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</si>
  <si>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</si>
  <si>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</si>
  <si>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</si>
  <si>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</si>
  <si>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</si>
  <si>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</si>
  <si>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</si>
  <si>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</si>
  <si>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</si>
  <si>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</si>
  <si>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</si>
  <si>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</si>
  <si>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</si>
  <si>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</si>
  <si>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</si>
  <si>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</si>
  <si>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</si>
  <si>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</si>
  <si>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</si>
  <si>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</si>
  <si>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</si>
  <si>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</si>
  <si>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</si>
  <si>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</si>
  <si>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</si>
  <si>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</si>
  <si>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</si>
  <si>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</si>
  <si>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</si>
  <si>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</si>
  <si>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</si>
  <si>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</si>
  <si>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</si>
  <si>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</si>
  <si>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</si>
  <si>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</si>
  <si>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</si>
  <si>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</si>
  <si>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</si>
  <si>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</si>
  <si>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</si>
  <si>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</si>
  <si>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</si>
  <si>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</si>
  <si>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</si>
  <si>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</si>
  <si>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</si>
  <si>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</si>
  <si>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</si>
  <si>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</si>
  <si>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</si>
  <si>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</si>
  <si>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</si>
  <si>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</si>
  <si>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</si>
  <si>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</si>
  <si>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</si>
  <si>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</si>
  <si>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</si>
  <si>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</si>
  <si>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</si>
  <si>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</si>
  <si>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</si>
  <si>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</si>
  <si>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</si>
  <si>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</si>
  <si>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</si>
  <si>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</si>
  <si>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</si>
  <si>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</si>
  <si>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</si>
  <si>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</si>
  <si>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</si>
  <si>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</si>
  <si>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</si>
  <si>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</si>
  <si>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</si>
  <si>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</si>
  <si>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</si>
  <si>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</si>
  <si>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</si>
  <si>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</si>
  <si>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</si>
  <si>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</si>
  <si>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</si>
  <si>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</si>
  <si>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</si>
  <si>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</si>
  <si>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</si>
  <si>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</si>
  <si>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</si>
  <si>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</si>
  <si>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</si>
  <si>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</si>
  <si>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</si>
  <si>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</si>
  <si>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</si>
  <si>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</si>
  <si>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</si>
  <si>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</si>
  <si>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</si>
  <si>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</si>
  <si>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</si>
  <si>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</si>
  <si>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</si>
  <si>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</si>
  <si>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</si>
  <si>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</si>
  <si>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</si>
  <si>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</si>
  <si>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</si>
  <si>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</si>
  <si>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</si>
  <si>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</si>
  <si>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</si>
  <si>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</si>
  <si>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</si>
  <si>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</si>
  <si>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</si>
  <si>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</si>
  <si>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</si>
  <si>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</si>
  <si>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</si>
  <si>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</si>
  <si>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</si>
  <si>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</si>
  <si>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</si>
  <si>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</si>
  <si>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</si>
  <si>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</si>
  <si>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</si>
  <si>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</si>
  <si>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</si>
  <si>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</si>
  <si>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</si>
  <si>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</si>
  <si>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</si>
  <si>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</si>
  <si>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</si>
  <si>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</si>
  <si>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</si>
  <si>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</si>
  <si>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</si>
  <si>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</si>
  <si>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</si>
  <si>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</si>
  <si>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</si>
  <si>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</si>
  <si>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</si>
  <si>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</si>
  <si>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</si>
  <si>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</si>
  <si>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</si>
  <si>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</si>
  <si>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</si>
  <si>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</si>
  <si>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</si>
  <si>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</si>
  <si>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</si>
  <si>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</si>
  <si>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</si>
  <si>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</si>
  <si>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</si>
  <si>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</si>
  <si>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</si>
  <si>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</si>
  <si>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</si>
  <si>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</si>
  <si>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</si>
  <si>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</si>
  <si>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</si>
  <si>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</si>
  <si>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</si>
  <si>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</si>
  <si>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</si>
  <si>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</si>
  <si>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</si>
  <si>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</si>
  <si>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</si>
  <si>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</si>
  <si>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</si>
  <si>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</si>
  <si>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</si>
  <si>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</si>
  <si>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</si>
  <si>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</si>
  <si>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</si>
  <si>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</si>
  <si>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</si>
  <si>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</si>
  <si>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</si>
  <si>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</si>
  <si>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</si>
  <si>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</si>
  <si>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</si>
  <si>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</si>
  <si>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</si>
  <si>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</si>
  <si>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</si>
  <si>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</si>
  <si>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</si>
  <si>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</si>
  <si>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</si>
  <si>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</si>
  <si>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</si>
  <si>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</si>
  <si>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</si>
  <si>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</si>
  <si>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</si>
  <si>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</si>
  <si>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</si>
  <si>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</si>
  <si>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</si>
  <si>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</si>
  <si>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</si>
  <si>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</si>
  <si>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</si>
  <si>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</si>
  <si>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</si>
  <si>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</si>
  <si>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</si>
  <si>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</si>
  <si>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</si>
  <si>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</si>
  <si>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</si>
  <si>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</si>
  <si>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</si>
  <si>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</si>
  <si>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</si>
  <si>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</si>
  <si>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</si>
  <si>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</si>
  <si>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</si>
  <si>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</si>
  <si>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</si>
  <si>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</si>
  <si>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</si>
  <si>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</si>
  <si>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</si>
  <si>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</si>
  <si>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</si>
  <si>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</si>
  <si>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</si>
  <si>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</si>
  <si>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</si>
  <si>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</si>
  <si>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</si>
  <si>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</si>
  <si>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</si>
  <si>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</si>
  <si>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</si>
  <si>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</si>
  <si>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</si>
  <si>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</si>
  <si>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</si>
  <si>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</si>
  <si>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</si>
  <si>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</si>
  <si>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</si>
  <si>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</si>
  <si>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</si>
  <si>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</si>
  <si>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</si>
  <si>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</si>
  <si>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</si>
  <si>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</si>
  <si>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</si>
  <si>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</si>
  <si>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</si>
  <si>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</si>
  <si>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</si>
  <si>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</si>
  <si>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</si>
  <si>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</si>
  <si>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</si>
  <si>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</si>
  <si>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</si>
  <si>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</si>
  <si>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</si>
  <si>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</si>
  <si>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</si>
  <si>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</si>
  <si>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</si>
  <si>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</si>
  <si>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</si>
  <si>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</si>
  <si>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</si>
  <si>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</si>
  <si>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</si>
  <si>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</si>
  <si>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</si>
  <si>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</si>
  <si>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</si>
  <si>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</si>
  <si>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</si>
  <si>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</si>
  <si>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</si>
  <si>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</si>
  <si>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</si>
  <si>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</si>
  <si>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</si>
  <si>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</si>
  <si>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</si>
  <si>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</si>
  <si>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</si>
  <si>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</si>
  <si>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</si>
  <si>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</si>
  <si>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</si>
  <si>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</si>
  <si>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</si>
  <si>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</si>
  <si>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</si>
  <si>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</si>
  <si>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</si>
  <si>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</si>
  <si>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</si>
  <si>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</si>
  <si>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</si>
  <si>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</si>
  <si>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</si>
  <si>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</si>
  <si>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NEWMAN 4 ,UNAV,  0  ,205  , 86  ,214  ,  0  ,1</t>
  </si>
  <si>
    <t>Econ</t>
  </si>
  <si>
    <t>PNM/SHIPROCK</t>
  </si>
  <si>
    <t>CISO/IPC</t>
  </si>
  <si>
    <t>RIOGRAN 7,MANL, 32  , 32  , 30  , 49  ,  0  ,1</t>
  </si>
  <si>
    <t>CISO/APS</t>
  </si>
  <si>
    <t>CISO/SRP/MWD</t>
  </si>
  <si>
    <t>CISO/PAC</t>
  </si>
  <si>
    <t>LDWP</t>
  </si>
  <si>
    <t>RIOGRAN 6,MANL, 38  , 40  , 28  , 48  ,  0  ,1</t>
  </si>
  <si>
    <t>CISO/EPMI</t>
  </si>
  <si>
    <t>EPMI(PNM)</t>
  </si>
  <si>
    <t>Firm</t>
  </si>
  <si>
    <t>EPMI(CISO)</t>
  </si>
  <si>
    <t>EPMI/METROWATER/APS(T)</t>
  </si>
  <si>
    <t>x</t>
  </si>
  <si>
    <t>FOURCRNRS,MANL, 51  , 51  , 51  ,104  ,  0  ,1</t>
  </si>
  <si>
    <t>PALOVERDE,MANL,395  ,395  ,395  ,600  ,  0  ,1</t>
  </si>
  <si>
    <t>RIOGRAN 8,MANL, 49  ,100  , 45  ,151  ,  0  ,1</t>
  </si>
  <si>
    <t>EPMI</t>
  </si>
  <si>
    <t>NEWMAN 1 ,MANL, 31  , 65  , 37  , 78  ,  0  ,1</t>
  </si>
  <si>
    <t>NEWMAN 2 ,ECON, 52  , 77  , 37  , 83  , 26  ,1</t>
  </si>
  <si>
    <t>NEWMAN 3 ,ECON, 94  , 95  , 37  ,103  ,  1  ,1</t>
  </si>
  <si>
    <t>NM/GT1+ST,ECON,100  ,100  , 61  ,107  ,  0  ,1</t>
  </si>
  <si>
    <t xml:space="preserve">NEWMAN   ,, 277 ,  337,  172, 371 ,  27 , </t>
  </si>
  <si>
    <t>COPPER   ,AVAL, -0  , 69  , 15  , 69  ,  0  ,1</t>
  </si>
  <si>
    <t xml:space="preserve">RIOGRANDE,, 119 ,  172,  103, 248 ,   0 , </t>
  </si>
  <si>
    <t>LAMBDA, 44.34,  618,  626,   89,    6,    0,21911,91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</si>
</sst>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81"/>
      <name val="Tahoma"/>
      <family val="2"/>
    </font>
    <font>
      <b/>
      <sz val="12"/>
      <color indexed="81"/>
      <name val="Tahoma"/>
      <family val="2"/>
    </font>
    <font>
      <b/>
      <sz val="14"/>
      <color indexed="81"/>
      <name val="Tahoma"/>
      <family val="2"/>
    </font>
    <font>
      <sz val="14"/>
      <color indexed="81"/>
      <name val="Tahoma"/>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77" fillId="4" borderId="62" xfId="0" applyFont="1" applyFill="1" applyBorder="1" applyAlignment="1">
      <alignment wrapText="1"/>
    </xf>
    <xf numFmtId="0" fontId="22" fillId="4" borderId="62" xfId="0" applyFont="1" applyFill="1" applyBorder="1" applyAlignment="1">
      <alignment wrapText="1"/>
    </xf>
    <xf numFmtId="0" fontId="63"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111</xdr:row>
          <xdr:rowOff>167640</xdr:rowOff>
        </xdr:from>
        <xdr:to>
          <xdr:col>12</xdr:col>
          <xdr:colOff>99060</xdr:colOff>
          <xdr:row>112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113</xdr:row>
      <xdr:rowOff>0</xdr:rowOff>
    </xdr:from>
    <xdr:to>
      <xdr:col>24</xdr:col>
      <xdr:colOff>259080</xdr:colOff>
      <xdr:row>136</xdr:row>
      <xdr:rowOff>76200</xdr:rowOff>
    </xdr:to>
    <xdr:sp macro="" textlink="">
      <xdr:nvSpPr>
        <xdr:cNvPr id="2303" name="Text Box 255"/>
        <xdr:cNvSpPr txBox="1">
          <a:spLocks noChangeArrowheads="1"/>
        </xdr:cNvSpPr>
      </xdr:nvSpPr>
      <xdr:spPr bwMode="auto">
        <a:xfrm>
          <a:off x="5120640" y="108280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0"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7">
        <v>36983</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8"/>
      <c r="B2" s="506" t="s">
        <v>380</v>
      </c>
      <c r="C2" s="506" t="s">
        <v>380</v>
      </c>
      <c r="D2" s="506" t="s">
        <v>380</v>
      </c>
      <c r="E2" s="506" t="s">
        <v>380</v>
      </c>
      <c r="F2" s="506" t="s">
        <v>380</v>
      </c>
      <c r="G2" s="506" t="s">
        <v>380</v>
      </c>
      <c r="H2" s="506" t="s">
        <v>380</v>
      </c>
      <c r="I2" s="506" t="s">
        <v>380</v>
      </c>
      <c r="J2" s="506" t="s">
        <v>380</v>
      </c>
      <c r="K2" s="506" t="s">
        <v>380</v>
      </c>
      <c r="L2" s="506" t="s">
        <v>380</v>
      </c>
      <c r="M2" s="506" t="s">
        <v>380</v>
      </c>
      <c r="N2" s="506" t="s">
        <v>380</v>
      </c>
      <c r="O2" s="506" t="s">
        <v>380</v>
      </c>
      <c r="P2" s="506" t="s">
        <v>380</v>
      </c>
      <c r="Q2" s="506" t="s">
        <v>380</v>
      </c>
      <c r="R2" s="506" t="s">
        <v>380</v>
      </c>
      <c r="S2" s="506" t="s">
        <v>380</v>
      </c>
      <c r="T2" s="506" t="s">
        <v>380</v>
      </c>
      <c r="U2" s="506" t="s">
        <v>380</v>
      </c>
      <c r="V2" s="506" t="s">
        <v>380</v>
      </c>
      <c r="W2" s="506" t="s">
        <v>380</v>
      </c>
      <c r="X2" s="506" t="s">
        <v>380</v>
      </c>
      <c r="Y2" s="626" t="s">
        <v>380</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10" t="s">
        <v>306</v>
      </c>
      <c r="B4" s="529">
        <v>581</v>
      </c>
      <c r="C4" s="529">
        <v>556</v>
      </c>
      <c r="D4" s="529">
        <v>565</v>
      </c>
      <c r="E4" s="529">
        <v>577</v>
      </c>
      <c r="F4" s="529">
        <v>588</v>
      </c>
      <c r="G4" s="529">
        <v>688</v>
      </c>
      <c r="H4" s="529">
        <v>737</v>
      </c>
      <c r="I4" s="529">
        <v>776</v>
      </c>
      <c r="J4" s="529">
        <v>793</v>
      </c>
      <c r="K4" s="529">
        <v>836</v>
      </c>
      <c r="L4" s="529">
        <v>845</v>
      </c>
      <c r="M4" s="529">
        <v>859</v>
      </c>
      <c r="N4" s="529">
        <v>848</v>
      </c>
      <c r="O4" s="529">
        <v>861</v>
      </c>
      <c r="P4" s="529">
        <v>843</v>
      </c>
      <c r="Q4" s="529">
        <v>846</v>
      </c>
      <c r="R4" s="529">
        <v>810</v>
      </c>
      <c r="S4" s="529">
        <v>804</v>
      </c>
      <c r="T4" s="529">
        <v>835</v>
      </c>
      <c r="U4" s="529">
        <v>871</v>
      </c>
      <c r="V4" s="529">
        <v>844</v>
      </c>
      <c r="W4" s="529">
        <v>779</v>
      </c>
      <c r="X4" s="529">
        <v>692</v>
      </c>
      <c r="Y4" s="530">
        <v>626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1.4"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1.4"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1.4" x14ac:dyDescent="0.2">
      <c r="A14" s="613" t="s">
        <v>305</v>
      </c>
      <c r="B14" s="552">
        <f ca="1">Deals!F11+Deals!F16+Deals!F15</f>
        <v>12</v>
      </c>
      <c r="C14" s="552">
        <f>Deals!G10+Deals!G16+Deals!G15</f>
        <v>25</v>
      </c>
      <c r="D14" s="552">
        <f>Deals!H10+Deals!H16+Deals!H15</f>
        <v>25</v>
      </c>
      <c r="E14" s="552">
        <f>Deals!I10+Deals!I16+Deals!I15</f>
        <v>25</v>
      </c>
      <c r="F14" s="552">
        <f>Deals!J10+Deals!J16+Deals!J15</f>
        <v>25</v>
      </c>
      <c r="G14" s="552">
        <f>Deals!K10+Deals!K16+Deals!K15</f>
        <v>25</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25</v>
      </c>
      <c r="Y14" s="552">
        <f>Deals!AC10+Deals!AC16+Deals!AC15</f>
        <v>25</v>
      </c>
      <c r="Z14" s="160"/>
      <c r="AA14" s="162"/>
    </row>
    <row r="15" spans="1:213" s="161" customFormat="1" ht="11.4" x14ac:dyDescent="0.2">
      <c r="A15" s="614" t="s">
        <v>256</v>
      </c>
      <c r="B15" s="202">
        <f t="array" aca="1" ref="B15" ca="1">SUM(IF((DelPoint= "PV")*IF((DType = "firm")+(DType = "econ")&gt;0,1,0)*(OFFSET(DelPoint,0,B3+2)&lt;0),OFFSET(DelPoint,0,B3+2),0))</f>
        <v>-38</v>
      </c>
      <c r="C15" s="202">
        <f t="array" aca="1" ref="C15" ca="1">SUM(IF((DelPoint= "PV")*IF((DType = "firm")+(DType = "econ")&gt;0,1,0)*(OFFSET(DelPoint,0,C3+2)&lt;0),OFFSET(DelPoint,0,C3+2),0))</f>
        <v>-25</v>
      </c>
      <c r="D15" s="202">
        <f t="array" aca="1" ref="D15" ca="1">SUM(IF((DelPoint= "PV")*IF((DType = "firm")+(DType = "econ")&gt;0,1,0)*(OFFSET(DelPoint,0,D3+2)&lt;0),OFFSET(DelPoint,0,D3+2),0))</f>
        <v>-25</v>
      </c>
      <c r="E15" s="202">
        <f t="array" aca="1" ref="E15" ca="1">SUM(IF((DelPoint= "PV")*IF((DType = "firm")+(DType = "econ")&gt;0,1,0)*(OFFSET(DelPoint,0,E3+2)&lt;0),OFFSET(DelPoint,0,E3+2),0))</f>
        <v>-25</v>
      </c>
      <c r="F15" s="202">
        <f t="array" aca="1" ref="F15" ca="1">SUM(IF((DelPoint= "PV")*IF((DType = "firm")+(DType = "econ")&gt;0,1,0)*(OFFSET(DelPoint,0,F3+2)&lt;0),OFFSET(DelPoint,0,F3+2),0))</f>
        <v>-25</v>
      </c>
      <c r="G15" s="202">
        <f t="array" aca="1" ref="G15" ca="1">SUM(IF((DelPoint= "PV")*IF((DType = "firm")+(DType = "econ")&gt;0,1,0)*(OFFSET(DelPoint,0,G3+2)&lt;0),OFFSET(DelPoint,0,G3+2),0))</f>
        <v>-25</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-20</v>
      </c>
      <c r="L15" s="202">
        <f t="array" aca="1" ref="L15" ca="1">SUM(IF((DelPoint= "PV")*IF((DType = "firm")+(DType = "econ")&gt;0,1,0)*(OFFSET(DelPoint,0,L3+2)&lt;0),OFFSET(DelPoint,0,L3+2),0))</f>
        <v>-20</v>
      </c>
      <c r="M15" s="202">
        <f t="array" aca="1" ref="M15" ca="1">SUM(IF((DelPoint= "PV")*IF((DType = "firm")+(DType = "econ")&gt;0,1,0)*(OFFSET(DelPoint,0,M3+2)&lt;0),OFFSET(DelPoint,0,M3+2),0))</f>
        <v>-20</v>
      </c>
      <c r="N15" s="202">
        <f t="array" aca="1" ref="N15" ca="1">SUM(IF((DelPoint= "PV")*IF((DType = "firm")+(DType = "econ")&gt;0,1,0)*(OFFSET(DelPoint,0,N3+2)&lt;0),OFFSET(DelPoint,0,N3+2),0))</f>
        <v>-20</v>
      </c>
      <c r="O15" s="202">
        <f t="array" aca="1" ref="O15" ca="1">SUM(IF((DelPoint= "PV")*IF((DType = "firm")+(DType = "econ")&gt;0,1,0)*(OFFSET(DelPoint,0,O3+2)&lt;0),OFFSET(DelPoint,0,O3+2),0))</f>
        <v>-20</v>
      </c>
      <c r="P15" s="202">
        <f t="array" aca="1" ref="P15" ca="1">SUM(IF((DelPoint= "PV")*IF((DType = "firm")+(DType = "econ")&gt;0,1,0)*(OFFSET(DelPoint,0,P3+2)&lt;0),OFFSET(DelPoint,0,P3+2),0))</f>
        <v>-45</v>
      </c>
      <c r="Q15" s="202">
        <f t="array" aca="1" ref="Q15" ca="1">SUM(IF((DelPoint= "PV")*IF((DType = "firm")+(DType = "econ")&gt;0,1,0)*(OFFSET(DelPoint,0,Q3+2)&lt;0),OFFSET(DelPoint,0,Q3+2),0))</f>
        <v>-45</v>
      </c>
      <c r="R15" s="202">
        <f t="array" aca="1" ref="R15" ca="1">SUM(IF((DelPoint= "PV")*IF((DType = "firm")+(DType = "econ")&gt;0,1,0)*(OFFSET(DelPoint,0,R3+2)&lt;0),OFFSET(DelPoint,0,R3+2),0))</f>
        <v>-20</v>
      </c>
      <c r="S15" s="202">
        <f t="array" aca="1" ref="S15" ca="1">SUM(IF((DelPoint= "PV")*IF((DType = "firm")+(DType = "econ")&gt;0,1,0)*(OFFSET(DelPoint,0,S3+2)&lt;0),OFFSET(DelPoint,0,S3+2),0))</f>
        <v>0</v>
      </c>
      <c r="T15" s="202">
        <f t="array" aca="1" ref="T15" ca="1">SUM(IF((DelPoint= "PV")*IF((DType = "firm")+(DType = "econ")&gt;0,1,0)*(OFFSET(DelPoint,0,T3+2)&lt;0),OFFSET(DelPoint,0,T3+2),0))</f>
        <v>-25</v>
      </c>
      <c r="U15" s="202">
        <f t="array" aca="1" ref="U15" ca="1">SUM(IF((DelPoint= "PV")*IF((DType = "firm")+(DType = "econ")&gt;0,1,0)*(OFFSET(DelPoint,0,U3+2)&lt;0),OFFSET(DelPoint,0,U3+2),0))</f>
        <v>-100</v>
      </c>
      <c r="V15" s="202">
        <f t="array" aca="1" ref="V15" ca="1">SUM(IF((DelPoint= "PV")*IF((DType = "firm")+(DType = "econ")&gt;0,1,0)*(OFFSET(DelPoint,0,V3+2)&lt;0),OFFSET(DelPoint,0,V3+2),0))</f>
        <v>-100</v>
      </c>
      <c r="W15" s="202">
        <f t="array" aca="1" ref="W15" ca="1">SUM(IF((DelPoint= "PV")*IF((DType = "firm")+(DType = "econ")&gt;0,1,0)*(OFFSET(DelPoint,0,W3+2)&lt;0),OFFSET(DelPoint,0,W3+2),0))</f>
        <v>-75</v>
      </c>
      <c r="X15" s="202">
        <f t="array" aca="1" ref="X15" ca="1">SUM(IF((DelPoint= "PV")*IF((DType = "firm")+(DType = "econ")&gt;0,1,0)*(OFFSET(DelPoint,0,X3+2)&lt;0),OFFSET(DelPoint,0,X3+2),0))</f>
        <v>-50</v>
      </c>
      <c r="Y15" s="651">
        <f t="array" aca="1" ref="Y15" ca="1">SUM(IF((DelPoint= "PV")*IF((DType = "firm")+(DType = "econ")&gt;0,1,0)*(OFFSET(DelPoint,0,Y3+2)&lt;0),OFFSET(DelPoint,0,Y3+2),0))</f>
        <v>0</v>
      </c>
      <c r="Z15" s="160"/>
      <c r="AA15" s="162"/>
    </row>
    <row r="16" spans="1:213" s="161" customFormat="1" ht="11.4"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1.4"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 ca="1">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1.4"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 ca="1">Deals!F3</f>
        <v>130</v>
      </c>
      <c r="C22" s="427">
        <f>Deals!G3</f>
        <v>130</v>
      </c>
      <c r="D22" s="427">
        <f>Deals!H3</f>
        <v>130</v>
      </c>
      <c r="E22" s="427">
        <f>Deals!I3</f>
        <v>120</v>
      </c>
      <c r="F22" s="427">
        <f>Deals!J3</f>
        <v>110</v>
      </c>
      <c r="G22" s="427">
        <f>Deals!K3</f>
        <v>110</v>
      </c>
      <c r="H22" s="427">
        <f>Deals!L3</f>
        <v>60</v>
      </c>
      <c r="I22" s="427">
        <f>Deals!M3</f>
        <v>50</v>
      </c>
      <c r="J22" s="427">
        <f>Deals!N3</f>
        <v>75</v>
      </c>
      <c r="K22" s="427">
        <f>Deals!O3</f>
        <v>100</v>
      </c>
      <c r="L22" s="427">
        <f>Deals!P3</f>
        <v>110</v>
      </c>
      <c r="M22" s="427">
        <f>Deals!Q3</f>
        <v>125</v>
      </c>
      <c r="N22" s="427">
        <f>Deals!R3</f>
        <v>150</v>
      </c>
      <c r="O22" s="427">
        <f>Deals!S3</f>
        <v>150</v>
      </c>
      <c r="P22" s="427">
        <f>Deals!T3</f>
        <v>150</v>
      </c>
      <c r="Q22" s="427">
        <f>Deals!U3</f>
        <v>150</v>
      </c>
      <c r="R22" s="427">
        <f>Deals!V3</f>
        <v>150</v>
      </c>
      <c r="S22" s="427">
        <f>Deals!W3</f>
        <v>150</v>
      </c>
      <c r="T22" s="427">
        <f>Deals!X3</f>
        <v>150</v>
      </c>
      <c r="U22" s="427">
        <f>Deals!Y3</f>
        <v>130</v>
      </c>
      <c r="V22" s="427">
        <f>Deals!Z3</f>
        <v>130</v>
      </c>
      <c r="W22" s="427">
        <f>Deals!AA3</f>
        <v>70</v>
      </c>
      <c r="X22" s="427">
        <f>Deals!AB3</f>
        <v>150</v>
      </c>
      <c r="Y22" s="519">
        <f>Deals!AC3</f>
        <v>150</v>
      </c>
      <c r="Z22" s="160"/>
      <c r="AA22" s="162"/>
    </row>
    <row r="23" spans="1:27" s="161" customFormat="1" ht="12" x14ac:dyDescent="0.2">
      <c r="A23" s="520" t="s">
        <v>307</v>
      </c>
      <c r="B23" s="715">
        <f>Deals!F5</f>
        <v>1</v>
      </c>
      <c r="C23" s="205">
        <f>Deals!G5</f>
        <v>1</v>
      </c>
      <c r="D23" s="205">
        <f>Deals!H5</f>
        <v>1</v>
      </c>
      <c r="E23" s="205">
        <f>Deals!I5</f>
        <v>1</v>
      </c>
      <c r="F23" s="205">
        <f>Deals!J5</f>
        <v>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5">
        <f>Deals!AC5</f>
        <v>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359</v>
      </c>
      <c r="B27" s="711">
        <f ca="1">Deals!F13</f>
        <v>3</v>
      </c>
      <c r="C27" s="207">
        <f>Deals!G13</f>
        <v>3</v>
      </c>
      <c r="D27" s="207">
        <f>Deals!H13</f>
        <v>3</v>
      </c>
      <c r="E27" s="207">
        <f>Deals!I13</f>
        <v>3</v>
      </c>
      <c r="F27" s="207">
        <f>Deals!J13</f>
        <v>3</v>
      </c>
      <c r="G27" s="207">
        <f>Deals!K13</f>
        <v>3</v>
      </c>
      <c r="H27" s="207">
        <f>Deals!L13</f>
        <v>0</v>
      </c>
      <c r="I27" s="207">
        <f>Deals!M13</f>
        <v>0</v>
      </c>
      <c r="J27" s="207">
        <f>Deals!N13</f>
        <v>0</v>
      </c>
      <c r="K27" s="207">
        <f>Deals!O13</f>
        <v>0</v>
      </c>
      <c r="L27" s="207">
        <f>Deals!P13</f>
        <v>0</v>
      </c>
      <c r="M27" s="207">
        <f>Deals!Q13</f>
        <v>0</v>
      </c>
      <c r="N27" s="207">
        <f>Deals!R13</f>
        <v>0</v>
      </c>
      <c r="O27" s="207">
        <f>Deals!S13</f>
        <v>0</v>
      </c>
      <c r="P27" s="207">
        <f>Deals!T13</f>
        <v>0</v>
      </c>
      <c r="Q27" s="207">
        <f>Deals!U13</f>
        <v>0</v>
      </c>
      <c r="R27" s="207">
        <f>Deals!V13</f>
        <v>0</v>
      </c>
      <c r="S27" s="207">
        <f>Deals!W13</f>
        <v>0</v>
      </c>
      <c r="T27" s="207">
        <f>Deals!X13</f>
        <v>0</v>
      </c>
      <c r="U27" s="207">
        <f>Deals!Y13</f>
        <v>0</v>
      </c>
      <c r="V27" s="207">
        <f>Deals!Z13</f>
        <v>0</v>
      </c>
      <c r="W27" s="207">
        <f>Deals!AA13</f>
        <v>0</v>
      </c>
      <c r="X27" s="207">
        <f>Deals!AB13</f>
        <v>3</v>
      </c>
      <c r="Y27" s="648">
        <f>Deals!AC13</f>
        <v>3</v>
      </c>
      <c r="Z27" s="160"/>
      <c r="AA27" s="162"/>
    </row>
    <row r="28" spans="1:27" s="161" customFormat="1" ht="12" thickBot="1" x14ac:dyDescent="0.25">
      <c r="A28" s="663" t="s">
        <v>117</v>
      </c>
      <c r="B28" s="664">
        <f t="array" aca="1" ref="B28" ca="1">SUM(IF((DelPoint= "4C")*IF((DType = "firm")+(DType = "econ")&gt;0,1,0)*(OFFSET(DelPoint,0,B3+2)&gt;0),OFFSET(DelPoint,0,B3+2),0))</f>
        <v>58</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50</v>
      </c>
      <c r="G28" s="664">
        <f t="array" aca="1" ref="G28" ca="1">SUM(IF((DelPoint= "4C")*IF((DType = "firm")+(DType = "econ")&gt;0,1,0)*(OFFSET(DelPoint,0,G3+2)&gt;0),OFFSET(DelPoint,0,G3+2),0))</f>
        <v>12</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50</v>
      </c>
      <c r="K28" s="664">
        <f t="array" aca="1" ref="K28" ca="1">SUM(IF((DelPoint= "4C")*IF((DType = "firm")+(DType = "econ")&gt;0,1,0)*(OFFSET(DelPoint,0,K3+2)&gt;0),OFFSET(DelPoint,0,K3+2),0))</f>
        <v>50</v>
      </c>
      <c r="L28" s="664">
        <f t="array" aca="1" ref="L28" ca="1">SUM(IF((DelPoint= "4C")*IF((DType = "firm")+(DType = "econ")&gt;0,1,0)*(OFFSET(DelPoint,0,L3+2)&gt;0),OFFSET(DelPoint,0,L3+2),0))</f>
        <v>25</v>
      </c>
      <c r="M28" s="664">
        <f t="array" aca="1" ref="M28" ca="1">SUM(IF((DelPoint= "4C")*IF((DType = "firm")+(DType = "econ")&gt;0,1,0)*(OFFSET(DelPoint,0,M3+2)&gt;0),OFFSET(DelPoint,0,M3+2),0))</f>
        <v>20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40</v>
      </c>
      <c r="V28" s="664">
        <f t="array" aca="1" ref="V28" ca="1">SUM(IF((DelPoint= "4C")*IF((DType = "firm")+(DType = "econ")&gt;0,1,0)*(OFFSET(DelPoint,0,V3+2)&gt;0),OFFSET(DelPoint,0,V3+2),0))</f>
        <v>40</v>
      </c>
      <c r="W28" s="664">
        <f t="array" aca="1" ref="W28" ca="1">SUM(IF((DelPoint= "4C")*IF((DType = "firm")+(DType = "econ")&gt;0,1,0)*(OFFSET(DelPoint,0,W3+2)&gt;0),OFFSET(DelPoint,0,W3+2),0))</f>
        <v>40</v>
      </c>
      <c r="X28" s="664">
        <f t="array" aca="1" ref="X28" ca="1">SUM(IF((DelPoint= "4C")*IF((DType = "firm")+(DType = "econ")&gt;0,1,0)*(OFFSET(DelPoint,0,X3+2)&gt;0),OFFSET(DelPoint,0,X3+2),0))</f>
        <v>40</v>
      </c>
      <c r="Y28" s="666">
        <f t="array" aca="1" ref="Y28" ca="1">SUM(IF((DelPoint= "4C")*IF((DType = "firm")+(DType = "econ")&gt;0,1,0)*(OFFSET(DelPoint,0,Y3+2)&gt;0),OFFSET(DelPoint,0,Y3+2),0))</f>
        <v>40</v>
      </c>
      <c r="Z28" s="160"/>
      <c r="AA28" s="162"/>
    </row>
    <row r="29" spans="1:27" s="161" customFormat="1" ht="11.4" x14ac:dyDescent="0.2">
      <c r="A29" s="659" t="s">
        <v>118</v>
      </c>
      <c r="B29" s="660">
        <f t="array" aca="1" ref="B29" ca="1">SUM(IF((DelPoint= "PV")*(DType = "pre")*(OFFSET(DelPoint,0,B3+2)&gt;0),OFFSET(DelPoint,0,B3+2),0))</f>
        <v>0</v>
      </c>
      <c r="C29" s="661">
        <f t="array" aca="1" ref="C29" ca="1">SUM(IF((DelPoint= "PV")*(DType = "pre")*(OFFSET(DelPoint,0,C3+2)&gt;0),OFFSET(DelPoint,0,C3+2),0))</f>
        <v>0</v>
      </c>
      <c r="D29" s="661">
        <f t="array" aca="1" ref="D29" ca="1">SUM(IF((DelPoint= "PV")*(DType = "pre")*(OFFSET(DelPoint,0,D3+2)&gt;0),OFFSET(DelPoint,0,D3+2),0))</f>
        <v>0</v>
      </c>
      <c r="E29" s="660">
        <f t="array" aca="1" ref="E29" ca="1">SUM(IF((DelPoint= "PV")*(DType = "pre")*(OFFSET(DelPoint,0,E3+2)&gt;0),OFFSET(DelPoint,0,E3+2),0))</f>
        <v>0</v>
      </c>
      <c r="F29" s="660">
        <f t="array" aca="1" ref="F29" ca="1">SUM(IF((DelPoint= "PV")*(DType = "pre")*(OFFSET(DelPoint,0,F3+2)&gt;0),OFFSET(DelPoint,0,F3+2),0))</f>
        <v>0</v>
      </c>
      <c r="G29" s="660">
        <f t="array" aca="1" ref="G29" ca="1">SUM(IF((DelPoint= "PV")*(DType = "pre")*(OFFSET(DelPoint,0,G3+2)&gt;0),OFFSET(DelPoint,0,G3+2),0))</f>
        <v>0</v>
      </c>
      <c r="H29" s="660">
        <f t="array" aca="1" ref="H29" ca="1">SUM(IF((DelPoint= "PV")*(DType = "pre")*(OFFSET(DelPoint,0,H3+2)&gt;0),OFFSET(DelPoint,0,H3+2),0))</f>
        <v>0</v>
      </c>
      <c r="I29" s="660">
        <f t="array" aca="1" ref="I29" ca="1">SUM(IF((DelPoint= "PV")*(DType = "pre")*(OFFSET(DelPoint,0,I3+2)&gt;0),OFFSET(DelPoint,0,I3+2),0))</f>
        <v>0</v>
      </c>
      <c r="J29" s="660">
        <f t="array" aca="1" ref="J29" ca="1">SUM(IF((DelPoint= "PV")*(DType = "pre")*(OFFSET(DelPoint,0,J3+2)&gt;0),OFFSET(DelPoint,0,J3+2),0))</f>
        <v>0</v>
      </c>
      <c r="K29" s="660">
        <f t="array" aca="1" ref="K29" ca="1">SUM(IF((DelPoint= "PV")*(DType = "pre")*(OFFSET(DelPoint,0,K3+2)&gt;0),OFFSET(DelPoint,0,K3+2),0))</f>
        <v>0</v>
      </c>
      <c r="L29" s="660">
        <f t="array" aca="1" ref="L29" ca="1">SUM(IF((DelPoint= "PV")*(DType = "pre")*(OFFSET(DelPoint,0,L3+2)&gt;0),OFFSET(DelPoint,0,L3+2),0))</f>
        <v>0</v>
      </c>
      <c r="M29" s="660">
        <f t="array" aca="1" ref="M29" ca="1">SUM(IF((DelPoint= "PV")*(DType = "pre")*(OFFSET(DelPoint,0,M3+2)&gt;0),OFFSET(DelPoint,0,M3+2),0))</f>
        <v>0</v>
      </c>
      <c r="N29" s="660">
        <f t="array" aca="1" ref="N29" ca="1">SUM(IF((DelPoint= "PV")*(DType = "pre")*(OFFSET(DelPoint,0,N3+2)&gt;0),OFFSET(DelPoint,0,N3+2),0))</f>
        <v>0</v>
      </c>
      <c r="O29" s="660">
        <f t="array" aca="1" ref="O29" ca="1">SUM(IF((DelPoint= "PV")*(DType = "pre")*(OFFSET(DelPoint,0,O3+2)&gt;0),OFFSET(DelPoint,0,O3+2),0))</f>
        <v>0</v>
      </c>
      <c r="P29" s="660">
        <f t="array" aca="1" ref="P29" ca="1">SUM(IF((DelPoint= "PV")*(DType = "pre")*(OFFSET(DelPoint,0,P3+2)&gt;0),OFFSET(DelPoint,0,P3+2),0))</f>
        <v>0</v>
      </c>
      <c r="Q29" s="660">
        <f t="array" aca="1" ref="Q29" ca="1">SUM(IF((DelPoint= "PV")*(DType = "pre")*(OFFSET(DelPoint,0,Q3+2)&gt;0),OFFSET(DelPoint,0,Q3+2),0))</f>
        <v>0</v>
      </c>
      <c r="R29" s="660">
        <f t="array" aca="1" ref="R29" ca="1">SUM(IF((DelPoint= "PV")*(DType = "pre")*(OFFSET(DelPoint,0,R3+2)&gt;0),OFFSET(DelPoint,0,R3+2),0))</f>
        <v>0</v>
      </c>
      <c r="S29" s="660">
        <f t="array" aca="1" ref="S29" ca="1">SUM(IF((DelPoint= "PV")*(DType = "pre")*(OFFSET(DelPoint,0,S3+2)&gt;0),OFFSET(DelPoint,0,S3+2),0))</f>
        <v>0</v>
      </c>
      <c r="T29" s="660">
        <f t="array" aca="1" ref="T29" ca="1">SUM(IF((DelPoint= "PV")*(DType = "pre")*(OFFSET(DelPoint,0,T3+2)&gt;0),OFFSET(DelPoint,0,T3+2),0))</f>
        <v>0</v>
      </c>
      <c r="U29" s="660">
        <f t="array" aca="1" ref="U29" ca="1">SUM(IF((DelPoint= "PV")*(DType = "pre")*(OFFSET(DelPoint,0,U3+2)&gt;0),OFFSET(DelPoint,0,U3+2),0))</f>
        <v>0</v>
      </c>
      <c r="V29" s="660">
        <f t="array" aca="1" ref="V29" ca="1">SUM(IF((DelPoint= "PV")*(DType = "pre")*(OFFSET(DelPoint,0,V3+2)&gt;0),OFFSET(DelPoint,0,V3+2),0))</f>
        <v>0</v>
      </c>
      <c r="W29" s="660">
        <f t="array" aca="1" ref="W29" ca="1">SUM(IF((DelPoint= "PV")*(DType = "pre")*(OFFSET(DelPoint,0,W3+2)&gt;0),OFFSET(DelPoint,0,W3+2),0))</f>
        <v>0</v>
      </c>
      <c r="X29" s="660">
        <f t="array" aca="1" ref="X29" ca="1">SUM(IF((DelPoint= "PV")*(DType = "pre")*(OFFSET(DelPoint,0,X3+2)&gt;0),OFFSET(DelPoint,0,X3+2),0))</f>
        <v>0</v>
      </c>
      <c r="Y29" s="662">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305</v>
      </c>
      <c r="B31" s="716">
        <f ca="1">Deals!F8+Deals!F9+Deals!F11+Deals!F12+Deals!F15+Deals!F16</f>
        <v>75</v>
      </c>
      <c r="C31" s="716">
        <f>Deals!G8+Deals!G9+Deals!G11+Deals!G12+Deals!G15+Deals!G16</f>
        <v>73</v>
      </c>
      <c r="D31" s="716">
        <f>Deals!H8+Deals!H9+Deals!H11+Deals!H12+Deals!H15+Deals!H16</f>
        <v>73</v>
      </c>
      <c r="E31" s="716">
        <f>Deals!I8+Deals!I9+Deals!I11+Deals!I12+Deals!I15+Deals!I16</f>
        <v>73</v>
      </c>
      <c r="F31" s="716">
        <f>Deals!J8+Deals!J9+Deals!J11+Deals!J12+Deals!J15+Deals!J16</f>
        <v>73</v>
      </c>
      <c r="G31" s="716">
        <f>Deals!K8+Deals!K9+Deals!K11+Deals!K12+Deals!K15+Deals!K16</f>
        <v>73</v>
      </c>
      <c r="H31" s="716">
        <f>Deals!L8+Deals!L9+Deals!L11+Deals!L12+Deals!L15+Deals!L16</f>
        <v>0</v>
      </c>
      <c r="I31" s="716">
        <f>Deals!M8+Deals!M9+Deals!M11+Deals!M12+Deals!M15+Deals!M16</f>
        <v>0</v>
      </c>
      <c r="J31" s="716">
        <f>Deals!N8+Deals!N9+Deals!N11+Deals!N12+Deals!N15+Deals!N16</f>
        <v>0</v>
      </c>
      <c r="K31" s="716">
        <f>Deals!O8+Deals!O9+Deals!O11+Deals!O12+Deals!O15+Deals!O16</f>
        <v>0</v>
      </c>
      <c r="L31" s="716">
        <f>Deals!P8+Deals!P9+Deals!P11+Deals!P12+Deals!P15+Deals!P16</f>
        <v>0</v>
      </c>
      <c r="M31" s="716">
        <f>Deals!Q8+Deals!Q9+Deals!Q11+Deals!Q12+Deals!Q15+Deals!Q16</f>
        <v>0</v>
      </c>
      <c r="N31" s="716">
        <f>Deals!R8+Deals!R9+Deals!R11+Deals!R12+Deals!R15+Deals!R16</f>
        <v>0</v>
      </c>
      <c r="O31" s="716">
        <f>Deals!S8+Deals!S9+Deals!S11+Deals!S12+Deals!S15+Deals!S16</f>
        <v>0</v>
      </c>
      <c r="P31" s="716">
        <f>Deals!T8+Deals!T9+Deals!T11+Deals!T12+Deals!T15+Deals!T16</f>
        <v>0</v>
      </c>
      <c r="Q31" s="716">
        <f>Deals!U8+Deals!U9+Deals!U11+Deals!U12+Deals!U15+Deals!U16</f>
        <v>0</v>
      </c>
      <c r="R31" s="716">
        <f>Deals!V8+Deals!V9+Deals!V11+Deals!V12+Deals!V15+Deals!V16</f>
        <v>0</v>
      </c>
      <c r="S31" s="716">
        <f>Deals!W8+Deals!W9+Deals!W11+Deals!W12+Deals!W15+Deals!W16</f>
        <v>0</v>
      </c>
      <c r="T31" s="716">
        <f>Deals!X8+Deals!X9+Deals!X11+Deals!X12+Deals!X15+Deals!X16</f>
        <v>0</v>
      </c>
      <c r="U31" s="716">
        <f>Deals!Y8+Deals!Y9+Deals!Y11+Deals!Y12+Deals!Y15+Deals!Y16</f>
        <v>0</v>
      </c>
      <c r="V31" s="716">
        <f>Deals!Z8+Deals!Z9+Deals!Z11+Deals!Z12+Deals!Z15+Deals!Z16</f>
        <v>0</v>
      </c>
      <c r="W31" s="716">
        <f>Deals!AA8+Deals!AA9+Deals!AA11+Deals!AA12+Deals!AA15+Deals!AA16</f>
        <v>0</v>
      </c>
      <c r="X31" s="716">
        <f>Deals!AB8+Deals!AB9+Deals!AB11+Deals!AB12+Deals!AB15+Deals!AB16</f>
        <v>75</v>
      </c>
      <c r="Y31" s="716">
        <f>Deals!AC8+Deals!AC9+Deals!AC11+Deals!AC12+Deals!AC15+Deals!AC16</f>
        <v>75</v>
      </c>
      <c r="Z31" s="160"/>
      <c r="AA31" s="162"/>
    </row>
    <row r="32" spans="1:27" s="161" customFormat="1" ht="11.4" x14ac:dyDescent="0.2">
      <c r="A32" s="514" t="s">
        <v>120</v>
      </c>
      <c r="B32" s="632">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50</v>
      </c>
      <c r="E32" s="202">
        <f t="array" aca="1" ref="E32" ca="1">SUM(IF((DelPoint= "PV")*IF((DType = "firm")+(DType = "econ")&gt;0,1,0)*(OFFSET(DelPoint,0,E3+2)&gt;0),OFFSET(DelPoint,0,E3+2),0))</f>
        <v>100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0</v>
      </c>
      <c r="I32" s="202">
        <f t="array" aca="1" ref="I32" ca="1">SUM(IF((DelPoint= "PV")*IF((DType = "firm")+(DType = "econ")&gt;0,1,0)*(OFFSET(DelPoint,0,I3+2)&gt;0),OFFSET(DelPoint,0,I3+2),0))</f>
        <v>37</v>
      </c>
      <c r="J32" s="202">
        <f t="array" aca="1" ref="J32" ca="1">SUM(IF((DelPoint= "PV")*IF((DType = "firm")+(DType = "econ")&gt;0,1,0)*(OFFSET(DelPoint,0,J3+2)&gt;0),OFFSET(DelPoint,0,J3+2),0))</f>
        <v>68</v>
      </c>
      <c r="K32" s="202">
        <f t="array" aca="1" ref="K32" ca="1">SUM(IF((DelPoint= "PV")*IF((DType = "firm")+(DType = "econ")&gt;0,1,0)*(OFFSET(DelPoint,0,K3+2)&gt;0),OFFSET(DelPoint,0,K3+2),0))</f>
        <v>33</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0</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873</v>
      </c>
      <c r="C38" s="550">
        <f ca="1">SUM(C22:C37)+C4+C5</f>
        <v>788</v>
      </c>
      <c r="D38" s="550">
        <f ca="1">SUM(D22:D37)+D4+D5</f>
        <v>847</v>
      </c>
      <c r="E38" s="550">
        <f ca="1">SUM(E22:E37)+E4+E5</f>
        <v>899</v>
      </c>
      <c r="F38" s="550">
        <f ca="1">SUM(F22:F37)+F4+F5</f>
        <v>900</v>
      </c>
      <c r="G38" s="550">
        <f t="shared" ref="G38:Y38" ca="1" si="6">SUM(G22:G37)+G4+G5</f>
        <v>972</v>
      </c>
      <c r="H38" s="550">
        <f t="shared" ca="1" si="6"/>
        <v>833</v>
      </c>
      <c r="I38" s="550">
        <f t="shared" ca="1" si="6"/>
        <v>899</v>
      </c>
      <c r="J38" s="550">
        <f t="shared" ca="1" si="6"/>
        <v>1022</v>
      </c>
      <c r="K38" s="550">
        <f t="shared" ca="1" si="6"/>
        <v>1055</v>
      </c>
      <c r="L38" s="550">
        <f t="shared" ca="1" si="6"/>
        <v>1016</v>
      </c>
      <c r="M38" s="550">
        <f t="shared" ca="1" si="6"/>
        <v>1040</v>
      </c>
      <c r="N38" s="550">
        <f t="shared" ca="1" si="6"/>
        <v>1034</v>
      </c>
      <c r="O38" s="550">
        <f t="shared" ca="1" si="6"/>
        <v>1047</v>
      </c>
      <c r="P38" s="550">
        <f t="shared" ca="1" si="6"/>
        <v>1029</v>
      </c>
      <c r="Q38" s="550">
        <f t="shared" ca="1" si="6"/>
        <v>1032</v>
      </c>
      <c r="R38" s="550">
        <f t="shared" ca="1" si="6"/>
        <v>996</v>
      </c>
      <c r="S38" s="550">
        <f t="shared" ca="1" si="6"/>
        <v>990</v>
      </c>
      <c r="T38" s="550">
        <f t="shared" ca="1" si="6"/>
        <v>1021</v>
      </c>
      <c r="U38" s="550">
        <f t="shared" ca="1" si="6"/>
        <v>1077</v>
      </c>
      <c r="V38" s="550">
        <f t="shared" ca="1" si="6"/>
        <v>1050</v>
      </c>
      <c r="W38" s="550">
        <f t="shared" ca="1" si="6"/>
        <v>925</v>
      </c>
      <c r="X38" s="550">
        <f t="shared" ca="1" si="6"/>
        <v>996</v>
      </c>
      <c r="Y38" s="551">
        <f t="shared" ca="1" si="6"/>
        <v>920</v>
      </c>
      <c r="Z38" s="352"/>
      <c r="AA38" s="162"/>
    </row>
    <row r="39" spans="1:33" s="161" customFormat="1" ht="16.2"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ht="12.6"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30</v>
      </c>
      <c r="C41" s="191">
        <v>30</v>
      </c>
      <c r="D41" s="191">
        <v>31</v>
      </c>
      <c r="E41" s="604">
        <v>31</v>
      </c>
      <c r="F41" s="191">
        <v>30</v>
      </c>
      <c r="G41" s="191">
        <v>75</v>
      </c>
      <c r="H41" s="191">
        <v>62</v>
      </c>
      <c r="I41" s="191">
        <v>46</v>
      </c>
      <c r="J41" s="191">
        <v>46</v>
      </c>
      <c r="K41" s="191">
        <v>75</v>
      </c>
      <c r="L41" s="191">
        <v>75</v>
      </c>
      <c r="M41" s="191">
        <v>75</v>
      </c>
      <c r="N41" s="191">
        <v>75</v>
      </c>
      <c r="O41" s="191">
        <v>77</v>
      </c>
      <c r="P41" s="191">
        <v>78</v>
      </c>
      <c r="Q41" s="191">
        <v>78</v>
      </c>
      <c r="R41" s="191">
        <v>78</v>
      </c>
      <c r="S41" s="191">
        <v>78</v>
      </c>
      <c r="T41" s="191">
        <v>78</v>
      </c>
      <c r="U41" s="191">
        <v>78</v>
      </c>
      <c r="V41" s="191">
        <v>78</v>
      </c>
      <c r="W41" s="191">
        <v>35</v>
      </c>
      <c r="X41" s="191">
        <v>32</v>
      </c>
      <c r="Y41" s="576">
        <v>31</v>
      </c>
      <c r="Z41" s="354">
        <v>80</v>
      </c>
      <c r="AA41" s="214">
        <f ca="1">-Economics!D34/Economics!I34</f>
        <v>16055.164819834185</v>
      </c>
    </row>
    <row r="42" spans="1:33" s="161" customFormat="1" ht="15" customHeight="1" x14ac:dyDescent="0.2">
      <c r="A42" s="575" t="s">
        <v>131</v>
      </c>
      <c r="B42" s="191">
        <v>43</v>
      </c>
      <c r="C42" s="191">
        <v>38</v>
      </c>
      <c r="D42" s="191">
        <v>42</v>
      </c>
      <c r="E42" s="604">
        <v>56</v>
      </c>
      <c r="F42" s="191">
        <v>58</v>
      </c>
      <c r="G42" s="191">
        <v>72</v>
      </c>
      <c r="H42" s="191">
        <v>36</v>
      </c>
      <c r="I42" s="191">
        <v>38</v>
      </c>
      <c r="J42" s="191">
        <v>77</v>
      </c>
      <c r="K42" s="191">
        <v>77</v>
      </c>
      <c r="L42" s="191">
        <v>74</v>
      </c>
      <c r="M42" s="191">
        <v>75</v>
      </c>
      <c r="N42" s="191">
        <v>75</v>
      </c>
      <c r="O42" s="191">
        <v>79</v>
      </c>
      <c r="P42" s="191">
        <v>79</v>
      </c>
      <c r="Q42" s="191">
        <v>75</v>
      </c>
      <c r="R42" s="191">
        <v>67</v>
      </c>
      <c r="S42" s="191">
        <v>68</v>
      </c>
      <c r="T42" s="191">
        <v>73</v>
      </c>
      <c r="U42" s="191">
        <v>65</v>
      </c>
      <c r="V42" s="191">
        <v>60</v>
      </c>
      <c r="W42" s="191">
        <v>39</v>
      </c>
      <c r="X42" s="191">
        <v>62</v>
      </c>
      <c r="Y42" s="576">
        <v>52</v>
      </c>
      <c r="Z42" s="354">
        <v>78</v>
      </c>
      <c r="AA42" s="214">
        <f ca="1">-Economics!D35/Economics!I35</f>
        <v>15429.891780931122</v>
      </c>
    </row>
    <row r="43" spans="1:33" s="161" customFormat="1" ht="12.75" customHeight="1" x14ac:dyDescent="0.2">
      <c r="A43" s="577" t="s">
        <v>132</v>
      </c>
      <c r="B43" s="192">
        <v>66</v>
      </c>
      <c r="C43" s="192">
        <v>37</v>
      </c>
      <c r="D43" s="192">
        <v>47</v>
      </c>
      <c r="E43" s="605">
        <v>89</v>
      </c>
      <c r="F43" s="192">
        <v>93</v>
      </c>
      <c r="G43" s="192">
        <v>92</v>
      </c>
      <c r="H43" s="192">
        <v>37</v>
      </c>
      <c r="I43" s="192">
        <v>67</v>
      </c>
      <c r="J43" s="192">
        <v>94</v>
      </c>
      <c r="K43" s="192">
        <v>95</v>
      </c>
      <c r="L43" s="192">
        <v>90</v>
      </c>
      <c r="M43" s="192">
        <v>95</v>
      </c>
      <c r="N43" s="192">
        <v>94</v>
      </c>
      <c r="O43" s="192">
        <v>95</v>
      </c>
      <c r="P43" s="192">
        <v>87</v>
      </c>
      <c r="Q43" s="192">
        <v>91</v>
      </c>
      <c r="R43" s="192">
        <v>85</v>
      </c>
      <c r="S43" s="192">
        <v>83</v>
      </c>
      <c r="T43" s="192">
        <v>91</v>
      </c>
      <c r="U43" s="192">
        <v>85</v>
      </c>
      <c r="V43" s="192">
        <v>81</v>
      </c>
      <c r="W43" s="192">
        <v>37</v>
      </c>
      <c r="X43" s="192">
        <v>81</v>
      </c>
      <c r="Y43" s="578">
        <v>94</v>
      </c>
      <c r="Z43" s="356">
        <v>103</v>
      </c>
      <c r="AA43" s="215">
        <f ca="1">-Economics!D36/Economics!I36</f>
        <v>19330.867346938776</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99</v>
      </c>
      <c r="C46" s="191">
        <v>64</v>
      </c>
      <c r="D46" s="191">
        <v>99</v>
      </c>
      <c r="E46" s="191">
        <v>100</v>
      </c>
      <c r="F46" s="191">
        <v>96</v>
      </c>
      <c r="G46" s="191">
        <v>98</v>
      </c>
      <c r="H46" s="191">
        <v>63</v>
      </c>
      <c r="I46" s="191">
        <v>100</v>
      </c>
      <c r="J46" s="191">
        <v>98</v>
      </c>
      <c r="K46" s="191">
        <v>99</v>
      </c>
      <c r="L46" s="191">
        <v>96</v>
      </c>
      <c r="M46" s="191">
        <v>99</v>
      </c>
      <c r="N46" s="191">
        <v>101</v>
      </c>
      <c r="O46" s="191">
        <v>100</v>
      </c>
      <c r="P46" s="191">
        <v>98</v>
      </c>
      <c r="Q46" s="191">
        <v>97</v>
      </c>
      <c r="R46" s="191">
        <v>93</v>
      </c>
      <c r="S46" s="191">
        <v>92</v>
      </c>
      <c r="T46" s="191">
        <v>95</v>
      </c>
      <c r="U46" s="191">
        <v>91</v>
      </c>
      <c r="V46" s="191">
        <v>89</v>
      </c>
      <c r="W46" s="191">
        <v>82</v>
      </c>
      <c r="X46" s="191">
        <v>89</v>
      </c>
      <c r="Y46" s="576">
        <v>100</v>
      </c>
      <c r="Z46" s="354">
        <v>108</v>
      </c>
      <c r="AA46" s="214">
        <f ca="1">-Economics!D39/Economics!I39</f>
        <v>21057.537468112245</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0</v>
      </c>
      <c r="Y48" s="578">
        <v>0</v>
      </c>
      <c r="Z48" s="356">
        <v>212</v>
      </c>
      <c r="AA48" s="215">
        <f ca="1">-Economics!D41/Economics!I41</f>
        <v>0</v>
      </c>
    </row>
    <row r="49" spans="1:27" s="161" customFormat="1" ht="12.75" customHeight="1" x14ac:dyDescent="0.2">
      <c r="A49" s="577" t="s">
        <v>134</v>
      </c>
      <c r="B49" s="192">
        <v>0</v>
      </c>
      <c r="C49" s="192">
        <v>0</v>
      </c>
      <c r="D49" s="192">
        <v>0</v>
      </c>
      <c r="E49" s="192">
        <v>0</v>
      </c>
      <c r="F49" s="192">
        <v>0</v>
      </c>
      <c r="G49" s="192">
        <v>0</v>
      </c>
      <c r="H49" s="192">
        <v>15</v>
      </c>
      <c r="I49" s="192">
        <v>19</v>
      </c>
      <c r="J49" s="192">
        <v>68</v>
      </c>
      <c r="K49" s="192">
        <v>68</v>
      </c>
      <c r="L49" s="192">
        <v>64</v>
      </c>
      <c r="M49" s="192">
        <v>67</v>
      </c>
      <c r="N49" s="192">
        <v>66</v>
      </c>
      <c r="O49" s="192">
        <v>65</v>
      </c>
      <c r="P49" s="192">
        <v>34</v>
      </c>
      <c r="Q49" s="192">
        <v>48</v>
      </c>
      <c r="R49" s="192">
        <v>59</v>
      </c>
      <c r="S49" s="192">
        <v>57</v>
      </c>
      <c r="T49" s="192">
        <v>66</v>
      </c>
      <c r="U49" s="192">
        <v>66</v>
      </c>
      <c r="V49" s="192">
        <v>51</v>
      </c>
      <c r="W49" s="192">
        <v>15</v>
      </c>
      <c r="X49" s="192">
        <v>39</v>
      </c>
      <c r="Y49" s="578">
        <v>0</v>
      </c>
      <c r="Z49" s="356">
        <v>68</v>
      </c>
      <c r="AA49" s="215">
        <f ca="1">-Economics!D42/Economics!I42</f>
        <v>11924.669164540817</v>
      </c>
    </row>
    <row r="50" spans="1:27" s="161" customFormat="1" ht="12.75" customHeight="1" x14ac:dyDescent="0.2">
      <c r="A50" s="575" t="s">
        <v>135</v>
      </c>
      <c r="B50" s="191">
        <v>38</v>
      </c>
      <c r="C50" s="191">
        <v>38</v>
      </c>
      <c r="D50" s="191">
        <v>38</v>
      </c>
      <c r="E50" s="191">
        <v>38</v>
      </c>
      <c r="F50" s="191">
        <v>38</v>
      </c>
      <c r="G50" s="191">
        <v>38</v>
      </c>
      <c r="H50" s="191">
        <v>38</v>
      </c>
      <c r="I50" s="191">
        <v>38</v>
      </c>
      <c r="J50" s="191">
        <v>38</v>
      </c>
      <c r="K50" s="191">
        <v>38</v>
      </c>
      <c r="L50" s="191">
        <v>38</v>
      </c>
      <c r="M50" s="191">
        <v>38</v>
      </c>
      <c r="N50" s="191">
        <v>38</v>
      </c>
      <c r="O50" s="191">
        <v>38</v>
      </c>
      <c r="P50" s="191">
        <v>38</v>
      </c>
      <c r="Q50" s="191">
        <v>38</v>
      </c>
      <c r="R50" s="191">
        <v>38</v>
      </c>
      <c r="S50" s="191">
        <v>38</v>
      </c>
      <c r="T50" s="191">
        <v>38</v>
      </c>
      <c r="U50" s="191">
        <v>38</v>
      </c>
      <c r="V50" s="191">
        <v>38</v>
      </c>
      <c r="W50" s="191">
        <v>38</v>
      </c>
      <c r="X50" s="191">
        <v>38</v>
      </c>
      <c r="Y50" s="576">
        <v>38</v>
      </c>
      <c r="Z50" s="354">
        <v>48</v>
      </c>
      <c r="AA50" s="214">
        <f ca="1">-Economics!D43/Economics!I43</f>
        <v>11107.802220394738</v>
      </c>
    </row>
    <row r="51" spans="1:27" s="161" customFormat="1" ht="12.75" customHeight="1" x14ac:dyDescent="0.2">
      <c r="A51" s="575" t="s">
        <v>136</v>
      </c>
      <c r="B51" s="191">
        <v>32</v>
      </c>
      <c r="C51" s="191">
        <v>32</v>
      </c>
      <c r="D51" s="191">
        <v>32</v>
      </c>
      <c r="E51" s="191">
        <v>32</v>
      </c>
      <c r="F51" s="191">
        <v>33</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32</v>
      </c>
      <c r="Z51" s="354">
        <v>44</v>
      </c>
      <c r="AA51" s="214">
        <f ca="1">-Economics!D44/Economics!I44</f>
        <v>8179.1623056220105</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17</v>
      </c>
      <c r="X52" s="191">
        <v>49</v>
      </c>
      <c r="Y52" s="576">
        <v>49</v>
      </c>
      <c r="Z52" s="357">
        <v>130</v>
      </c>
      <c r="AA52" s="216">
        <f ca="1">-Economics!D45/Economics!I45</f>
        <v>1253.3995121860048</v>
      </c>
    </row>
    <row r="53" spans="1:27" s="161" customFormat="1" ht="12.75" customHeight="1" thickTop="1" x14ac:dyDescent="0.2">
      <c r="A53" s="575" t="s">
        <v>127</v>
      </c>
      <c r="B53" s="191">
        <v>132</v>
      </c>
      <c r="C53" s="191">
        <v>132</v>
      </c>
      <c r="D53" s="191">
        <v>131</v>
      </c>
      <c r="E53" s="191">
        <v>132</v>
      </c>
      <c r="F53" s="191">
        <v>132</v>
      </c>
      <c r="G53" s="191">
        <v>132</v>
      </c>
      <c r="H53" s="191">
        <v>132</v>
      </c>
      <c r="I53" s="191">
        <v>132</v>
      </c>
      <c r="J53" s="191">
        <v>131</v>
      </c>
      <c r="K53" s="191">
        <v>132</v>
      </c>
      <c r="L53" s="191">
        <v>131</v>
      </c>
      <c r="M53" s="191">
        <v>131</v>
      </c>
      <c r="N53" s="191">
        <v>132</v>
      </c>
      <c r="O53" s="191">
        <v>131</v>
      </c>
      <c r="P53" s="191">
        <v>132</v>
      </c>
      <c r="Q53" s="191">
        <v>131</v>
      </c>
      <c r="R53" s="191">
        <v>131</v>
      </c>
      <c r="S53" s="191">
        <v>131</v>
      </c>
      <c r="T53" s="191">
        <v>132</v>
      </c>
      <c r="U53" s="191">
        <v>132</v>
      </c>
      <c r="V53" s="191">
        <v>132</v>
      </c>
      <c r="W53" s="191">
        <v>132</v>
      </c>
      <c r="X53" s="191">
        <v>132</v>
      </c>
      <c r="Y53" s="576">
        <v>132</v>
      </c>
      <c r="Z53" s="354">
        <v>198</v>
      </c>
      <c r="AA53" s="212"/>
    </row>
    <row r="54" spans="1:27" s="161" customFormat="1" ht="12.75" customHeight="1" x14ac:dyDescent="0.2">
      <c r="A54" s="575" t="s">
        <v>128</v>
      </c>
      <c r="B54" s="191">
        <v>132</v>
      </c>
      <c r="C54" s="191">
        <v>132</v>
      </c>
      <c r="D54" s="191">
        <v>132</v>
      </c>
      <c r="E54" s="191">
        <v>132</v>
      </c>
      <c r="F54" s="191">
        <v>132</v>
      </c>
      <c r="G54" s="191">
        <v>132</v>
      </c>
      <c r="H54" s="191">
        <v>132</v>
      </c>
      <c r="I54" s="191">
        <v>132</v>
      </c>
      <c r="J54" s="191">
        <v>132</v>
      </c>
      <c r="K54" s="191">
        <v>132</v>
      </c>
      <c r="L54" s="191">
        <v>131</v>
      </c>
      <c r="M54" s="191">
        <v>131</v>
      </c>
      <c r="N54" s="191">
        <v>132</v>
      </c>
      <c r="O54" s="191">
        <v>131</v>
      </c>
      <c r="P54" s="191">
        <v>132</v>
      </c>
      <c r="Q54" s="191">
        <v>131</v>
      </c>
      <c r="R54" s="191">
        <v>131</v>
      </c>
      <c r="S54" s="191">
        <v>131</v>
      </c>
      <c r="T54" s="191">
        <v>132</v>
      </c>
      <c r="U54" s="191">
        <v>132</v>
      </c>
      <c r="V54" s="191">
        <v>132</v>
      </c>
      <c r="W54" s="191">
        <v>132</v>
      </c>
      <c r="X54" s="191">
        <v>132</v>
      </c>
      <c r="Y54" s="576">
        <v>132</v>
      </c>
      <c r="Z54" s="354">
        <v>198</v>
      </c>
      <c r="AA54" s="212"/>
    </row>
    <row r="55" spans="1:27" s="161" customFormat="1" ht="12.75" customHeight="1" x14ac:dyDescent="0.2">
      <c r="A55" s="575" t="s">
        <v>129</v>
      </c>
      <c r="B55" s="191">
        <v>131</v>
      </c>
      <c r="C55" s="191">
        <v>132</v>
      </c>
      <c r="D55" s="191">
        <v>132</v>
      </c>
      <c r="E55" s="191">
        <v>132</v>
      </c>
      <c r="F55" s="191">
        <v>133</v>
      </c>
      <c r="G55" s="191">
        <v>132</v>
      </c>
      <c r="H55" s="191">
        <v>132</v>
      </c>
      <c r="I55" s="191">
        <v>133</v>
      </c>
      <c r="J55" s="191">
        <v>132</v>
      </c>
      <c r="K55" s="191">
        <v>131</v>
      </c>
      <c r="L55" s="191">
        <v>132</v>
      </c>
      <c r="M55" s="191">
        <v>131</v>
      </c>
      <c r="N55" s="191">
        <v>132</v>
      </c>
      <c r="O55" s="191">
        <v>131</v>
      </c>
      <c r="P55" s="191">
        <v>132</v>
      </c>
      <c r="Q55" s="191">
        <v>131</v>
      </c>
      <c r="R55" s="191">
        <v>132</v>
      </c>
      <c r="S55" s="191">
        <v>131</v>
      </c>
      <c r="T55" s="191">
        <v>132</v>
      </c>
      <c r="U55" s="191">
        <v>132</v>
      </c>
      <c r="V55" s="191">
        <v>132</v>
      </c>
      <c r="W55" s="191">
        <v>132</v>
      </c>
      <c r="X55" s="191">
        <v>132</v>
      </c>
      <c r="Y55" s="576">
        <v>132</v>
      </c>
      <c r="Z55" s="354">
        <v>198</v>
      </c>
      <c r="AA55" s="212"/>
    </row>
    <row r="56" spans="1:27" s="161" customFormat="1" ht="12.75" customHeight="1" x14ac:dyDescent="0.2">
      <c r="A56" s="575" t="s">
        <v>125</v>
      </c>
      <c r="B56" s="191">
        <v>52</v>
      </c>
      <c r="C56" s="191">
        <v>51</v>
      </c>
      <c r="D56" s="191">
        <v>52</v>
      </c>
      <c r="E56" s="191">
        <v>52</v>
      </c>
      <c r="F56" s="191">
        <v>52</v>
      </c>
      <c r="G56" s="191">
        <v>52</v>
      </c>
      <c r="H56" s="191">
        <v>52</v>
      </c>
      <c r="I56" s="191">
        <v>52</v>
      </c>
      <c r="J56" s="191">
        <v>52</v>
      </c>
      <c r="K56" s="191">
        <v>51</v>
      </c>
      <c r="L56" s="191">
        <v>51</v>
      </c>
      <c r="M56" s="191">
        <v>51</v>
      </c>
      <c r="N56" s="191">
        <v>51</v>
      </c>
      <c r="O56" s="191">
        <v>51</v>
      </c>
      <c r="P56" s="191">
        <v>51</v>
      </c>
      <c r="Q56" s="191">
        <v>51</v>
      </c>
      <c r="R56" s="191">
        <v>50</v>
      </c>
      <c r="S56" s="191">
        <v>50</v>
      </c>
      <c r="T56" s="191">
        <v>51</v>
      </c>
      <c r="U56" s="191">
        <v>51</v>
      </c>
      <c r="V56" s="191">
        <v>51</v>
      </c>
      <c r="W56" s="191">
        <v>51</v>
      </c>
      <c r="X56" s="191">
        <v>51</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11</v>
      </c>
      <c r="C58" s="580">
        <f t="shared" ca="1" si="7"/>
        <v>1</v>
      </c>
      <c r="D58" s="580">
        <f t="shared" ca="1" si="7"/>
        <v>-8</v>
      </c>
      <c r="E58" s="580">
        <f t="shared" ca="1" si="7"/>
        <v>-2</v>
      </c>
      <c r="F58" s="580">
        <f t="shared" ca="1" si="7"/>
        <v>0</v>
      </c>
      <c r="G58" s="580">
        <f t="shared" ca="1" si="7"/>
        <v>-14</v>
      </c>
      <c r="H58" s="580">
        <f t="shared" ca="1" si="7"/>
        <v>1</v>
      </c>
      <c r="I58" s="580">
        <f t="shared" ca="1" si="7"/>
        <v>-7</v>
      </c>
      <c r="J58" s="580">
        <f t="shared" ca="1" si="7"/>
        <v>-19</v>
      </c>
      <c r="K58" s="580">
        <f t="shared" ca="1" si="7"/>
        <v>-2</v>
      </c>
      <c r="L58" s="580">
        <f t="shared" ca="1" si="7"/>
        <v>21</v>
      </c>
      <c r="M58" s="580">
        <f t="shared" ca="1" si="7"/>
        <v>8</v>
      </c>
      <c r="N58" s="580">
        <f t="shared" ca="1" si="7"/>
        <v>17</v>
      </c>
      <c r="O58" s="580">
        <f t="shared" ca="1" si="7"/>
        <v>6</v>
      </c>
      <c r="P58" s="580">
        <f t="shared" ca="1" si="7"/>
        <v>12</v>
      </c>
      <c r="Q58" s="580">
        <f t="shared" ca="1" si="7"/>
        <v>19</v>
      </c>
      <c r="R58" s="580">
        <f t="shared" ca="1" si="7"/>
        <v>23</v>
      </c>
      <c r="S58" s="580">
        <f t="shared" ca="1" si="7"/>
        <v>4</v>
      </c>
      <c r="T58" s="580">
        <f t="shared" ca="1" si="7"/>
        <v>27</v>
      </c>
      <c r="U58" s="581">
        <f t="shared" ca="1" si="7"/>
        <v>28</v>
      </c>
      <c r="V58" s="581">
        <f t="shared" ca="1" si="7"/>
        <v>29</v>
      </c>
      <c r="W58" s="581">
        <f t="shared" ca="1" si="7"/>
        <v>-5</v>
      </c>
      <c r="X58" s="581">
        <f t="shared" ca="1" si="7"/>
        <v>1</v>
      </c>
      <c r="Y58" s="658">
        <f t="shared" ca="1" si="7"/>
        <v>1</v>
      </c>
      <c r="Z58" s="355">
        <f ca="1">SUM(Z41:Z55)+Z41+Z42+Z43+Z48+Z49+Z50+Z51+Z52</f>
        <v>2416</v>
      </c>
      <c r="AA58" s="213">
        <f ca="1">SUM(AA41:AA55)</f>
        <v>104338.4946185599</v>
      </c>
    </row>
    <row r="59" spans="1:27" s="161" customFormat="1" ht="12" x14ac:dyDescent="0.2">
      <c r="A59" s="569">
        <v>0</v>
      </c>
      <c r="B59" s="570">
        <f t="shared" ref="B59:Y59" ca="1" si="8">SUM(B41:B57)-SUM(B7:B20)</f>
        <v>884</v>
      </c>
      <c r="C59" s="570">
        <f t="shared" ca="1" si="8"/>
        <v>789</v>
      </c>
      <c r="D59" s="570">
        <f t="shared" ca="1" si="8"/>
        <v>839</v>
      </c>
      <c r="E59" s="570">
        <f t="shared" ca="1" si="8"/>
        <v>897</v>
      </c>
      <c r="F59" s="570">
        <f t="shared" ca="1" si="8"/>
        <v>900</v>
      </c>
      <c r="G59" s="570">
        <f t="shared" ca="1" si="8"/>
        <v>958</v>
      </c>
      <c r="H59" s="570">
        <f t="shared" ca="1" si="8"/>
        <v>834</v>
      </c>
      <c r="I59" s="570">
        <f t="shared" ca="1" si="8"/>
        <v>892</v>
      </c>
      <c r="J59" s="570">
        <f t="shared" ca="1" si="8"/>
        <v>1003</v>
      </c>
      <c r="K59" s="570">
        <f t="shared" ca="1" si="8"/>
        <v>1053</v>
      </c>
      <c r="L59" s="570">
        <f t="shared" ca="1" si="8"/>
        <v>1037</v>
      </c>
      <c r="M59" s="570">
        <f t="shared" ca="1" si="8"/>
        <v>1048</v>
      </c>
      <c r="N59" s="570">
        <f t="shared" ca="1" si="8"/>
        <v>1051</v>
      </c>
      <c r="O59" s="570">
        <f t="shared" ca="1" si="8"/>
        <v>1053</v>
      </c>
      <c r="P59" s="570">
        <f t="shared" ca="1" si="8"/>
        <v>1041</v>
      </c>
      <c r="Q59" s="570">
        <f t="shared" ca="1" si="8"/>
        <v>1051</v>
      </c>
      <c r="R59" s="570">
        <f t="shared" ca="1" si="8"/>
        <v>1019</v>
      </c>
      <c r="S59" s="570">
        <f t="shared" ca="1" si="8"/>
        <v>994</v>
      </c>
      <c r="T59" s="570">
        <f ca="1">SUM(T41:T57)-SUM(T7:T20)</f>
        <v>1048</v>
      </c>
      <c r="U59" s="570">
        <f t="shared" ca="1" si="8"/>
        <v>1105</v>
      </c>
      <c r="V59" s="570">
        <f t="shared" ca="1" si="8"/>
        <v>1079</v>
      </c>
      <c r="W59" s="570">
        <f t="shared" ca="1" si="8"/>
        <v>920</v>
      </c>
      <c r="X59" s="570">
        <f t="shared" ca="1" si="8"/>
        <v>997</v>
      </c>
      <c r="Y59" s="570">
        <f t="shared" ca="1" si="8"/>
        <v>921</v>
      </c>
      <c r="Z59" s="217">
        <f ca="1">SUM(Economics!D28:D45)</f>
        <v>-281082.45517734374</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216</v>
      </c>
      <c r="C62" s="169">
        <f t="shared" ca="1" si="10"/>
        <v>193</v>
      </c>
      <c r="D62" s="169">
        <f t="shared" ca="1" si="10"/>
        <v>142</v>
      </c>
      <c r="E62" s="169">
        <f t="shared" ca="1" si="10"/>
        <v>103</v>
      </c>
      <c r="F62" s="169">
        <f t="shared" ca="1" si="10"/>
        <v>164</v>
      </c>
      <c r="G62" s="169">
        <f t="shared" ca="1" si="10"/>
        <v>163</v>
      </c>
      <c r="H62" s="169">
        <f t="shared" ca="1" si="10"/>
        <v>336</v>
      </c>
      <c r="I62" s="169">
        <f t="shared" ca="1" si="10"/>
        <v>310</v>
      </c>
      <c r="J62" s="169">
        <f ca="1">-SUM(J12:J15,J29:J32,J22) + SUM(J53:J55)</f>
        <v>252</v>
      </c>
      <c r="K62" s="169">
        <f t="shared" ca="1" si="10"/>
        <v>282</v>
      </c>
      <c r="L62" s="169">
        <f t="shared" ca="1" si="10"/>
        <v>304</v>
      </c>
      <c r="M62" s="169">
        <f t="shared" ca="1" si="10"/>
        <v>288</v>
      </c>
      <c r="N62" s="169">
        <f t="shared" ca="1" si="10"/>
        <v>266</v>
      </c>
      <c r="O62" s="169">
        <f t="shared" ca="1" si="10"/>
        <v>263</v>
      </c>
      <c r="P62" s="169">
        <f t="shared" ca="1" si="10"/>
        <v>291</v>
      </c>
      <c r="Q62" s="169">
        <f t="shared" ca="1" si="10"/>
        <v>288</v>
      </c>
      <c r="R62" s="169">
        <f t="shared" ca="1" si="10"/>
        <v>264</v>
      </c>
      <c r="S62" s="169">
        <f t="shared" ca="1" si="10"/>
        <v>243</v>
      </c>
      <c r="T62" s="169">
        <f t="shared" ca="1" si="10"/>
        <v>271</v>
      </c>
      <c r="U62" s="169">
        <f t="shared" ca="1" si="10"/>
        <v>366</v>
      </c>
      <c r="V62" s="169">
        <f t="shared" ca="1" si="10"/>
        <v>366</v>
      </c>
      <c r="W62" s="169">
        <f t="shared" ca="1" si="10"/>
        <v>401</v>
      </c>
      <c r="X62" s="169">
        <f t="shared" ca="1" si="10"/>
        <v>196</v>
      </c>
      <c r="Y62" s="170">
        <f t="shared" ca="1" si="10"/>
        <v>146</v>
      </c>
      <c r="Z62" s="193"/>
      <c r="AA62" s="162"/>
    </row>
    <row r="63" spans="1:27" s="161" customFormat="1" ht="12" x14ac:dyDescent="0.2">
      <c r="A63" s="195" t="s">
        <v>141</v>
      </c>
      <c r="B63" s="169">
        <f t="shared" ref="B63:L63" ca="1" si="11">-SUM(B8:B11,B25:B28) + SUM(B56:B57)</f>
        <v>-9</v>
      </c>
      <c r="C63" s="169">
        <f t="shared" ca="1" si="11"/>
        <v>48</v>
      </c>
      <c r="D63" s="169">
        <f t="shared" ca="1" si="11"/>
        <v>49</v>
      </c>
      <c r="E63" s="169">
        <f t="shared" ca="1" si="11"/>
        <v>49</v>
      </c>
      <c r="F63" s="169">
        <f t="shared" ca="1" si="11"/>
        <v>-1</v>
      </c>
      <c r="G63" s="169">
        <f t="shared" ca="1" si="11"/>
        <v>37</v>
      </c>
      <c r="H63" s="169">
        <f t="shared" ca="1" si="11"/>
        <v>52</v>
      </c>
      <c r="I63" s="169">
        <f t="shared" ca="1" si="11"/>
        <v>52</v>
      </c>
      <c r="J63" s="169">
        <f t="shared" ca="1" si="11"/>
        <v>2</v>
      </c>
      <c r="K63" s="169">
        <f t="shared" ca="1" si="11"/>
        <v>1</v>
      </c>
      <c r="L63" s="169">
        <f t="shared" ca="1" si="11"/>
        <v>26</v>
      </c>
      <c r="M63" s="169">
        <f ca="1">-SUM(M8:M11,M25:M28) + SUM(M57:M57)</f>
        <v>-20</v>
      </c>
      <c r="N63" s="169">
        <f t="shared" ref="N63:Y63" ca="1" si="12">-SUM(N8:N11,N25:N28) + SUM(N56:N57)</f>
        <v>51</v>
      </c>
      <c r="O63" s="169">
        <f t="shared" ca="1" si="12"/>
        <v>51</v>
      </c>
      <c r="P63" s="169">
        <f t="shared" ca="1" si="12"/>
        <v>51</v>
      </c>
      <c r="Q63" s="169">
        <f t="shared" ca="1" si="12"/>
        <v>51</v>
      </c>
      <c r="R63" s="169">
        <f t="shared" ca="1" si="12"/>
        <v>50</v>
      </c>
      <c r="S63" s="169">
        <f t="shared" ca="1" si="12"/>
        <v>50</v>
      </c>
      <c r="T63" s="169">
        <f t="shared" ca="1" si="12"/>
        <v>51</v>
      </c>
      <c r="U63" s="169">
        <f t="shared" ca="1" si="12"/>
        <v>11</v>
      </c>
      <c r="V63" s="169">
        <f t="shared" ca="1" si="12"/>
        <v>11</v>
      </c>
      <c r="W63" s="169">
        <f t="shared" ca="1" si="12"/>
        <v>11</v>
      </c>
      <c r="X63" s="169">
        <f t="shared" ca="1" si="12"/>
        <v>8</v>
      </c>
      <c r="Y63" s="170">
        <f t="shared" ca="1" si="12"/>
        <v>8</v>
      </c>
      <c r="Z63" s="193"/>
      <c r="AA63" s="162"/>
    </row>
    <row r="64" spans="1:27" s="161" customFormat="1" ht="12" x14ac:dyDescent="0.2">
      <c r="A64" s="195" t="s">
        <v>142</v>
      </c>
      <c r="B64" s="169">
        <f ca="1">IF(B62+B63&gt;645,"err",B62+B63)</f>
        <v>207</v>
      </c>
      <c r="C64" s="169">
        <f t="shared" ref="C64:Y64" ca="1" si="13">IF(C62+C63&gt;645,"err",C62+C63)</f>
        <v>241</v>
      </c>
      <c r="D64" s="169">
        <f t="shared" ca="1" si="13"/>
        <v>191</v>
      </c>
      <c r="E64" s="169">
        <f t="shared" ca="1" si="13"/>
        <v>152</v>
      </c>
      <c r="F64" s="169">
        <f t="shared" ca="1" si="13"/>
        <v>163</v>
      </c>
      <c r="G64" s="169">
        <f t="shared" ca="1" si="13"/>
        <v>200</v>
      </c>
      <c r="H64" s="169">
        <f t="shared" ca="1" si="13"/>
        <v>388</v>
      </c>
      <c r="I64" s="169">
        <f t="shared" ca="1" si="13"/>
        <v>362</v>
      </c>
      <c r="J64" s="169">
        <f t="shared" ca="1" si="13"/>
        <v>254</v>
      </c>
      <c r="K64" s="169">
        <f t="shared" ca="1" si="13"/>
        <v>283</v>
      </c>
      <c r="L64" s="169">
        <f t="shared" ca="1" si="13"/>
        <v>330</v>
      </c>
      <c r="M64" s="169">
        <f t="shared" ca="1" si="13"/>
        <v>268</v>
      </c>
      <c r="N64" s="169">
        <f t="shared" ca="1" si="13"/>
        <v>317</v>
      </c>
      <c r="O64" s="169">
        <f t="shared" ca="1" si="13"/>
        <v>314</v>
      </c>
      <c r="P64" s="169">
        <f t="shared" ca="1" si="13"/>
        <v>342</v>
      </c>
      <c r="Q64" s="169">
        <f t="shared" ca="1" si="13"/>
        <v>339</v>
      </c>
      <c r="R64" s="169">
        <f t="shared" ca="1" si="13"/>
        <v>314</v>
      </c>
      <c r="S64" s="169">
        <f t="shared" ca="1" si="13"/>
        <v>293</v>
      </c>
      <c r="T64" s="169">
        <f t="shared" ca="1" si="13"/>
        <v>322</v>
      </c>
      <c r="U64" s="169">
        <f t="shared" ca="1" si="13"/>
        <v>377</v>
      </c>
      <c r="V64" s="169">
        <f t="shared" ca="1" si="13"/>
        <v>377</v>
      </c>
      <c r="W64" s="169">
        <f t="shared" ca="1" si="13"/>
        <v>412</v>
      </c>
      <c r="X64" s="169">
        <f t="shared" ca="1" si="13"/>
        <v>204</v>
      </c>
      <c r="Y64" s="170">
        <f t="shared" ca="1" si="13"/>
        <v>154</v>
      </c>
      <c r="Z64" s="194"/>
      <c r="AA64" s="162"/>
    </row>
    <row r="65" spans="1:27" s="161" customFormat="1" ht="12" x14ac:dyDescent="0.2">
      <c r="A65" s="195" t="s">
        <v>18</v>
      </c>
      <c r="B65" s="169">
        <f ca="1">SUM(B61:B63)</f>
        <v>207</v>
      </c>
      <c r="C65" s="169">
        <f t="shared" ref="C65:Y65" ca="1" si="14">SUM(C61:C63)</f>
        <v>241</v>
      </c>
      <c r="D65" s="169">
        <f t="shared" ca="1" si="14"/>
        <v>191</v>
      </c>
      <c r="E65" s="169">
        <f t="shared" ca="1" si="14"/>
        <v>152</v>
      </c>
      <c r="F65" s="169">
        <f t="shared" ca="1" si="14"/>
        <v>163</v>
      </c>
      <c r="G65" s="169">
        <f t="shared" ca="1" si="14"/>
        <v>200</v>
      </c>
      <c r="H65" s="169">
        <f t="shared" ca="1" si="14"/>
        <v>388</v>
      </c>
      <c r="I65" s="169">
        <f t="shared" ca="1" si="14"/>
        <v>362</v>
      </c>
      <c r="J65" s="169">
        <f t="shared" ca="1" si="14"/>
        <v>254</v>
      </c>
      <c r="K65" s="169">
        <f t="shared" ca="1" si="14"/>
        <v>283</v>
      </c>
      <c r="L65" s="169">
        <f t="shared" ca="1" si="14"/>
        <v>330</v>
      </c>
      <c r="M65" s="169">
        <f t="shared" ca="1" si="14"/>
        <v>268</v>
      </c>
      <c r="N65" s="169">
        <f t="shared" ca="1" si="14"/>
        <v>317</v>
      </c>
      <c r="O65" s="169">
        <f t="shared" ca="1" si="14"/>
        <v>314</v>
      </c>
      <c r="P65" s="169">
        <f t="shared" ca="1" si="14"/>
        <v>342</v>
      </c>
      <c r="Q65" s="169">
        <f t="shared" ca="1" si="14"/>
        <v>339</v>
      </c>
      <c r="R65" s="169">
        <f t="shared" ca="1" si="14"/>
        <v>314</v>
      </c>
      <c r="S65" s="169">
        <f t="shared" ca="1" si="14"/>
        <v>293</v>
      </c>
      <c r="T65" s="169">
        <f t="shared" ca="1" si="14"/>
        <v>322</v>
      </c>
      <c r="U65" s="169">
        <f t="shared" ca="1" si="14"/>
        <v>377</v>
      </c>
      <c r="V65" s="169">
        <f t="shared" ca="1" si="14"/>
        <v>377</v>
      </c>
      <c r="W65" s="169">
        <f t="shared" ca="1" si="14"/>
        <v>412</v>
      </c>
      <c r="X65" s="169">
        <f t="shared" ca="1" si="14"/>
        <v>204</v>
      </c>
      <c r="Y65" s="170">
        <f t="shared" ca="1" si="14"/>
        <v>154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352</v>
      </c>
      <c r="C67" s="169">
        <f t="array" ref="C67">SUM(IF(C$41:C$55 = 0,0,$Z$41:$Z$55-C$41:C$55))-INDEX(Balancing!$R$4:$R$27,C$3)</f>
        <v>420</v>
      </c>
      <c r="D67" s="169">
        <f t="array" ref="D67">SUM(IF(D$41:D$55 = 0,0,$Z$41:$Z$55-D$41:D$55))-INDEX(Balancing!$R$4:$R$27,D$3)</f>
        <v>371</v>
      </c>
      <c r="E67" s="169">
        <f t="array" ref="E67">SUM(IF(E$41:E$55 = 0,0,$Z$41:$Z$55-E$41:E$55))-INDEX(Balancing!$R$4:$R$27,E$3)</f>
        <v>313</v>
      </c>
      <c r="F67" s="169">
        <f t="array" ref="F67">SUM(IF(F$41:F$55 = 0,0,$Z$41:$Z$55-F$41:F$55))-INDEX(Balancing!$R$4:$R$27,F$3)</f>
        <v>310</v>
      </c>
      <c r="G67" s="169">
        <f t="array" ref="G67">SUM(IF(G$41:G$55 = 0,0,$Z$41:$Z$55-G$41:G$55))-INDEX(Balancing!$R$4:$R$27,G$3)</f>
        <v>252</v>
      </c>
      <c r="H67" s="169">
        <f t="array" ref="H67">SUM(IF(H$41:H$55 = 0,0,$Z$41:$Z$55-H$41:H$55))-INDEX(Balancing!$R$4:$R$27,H$3)</f>
        <v>444</v>
      </c>
      <c r="I67" s="169">
        <f t="array" ref="I67">SUM(IF(I$41:I$55 = 0,0,$Z$41:$Z$55-I$41:I$55))-INDEX(Balancing!$R$4:$R$27,I$3)</f>
        <v>386</v>
      </c>
      <c r="J67" s="169">
        <f t="array" ref="J67">SUM(IF(J$41:J$55 = 0,0,$Z$41:$Z$55-J$41:J$55))-INDEX(Balancing!$R$4:$R$27,J$3)</f>
        <v>275</v>
      </c>
      <c r="K67" s="169">
        <f t="array" ref="K67">SUM(IF(K$41:K$55 = 0,0,$Z$41:$Z$55-K$41:K$55))-INDEX(Balancing!$R$4:$R$27,K$3)</f>
        <v>244</v>
      </c>
      <c r="L67" s="169">
        <f t="array" ref="L67">SUM(IF(L$41:L$55 = 0,0,$Z$41:$Z$55-L$41:L$55))-INDEX(Balancing!$R$4:$R$27,L$3)</f>
        <v>260</v>
      </c>
      <c r="M67" s="169">
        <f t="array" ref="M67">SUM(IF(M$41:M$55 = 0,0,$Z$41:$Z$55-M$41:M$55))-INDEX(Balancing!$R$4:$R$27,M$3)</f>
        <v>249</v>
      </c>
      <c r="N67" s="169">
        <v>179</v>
      </c>
      <c r="O67" s="169">
        <f t="array" ref="O67">SUM(IF(O$41:O$55 = 0,0,$Z$41:$Z$55-O$41:O$55))-INDEX(Balancing!$R$4:$R$27,O$3)</f>
        <v>244</v>
      </c>
      <c r="P67" s="169">
        <f t="array" ref="P67">SUM(IF(P$41:P$55 = 0,0,$Z$41:$Z$55-P$41:P$55))-INDEX(Balancing!$R$4:$R$27,P$3)</f>
        <v>281</v>
      </c>
      <c r="Q67" s="169">
        <f t="array" ref="Q67">SUM(IF(Q$41:Q$55 = 0,0,$Z$41:$Z$55-Q$41:Q$55))-INDEX(Balancing!$R$4:$R$27,Q$3)</f>
        <v>271</v>
      </c>
      <c r="R67" s="169">
        <f t="array" ref="R67">SUM(IF(R$41:R$55 = 0,0,$Z$41:$Z$55-R$41:R$55))-INDEX(Balancing!$R$4:$R$27,R$3)</f>
        <v>277</v>
      </c>
      <c r="S67" s="169">
        <f t="array" ref="S67">SUM(IF(S$41:S$55 = 0,0,$Z$41:$Z$55-S$41:S$55))-INDEX(Balancing!$R$4:$R$27,S$3)</f>
        <v>282</v>
      </c>
      <c r="T67" s="169">
        <f t="array" ref="T67">SUM(IF(T$41:T$55 = 0,0,$Z$41:$Z$55-T$41:T$55))-INDEX(Balancing!$R$4:$R$27,T$3)</f>
        <v>254</v>
      </c>
      <c r="U67" s="169">
        <f t="array" ref="U67">SUM(IF(U$41:U$55 = 0,0,$Z$41:$Z$55-U$41:U$55))-INDEX(Balancing!$R$4:$R$27,U$3)</f>
        <v>272</v>
      </c>
      <c r="V67" s="169">
        <f t="array" ref="V67">SUM(IF(V$41:V$55 = 0,0,$Z$41:$Z$55-V$41:V$55))-INDEX(Balancing!$R$4:$R$27,V$3)</f>
        <v>298</v>
      </c>
      <c r="W67" s="169" t="e">
        <f t="array" ref="W67">SUM(IF(W$41:W$55 = 0,0,$Z$41:$Z$55-W$41:W$55))-INDEX(Balancing!$R$4:$R$27,W$3)</f>
        <v>#VALUE!</v>
      </c>
      <c r="X67" s="169">
        <f t="array" ref="X67">SUM(IF(X$41:X$55 = 0,0,$Z$41:$Z$55-X$41:X$55))-INDEX(Balancing!$R$4:$R$27,X$3)</f>
        <v>435</v>
      </c>
      <c r="Y67" s="170">
        <f t="array" ref="Y67">SUM(IF(Y$41:Y$55 = 0,0,$Z$41:$Z$55-Y$41:Y$55))-INDEX(Balancing!$R$4:$R$27,Y$3)</f>
        <v>393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41</v>
      </c>
      <c r="C69" s="171">
        <f t="shared" si="15"/>
        <v>39</v>
      </c>
      <c r="D69" s="171">
        <f t="shared" si="15"/>
        <v>40</v>
      </c>
      <c r="E69" s="171">
        <f t="shared" si="15"/>
        <v>40</v>
      </c>
      <c r="F69" s="171">
        <f t="shared" si="15"/>
        <v>41</v>
      </c>
      <c r="G69" s="171">
        <f t="shared" si="15"/>
        <v>48</v>
      </c>
      <c r="H69" s="171">
        <f t="shared" ref="H69:X69" si="16">IF(H67&lt;0.07*I4,"err",ROUND(I4*0.07,0))</f>
        <v>54</v>
      </c>
      <c r="I69" s="171">
        <f t="shared" si="16"/>
        <v>56</v>
      </c>
      <c r="J69" s="171">
        <f t="shared" si="16"/>
        <v>59</v>
      </c>
      <c r="K69" s="171">
        <f t="shared" si="16"/>
        <v>59</v>
      </c>
      <c r="L69" s="171">
        <f t="shared" si="16"/>
        <v>60</v>
      </c>
      <c r="M69" s="171">
        <f t="shared" si="16"/>
        <v>59</v>
      </c>
      <c r="N69" s="171">
        <f t="shared" si="16"/>
        <v>60</v>
      </c>
      <c r="O69" s="171">
        <f t="shared" si="16"/>
        <v>59</v>
      </c>
      <c r="P69" s="171">
        <f t="shared" si="16"/>
        <v>59</v>
      </c>
      <c r="Q69" s="171">
        <f t="shared" si="16"/>
        <v>57</v>
      </c>
      <c r="R69" s="171">
        <f t="shared" si="16"/>
        <v>56</v>
      </c>
      <c r="S69" s="171">
        <f t="shared" si="16"/>
        <v>58</v>
      </c>
      <c r="T69" s="171">
        <f t="shared" si="16"/>
        <v>61</v>
      </c>
      <c r="U69" s="171">
        <f t="shared" si="16"/>
        <v>59</v>
      </c>
      <c r="V69" s="171">
        <f t="shared" si="16"/>
        <v>55</v>
      </c>
      <c r="W69" s="171" t="e">
        <f t="shared" si="16"/>
        <v>#VALUE!</v>
      </c>
      <c r="X69" s="171">
        <f t="shared" si="16"/>
        <v>44</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130</v>
      </c>
      <c r="C78" s="478">
        <f t="shared" ca="1" si="17"/>
        <v>130</v>
      </c>
      <c r="D78" s="478">
        <f t="shared" ca="1" si="17"/>
        <v>130</v>
      </c>
      <c r="E78" s="478">
        <f t="shared" ca="1" si="17"/>
        <v>120</v>
      </c>
      <c r="F78" s="478">
        <f t="shared" ca="1" si="17"/>
        <v>110</v>
      </c>
      <c r="G78" s="478">
        <f t="shared" ca="1" si="17"/>
        <v>110</v>
      </c>
      <c r="H78" s="478">
        <f t="shared" ca="1" si="17"/>
        <v>60</v>
      </c>
      <c r="I78" s="478">
        <f t="shared" ca="1" si="17"/>
        <v>50</v>
      </c>
      <c r="J78" s="478">
        <f t="shared" ca="1" si="17"/>
        <v>75</v>
      </c>
      <c r="K78" s="478">
        <f t="shared" ca="1" si="17"/>
        <v>100</v>
      </c>
      <c r="L78" s="478">
        <f t="shared" ca="1" si="17"/>
        <v>110</v>
      </c>
      <c r="M78" s="478">
        <f t="shared" ca="1" si="17"/>
        <v>125</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130</v>
      </c>
      <c r="V78" s="478">
        <f t="shared" ca="1" si="17"/>
        <v>130</v>
      </c>
      <c r="W78" s="478">
        <f t="shared" ca="1" si="17"/>
        <v>70</v>
      </c>
      <c r="X78" s="478">
        <f t="shared" ca="1" si="17"/>
        <v>150</v>
      </c>
      <c r="Y78" s="478">
        <f t="shared" ca="1" si="17"/>
        <v>150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Deals!AD136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2930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255267.27637306805</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52</v>
      </c>
      <c r="C89" s="232">
        <f t="shared" si="18"/>
        <v>51</v>
      </c>
      <c r="D89" s="232">
        <f t="shared" si="18"/>
        <v>52</v>
      </c>
      <c r="E89" s="232">
        <f>E56</f>
        <v>52</v>
      </c>
      <c r="F89" s="232">
        <f t="shared" si="18"/>
        <v>52</v>
      </c>
      <c r="G89" s="232">
        <f t="shared" si="18"/>
        <v>52</v>
      </c>
      <c r="H89" s="232">
        <f t="shared" si="18"/>
        <v>52</v>
      </c>
      <c r="I89" s="232">
        <f t="shared" si="18"/>
        <v>52</v>
      </c>
      <c r="J89" s="232">
        <f t="shared" si="18"/>
        <v>52</v>
      </c>
      <c r="K89" s="232">
        <f t="shared" si="18"/>
        <v>51</v>
      </c>
      <c r="L89" s="232">
        <f t="shared" si="18"/>
        <v>51</v>
      </c>
      <c r="M89" s="232">
        <f>M57</f>
        <v>0</v>
      </c>
      <c r="N89" s="232">
        <f t="shared" si="18"/>
        <v>51</v>
      </c>
      <c r="O89" s="232">
        <f t="shared" si="18"/>
        <v>51</v>
      </c>
      <c r="P89" s="232">
        <f t="shared" si="18"/>
        <v>51</v>
      </c>
      <c r="Q89" s="232">
        <f t="shared" si="18"/>
        <v>51</v>
      </c>
      <c r="R89" s="232">
        <f t="shared" si="18"/>
        <v>50</v>
      </c>
      <c r="S89" s="232">
        <f t="shared" si="18"/>
        <v>50</v>
      </c>
      <c r="T89" s="232">
        <f t="shared" si="18"/>
        <v>51</v>
      </c>
      <c r="U89" s="232">
        <f t="shared" si="18"/>
        <v>51</v>
      </c>
      <c r="V89" s="232">
        <f t="shared" si="18"/>
        <v>51</v>
      </c>
      <c r="W89" s="232">
        <f t="shared" si="18"/>
        <v>51</v>
      </c>
      <c r="X89" s="232">
        <f t="shared" si="18"/>
        <v>51</v>
      </c>
      <c r="Y89" s="232">
        <f t="shared" si="18"/>
        <v>51</v>
      </c>
      <c r="Z89" s="261">
        <f t="array" ref="Z89">SUM(B89:Y89*Economics!F$28)</f>
        <v>15415.283520000006</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51</v>
      </c>
      <c r="C91" s="210">
        <f t="shared" si="19"/>
        <v>1</v>
      </c>
      <c r="D91" s="210">
        <f t="shared" si="19"/>
        <v>-50</v>
      </c>
      <c r="E91" s="210">
        <f t="shared" si="19"/>
        <v>-50</v>
      </c>
      <c r="F91" s="210">
        <f t="shared" si="19"/>
        <v>-50</v>
      </c>
      <c r="G91" s="210">
        <f t="shared" si="19"/>
        <v>-50</v>
      </c>
      <c r="H91" s="210">
        <f t="shared" si="19"/>
        <v>0</v>
      </c>
      <c r="I91" s="210">
        <f t="shared" si="19"/>
        <v>0</v>
      </c>
      <c r="J91" s="210">
        <f t="shared" si="19"/>
        <v>0</v>
      </c>
      <c r="K91" s="210">
        <f t="shared" si="19"/>
        <v>1</v>
      </c>
      <c r="L91" s="210">
        <f t="shared" si="19"/>
        <v>52</v>
      </c>
      <c r="M91" s="210">
        <f t="shared" si="19"/>
        <v>103</v>
      </c>
      <c r="N91" s="210">
        <f t="shared" si="19"/>
        <v>52</v>
      </c>
      <c r="O91" s="210">
        <f t="shared" si="19"/>
        <v>52</v>
      </c>
      <c r="P91" s="210">
        <f t="shared" si="19"/>
        <v>52</v>
      </c>
      <c r="Q91" s="210">
        <f t="shared" si="19"/>
        <v>52</v>
      </c>
      <c r="R91" s="210">
        <f t="shared" si="19"/>
        <v>53</v>
      </c>
      <c r="S91" s="210">
        <f t="shared" si="19"/>
        <v>53</v>
      </c>
      <c r="T91" s="210">
        <f t="shared" si="19"/>
        <v>52</v>
      </c>
      <c r="U91" s="210">
        <f t="shared" si="19"/>
        <v>52</v>
      </c>
      <c r="V91" s="210">
        <f t="shared" si="19"/>
        <v>1</v>
      </c>
      <c r="W91" s="210">
        <f t="shared" si="19"/>
        <v>1</v>
      </c>
      <c r="X91" s="210">
        <f t="shared" si="19"/>
        <v>1</v>
      </c>
      <c r="Y91" s="210">
        <f t="shared" si="19"/>
        <v>1</v>
      </c>
      <c r="Z91" s="264">
        <f>Z89-Z90</f>
        <v>-5622.1983999999884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132</v>
      </c>
      <c r="C95" s="181">
        <f t="shared" si="22"/>
        <v>132</v>
      </c>
      <c r="D95" s="181">
        <f t="shared" si="22"/>
        <v>131</v>
      </c>
      <c r="E95" s="181">
        <f>E53</f>
        <v>132</v>
      </c>
      <c r="F95" s="181">
        <f t="shared" si="22"/>
        <v>132</v>
      </c>
      <c r="G95" s="181">
        <f t="shared" si="22"/>
        <v>132</v>
      </c>
      <c r="H95" s="181">
        <f t="shared" si="22"/>
        <v>132</v>
      </c>
      <c r="I95" s="181">
        <f t="shared" si="22"/>
        <v>132</v>
      </c>
      <c r="J95" s="181">
        <f t="shared" si="22"/>
        <v>131</v>
      </c>
      <c r="K95" s="181">
        <f t="shared" si="22"/>
        <v>132</v>
      </c>
      <c r="L95" s="181">
        <f t="shared" si="22"/>
        <v>131</v>
      </c>
      <c r="M95" s="181">
        <f t="shared" si="22"/>
        <v>131</v>
      </c>
      <c r="N95" s="181">
        <f t="shared" si="22"/>
        <v>132</v>
      </c>
      <c r="O95" s="181">
        <f t="shared" si="22"/>
        <v>131</v>
      </c>
      <c r="P95" s="181">
        <f t="shared" si="22"/>
        <v>132</v>
      </c>
      <c r="Q95" s="181">
        <f t="shared" si="22"/>
        <v>131</v>
      </c>
      <c r="R95" s="181">
        <f t="shared" si="22"/>
        <v>131</v>
      </c>
      <c r="S95" s="181">
        <f t="shared" si="22"/>
        <v>131</v>
      </c>
      <c r="T95" s="181">
        <f t="shared" si="22"/>
        <v>132</v>
      </c>
      <c r="U95" s="181">
        <f t="shared" si="22"/>
        <v>132</v>
      </c>
      <c r="V95" s="181">
        <f t="shared" si="22"/>
        <v>132</v>
      </c>
      <c r="W95" s="181">
        <f t="shared" si="22"/>
        <v>132</v>
      </c>
      <c r="X95" s="181">
        <f t="shared" si="22"/>
        <v>132</v>
      </c>
      <c r="Y95" s="181">
        <f t="shared" si="22"/>
        <v>132</v>
      </c>
      <c r="Z95" s="263">
        <f t="array" ref="Z95">SUM(B95:Y95*Economics!F$30)</f>
        <v>19263.359999999997</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68</v>
      </c>
      <c r="C97" s="210">
        <f t="shared" si="23"/>
        <v>68</v>
      </c>
      <c r="D97" s="210">
        <f t="shared" si="23"/>
        <v>69</v>
      </c>
      <c r="E97" s="210">
        <f t="shared" si="23"/>
        <v>68</v>
      </c>
      <c r="F97" s="210">
        <f t="shared" si="23"/>
        <v>68</v>
      </c>
      <c r="G97" s="210">
        <f t="shared" si="23"/>
        <v>68</v>
      </c>
      <c r="H97" s="210">
        <f t="shared" si="23"/>
        <v>68</v>
      </c>
      <c r="I97" s="210">
        <f t="shared" si="23"/>
        <v>68</v>
      </c>
      <c r="J97" s="210">
        <f t="shared" si="23"/>
        <v>69</v>
      </c>
      <c r="K97" s="210">
        <f t="shared" si="23"/>
        <v>68</v>
      </c>
      <c r="L97" s="210">
        <f t="shared" si="23"/>
        <v>69</v>
      </c>
      <c r="M97" s="210">
        <f t="shared" si="23"/>
        <v>69</v>
      </c>
      <c r="N97" s="210">
        <f t="shared" si="23"/>
        <v>68</v>
      </c>
      <c r="O97" s="210">
        <f t="shared" si="23"/>
        <v>69</v>
      </c>
      <c r="P97" s="210">
        <f t="shared" si="23"/>
        <v>68</v>
      </c>
      <c r="Q97" s="210">
        <f t="shared" si="23"/>
        <v>69</v>
      </c>
      <c r="R97" s="210">
        <f t="shared" si="23"/>
        <v>69</v>
      </c>
      <c r="S97" s="210">
        <f t="shared" si="23"/>
        <v>69</v>
      </c>
      <c r="T97" s="210">
        <f t="shared" si="23"/>
        <v>68</v>
      </c>
      <c r="U97" s="210">
        <f t="shared" si="23"/>
        <v>68</v>
      </c>
      <c r="V97" s="210">
        <f t="shared" si="23"/>
        <v>68</v>
      </c>
      <c r="W97" s="210">
        <f t="shared" si="23"/>
        <v>68</v>
      </c>
      <c r="X97" s="210">
        <f t="shared" si="23"/>
        <v>68</v>
      </c>
      <c r="Y97" s="210">
        <f t="shared" si="23"/>
        <v>68</v>
      </c>
      <c r="Z97" s="264">
        <f>Z95-Z96</f>
        <v>-9997.4400000000132</v>
      </c>
    </row>
    <row r="98" spans="1:29" x14ac:dyDescent="0.25">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131</v>
      </c>
      <c r="M98" s="181">
        <f t="shared" si="24"/>
        <v>131</v>
      </c>
      <c r="N98" s="181">
        <f t="shared" si="24"/>
        <v>132</v>
      </c>
      <c r="O98" s="181">
        <f t="shared" si="24"/>
        <v>131</v>
      </c>
      <c r="P98" s="181">
        <f t="shared" si="24"/>
        <v>132</v>
      </c>
      <c r="Q98" s="181">
        <f t="shared" si="24"/>
        <v>131</v>
      </c>
      <c r="R98" s="181">
        <f t="shared" si="24"/>
        <v>131</v>
      </c>
      <c r="S98" s="181">
        <f t="shared" si="24"/>
        <v>131</v>
      </c>
      <c r="T98" s="181">
        <f t="shared" si="24"/>
        <v>132</v>
      </c>
      <c r="U98" s="181">
        <f t="shared" si="24"/>
        <v>132</v>
      </c>
      <c r="V98" s="181">
        <f t="shared" si="24"/>
        <v>132</v>
      </c>
      <c r="W98" s="181">
        <f t="shared" si="24"/>
        <v>132</v>
      </c>
      <c r="X98" s="181">
        <f t="shared" si="24"/>
        <v>132</v>
      </c>
      <c r="Y98" s="181">
        <f t="shared" si="24"/>
        <v>132</v>
      </c>
      <c r="Z98" s="263">
        <f t="array" ref="Z98">SUM(B98:Y98*Economics!F$31)</f>
        <v>19275.552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64</v>
      </c>
      <c r="M100" s="210">
        <f t="shared" si="25"/>
        <v>64</v>
      </c>
      <c r="N100" s="210">
        <f t="shared" si="25"/>
        <v>63</v>
      </c>
      <c r="O100" s="210">
        <f t="shared" si="25"/>
        <v>64</v>
      </c>
      <c r="P100" s="210">
        <f t="shared" si="25"/>
        <v>63</v>
      </c>
      <c r="Q100" s="210">
        <f t="shared" si="25"/>
        <v>64</v>
      </c>
      <c r="R100" s="210">
        <f t="shared" si="25"/>
        <v>64</v>
      </c>
      <c r="S100" s="210">
        <f t="shared" si="25"/>
        <v>64</v>
      </c>
      <c r="T100" s="210">
        <f t="shared" si="25"/>
        <v>63</v>
      </c>
      <c r="U100" s="210">
        <f t="shared" si="25"/>
        <v>63</v>
      </c>
      <c r="V100" s="210">
        <f t="shared" si="25"/>
        <v>63</v>
      </c>
      <c r="W100" s="210">
        <f t="shared" si="25"/>
        <v>63</v>
      </c>
      <c r="X100" s="210">
        <f t="shared" si="25"/>
        <v>63</v>
      </c>
      <c r="Y100" s="210">
        <f t="shared" si="25"/>
        <v>63</v>
      </c>
      <c r="Z100" s="264">
        <f>Z98-Z99</f>
        <v>-9229.3440000000082</v>
      </c>
    </row>
    <row r="101" spans="1:29" x14ac:dyDescent="0.25">
      <c r="A101" s="183" t="str">
        <f>Economics!A32</f>
        <v>PV Unit 3</v>
      </c>
      <c r="B101" s="181">
        <f t="shared" ref="B101:Y101" si="26">B55</f>
        <v>131</v>
      </c>
      <c r="C101" s="181">
        <f t="shared" si="26"/>
        <v>132</v>
      </c>
      <c r="D101" s="181">
        <f t="shared" si="26"/>
        <v>132</v>
      </c>
      <c r="E101" s="181">
        <f>E55</f>
        <v>132</v>
      </c>
      <c r="F101" s="181">
        <f t="shared" si="26"/>
        <v>133</v>
      </c>
      <c r="G101" s="181">
        <f t="shared" si="26"/>
        <v>132</v>
      </c>
      <c r="H101" s="181">
        <f t="shared" si="26"/>
        <v>132</v>
      </c>
      <c r="I101" s="181">
        <f t="shared" si="26"/>
        <v>133</v>
      </c>
      <c r="J101" s="181">
        <f t="shared" si="26"/>
        <v>132</v>
      </c>
      <c r="K101" s="181">
        <f t="shared" si="26"/>
        <v>131</v>
      </c>
      <c r="L101" s="181">
        <f t="shared" si="26"/>
        <v>132</v>
      </c>
      <c r="M101" s="181">
        <f t="shared" si="26"/>
        <v>131</v>
      </c>
      <c r="N101" s="181">
        <f t="shared" si="26"/>
        <v>132</v>
      </c>
      <c r="O101" s="181">
        <f t="shared" si="26"/>
        <v>131</v>
      </c>
      <c r="P101" s="181">
        <f t="shared" si="26"/>
        <v>132</v>
      </c>
      <c r="Q101" s="181">
        <f t="shared" si="26"/>
        <v>131</v>
      </c>
      <c r="R101" s="181">
        <f t="shared" si="26"/>
        <v>132</v>
      </c>
      <c r="S101" s="181">
        <f t="shared" si="26"/>
        <v>131</v>
      </c>
      <c r="T101" s="181">
        <f t="shared" si="26"/>
        <v>132</v>
      </c>
      <c r="U101" s="181">
        <f t="shared" si="26"/>
        <v>132</v>
      </c>
      <c r="V101" s="181">
        <f t="shared" si="26"/>
        <v>132</v>
      </c>
      <c r="W101" s="181">
        <f t="shared" si="26"/>
        <v>132</v>
      </c>
      <c r="X101" s="181">
        <f t="shared" si="26"/>
        <v>132</v>
      </c>
      <c r="Y101" s="181">
        <f t="shared" si="26"/>
        <v>132</v>
      </c>
      <c r="Z101" s="263">
        <f t="array" ref="Z101">SUM(B101:Y101*Economics!F$32)</f>
        <v>19287.743999999995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69</v>
      </c>
      <c r="C103" s="210">
        <f t="shared" si="27"/>
        <v>68</v>
      </c>
      <c r="D103" s="210">
        <f t="shared" si="27"/>
        <v>68</v>
      </c>
      <c r="E103" s="210">
        <f t="shared" si="27"/>
        <v>68</v>
      </c>
      <c r="F103" s="210">
        <f t="shared" si="27"/>
        <v>67</v>
      </c>
      <c r="G103" s="210">
        <f t="shared" si="27"/>
        <v>68</v>
      </c>
      <c r="H103" s="210">
        <f t="shared" si="27"/>
        <v>68</v>
      </c>
      <c r="I103" s="210">
        <f t="shared" si="27"/>
        <v>67</v>
      </c>
      <c r="J103" s="210">
        <f t="shared" si="27"/>
        <v>68</v>
      </c>
      <c r="K103" s="210">
        <f t="shared" si="27"/>
        <v>69</v>
      </c>
      <c r="L103" s="210">
        <f t="shared" si="27"/>
        <v>68</v>
      </c>
      <c r="M103" s="210">
        <f t="shared" si="27"/>
        <v>69</v>
      </c>
      <c r="N103" s="210">
        <f t="shared" si="27"/>
        <v>68</v>
      </c>
      <c r="O103" s="210">
        <f t="shared" si="27"/>
        <v>69</v>
      </c>
      <c r="P103" s="210">
        <f t="shared" si="27"/>
        <v>68</v>
      </c>
      <c r="Q103" s="210">
        <f t="shared" si="27"/>
        <v>69</v>
      </c>
      <c r="R103" s="210">
        <f t="shared" si="27"/>
        <v>68</v>
      </c>
      <c r="S103" s="210">
        <f t="shared" si="27"/>
        <v>69</v>
      </c>
      <c r="T103" s="210">
        <f t="shared" si="27"/>
        <v>68</v>
      </c>
      <c r="U103" s="210">
        <f t="shared" si="27"/>
        <v>68</v>
      </c>
      <c r="V103" s="210">
        <f t="shared" si="27"/>
        <v>68</v>
      </c>
      <c r="W103" s="210">
        <f t="shared" si="27"/>
        <v>68</v>
      </c>
      <c r="X103" s="210">
        <f t="shared" si="27"/>
        <v>68</v>
      </c>
      <c r="Y103" s="210">
        <f t="shared" si="27"/>
        <v>68</v>
      </c>
      <c r="Z103" s="264">
        <f>Z101-Z102</f>
        <v>-9973.056000000015</v>
      </c>
    </row>
    <row r="104" spans="1:29" x14ac:dyDescent="0.25">
      <c r="A104" s="183" t="str">
        <f>Economics!A34</f>
        <v>Newman 1</v>
      </c>
      <c r="B104" s="181">
        <v>31</v>
      </c>
      <c r="C104" s="181">
        <f t="shared" ref="C104:R104" si="28">C41</f>
        <v>30</v>
      </c>
      <c r="D104" s="181">
        <f t="shared" si="28"/>
        <v>31</v>
      </c>
      <c r="E104" s="181">
        <f>E41</f>
        <v>31</v>
      </c>
      <c r="F104" s="181">
        <f t="shared" si="28"/>
        <v>30</v>
      </c>
      <c r="G104" s="181">
        <f t="shared" si="28"/>
        <v>75</v>
      </c>
      <c r="H104" s="181">
        <f t="shared" si="28"/>
        <v>62</v>
      </c>
      <c r="I104" s="181">
        <f>I41</f>
        <v>46</v>
      </c>
      <c r="J104" s="181">
        <f t="shared" si="28"/>
        <v>46</v>
      </c>
      <c r="K104" s="181">
        <f t="shared" si="28"/>
        <v>75</v>
      </c>
      <c r="L104" s="181">
        <f t="shared" si="28"/>
        <v>75</v>
      </c>
      <c r="M104" s="181">
        <f t="shared" si="28"/>
        <v>75</v>
      </c>
      <c r="N104" s="181">
        <f t="shared" si="28"/>
        <v>75</v>
      </c>
      <c r="O104" s="181">
        <f t="shared" si="28"/>
        <v>77</v>
      </c>
      <c r="P104" s="181">
        <f t="shared" si="28"/>
        <v>78</v>
      </c>
      <c r="Q104" s="181">
        <f t="shared" si="28"/>
        <v>78</v>
      </c>
      <c r="R104" s="181">
        <f t="shared" si="28"/>
        <v>78</v>
      </c>
      <c r="S104" s="181">
        <v>34</v>
      </c>
      <c r="T104" s="181">
        <v>34</v>
      </c>
      <c r="U104" s="181">
        <v>34</v>
      </c>
      <c r="V104" s="181">
        <v>34</v>
      </c>
      <c r="W104" s="181">
        <f>W41</f>
        <v>35</v>
      </c>
      <c r="X104" s="181">
        <f>X41</f>
        <v>32</v>
      </c>
      <c r="Y104" s="181">
        <f>Y41</f>
        <v>31</v>
      </c>
      <c r="Z104" s="223">
        <f>SUM(B104:Y104)</f>
        <v>1227</v>
      </c>
      <c r="AA104" s="322" t="s">
        <v>167</v>
      </c>
    </row>
    <row r="105" spans="1:29" x14ac:dyDescent="0.25">
      <c r="A105" s="185">
        <f>Economics!$I34</f>
        <v>1.96</v>
      </c>
      <c r="B105" s="189">
        <f t="shared" ref="B105:Y105" ca="1" si="29">IndGencost(B104,OFFSET(HeatRateStart,1,MATCH($A104,HeatRateNames,0)-1,250,1),$A105)</f>
        <v>23.547401890555044</v>
      </c>
      <c r="C105" s="189">
        <f t="shared" ca="1" si="29"/>
        <v>23.634399126656849</v>
      </c>
      <c r="D105" s="189">
        <f t="shared" ca="1" si="29"/>
        <v>23.547401890555044</v>
      </c>
      <c r="E105" s="189">
        <f ca="1">IndGencost(E104,OFFSET(HeatRateStart,1,MATCH($A104,HeatRateNames,0)-1,250,1),$A105)</f>
        <v>23.547401890555044</v>
      </c>
      <c r="F105" s="189">
        <f t="shared" ca="1" si="29"/>
        <v>23.634399126656849</v>
      </c>
      <c r="G105" s="189">
        <f t="shared" ca="1" si="29"/>
        <v>22.17096509817441</v>
      </c>
      <c r="H105" s="189">
        <f t="shared" ca="1" si="29"/>
        <v>22.336209750852891</v>
      </c>
      <c r="I105" s="189">
        <f t="shared" ca="1" si="29"/>
        <v>22.726917972762891</v>
      </c>
      <c r="J105" s="189">
        <f t="shared" ca="1" si="29"/>
        <v>22.726917972762891</v>
      </c>
      <c r="K105" s="189">
        <f t="shared" ca="1" si="29"/>
        <v>22.17096509817441</v>
      </c>
      <c r="L105" s="189">
        <f t="shared" ca="1" si="29"/>
        <v>22.17096509817441</v>
      </c>
      <c r="M105" s="189">
        <f t="shared" ca="1" si="29"/>
        <v>22.17096509817441</v>
      </c>
      <c r="N105" s="189">
        <f t="shared" ca="1" si="29"/>
        <v>22.17096509817441</v>
      </c>
      <c r="O105" s="189">
        <f t="shared" ca="1" si="29"/>
        <v>22.152778503881059</v>
      </c>
      <c r="P105" s="189">
        <f t="shared" ca="1" si="29"/>
        <v>22.144260348936715</v>
      </c>
      <c r="Q105" s="189">
        <f t="shared" ca="1" si="29"/>
        <v>22.144260348936715</v>
      </c>
      <c r="R105" s="189">
        <f t="shared" ca="1" si="29"/>
        <v>22.144260348936715</v>
      </c>
      <c r="S105" s="189">
        <f t="shared" ca="1" si="29"/>
        <v>23.319183465619929</v>
      </c>
      <c r="T105" s="189">
        <f t="shared" ca="1" si="29"/>
        <v>23.319183465619929</v>
      </c>
      <c r="U105" s="189">
        <f t="shared" ca="1" si="29"/>
        <v>23.319183465619929</v>
      </c>
      <c r="V105" s="189">
        <f t="shared" ca="1" si="29"/>
        <v>23.319183465619929</v>
      </c>
      <c r="W105" s="189">
        <f t="shared" ca="1" si="29"/>
        <v>23.252474452556882</v>
      </c>
      <c r="X105" s="189">
        <f t="shared" ca="1" si="29"/>
        <v>23.46620825671673</v>
      </c>
      <c r="Y105" s="189">
        <f t="shared" ca="1" si="29"/>
        <v>23.547401890555044</v>
      </c>
      <c r="Z105" s="263">
        <f t="array" aca="1" ref="Z105" ca="1">SUM(B104:Y104*B105:Y105)</f>
        <v>27751.460239719472</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v>
      </c>
      <c r="D108" s="188">
        <f t="shared" ca="1" si="31"/>
        <v>8.6997236101804987E-2</v>
      </c>
      <c r="E108" s="188">
        <f t="shared" ca="1" si="31"/>
        <v>8.6997236101804987E-2</v>
      </c>
      <c r="F108" s="188">
        <f t="shared" ca="1" si="31"/>
        <v>0</v>
      </c>
      <c r="G108" s="188">
        <f t="shared" ca="1" si="31"/>
        <v>1.463434028482439</v>
      </c>
      <c r="H108" s="188">
        <f t="shared" ca="1" si="31"/>
        <v>1.2981893758039575</v>
      </c>
      <c r="I108" s="188">
        <f t="shared" ca="1" si="31"/>
        <v>0.90748115389395778</v>
      </c>
      <c r="J108" s="188">
        <f t="shared" ca="1" si="31"/>
        <v>0.90748115389395778</v>
      </c>
      <c r="K108" s="188">
        <f t="shared" ca="1" si="31"/>
        <v>1.463434028482439</v>
      </c>
      <c r="L108" s="188">
        <f t="shared" ca="1" si="31"/>
        <v>1.463434028482439</v>
      </c>
      <c r="M108" s="188">
        <f t="shared" ca="1" si="31"/>
        <v>1.463434028482439</v>
      </c>
      <c r="N108" s="188">
        <f t="shared" ca="1" si="31"/>
        <v>1.463434028482439</v>
      </c>
      <c r="O108" s="188">
        <f t="shared" ca="1" si="31"/>
        <v>1.4816206227757895</v>
      </c>
      <c r="P108" s="188">
        <f t="shared" ca="1" si="31"/>
        <v>1.4901387777201336</v>
      </c>
      <c r="Q108" s="188">
        <f t="shared" ca="1" si="31"/>
        <v>1.4901387777201336</v>
      </c>
      <c r="R108" s="188">
        <f t="shared" ca="1" si="31"/>
        <v>1.4901387777201336</v>
      </c>
      <c r="S108" s="188">
        <f t="shared" ca="1" si="31"/>
        <v>0.31521566103691967</v>
      </c>
      <c r="T108" s="188">
        <f t="shared" ca="1" si="31"/>
        <v>0.31521566103691967</v>
      </c>
      <c r="U108" s="188">
        <f t="shared" ca="1" si="31"/>
        <v>0.31521566103691967</v>
      </c>
      <c r="V108" s="188">
        <f t="shared" ca="1" si="31"/>
        <v>0.31521566103691967</v>
      </c>
      <c r="W108" s="188">
        <f t="shared" ca="1" si="31"/>
        <v>0.38192467409996667</v>
      </c>
      <c r="X108" s="188">
        <f t="shared" ca="1" si="31"/>
        <v>0.16819086994011911</v>
      </c>
      <c r="Y108" s="188">
        <f t="shared" ca="1" si="31"/>
        <v>8.6997236101804987E-2</v>
      </c>
      <c r="Z108" s="264">
        <f ca="1">Z105-Z107</f>
        <v>10734.692868526545</v>
      </c>
    </row>
    <row r="109" spans="1:29" x14ac:dyDescent="0.25">
      <c r="A109" s="183" t="str">
        <f>Economics!A35</f>
        <v>Newman 2</v>
      </c>
      <c r="B109" s="181">
        <f>B42</f>
        <v>43</v>
      </c>
      <c r="C109" s="181">
        <f t="shared" ref="C109:Y109" si="32">C42</f>
        <v>38</v>
      </c>
      <c r="D109" s="181">
        <f t="shared" si="32"/>
        <v>42</v>
      </c>
      <c r="E109" s="181">
        <f>E42</f>
        <v>56</v>
      </c>
      <c r="F109" s="181">
        <f t="shared" si="32"/>
        <v>58</v>
      </c>
      <c r="G109" s="181">
        <f t="shared" si="32"/>
        <v>72</v>
      </c>
      <c r="H109" s="181">
        <f t="shared" si="32"/>
        <v>36</v>
      </c>
      <c r="I109" s="181">
        <f>I42</f>
        <v>38</v>
      </c>
      <c r="J109" s="181">
        <f t="shared" si="32"/>
        <v>77</v>
      </c>
      <c r="K109" s="181">
        <f t="shared" si="32"/>
        <v>77</v>
      </c>
      <c r="L109" s="181">
        <f t="shared" si="32"/>
        <v>74</v>
      </c>
      <c r="M109" s="181">
        <f t="shared" si="32"/>
        <v>75</v>
      </c>
      <c r="N109" s="181">
        <f t="shared" si="32"/>
        <v>75</v>
      </c>
      <c r="O109" s="181">
        <f t="shared" si="32"/>
        <v>79</v>
      </c>
      <c r="P109" s="181">
        <f t="shared" si="32"/>
        <v>79</v>
      </c>
      <c r="Q109" s="181">
        <f t="shared" si="32"/>
        <v>75</v>
      </c>
      <c r="R109" s="181">
        <f t="shared" si="32"/>
        <v>67</v>
      </c>
      <c r="S109" s="181">
        <f t="shared" si="32"/>
        <v>68</v>
      </c>
      <c r="T109" s="181">
        <f t="shared" si="32"/>
        <v>73</v>
      </c>
      <c r="U109" s="181">
        <f t="shared" si="32"/>
        <v>65</v>
      </c>
      <c r="V109" s="181">
        <f t="shared" si="32"/>
        <v>60</v>
      </c>
      <c r="W109" s="181">
        <f t="shared" si="32"/>
        <v>39</v>
      </c>
      <c r="X109" s="181">
        <f t="shared" si="32"/>
        <v>62</v>
      </c>
      <c r="Y109" s="181">
        <f t="shared" si="32"/>
        <v>52</v>
      </c>
      <c r="Z109" s="223">
        <f>SUM(B109:Y109)</f>
        <v>1480</v>
      </c>
      <c r="AA109" s="322" t="s">
        <v>171</v>
      </c>
    </row>
    <row r="110" spans="1:29" x14ac:dyDescent="0.25">
      <c r="A110" s="185">
        <f>Economics!$I35</f>
        <v>1.96</v>
      </c>
      <c r="B110" s="189">
        <f t="shared" ref="B110:Y110" ca="1" si="33">IndGencost(B109,OFFSET(HeatRateStart,1,MATCH($A109,HeatRateNames,0)-1,250,1),$A110)</f>
        <v>20.867149522410994</v>
      </c>
      <c r="C110" s="189">
        <f t="shared" ca="1" si="33"/>
        <v>21.103691779156737</v>
      </c>
      <c r="D110" s="189">
        <f t="shared" ca="1" si="33"/>
        <v>20.908963073612398</v>
      </c>
      <c r="E110" s="189">
        <f ca="1">IndGencost(E109,OFFSET(HeatRateStart,1,MATCH($A109,HeatRateNames,0)-1,250,1),$A110)</f>
        <v>20.493228398854399</v>
      </c>
      <c r="F110" s="189">
        <f t="shared" ca="1" si="33"/>
        <v>20.455952673990978</v>
      </c>
      <c r="G110" s="189">
        <f t="shared" ca="1" si="33"/>
        <v>20.285325283696917</v>
      </c>
      <c r="H110" s="189">
        <f t="shared" ca="1" si="33"/>
        <v>21.220746190791662</v>
      </c>
      <c r="I110" s="189">
        <f t="shared" ca="1" si="33"/>
        <v>21.103691779156737</v>
      </c>
      <c r="J110" s="189">
        <f t="shared" ca="1" si="33"/>
        <v>20.252240030527737</v>
      </c>
      <c r="K110" s="189">
        <f t="shared" ca="1" si="33"/>
        <v>20.252240030527737</v>
      </c>
      <c r="L110" s="189">
        <f t="shared" ca="1" si="33"/>
        <v>20.270712394523621</v>
      </c>
      <c r="M110" s="189">
        <f t="shared" ca="1" si="33"/>
        <v>20.264113727728525</v>
      </c>
      <c r="N110" s="189">
        <f t="shared" ca="1" si="33"/>
        <v>20.264113727728525</v>
      </c>
      <c r="O110" s="189">
        <f t="shared" ca="1" si="33"/>
        <v>20.242019482572776</v>
      </c>
      <c r="P110" s="189">
        <f t="shared" ca="1" si="33"/>
        <v>20.242019482572776</v>
      </c>
      <c r="Q110" s="189">
        <f t="shared" ca="1" si="33"/>
        <v>20.264113727728525</v>
      </c>
      <c r="R110" s="189">
        <f t="shared" ca="1" si="33"/>
        <v>20.331100873310888</v>
      </c>
      <c r="S110" s="189">
        <f t="shared" ca="1" si="33"/>
        <v>20.320796160204274</v>
      </c>
      <c r="T110" s="189">
        <f t="shared" ca="1" si="33"/>
        <v>20.277776449455629</v>
      </c>
      <c r="U110" s="189">
        <f t="shared" ca="1" si="33"/>
        <v>20.353620396137238</v>
      </c>
      <c r="V110" s="189">
        <f t="shared" ca="1" si="33"/>
        <v>20.422547064145409</v>
      </c>
      <c r="W110" s="189">
        <f t="shared" ca="1" si="33"/>
        <v>21.050465743033094</v>
      </c>
      <c r="X110" s="189">
        <f t="shared" ca="1" si="33"/>
        <v>20.392637042057899</v>
      </c>
      <c r="Y110" s="189">
        <f t="shared" ca="1" si="33"/>
        <v>20.5811764005661</v>
      </c>
      <c r="Z110" s="263">
        <f t="array" aca="1" ref="Z110" ca="1">SUM(B109:Y109*B110:Y110)</f>
        <v>30242.589692603688</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0.72404018813531579</v>
      </c>
      <c r="C113" s="188">
        <f t="shared" ca="1" si="35"/>
        <v>0.48749793138957287</v>
      </c>
      <c r="D113" s="188">
        <f t="shared" ca="1" si="35"/>
        <v>0.68222663693391183</v>
      </c>
      <c r="E113" s="188">
        <f t="shared" ca="1" si="35"/>
        <v>1.0979613116919111</v>
      </c>
      <c r="F113" s="188">
        <f t="shared" ca="1" si="35"/>
        <v>1.1352370365553313</v>
      </c>
      <c r="G113" s="188">
        <f t="shared" ca="1" si="35"/>
        <v>1.3058644268493929</v>
      </c>
      <c r="H113" s="188">
        <f t="shared" ca="1" si="35"/>
        <v>0.37044351975464807</v>
      </c>
      <c r="I113" s="188">
        <f t="shared" ca="1" si="35"/>
        <v>0.48749793138957287</v>
      </c>
      <c r="J113" s="188">
        <f t="shared" ca="1" si="35"/>
        <v>1.3389496800185725</v>
      </c>
      <c r="K113" s="188">
        <f t="shared" ca="1" si="35"/>
        <v>1.3389496800185725</v>
      </c>
      <c r="L113" s="188">
        <f t="shared" ca="1" si="35"/>
        <v>1.3204773160226893</v>
      </c>
      <c r="M113" s="188">
        <f t="shared" ca="1" si="35"/>
        <v>1.3270759828177852</v>
      </c>
      <c r="N113" s="188">
        <f t="shared" ca="1" si="35"/>
        <v>1.3270759828177852</v>
      </c>
      <c r="O113" s="188">
        <f t="shared" ca="1" si="35"/>
        <v>1.3491702279735343</v>
      </c>
      <c r="P113" s="188">
        <f t="shared" ca="1" si="35"/>
        <v>1.3491702279735343</v>
      </c>
      <c r="Q113" s="188">
        <f t="shared" ca="1" si="35"/>
        <v>1.3270759828177852</v>
      </c>
      <c r="R113" s="188">
        <f t="shared" ca="1" si="35"/>
        <v>1.260088837235422</v>
      </c>
      <c r="S113" s="188">
        <f t="shared" ca="1" si="35"/>
        <v>1.2703935503420354</v>
      </c>
      <c r="T113" s="188">
        <f t="shared" ca="1" si="35"/>
        <v>1.3134132610906804</v>
      </c>
      <c r="U113" s="188">
        <f t="shared" ca="1" si="35"/>
        <v>1.2375693144090718</v>
      </c>
      <c r="V113" s="188">
        <f t="shared" ca="1" si="35"/>
        <v>1.168642646400901</v>
      </c>
      <c r="W113" s="188">
        <f t="shared" ca="1" si="35"/>
        <v>0.54072396751321605</v>
      </c>
      <c r="X113" s="188">
        <f t="shared" ca="1" si="35"/>
        <v>1.1985526684884107</v>
      </c>
      <c r="Y113" s="188">
        <f t="shared" ca="1" si="35"/>
        <v>1.0100133099802093</v>
      </c>
      <c r="Z113" s="264">
        <f ca="1">Z110-Z112</f>
        <v>14178.744547957223</v>
      </c>
      <c r="AC113" s="174"/>
    </row>
    <row r="114" spans="1:29" x14ac:dyDescent="0.25">
      <c r="A114" s="183" t="str">
        <f>Economics!A36</f>
        <v>Newman 3</v>
      </c>
      <c r="B114" s="181">
        <f t="shared" ref="B114:Y114" si="36">B43</f>
        <v>66</v>
      </c>
      <c r="C114" s="181">
        <f t="shared" si="36"/>
        <v>37</v>
      </c>
      <c r="D114" s="181">
        <f t="shared" si="36"/>
        <v>47</v>
      </c>
      <c r="E114" s="181">
        <f>E43</f>
        <v>89</v>
      </c>
      <c r="F114" s="181">
        <f t="shared" si="36"/>
        <v>93</v>
      </c>
      <c r="G114" s="181">
        <f t="shared" si="36"/>
        <v>92</v>
      </c>
      <c r="H114" s="181">
        <f t="shared" si="36"/>
        <v>37</v>
      </c>
      <c r="I114" s="181">
        <f t="shared" si="36"/>
        <v>67</v>
      </c>
      <c r="J114" s="181">
        <f t="shared" si="36"/>
        <v>94</v>
      </c>
      <c r="K114" s="181">
        <f t="shared" si="36"/>
        <v>95</v>
      </c>
      <c r="L114" s="181">
        <f t="shared" si="36"/>
        <v>90</v>
      </c>
      <c r="M114" s="181">
        <f t="shared" si="36"/>
        <v>95</v>
      </c>
      <c r="N114" s="181">
        <f t="shared" si="36"/>
        <v>94</v>
      </c>
      <c r="O114" s="181">
        <f t="shared" si="36"/>
        <v>95</v>
      </c>
      <c r="P114" s="181">
        <f t="shared" si="36"/>
        <v>87</v>
      </c>
      <c r="Q114" s="181">
        <f t="shared" si="36"/>
        <v>91</v>
      </c>
      <c r="R114" s="181">
        <f t="shared" si="36"/>
        <v>85</v>
      </c>
      <c r="S114" s="181">
        <f t="shared" si="36"/>
        <v>83</v>
      </c>
      <c r="T114" s="181">
        <f t="shared" si="36"/>
        <v>91</v>
      </c>
      <c r="U114" s="181">
        <f t="shared" si="36"/>
        <v>85</v>
      </c>
      <c r="V114" s="181">
        <f t="shared" si="36"/>
        <v>81</v>
      </c>
      <c r="W114" s="181">
        <f t="shared" si="36"/>
        <v>37</v>
      </c>
      <c r="X114" s="181">
        <f t="shared" si="36"/>
        <v>81</v>
      </c>
      <c r="Y114" s="181">
        <f t="shared" si="36"/>
        <v>94</v>
      </c>
      <c r="Z114" s="223">
        <f>SUM(B114:Y114)</f>
        <v>1906</v>
      </c>
      <c r="AA114" s="322" t="s">
        <v>173</v>
      </c>
    </row>
    <row r="115" spans="1:29" x14ac:dyDescent="0.25">
      <c r="A115" s="185">
        <f>Economics!$I36</f>
        <v>1.96</v>
      </c>
      <c r="B115" s="189">
        <f t="shared" ref="B115:Y115" ca="1" si="37">IndGencost(B114,OFFSET(HeatRateStart,1,MATCH($A114,HeatRateNames,0)-1,250,1),$A115)</f>
        <v>19.920074327093182</v>
      </c>
      <c r="C115" s="189">
        <f t="shared" ca="1" si="37"/>
        <v>21.524349608112029</v>
      </c>
      <c r="D115" s="189">
        <f t="shared" ca="1" si="37"/>
        <v>20.644513593288181</v>
      </c>
      <c r="E115" s="189">
        <f ca="1">IndGencost(E114,OFFSET(HeatRateStart,1,MATCH($A114,HeatRateNames,0)-1,250,1),$A115)</f>
        <v>19.733522631259447</v>
      </c>
      <c r="F115" s="189">
        <f t="shared" ca="1" si="37"/>
        <v>19.740087696024169</v>
      </c>
      <c r="G115" s="189">
        <f t="shared" ca="1" si="37"/>
        <v>19.737669079801311</v>
      </c>
      <c r="H115" s="189">
        <f t="shared" ca="1" si="37"/>
        <v>21.524349608112029</v>
      </c>
      <c r="I115" s="189">
        <f t="shared" ca="1" si="37"/>
        <v>19.900933521655066</v>
      </c>
      <c r="J115" s="189">
        <f t="shared" ca="1" si="37"/>
        <v>19.742996979997514</v>
      </c>
      <c r="K115" s="189">
        <f t="shared" ca="1" si="37"/>
        <v>19.746381436950283</v>
      </c>
      <c r="L115" s="189">
        <f t="shared" ca="1" si="37"/>
        <v>19.734369272973801</v>
      </c>
      <c r="M115" s="189">
        <f t="shared" ca="1" si="37"/>
        <v>19.746381436950283</v>
      </c>
      <c r="N115" s="189">
        <f t="shared" ca="1" si="37"/>
        <v>19.742996979997514</v>
      </c>
      <c r="O115" s="189">
        <f t="shared" ca="1" si="37"/>
        <v>19.746381436950283</v>
      </c>
      <c r="P115" s="189">
        <f t="shared" ca="1" si="37"/>
        <v>19.733528200160496</v>
      </c>
      <c r="Q115" s="189">
        <f t="shared" ca="1" si="37"/>
        <v>19.735757307188852</v>
      </c>
      <c r="R115" s="189">
        <f t="shared" ca="1" si="37"/>
        <v>19.735932148821213</v>
      </c>
      <c r="S115" s="189">
        <f t="shared" ca="1" si="37"/>
        <v>19.740907854091692</v>
      </c>
      <c r="T115" s="189">
        <f t="shared" ca="1" si="37"/>
        <v>19.735757307188852</v>
      </c>
      <c r="U115" s="189">
        <f t="shared" ca="1" si="37"/>
        <v>19.735932148821213</v>
      </c>
      <c r="V115" s="189">
        <f t="shared" ca="1" si="37"/>
        <v>19.748645816461543</v>
      </c>
      <c r="W115" s="189">
        <f t="shared" ca="1" si="37"/>
        <v>21.524349608112029</v>
      </c>
      <c r="X115" s="189">
        <f t="shared" ca="1" si="37"/>
        <v>19.748645816461543</v>
      </c>
      <c r="Y115" s="189">
        <f t="shared" ca="1" si="37"/>
        <v>19.742996979997514</v>
      </c>
      <c r="Z115" s="263">
        <f t="array" aca="1" ref="Z115" ca="1">SUM(B114:Y114*B115:Y115)</f>
        <v>37888.505937414171</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-19.920074327093182</v>
      </c>
      <c r="C118" s="188">
        <f t="shared" ca="1" si="39"/>
        <v>-21.524349608112029</v>
      </c>
      <c r="D118" s="188">
        <f t="shared" ca="1" si="39"/>
        <v>-20.644513593288181</v>
      </c>
      <c r="E118" s="188">
        <f t="shared" ca="1" si="39"/>
        <v>-19.733522631259447</v>
      </c>
      <c r="F118" s="188">
        <f t="shared" ca="1" si="39"/>
        <v>-19.740087696024169</v>
      </c>
      <c r="G118" s="188">
        <f t="shared" ca="1" si="39"/>
        <v>-19.737669079801311</v>
      </c>
      <c r="H118" s="188">
        <f t="shared" ca="1" si="39"/>
        <v>-21.524349608112029</v>
      </c>
      <c r="I118" s="188">
        <f t="shared" ca="1" si="39"/>
        <v>-19.900933521655066</v>
      </c>
      <c r="J118" s="188">
        <f t="shared" ca="1" si="39"/>
        <v>-19.742996979997514</v>
      </c>
      <c r="K118" s="188">
        <f t="shared" ca="1" si="39"/>
        <v>-19.746381436950283</v>
      </c>
      <c r="L118" s="188">
        <f t="shared" ca="1" si="39"/>
        <v>-19.734369272973801</v>
      </c>
      <c r="M118" s="188">
        <f t="shared" ca="1" si="39"/>
        <v>-19.746381436950283</v>
      </c>
      <c r="N118" s="188">
        <f t="shared" ca="1" si="39"/>
        <v>-19.742996979997514</v>
      </c>
      <c r="O118" s="188">
        <f t="shared" ca="1" si="39"/>
        <v>-19.746381436950283</v>
      </c>
      <c r="P118" s="188">
        <f t="shared" ca="1" si="39"/>
        <v>-19.733528200160496</v>
      </c>
      <c r="Q118" s="188">
        <f t="shared" ca="1" si="39"/>
        <v>-19.735757307188852</v>
      </c>
      <c r="R118" s="188">
        <f t="shared" ca="1" si="39"/>
        <v>-19.735932148821213</v>
      </c>
      <c r="S118" s="188">
        <f t="shared" ca="1" si="39"/>
        <v>-19.740907854091692</v>
      </c>
      <c r="T118" s="188">
        <f t="shared" ca="1" si="39"/>
        <v>-19.735757307188852</v>
      </c>
      <c r="U118" s="188">
        <f t="shared" ca="1" si="39"/>
        <v>-19.735932148821213</v>
      </c>
      <c r="V118" s="188">
        <f t="shared" ca="1" si="39"/>
        <v>-19.748645816461543</v>
      </c>
      <c r="W118" s="188">
        <f t="shared" ca="1" si="39"/>
        <v>-21.524349608112029</v>
      </c>
      <c r="X118" s="188">
        <f t="shared" ca="1" si="39"/>
        <v>-19.748645816461543</v>
      </c>
      <c r="Y118" s="188">
        <f t="shared" ca="1" si="39"/>
        <v>-19.742996979997514</v>
      </c>
      <c r="Z118" s="264">
        <f ca="1">Z115-Z117</f>
        <v>37888.505937414171</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99</v>
      </c>
      <c r="C129" s="181">
        <f t="shared" si="50"/>
        <v>64</v>
      </c>
      <c r="D129" s="181">
        <f t="shared" si="50"/>
        <v>99</v>
      </c>
      <c r="E129" s="181">
        <f>E46</f>
        <v>100</v>
      </c>
      <c r="F129" s="181">
        <f t="shared" si="50"/>
        <v>96</v>
      </c>
      <c r="G129" s="181">
        <f t="shared" si="50"/>
        <v>98</v>
      </c>
      <c r="H129" s="181">
        <f t="shared" si="50"/>
        <v>63</v>
      </c>
      <c r="I129" s="181">
        <f t="shared" si="50"/>
        <v>100</v>
      </c>
      <c r="J129" s="181">
        <f t="shared" si="50"/>
        <v>98</v>
      </c>
      <c r="K129" s="181">
        <f t="shared" si="50"/>
        <v>99</v>
      </c>
      <c r="L129" s="181">
        <f t="shared" si="50"/>
        <v>96</v>
      </c>
      <c r="M129" s="181">
        <f t="shared" si="50"/>
        <v>99</v>
      </c>
      <c r="N129" s="181">
        <f t="shared" si="50"/>
        <v>101</v>
      </c>
      <c r="O129" s="181">
        <f t="shared" si="50"/>
        <v>100</v>
      </c>
      <c r="P129" s="181">
        <f t="shared" si="50"/>
        <v>98</v>
      </c>
      <c r="Q129" s="181">
        <f t="shared" si="50"/>
        <v>97</v>
      </c>
      <c r="R129" s="181">
        <f t="shared" si="50"/>
        <v>93</v>
      </c>
      <c r="S129" s="181">
        <f t="shared" si="50"/>
        <v>92</v>
      </c>
      <c r="T129" s="181">
        <f t="shared" si="50"/>
        <v>95</v>
      </c>
      <c r="U129" s="181">
        <f t="shared" si="50"/>
        <v>91</v>
      </c>
      <c r="V129" s="181">
        <f t="shared" si="50"/>
        <v>89</v>
      </c>
      <c r="W129" s="181">
        <f t="shared" si="50"/>
        <v>82</v>
      </c>
      <c r="X129" s="181">
        <f t="shared" si="50"/>
        <v>89</v>
      </c>
      <c r="Y129" s="181">
        <f t="shared" si="50"/>
        <v>100</v>
      </c>
      <c r="Z129" s="223">
        <f>SUM(B129:Y129)</f>
        <v>2238</v>
      </c>
      <c r="AA129" s="322" t="s">
        <v>175</v>
      </c>
    </row>
    <row r="130" spans="1:27" x14ac:dyDescent="0.25">
      <c r="A130" s="185">
        <f>Economics!$I39</f>
        <v>1.96</v>
      </c>
      <c r="B130" s="189">
        <f t="shared" ref="B130:Y130" ca="1" si="51">IndGencost(B129,OFFSET(HeatRateStart,1,MATCH($A129,HeatRateNames,0)-1,250,1),$A130)</f>
        <v>18.247761619595899</v>
      </c>
      <c r="C130" s="189">
        <f t="shared" ca="1" si="51"/>
        <v>20.115467161502124</v>
      </c>
      <c r="D130" s="189">
        <f t="shared" ca="1" si="51"/>
        <v>18.247761619595899</v>
      </c>
      <c r="E130" s="189">
        <f ca="1">IndGencost(E129,OFFSET(HeatRateStart,1,MATCH($A129,HeatRateNames,0)-1,250,1),$A130)</f>
        <v>18.221826354646684</v>
      </c>
      <c r="F130" s="189">
        <f t="shared" ca="1" si="51"/>
        <v>18.331662470117728</v>
      </c>
      <c r="G130" s="189">
        <f t="shared" ca="1" si="51"/>
        <v>18.274691995675596</v>
      </c>
      <c r="H130" s="189">
        <f t="shared" ca="1" si="51"/>
        <v>20.212366288943603</v>
      </c>
      <c r="I130" s="189">
        <f t="shared" ca="1" si="51"/>
        <v>18.221826354646684</v>
      </c>
      <c r="J130" s="189">
        <f t="shared" ca="1" si="51"/>
        <v>18.274691995675596</v>
      </c>
      <c r="K130" s="189">
        <f t="shared" ca="1" si="51"/>
        <v>18.247761619595899</v>
      </c>
      <c r="L130" s="189">
        <f t="shared" ca="1" si="51"/>
        <v>18.331662470117728</v>
      </c>
      <c r="M130" s="189">
        <f t="shared" ca="1" si="51"/>
        <v>18.247761619595899</v>
      </c>
      <c r="N130" s="189">
        <f t="shared" ca="1" si="51"/>
        <v>18.196856643071595</v>
      </c>
      <c r="O130" s="189">
        <f t="shared" ca="1" si="51"/>
        <v>18.221826354646684</v>
      </c>
      <c r="P130" s="189">
        <f t="shared" ca="1" si="51"/>
        <v>18.274691995675596</v>
      </c>
      <c r="Q130" s="189">
        <f t="shared" ca="1" si="51"/>
        <v>18.302648259518669</v>
      </c>
      <c r="R130" s="189">
        <f t="shared" ca="1" si="51"/>
        <v>18.425394055597916</v>
      </c>
      <c r="S130" s="189">
        <f t="shared" ca="1" si="51"/>
        <v>18.458988745349469</v>
      </c>
      <c r="T130" s="189">
        <f t="shared" ca="1" si="51"/>
        <v>18.361768036317699</v>
      </c>
      <c r="U130" s="189">
        <f t="shared" ca="1" si="51"/>
        <v>18.493823432248185</v>
      </c>
      <c r="V130" s="189">
        <f t="shared" ca="1" si="51"/>
        <v>18.567379988113679</v>
      </c>
      <c r="W130" s="189">
        <f t="shared" ca="1" si="51"/>
        <v>18.870620834591076</v>
      </c>
      <c r="X130" s="189">
        <f t="shared" ca="1" si="51"/>
        <v>18.567379988113679</v>
      </c>
      <c r="Y130" s="189">
        <f t="shared" ca="1" si="51"/>
        <v>18.221826354646684</v>
      </c>
      <c r="Z130" s="263">
        <f t="array" aca="1" ref="Z130" ca="1">SUM(B129:Y129*B130:Y130)</f>
        <v>41272.770214721233</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-18.247761619595899</v>
      </c>
      <c r="C133" s="188">
        <f t="shared" ca="1" si="53"/>
        <v>-20.115467161502124</v>
      </c>
      <c r="D133" s="188">
        <f t="shared" ca="1" si="53"/>
        <v>-18.247761619595899</v>
      </c>
      <c r="E133" s="188">
        <f t="shared" ca="1" si="53"/>
        <v>-18.221826354646684</v>
      </c>
      <c r="F133" s="188">
        <f t="shared" ca="1" si="53"/>
        <v>-18.331662470117728</v>
      </c>
      <c r="G133" s="188">
        <f t="shared" ca="1" si="53"/>
        <v>-18.274691995675596</v>
      </c>
      <c r="H133" s="188">
        <f t="shared" ca="1" si="53"/>
        <v>-20.212366288943603</v>
      </c>
      <c r="I133" s="188">
        <f t="shared" ca="1" si="53"/>
        <v>-18.221826354646684</v>
      </c>
      <c r="J133" s="188">
        <f t="shared" ca="1" si="53"/>
        <v>-18.274691995675596</v>
      </c>
      <c r="K133" s="188">
        <f t="shared" ca="1" si="53"/>
        <v>-18.247761619595899</v>
      </c>
      <c r="L133" s="188">
        <f t="shared" ca="1" si="53"/>
        <v>-18.331662470117728</v>
      </c>
      <c r="M133" s="188">
        <f t="shared" ca="1" si="53"/>
        <v>-18.247761619595899</v>
      </c>
      <c r="N133" s="188">
        <f t="shared" ca="1" si="53"/>
        <v>-18.196856643071595</v>
      </c>
      <c r="O133" s="188">
        <f t="shared" ca="1" si="53"/>
        <v>-18.221826354646684</v>
      </c>
      <c r="P133" s="188">
        <f t="shared" ca="1" si="53"/>
        <v>-18.274691995675596</v>
      </c>
      <c r="Q133" s="188">
        <f t="shared" ca="1" si="53"/>
        <v>-18.302648259518669</v>
      </c>
      <c r="R133" s="188">
        <f t="shared" ca="1" si="53"/>
        <v>-18.425394055597916</v>
      </c>
      <c r="S133" s="188">
        <f t="shared" ca="1" si="53"/>
        <v>-18.458988745349469</v>
      </c>
      <c r="T133" s="188">
        <f t="shared" ca="1" si="53"/>
        <v>-18.361768036317699</v>
      </c>
      <c r="U133" s="188">
        <f t="shared" ca="1" si="53"/>
        <v>-18.493823432248185</v>
      </c>
      <c r="V133" s="188">
        <f t="shared" ca="1" si="53"/>
        <v>-18.567379988113679</v>
      </c>
      <c r="W133" s="188">
        <f t="shared" ca="1" si="53"/>
        <v>-18.870620834591076</v>
      </c>
      <c r="X133" s="188">
        <f t="shared" ca="1" si="53"/>
        <v>-18.567379988113679</v>
      </c>
      <c r="Y133" s="188">
        <f t="shared" ca="1" si="53"/>
        <v>-18.221826354646684</v>
      </c>
      <c r="Z133" s="264">
        <f ca="1">Z130-Z132</f>
        <v>41272.770214721233</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t="e">
        <f t="shared" ca="1" si="60"/>
        <v>#VALUE!</v>
      </c>
      <c r="X140" s="189">
        <f t="shared" ca="1" si="60"/>
        <v>0</v>
      </c>
      <c r="Y140" s="189">
        <f t="shared" ca="1" si="60"/>
        <v>0</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t="e">
        <f t="shared" ca="1" si="62"/>
        <v>#VALUE!</v>
      </c>
      <c r="X143" s="188">
        <f t="shared" ca="1" si="62"/>
        <v>19.025115355453305</v>
      </c>
      <c r="Y143" s="188">
        <f t="shared" ca="1" si="62"/>
        <v>19.025115355453305</v>
      </c>
      <c r="Z143" s="264" t="e">
        <f ca="1">Z140-Z142</f>
        <v>#VALUE!</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15</v>
      </c>
      <c r="I144" s="181">
        <f t="shared" si="63"/>
        <v>19</v>
      </c>
      <c r="J144" s="181">
        <f t="shared" si="63"/>
        <v>68</v>
      </c>
      <c r="K144" s="181">
        <f t="shared" si="63"/>
        <v>68</v>
      </c>
      <c r="L144" s="181">
        <f t="shared" si="63"/>
        <v>64</v>
      </c>
      <c r="M144" s="181">
        <f t="shared" si="63"/>
        <v>67</v>
      </c>
      <c r="N144" s="181">
        <f t="shared" si="63"/>
        <v>66</v>
      </c>
      <c r="O144" s="181">
        <f t="shared" si="63"/>
        <v>65</v>
      </c>
      <c r="P144" s="181">
        <f t="shared" si="63"/>
        <v>34</v>
      </c>
      <c r="Q144" s="181">
        <f t="shared" si="63"/>
        <v>48</v>
      </c>
      <c r="R144" s="181">
        <f t="shared" si="63"/>
        <v>59</v>
      </c>
      <c r="S144" s="181">
        <f t="shared" si="63"/>
        <v>57</v>
      </c>
      <c r="T144" s="181">
        <f t="shared" si="63"/>
        <v>66</v>
      </c>
      <c r="U144" s="181">
        <v>0</v>
      </c>
      <c r="V144" s="181">
        <v>0</v>
      </c>
      <c r="W144" s="181">
        <v>0</v>
      </c>
      <c r="X144" s="181">
        <f>X49</f>
        <v>39</v>
      </c>
      <c r="Y144" s="181">
        <f>Y49</f>
        <v>0</v>
      </c>
      <c r="Z144" s="223">
        <f>SUM(B144:Y144)</f>
        <v>735</v>
      </c>
      <c r="AA144" s="322"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48.753911188884729</v>
      </c>
      <c r="I145" s="189">
        <f t="shared" ca="1" si="64"/>
        <v>41.668672967618157</v>
      </c>
      <c r="J145" s="189">
        <f t="shared" ca="1" si="64"/>
        <v>25.056702469789752</v>
      </c>
      <c r="K145" s="189">
        <f t="shared" ca="1" si="64"/>
        <v>25.056702469789752</v>
      </c>
      <c r="L145" s="189">
        <f t="shared" ca="1" si="64"/>
        <v>25.272692565875861</v>
      </c>
      <c r="M145" s="189">
        <f t="shared" ca="1" si="64"/>
        <v>25.105311512856975</v>
      </c>
      <c r="N145" s="189">
        <f t="shared" ca="1" si="64"/>
        <v>25.157404018359301</v>
      </c>
      <c r="O145" s="189">
        <f t="shared" ca="1" si="64"/>
        <v>25.213140761486052</v>
      </c>
      <c r="P145" s="189">
        <f t="shared" ca="1" si="64"/>
        <v>30.502900525905343</v>
      </c>
      <c r="Q145" s="189">
        <f t="shared" ca="1" si="64"/>
        <v>26.938937892305564</v>
      </c>
      <c r="R145" s="189">
        <f t="shared" ca="1" si="64"/>
        <v>25.634467022578001</v>
      </c>
      <c r="S145" s="189">
        <f t="shared" ca="1" si="64"/>
        <v>25.81324349860699</v>
      </c>
      <c r="T145" s="189">
        <f t="shared" ca="1" si="64"/>
        <v>25.157404018359301</v>
      </c>
      <c r="U145" s="189">
        <f t="shared" ca="1" si="64"/>
        <v>0</v>
      </c>
      <c r="V145" s="189">
        <f t="shared" ca="1" si="64"/>
        <v>0</v>
      </c>
      <c r="W145" s="189">
        <f t="shared" ca="1" si="64"/>
        <v>0</v>
      </c>
      <c r="X145" s="189">
        <f t="shared" ca="1" si="64"/>
        <v>28.859771370305637</v>
      </c>
      <c r="Y145" s="189">
        <f t="shared" ca="1" si="64"/>
        <v>0</v>
      </c>
      <c r="Z145" s="263">
        <f t="array" aca="1" ref="Z145" ca="1">SUM(B144:Y144*B145:Y145)</f>
        <v>19629.351819512987</v>
      </c>
      <c r="AA145" s="322"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15</v>
      </c>
      <c r="I146" s="186">
        <f t="shared" si="65"/>
        <v>19</v>
      </c>
      <c r="J146" s="186">
        <f t="shared" si="65"/>
        <v>68</v>
      </c>
      <c r="K146" s="186">
        <f t="shared" si="65"/>
        <v>68</v>
      </c>
      <c r="L146" s="186">
        <f t="shared" si="65"/>
        <v>64</v>
      </c>
      <c r="M146" s="186">
        <f t="shared" si="65"/>
        <v>67</v>
      </c>
      <c r="N146" s="186">
        <f t="shared" si="65"/>
        <v>66</v>
      </c>
      <c r="O146" s="186">
        <f t="shared" si="65"/>
        <v>65</v>
      </c>
      <c r="P146" s="186">
        <f t="shared" si="65"/>
        <v>34</v>
      </c>
      <c r="Q146" s="186">
        <f t="shared" si="65"/>
        <v>48</v>
      </c>
      <c r="R146" s="186">
        <f t="shared" si="65"/>
        <v>59</v>
      </c>
      <c r="S146" s="186">
        <f t="shared" si="65"/>
        <v>57</v>
      </c>
      <c r="T146" s="186">
        <f t="shared" si="65"/>
        <v>66</v>
      </c>
      <c r="U146" s="186"/>
      <c r="V146" s="186"/>
      <c r="W146" s="186"/>
      <c r="X146" s="186">
        <f>X144</f>
        <v>39</v>
      </c>
      <c r="Y146" s="186">
        <f>Y144</f>
        <v>0</v>
      </c>
      <c r="Z146" s="224">
        <f>SUM(B146:Y146)</f>
        <v>735</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48.753911188884729</v>
      </c>
      <c r="I147" s="190">
        <f t="shared" ca="1" si="66"/>
        <v>41.668672967618157</v>
      </c>
      <c r="J147" s="190">
        <f t="shared" ca="1" si="66"/>
        <v>25.056702469789752</v>
      </c>
      <c r="K147" s="190">
        <f t="shared" ca="1" si="66"/>
        <v>25.056702469789752</v>
      </c>
      <c r="L147" s="190">
        <f t="shared" ca="1" si="66"/>
        <v>25.272692565875861</v>
      </c>
      <c r="M147" s="190">
        <f t="shared" ca="1" si="66"/>
        <v>25.105311512856975</v>
      </c>
      <c r="N147" s="190">
        <f t="shared" ca="1" si="66"/>
        <v>25.157404018359301</v>
      </c>
      <c r="O147" s="190">
        <f t="shared" ca="1" si="66"/>
        <v>25.213140761486052</v>
      </c>
      <c r="P147" s="190">
        <f t="shared" ca="1" si="66"/>
        <v>30.502900525905343</v>
      </c>
      <c r="Q147" s="190">
        <f t="shared" ca="1" si="66"/>
        <v>26.938937892305564</v>
      </c>
      <c r="R147" s="190">
        <f t="shared" ca="1" si="66"/>
        <v>25.634467022578001</v>
      </c>
      <c r="S147" s="190">
        <f t="shared" ca="1" si="66"/>
        <v>25.81324349860699</v>
      </c>
      <c r="T147" s="190">
        <f t="shared" ca="1" si="66"/>
        <v>25.157404018359301</v>
      </c>
      <c r="U147" s="190">
        <f t="shared" ca="1" si="66"/>
        <v>0</v>
      </c>
      <c r="V147" s="190">
        <f t="shared" ca="1" si="66"/>
        <v>0</v>
      </c>
      <c r="W147" s="190">
        <f t="shared" ca="1" si="66"/>
        <v>0</v>
      </c>
      <c r="X147" s="190">
        <f t="shared" ca="1" si="66"/>
        <v>28.859771370305637</v>
      </c>
      <c r="Y147" s="190">
        <f t="shared" ca="1" si="66"/>
        <v>0</v>
      </c>
      <c r="Z147" s="262">
        <f t="array" aca="1" ref="Z147" ca="1">SUM(B146:Y146*B147:Y147)</f>
        <v>19629.351819512987</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5">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912</v>
      </c>
      <c r="AA149" s="322" t="s">
        <v>179</v>
      </c>
    </row>
    <row r="150" spans="1:27" x14ac:dyDescent="0.25">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25.45537769461594</v>
      </c>
      <c r="Z150" s="263">
        <f t="array" aca="1" ref="Z150" ca="1">SUM(B149:Y149*B150:Y150)</f>
        <v>23215.30445748975</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-25.45537769461594</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-25.45537769461594</v>
      </c>
      <c r="Z153" s="264">
        <f ca="1">Z150-Z152</f>
        <v>23215.30445748975</v>
      </c>
    </row>
    <row r="154" spans="1:27" x14ac:dyDescent="0.25">
      <c r="A154" s="183" t="str">
        <f>Economics!A44</f>
        <v>Rio Grande 7</v>
      </c>
      <c r="B154" s="181">
        <f t="shared" ref="B154:Y154" si="72">B51</f>
        <v>32</v>
      </c>
      <c r="C154" s="181">
        <f t="shared" si="72"/>
        <v>32</v>
      </c>
      <c r="D154" s="181">
        <f t="shared" si="72"/>
        <v>32</v>
      </c>
      <c r="E154" s="181">
        <f>E51</f>
        <v>32</v>
      </c>
      <c r="F154" s="181">
        <f t="shared" si="72"/>
        <v>33</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32</v>
      </c>
      <c r="Z154" s="223">
        <f>SUM(B154:Y154)</f>
        <v>769</v>
      </c>
      <c r="AA154" s="322" t="s">
        <v>179</v>
      </c>
    </row>
    <row r="155" spans="1:27" x14ac:dyDescent="0.25">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22.219928707487149</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22.22988594207823</v>
      </c>
      <c r="Z155" s="263">
        <f t="array" aca="1" ref="Z155" ca="1">SUM(B154:Y154*B155:Y155)</f>
        <v>17094.453700716651</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-22.219928707487149</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-22.22988594207823</v>
      </c>
      <c r="Z158" s="264">
        <f ca="1">Z155-Z157</f>
        <v>17094.453700716651</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17</v>
      </c>
      <c r="X159" s="181">
        <f t="shared" si="76"/>
        <v>49</v>
      </c>
      <c r="Y159" s="181">
        <f t="shared" si="76"/>
        <v>49</v>
      </c>
      <c r="Z159" s="223">
        <f>SUM(B159:Y159)</f>
        <v>115</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28.371195599577</v>
      </c>
      <c r="X160" s="189">
        <f t="shared" ca="1" si="77"/>
        <v>21.80912777782703</v>
      </c>
      <c r="Y160" s="189">
        <f t="shared" ca="1" si="77"/>
        <v>21.80912777782703</v>
      </c>
      <c r="Z160" s="263">
        <f t="array" aca="1" ref="Z160" ca="1">SUM(B159:Y159*B160:Y160)</f>
        <v>2619.6048474198578</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-7.0621191669912804</v>
      </c>
      <c r="X163" s="188">
        <f t="shared" ca="1" si="79"/>
        <v>-0.28802544735524194</v>
      </c>
      <c r="Y163" s="188">
        <f t="shared" ca="1" si="79"/>
        <v>-0.28802544735524194</v>
      </c>
      <c r="Z163" s="264">
        <f ca="1">Z160-Z162</f>
        <v>-29505.921773270966</v>
      </c>
      <c r="AA163" s="266"/>
    </row>
    <row r="164" spans="1:27" s="273" customFormat="1" x14ac:dyDescent="0.25">
      <c r="A164" s="306" t="s">
        <v>183</v>
      </c>
      <c r="B164" s="307">
        <f t="shared" ref="B164:Y164" si="80">B159+B154+B149+B144+B139+B134+B129+B124+B119+B114+B109+B104+B101+B98+B95+B92+B89</f>
        <v>756</v>
      </c>
      <c r="C164" s="307">
        <f t="shared" si="80"/>
        <v>686</v>
      </c>
      <c r="D164" s="307">
        <f t="shared" si="80"/>
        <v>736</v>
      </c>
      <c r="E164" s="307">
        <f t="shared" si="80"/>
        <v>794</v>
      </c>
      <c r="F164" s="307">
        <f t="shared" si="80"/>
        <v>797</v>
      </c>
      <c r="G164" s="307">
        <f t="shared" si="80"/>
        <v>855</v>
      </c>
      <c r="H164" s="307">
        <f t="shared" si="80"/>
        <v>731</v>
      </c>
      <c r="I164" s="307">
        <f t="shared" si="80"/>
        <v>789</v>
      </c>
      <c r="J164" s="307">
        <f t="shared" si="80"/>
        <v>900</v>
      </c>
      <c r="K164" s="307">
        <f t="shared" si="80"/>
        <v>930</v>
      </c>
      <c r="L164" s="307">
        <f t="shared" si="80"/>
        <v>914</v>
      </c>
      <c r="M164" s="307" t="e">
        <f t="shared" si="80"/>
        <v>#REF!</v>
      </c>
      <c r="N164" s="307">
        <f t="shared" si="80"/>
        <v>928</v>
      </c>
      <c r="O164" s="307">
        <f t="shared" si="80"/>
        <v>930</v>
      </c>
      <c r="P164" s="307">
        <f t="shared" si="80"/>
        <v>893</v>
      </c>
      <c r="Q164" s="307">
        <f t="shared" si="80"/>
        <v>903</v>
      </c>
      <c r="R164" s="307">
        <f t="shared" si="80"/>
        <v>896</v>
      </c>
      <c r="S164" s="307">
        <f t="shared" si="80"/>
        <v>847</v>
      </c>
      <c r="T164" s="307">
        <f t="shared" si="80"/>
        <v>876</v>
      </c>
      <c r="U164" s="307">
        <f t="shared" si="80"/>
        <v>792</v>
      </c>
      <c r="V164" s="307">
        <f t="shared" si="80"/>
        <v>781</v>
      </c>
      <c r="W164" s="307" t="e">
        <f t="shared" si="80"/>
        <v>#VALUE!</v>
      </c>
      <c r="X164" s="307">
        <f t="shared" si="80"/>
        <v>869</v>
      </c>
      <c r="Y164" s="308">
        <f t="shared" si="80"/>
        <v>843</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909</v>
      </c>
      <c r="I165" s="310">
        <f t="shared" si="81"/>
        <v>898</v>
      </c>
      <c r="J165" s="310">
        <f t="shared" si="81"/>
        <v>947</v>
      </c>
      <c r="K165" s="310">
        <f t="shared" si="81"/>
        <v>947</v>
      </c>
      <c r="L165" s="310">
        <f t="shared" si="81"/>
        <v>994</v>
      </c>
      <c r="M165" s="310">
        <f t="shared" si="81"/>
        <v>997</v>
      </c>
      <c r="N165" s="310">
        <f t="shared" si="81"/>
        <v>996</v>
      </c>
      <c r="O165" s="310">
        <f t="shared" si="81"/>
        <v>995</v>
      </c>
      <c r="P165" s="310">
        <f t="shared" si="81"/>
        <v>964</v>
      </c>
      <c r="Q165" s="310">
        <f t="shared" si="81"/>
        <v>978</v>
      </c>
      <c r="R165" s="310">
        <f t="shared" si="81"/>
        <v>989</v>
      </c>
      <c r="S165" s="310">
        <f t="shared" si="81"/>
        <v>987</v>
      </c>
      <c r="T165" s="310">
        <f t="shared" si="81"/>
        <v>1095</v>
      </c>
      <c r="U165" s="310">
        <f t="shared" si="81"/>
        <v>1054</v>
      </c>
      <c r="V165" s="310">
        <f t="shared" si="81"/>
        <v>968</v>
      </c>
      <c r="W165" s="310">
        <f>W161+W156+W151+W146+W141+W136+W131+W126+W121+W116+W111+W106+W102+W99+W96+W93+W90</f>
        <v>938</v>
      </c>
      <c r="X165" s="310">
        <f t="shared" si="81"/>
        <v>948</v>
      </c>
      <c r="Y165" s="311">
        <f t="shared" si="81"/>
        <v>909</v>
      </c>
      <c r="Z165" s="275"/>
      <c r="AA165" s="174" t="e">
        <f ca="1">Z163+Z158+Z153+Z148+Z143+Z138+Z133+Z128+Z123+Z118+Z113+Z108+Z103+Z100+Z97+Z94+Z91</f>
        <v>#VALUE!</v>
      </c>
    </row>
    <row r="166" spans="1:27" x14ac:dyDescent="0.25">
      <c r="A166" s="334" t="s">
        <v>185</v>
      </c>
      <c r="B166" s="335">
        <f t="shared" ref="B166:Y166" si="82">B165-B164</f>
        <v>223</v>
      </c>
      <c r="C166" s="335">
        <f t="shared" si="82"/>
        <v>192</v>
      </c>
      <c r="D166" s="335">
        <f t="shared" si="82"/>
        <v>112</v>
      </c>
      <c r="E166" s="335">
        <f t="shared" si="82"/>
        <v>54</v>
      </c>
      <c r="F166" s="335">
        <f t="shared" si="82"/>
        <v>61</v>
      </c>
      <c r="G166" s="335">
        <f t="shared" si="82"/>
        <v>13</v>
      </c>
      <c r="H166" s="335">
        <f t="shared" si="82"/>
        <v>178</v>
      </c>
      <c r="I166" s="335">
        <f t="shared" si="82"/>
        <v>109</v>
      </c>
      <c r="J166" s="335">
        <f t="shared" si="82"/>
        <v>47</v>
      </c>
      <c r="K166" s="335">
        <f t="shared" si="82"/>
        <v>17</v>
      </c>
      <c r="L166" s="335">
        <f t="shared" si="82"/>
        <v>80</v>
      </c>
      <c r="M166" s="335" t="e">
        <f t="shared" si="82"/>
        <v>#REF!</v>
      </c>
      <c r="N166" s="335">
        <f t="shared" si="82"/>
        <v>68</v>
      </c>
      <c r="O166" s="335">
        <f t="shared" si="82"/>
        <v>65</v>
      </c>
      <c r="P166" s="335">
        <f t="shared" si="82"/>
        <v>71</v>
      </c>
      <c r="Q166" s="335">
        <f t="shared" si="82"/>
        <v>75</v>
      </c>
      <c r="R166" s="335">
        <f t="shared" si="82"/>
        <v>93</v>
      </c>
      <c r="S166" s="335">
        <f t="shared" si="82"/>
        <v>140</v>
      </c>
      <c r="T166" s="335">
        <f t="shared" si="82"/>
        <v>219</v>
      </c>
      <c r="U166" s="335">
        <f t="shared" si="82"/>
        <v>262</v>
      </c>
      <c r="V166" s="335">
        <f t="shared" si="82"/>
        <v>187</v>
      </c>
      <c r="W166" s="335" t="e">
        <f t="shared" si="82"/>
        <v>#VALUE!</v>
      </c>
      <c r="X166" s="335">
        <f t="shared" si="82"/>
        <v>79</v>
      </c>
      <c r="Y166" s="336">
        <f t="shared" si="82"/>
        <v>66</v>
      </c>
      <c r="Z166" s="340" t="e">
        <f>SUM(B166:Y166)</f>
        <v>#REF!</v>
      </c>
    </row>
    <row r="167" spans="1:27" s="329" customFormat="1" ht="32.25" customHeight="1" thickBot="1" x14ac:dyDescent="0.3">
      <c r="A167" s="337" t="s">
        <v>186</v>
      </c>
      <c r="B167" s="338">
        <f t="shared" ref="B167:Y167" ca="1" si="83">B58</f>
        <v>11</v>
      </c>
      <c r="C167" s="338">
        <f t="shared" ca="1" si="83"/>
        <v>1</v>
      </c>
      <c r="D167" s="338">
        <f t="shared" ca="1" si="83"/>
        <v>-8</v>
      </c>
      <c r="E167" s="338">
        <f ca="1">E58</f>
        <v>-2</v>
      </c>
      <c r="F167" s="338">
        <f t="shared" ca="1" si="83"/>
        <v>0</v>
      </c>
      <c r="G167" s="338">
        <f t="shared" ca="1" si="83"/>
        <v>-14</v>
      </c>
      <c r="H167" s="338">
        <f t="shared" ca="1" si="83"/>
        <v>1</v>
      </c>
      <c r="I167" s="338">
        <f t="shared" ca="1" si="83"/>
        <v>-7</v>
      </c>
      <c r="J167" s="338">
        <f t="shared" ca="1" si="83"/>
        <v>-19</v>
      </c>
      <c r="K167" s="338">
        <f t="shared" ca="1" si="83"/>
        <v>-2</v>
      </c>
      <c r="L167" s="338">
        <f t="shared" ca="1" si="83"/>
        <v>21</v>
      </c>
      <c r="M167" s="338">
        <f t="shared" ca="1" si="83"/>
        <v>8</v>
      </c>
      <c r="N167" s="338">
        <f t="shared" ca="1" si="83"/>
        <v>17</v>
      </c>
      <c r="O167" s="338">
        <f t="shared" ca="1" si="83"/>
        <v>6</v>
      </c>
      <c r="P167" s="338">
        <f t="shared" ca="1" si="83"/>
        <v>12</v>
      </c>
      <c r="Q167" s="338">
        <f t="shared" ca="1" si="83"/>
        <v>19</v>
      </c>
      <c r="R167" s="338">
        <f t="shared" ca="1" si="83"/>
        <v>23</v>
      </c>
      <c r="S167" s="338">
        <f t="shared" ca="1" si="83"/>
        <v>4</v>
      </c>
      <c r="T167" s="338">
        <f t="shared" ca="1" si="83"/>
        <v>27</v>
      </c>
      <c r="U167" s="338">
        <f t="shared" ca="1" si="83"/>
        <v>28</v>
      </c>
      <c r="V167" s="338">
        <f t="shared" ca="1" si="83"/>
        <v>29</v>
      </c>
      <c r="W167" s="338">
        <f t="shared" ca="1" si="83"/>
        <v>-5</v>
      </c>
      <c r="X167" s="338">
        <f ca="1">X58</f>
        <v>1</v>
      </c>
      <c r="Y167" s="339">
        <f t="shared" ca="1" si="83"/>
        <v>1</v>
      </c>
      <c r="Z167" s="327">
        <f ca="1">SUM(B167:Y167)</f>
        <v>152</v>
      </c>
      <c r="AA167" s="328"/>
    </row>
    <row r="168" spans="1:27" ht="13.8" hidden="1" thickBot="1" x14ac:dyDescent="0.3">
      <c r="A168" s="330" t="s">
        <v>187</v>
      </c>
      <c r="B168" s="331">
        <f t="shared" ref="B168:Y168" ca="1" si="84">B167+B166</f>
        <v>234</v>
      </c>
      <c r="C168" s="331">
        <f t="shared" ca="1" si="84"/>
        <v>193</v>
      </c>
      <c r="D168" s="331">
        <f t="shared" ca="1" si="84"/>
        <v>104</v>
      </c>
      <c r="E168" s="331">
        <f t="shared" ca="1" si="84"/>
        <v>52</v>
      </c>
      <c r="F168" s="331">
        <f t="shared" ca="1" si="84"/>
        <v>61</v>
      </c>
      <c r="G168" s="331">
        <f t="shared" ca="1" si="84"/>
        <v>-1</v>
      </c>
      <c r="H168" s="331">
        <f t="shared" ca="1" si="84"/>
        <v>179</v>
      </c>
      <c r="I168" s="331">
        <f t="shared" ca="1" si="84"/>
        <v>102</v>
      </c>
      <c r="J168" s="331">
        <f t="shared" ca="1" si="84"/>
        <v>28</v>
      </c>
      <c r="K168" s="331">
        <f t="shared" ca="1" si="84"/>
        <v>15</v>
      </c>
      <c r="L168" s="331">
        <f t="shared" ca="1" si="84"/>
        <v>101</v>
      </c>
      <c r="M168" s="331" t="e">
        <f t="shared" ca="1" si="84"/>
        <v>#REF!</v>
      </c>
      <c r="N168" s="331">
        <f t="shared" ca="1" si="84"/>
        <v>85</v>
      </c>
      <c r="O168" s="331">
        <f t="shared" ca="1" si="84"/>
        <v>71</v>
      </c>
      <c r="P168" s="331">
        <f t="shared" ca="1" si="84"/>
        <v>83</v>
      </c>
      <c r="Q168" s="331">
        <f t="shared" ca="1" si="84"/>
        <v>94</v>
      </c>
      <c r="R168" s="331">
        <f t="shared" ca="1" si="84"/>
        <v>116</v>
      </c>
      <c r="S168" s="331">
        <f t="shared" ca="1" si="84"/>
        <v>144</v>
      </c>
      <c r="T168" s="331">
        <f t="shared" ca="1" si="84"/>
        <v>246</v>
      </c>
      <c r="U168" s="331">
        <f t="shared" ca="1" si="84"/>
        <v>290</v>
      </c>
      <c r="V168" s="331">
        <f t="shared" ca="1" si="84"/>
        <v>216</v>
      </c>
      <c r="W168" s="331" t="e">
        <f t="shared" ca="1" si="84"/>
        <v>#VALUE!</v>
      </c>
      <c r="X168" s="331">
        <f t="shared" ca="1" si="84"/>
        <v>80</v>
      </c>
      <c r="Y168" s="331">
        <f t="shared" ca="1" si="84"/>
        <v>67</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455</v>
      </c>
      <c r="C171" s="342">
        <f t="shared" si="85"/>
        <v>490</v>
      </c>
      <c r="D171" s="342">
        <f t="shared" si="85"/>
        <v>475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418</v>
      </c>
      <c r="F171" s="342">
        <f t="shared" si="85"/>
        <v>411</v>
      </c>
      <c r="G171" s="342">
        <f t="shared" si="85"/>
        <v>355</v>
      </c>
      <c r="H171" s="342">
        <f t="shared" si="85"/>
        <v>508</v>
      </c>
      <c r="I171" s="342">
        <f t="shared" si="85"/>
        <v>487</v>
      </c>
      <c r="J171" s="342">
        <f t="shared" si="85"/>
        <v>374</v>
      </c>
      <c r="K171" s="342">
        <f t="shared" si="85"/>
        <v>345</v>
      </c>
      <c r="L171" s="342">
        <f t="shared" si="85"/>
        <v>358</v>
      </c>
      <c r="M171" s="342">
        <f t="shared" si="85"/>
        <v>298</v>
      </c>
      <c r="N171" s="342">
        <f t="shared" si="85"/>
        <v>349</v>
      </c>
      <c r="O171" s="342">
        <f t="shared" si="85"/>
        <v>346</v>
      </c>
      <c r="P171" s="342">
        <f t="shared" si="85"/>
        <v>381</v>
      </c>
      <c r="Q171" s="342">
        <f t="shared" si="85"/>
        <v>370</v>
      </c>
      <c r="R171" s="342">
        <f t="shared" si="85"/>
        <v>373</v>
      </c>
      <c r="S171" s="342">
        <f t="shared" si="85"/>
        <v>421</v>
      </c>
      <c r="T171" s="342">
        <f t="shared" si="85"/>
        <v>395</v>
      </c>
      <c r="U171" s="342">
        <f t="shared" si="85"/>
        <v>411</v>
      </c>
      <c r="V171" s="342">
        <f t="shared" si="85"/>
        <v>420</v>
      </c>
      <c r="W171" s="342" t="e">
        <f t="shared" si="85"/>
        <v>#VALUE!</v>
      </c>
      <c r="X171" s="342">
        <f t="shared" si="85"/>
        <v>465</v>
      </c>
      <c r="Y171" s="343">
        <f t="shared" si="85"/>
        <v>438</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273</v>
      </c>
      <c r="I172" s="345">
        <f t="shared" si="86"/>
        <v>274</v>
      </c>
      <c r="J172" s="345">
        <f t="shared" si="86"/>
        <v>225</v>
      </c>
      <c r="K172" s="345">
        <f t="shared" si="86"/>
        <v>225</v>
      </c>
      <c r="L172" s="345">
        <f t="shared" si="86"/>
        <v>178</v>
      </c>
      <c r="M172" s="345">
        <f t="shared" si="86"/>
        <v>175</v>
      </c>
      <c r="N172" s="345">
        <f t="shared" si="86"/>
        <v>176</v>
      </c>
      <c r="O172" s="345">
        <f t="shared" si="86"/>
        <v>177</v>
      </c>
      <c r="P172" s="345">
        <f t="shared" si="86"/>
        <v>208</v>
      </c>
      <c r="Q172" s="345">
        <f t="shared" si="86"/>
        <v>194</v>
      </c>
      <c r="R172" s="345">
        <f t="shared" si="86"/>
        <v>183</v>
      </c>
      <c r="S172" s="345">
        <f t="shared" si="86"/>
        <v>185</v>
      </c>
      <c r="T172" s="345">
        <f t="shared" si="86"/>
        <v>116</v>
      </c>
      <c r="U172" s="345">
        <f t="shared" si="86"/>
        <v>118</v>
      </c>
      <c r="V172" s="345">
        <f t="shared" si="86"/>
        <v>184</v>
      </c>
      <c r="W172" s="345">
        <f t="shared" si="86"/>
        <v>189</v>
      </c>
      <c r="X172" s="345">
        <f t="shared" si="86"/>
        <v>234</v>
      </c>
      <c r="Y172" s="346">
        <f t="shared" si="86"/>
        <v>209</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7"/>
  <sheetViews>
    <sheetView showGridLines="0" tabSelected="1" topLeftCell="G1" zoomScale="60" zoomScaleNormal="60" workbookViewId="0">
      <pane ySplit="2" topLeftCell="A17" activePane="bottomLeft" state="frozen"/>
      <selection pane="bottomLeft" activeCell="AI106" sqref="AI106"/>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5">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5">
      <c r="A3" s="639" t="s">
        <v>63</v>
      </c>
      <c r="B3" s="640" t="s">
        <v>62</v>
      </c>
      <c r="C3" s="539" t="s">
        <v>152</v>
      </c>
      <c r="D3" s="539"/>
      <c r="E3" s="539"/>
      <c r="F3" s="633">
        <v>130</v>
      </c>
      <c r="G3" s="633">
        <v>130</v>
      </c>
      <c r="H3" s="633">
        <v>130</v>
      </c>
      <c r="I3" s="633">
        <v>120</v>
      </c>
      <c r="J3" s="633">
        <v>110</v>
      </c>
      <c r="K3" s="633">
        <v>110</v>
      </c>
      <c r="L3" s="633">
        <v>60</v>
      </c>
      <c r="M3" s="633">
        <v>50</v>
      </c>
      <c r="N3" s="633">
        <v>75</v>
      </c>
      <c r="O3" s="633">
        <v>100</v>
      </c>
      <c r="P3" s="633">
        <v>110</v>
      </c>
      <c r="Q3" s="633">
        <v>125</v>
      </c>
      <c r="R3" s="633">
        <v>150</v>
      </c>
      <c r="S3" s="633">
        <v>150</v>
      </c>
      <c r="T3" s="633">
        <v>150</v>
      </c>
      <c r="U3" s="633">
        <v>150</v>
      </c>
      <c r="V3" s="633">
        <v>150</v>
      </c>
      <c r="W3" s="633">
        <v>150</v>
      </c>
      <c r="X3" s="633">
        <v>150</v>
      </c>
      <c r="Y3" s="633">
        <v>130</v>
      </c>
      <c r="Z3" s="633">
        <v>130</v>
      </c>
      <c r="AA3" s="633">
        <v>70</v>
      </c>
      <c r="AB3" s="633">
        <v>150</v>
      </c>
      <c r="AC3" s="633">
        <v>150</v>
      </c>
      <c r="AD3" s="691">
        <f>SUM(F3:AC3)</f>
        <v>2930</v>
      </c>
      <c r="AE3" s="588">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5">
      <c r="A5" s="639" t="s">
        <v>64</v>
      </c>
      <c r="B5" s="539" t="s">
        <v>61</v>
      </c>
      <c r="C5" s="539" t="s">
        <v>279</v>
      </c>
      <c r="D5" s="539"/>
      <c r="E5" s="539"/>
      <c r="F5" s="633">
        <v>1</v>
      </c>
      <c r="G5" s="633">
        <v>1</v>
      </c>
      <c r="H5" s="633">
        <v>1</v>
      </c>
      <c r="I5" s="633">
        <v>1</v>
      </c>
      <c r="J5" s="633">
        <v>1</v>
      </c>
      <c r="K5" s="633">
        <v>11</v>
      </c>
      <c r="L5" s="633">
        <v>11</v>
      </c>
      <c r="M5" s="633">
        <v>11</v>
      </c>
      <c r="N5" s="633">
        <v>11</v>
      </c>
      <c r="O5" s="633">
        <v>11</v>
      </c>
      <c r="P5" s="633">
        <v>11</v>
      </c>
      <c r="Q5" s="633">
        <v>11</v>
      </c>
      <c r="R5" s="633">
        <v>11</v>
      </c>
      <c r="S5" s="633">
        <v>11</v>
      </c>
      <c r="T5" s="633">
        <v>11</v>
      </c>
      <c r="U5" s="633">
        <v>11</v>
      </c>
      <c r="V5" s="633">
        <v>11</v>
      </c>
      <c r="W5" s="633">
        <v>11</v>
      </c>
      <c r="X5" s="633">
        <v>11</v>
      </c>
      <c r="Y5" s="633">
        <v>11</v>
      </c>
      <c r="Z5" s="633">
        <v>11</v>
      </c>
      <c r="AA5" s="633">
        <v>11</v>
      </c>
      <c r="AB5" s="633">
        <v>11</v>
      </c>
      <c r="AC5" s="633">
        <v>1</v>
      </c>
      <c r="AD5" s="691">
        <f t="shared" ref="AD5:AD10" si="2">SUM(E5:AC5)</f>
        <v>204</v>
      </c>
      <c r="AE5" s="588">
        <f t="shared" si="0"/>
        <v>0</v>
      </c>
      <c r="AF5" s="538" t="str">
        <f t="shared" si="1"/>
        <v>sell</v>
      </c>
    </row>
    <row r="6" spans="1:75" s="360" customFormat="1" ht="12.75" customHeight="1" x14ac:dyDescent="0.25">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5">
      <c r="A7" s="641" t="s">
        <v>3</v>
      </c>
      <c r="B7" s="539"/>
      <c r="C7" s="539" t="s">
        <v>263</v>
      </c>
      <c r="D7" s="539"/>
      <c r="E7" s="606"/>
      <c r="F7" s="717">
        <v>-103</v>
      </c>
      <c r="G7" s="717">
        <v>-103</v>
      </c>
      <c r="H7" s="717">
        <v>-103</v>
      </c>
      <c r="I7" s="717">
        <v>-103</v>
      </c>
      <c r="J7" s="717">
        <v>-103</v>
      </c>
      <c r="K7" s="717">
        <v>-103</v>
      </c>
      <c r="L7" s="717">
        <v>-103</v>
      </c>
      <c r="M7" s="717">
        <v>-103</v>
      </c>
      <c r="N7" s="717">
        <v>-103</v>
      </c>
      <c r="O7" s="717">
        <v>-103</v>
      </c>
      <c r="P7" s="717">
        <v>-103</v>
      </c>
      <c r="Q7" s="717">
        <v>-103</v>
      </c>
      <c r="R7" s="717">
        <v>-103</v>
      </c>
      <c r="S7" s="717">
        <v>-103</v>
      </c>
      <c r="T7" s="717">
        <v>-103</v>
      </c>
      <c r="U7" s="717">
        <v>-103</v>
      </c>
      <c r="V7" s="717">
        <v>-103</v>
      </c>
      <c r="W7" s="717">
        <v>-103</v>
      </c>
      <c r="X7" s="717">
        <v>-103</v>
      </c>
      <c r="Y7" s="717">
        <v>-103</v>
      </c>
      <c r="Z7" s="717">
        <v>-103</v>
      </c>
      <c r="AA7" s="717">
        <v>-103</v>
      </c>
      <c r="AB7" s="717">
        <v>-103</v>
      </c>
      <c r="AC7" s="717">
        <v>-103</v>
      </c>
      <c r="AD7" s="599">
        <f t="shared" si="2"/>
        <v>-2472</v>
      </c>
      <c r="AE7" s="588">
        <f t="shared" si="0"/>
        <v>0</v>
      </c>
      <c r="AF7" s="538" t="str">
        <f t="shared" si="1"/>
        <v>buy</v>
      </c>
    </row>
    <row r="8" spans="1:75" s="360" customFormat="1" ht="12.75" customHeight="1" x14ac:dyDescent="0.25">
      <c r="A8" s="641" t="s">
        <v>373</v>
      </c>
      <c r="B8" s="539"/>
      <c r="C8" s="622" t="s">
        <v>152</v>
      </c>
      <c r="D8" s="539"/>
      <c r="E8" s="606"/>
      <c r="F8" s="717">
        <v>25</v>
      </c>
      <c r="G8" s="717">
        <v>25</v>
      </c>
      <c r="H8" s="717">
        <v>25</v>
      </c>
      <c r="I8" s="717">
        <v>25</v>
      </c>
      <c r="J8" s="717">
        <v>25</v>
      </c>
      <c r="K8" s="717">
        <v>25</v>
      </c>
      <c r="L8" s="695"/>
      <c r="M8" s="695"/>
      <c r="N8" s="695"/>
      <c r="O8" s="695"/>
      <c r="P8" s="695"/>
      <c r="Q8" s="695"/>
      <c r="R8" s="695"/>
      <c r="S8" s="695"/>
      <c r="T8" s="695"/>
      <c r="U8" s="695"/>
      <c r="V8" s="695"/>
      <c r="W8" s="695"/>
      <c r="X8" s="695"/>
      <c r="Y8" s="695"/>
      <c r="Z8" s="695"/>
      <c r="AA8" s="695"/>
      <c r="AB8" s="717">
        <v>25</v>
      </c>
      <c r="AC8" s="717">
        <v>25</v>
      </c>
      <c r="AD8" s="599">
        <f t="shared" si="2"/>
        <v>200</v>
      </c>
      <c r="AE8" s="588">
        <f t="shared" si="0"/>
        <v>0</v>
      </c>
      <c r="AF8" s="538" t="str">
        <f t="shared" si="1"/>
        <v>sell</v>
      </c>
    </row>
    <row r="9" spans="1:75" s="360" customFormat="1" ht="12.75" customHeight="1" x14ac:dyDescent="0.25">
      <c r="A9" s="641" t="s">
        <v>225</v>
      </c>
      <c r="B9" s="539"/>
      <c r="C9" s="622" t="s">
        <v>152</v>
      </c>
      <c r="D9" s="539"/>
      <c r="E9" s="539"/>
      <c r="F9" s="717">
        <v>25</v>
      </c>
      <c r="G9" s="717">
        <v>25</v>
      </c>
      <c r="H9" s="717">
        <v>25</v>
      </c>
      <c r="I9" s="717">
        <v>25</v>
      </c>
      <c r="J9" s="717">
        <v>25</v>
      </c>
      <c r="K9" s="717">
        <v>25</v>
      </c>
      <c r="L9" s="695"/>
      <c r="M9" s="695"/>
      <c r="N9" s="695"/>
      <c r="O9" s="695"/>
      <c r="P9" s="695"/>
      <c r="Q9" s="695"/>
      <c r="R9" s="695"/>
      <c r="S9" s="695"/>
      <c r="T9" s="695"/>
      <c r="U9" s="695"/>
      <c r="V9" s="695"/>
      <c r="W9" s="695"/>
      <c r="X9" s="695"/>
      <c r="Y9" s="695"/>
      <c r="Z9" s="695"/>
      <c r="AA9" s="695"/>
      <c r="AB9" s="717">
        <v>25</v>
      </c>
      <c r="AC9" s="717">
        <v>25</v>
      </c>
      <c r="AD9" s="719">
        <f>SUM(E9:AC9)</f>
        <v>200</v>
      </c>
      <c r="AE9" s="588">
        <f t="shared" ref="AE9:AE14" si="3">AD9*D9</f>
        <v>0</v>
      </c>
      <c r="AF9" s="538" t="str">
        <f t="shared" ref="AF9:AF14" si="4">IF(AD9&lt;0,"buy","sell")</f>
        <v>sell</v>
      </c>
    </row>
    <row r="10" spans="1:75" s="360" customFormat="1" ht="12.75" customHeight="1" x14ac:dyDescent="0.25">
      <c r="A10" s="641" t="s">
        <v>372</v>
      </c>
      <c r="B10" s="638"/>
      <c r="C10" s="539" t="s">
        <v>152</v>
      </c>
      <c r="D10" s="623"/>
      <c r="E10" s="539"/>
      <c r="F10" s="717">
        <v>25</v>
      </c>
      <c r="G10" s="717">
        <v>25</v>
      </c>
      <c r="H10" s="717">
        <v>25</v>
      </c>
      <c r="I10" s="717">
        <v>25</v>
      </c>
      <c r="J10" s="717">
        <v>25</v>
      </c>
      <c r="K10" s="717">
        <v>25</v>
      </c>
      <c r="L10" s="704"/>
      <c r="M10" s="695"/>
      <c r="N10" s="695"/>
      <c r="O10" s="695"/>
      <c r="P10" s="695"/>
      <c r="Q10" s="695"/>
      <c r="R10" s="695"/>
      <c r="S10" s="695"/>
      <c r="T10" s="695"/>
      <c r="U10" s="695"/>
      <c r="V10" s="695"/>
      <c r="W10" s="695"/>
      <c r="X10" s="695"/>
      <c r="Y10" s="695"/>
      <c r="Z10" s="695"/>
      <c r="AA10" s="695"/>
      <c r="AB10" s="717">
        <v>25</v>
      </c>
      <c r="AC10" s="717">
        <v>25</v>
      </c>
      <c r="AD10" s="691">
        <f t="shared" si="2"/>
        <v>200</v>
      </c>
      <c r="AE10" s="588">
        <f t="shared" si="3"/>
        <v>0</v>
      </c>
      <c r="AF10" s="538" t="str">
        <f t="shared" si="4"/>
        <v>sell</v>
      </c>
    </row>
    <row r="11" spans="1:75" s="360" customFormat="1" ht="12.75" customHeight="1" x14ac:dyDescent="0.25">
      <c r="A11" s="641" t="s">
        <v>375</v>
      </c>
      <c r="B11" s="638"/>
      <c r="C11" s="539" t="s">
        <v>152</v>
      </c>
      <c r="D11" s="623"/>
      <c r="E11" s="539"/>
      <c r="F11" s="717">
        <v>12</v>
      </c>
      <c r="G11" s="718">
        <v>10</v>
      </c>
      <c r="H11" s="717">
        <v>10</v>
      </c>
      <c r="I11" s="717">
        <v>10</v>
      </c>
      <c r="J11" s="717">
        <v>10</v>
      </c>
      <c r="K11" s="717">
        <v>10</v>
      </c>
      <c r="L11" s="695"/>
      <c r="M11" s="695"/>
      <c r="N11" s="695"/>
      <c r="O11" s="695"/>
      <c r="P11" s="695"/>
      <c r="Q11" s="695"/>
      <c r="R11" s="695"/>
      <c r="S11" s="695"/>
      <c r="T11" s="695"/>
      <c r="U11" s="695"/>
      <c r="V11" s="695"/>
      <c r="W11" s="695"/>
      <c r="X11" s="695"/>
      <c r="Y11" s="695"/>
      <c r="Z11" s="695"/>
      <c r="AA11" s="695"/>
      <c r="AB11" s="717">
        <v>12</v>
      </c>
      <c r="AC11" s="717">
        <v>12</v>
      </c>
      <c r="AD11" s="691">
        <f>SUM(E11:AC11)</f>
        <v>86</v>
      </c>
      <c r="AE11" s="588">
        <f t="shared" si="3"/>
        <v>0</v>
      </c>
      <c r="AF11" s="538" t="str">
        <f t="shared" si="4"/>
        <v>sell</v>
      </c>
    </row>
    <row r="12" spans="1:75" s="360" customFormat="1" ht="12.75" customHeight="1" x14ac:dyDescent="0.25">
      <c r="A12" s="641" t="s">
        <v>372</v>
      </c>
      <c r="B12" s="638"/>
      <c r="C12" s="539" t="s">
        <v>152</v>
      </c>
      <c r="D12" s="623"/>
      <c r="E12" s="539"/>
      <c r="F12" s="718">
        <v>13</v>
      </c>
      <c r="G12" s="718">
        <v>13</v>
      </c>
      <c r="H12" s="718">
        <v>13</v>
      </c>
      <c r="I12" s="718">
        <v>13</v>
      </c>
      <c r="J12" s="718">
        <v>13</v>
      </c>
      <c r="K12" s="718">
        <v>13</v>
      </c>
      <c r="L12" s="718"/>
      <c r="M12" s="718"/>
      <c r="N12" s="718"/>
      <c r="O12" s="718"/>
      <c r="P12" s="718"/>
      <c r="Q12" s="718"/>
      <c r="R12" s="718"/>
      <c r="S12" s="718"/>
      <c r="T12" s="718"/>
      <c r="U12" s="718"/>
      <c r="V12" s="718"/>
      <c r="W12" s="718"/>
      <c r="X12" s="718"/>
      <c r="Y12" s="718"/>
      <c r="Z12" s="718"/>
      <c r="AA12" s="718"/>
      <c r="AB12" s="718">
        <v>13</v>
      </c>
      <c r="AC12" s="718">
        <v>13</v>
      </c>
      <c r="AD12" s="691">
        <f>SUM(E12:AC12)</f>
        <v>104</v>
      </c>
      <c r="AE12" s="588">
        <f t="shared" si="3"/>
        <v>0</v>
      </c>
      <c r="AF12" s="538" t="str">
        <f t="shared" si="4"/>
        <v>sell</v>
      </c>
    </row>
    <row r="13" spans="1:75" s="360" customFormat="1" ht="12.75" customHeight="1" x14ac:dyDescent="0.25">
      <c r="A13" s="641" t="s">
        <v>367</v>
      </c>
      <c r="B13" s="638"/>
      <c r="C13" s="539" t="s">
        <v>280</v>
      </c>
      <c r="D13" s="623"/>
      <c r="E13" s="539"/>
      <c r="F13" s="718">
        <v>3</v>
      </c>
      <c r="G13" s="718">
        <v>3</v>
      </c>
      <c r="H13" s="718">
        <v>3</v>
      </c>
      <c r="I13" s="718">
        <v>3</v>
      </c>
      <c r="J13" s="718">
        <v>3</v>
      </c>
      <c r="K13" s="718">
        <v>3</v>
      </c>
      <c r="L13" s="717"/>
      <c r="M13" s="717"/>
      <c r="N13" s="717"/>
      <c r="O13" s="717"/>
      <c r="P13" s="717"/>
      <c r="Q13" s="717"/>
      <c r="R13" s="717"/>
      <c r="S13" s="717"/>
      <c r="T13" s="717"/>
      <c r="U13" s="717"/>
      <c r="V13" s="717"/>
      <c r="W13" s="717"/>
      <c r="X13" s="717"/>
      <c r="Y13" s="717"/>
      <c r="Z13" s="717"/>
      <c r="AA13" s="717"/>
      <c r="AB13" s="717">
        <v>3</v>
      </c>
      <c r="AC13" s="717">
        <v>3</v>
      </c>
      <c r="AD13" s="691">
        <f>SUM(E13:AC13)</f>
        <v>24</v>
      </c>
      <c r="AE13" s="588">
        <f t="shared" si="3"/>
        <v>0</v>
      </c>
      <c r="AF13" s="538" t="str">
        <f t="shared" si="4"/>
        <v>sell</v>
      </c>
    </row>
    <row r="14" spans="1:75" s="360" customFormat="1" ht="12.75" customHeight="1" x14ac:dyDescent="0.25">
      <c r="A14" s="641" t="s">
        <v>364</v>
      </c>
      <c r="B14" s="638"/>
      <c r="C14" s="539" t="s">
        <v>152</v>
      </c>
      <c r="D14" s="623"/>
      <c r="E14" s="539"/>
      <c r="F14" s="695"/>
      <c r="G14" s="695"/>
      <c r="H14" s="695"/>
      <c r="I14" s="695"/>
      <c r="J14" s="695"/>
      <c r="K14" s="695"/>
      <c r="L14" s="695"/>
      <c r="M14" s="717"/>
      <c r="N14" s="717"/>
      <c r="O14" s="717"/>
      <c r="P14" s="717"/>
      <c r="Q14" s="717"/>
      <c r="R14" s="717"/>
      <c r="S14" s="717"/>
      <c r="T14" s="717"/>
      <c r="U14" s="717"/>
      <c r="V14" s="717"/>
      <c r="W14" s="717"/>
      <c r="X14" s="717"/>
      <c r="Y14" s="717"/>
      <c r="Z14" s="717"/>
      <c r="AA14" s="717"/>
      <c r="AB14" s="717"/>
      <c r="AC14" s="704"/>
      <c r="AD14" s="691">
        <f>SUM(E14:AC14)</f>
        <v>0</v>
      </c>
      <c r="AE14" s="588">
        <f t="shared" si="3"/>
        <v>0</v>
      </c>
      <c r="AF14" s="538" t="str">
        <f t="shared" si="4"/>
        <v>sell</v>
      </c>
    </row>
    <row r="15" spans="1:75" s="360" customFormat="1" ht="12.75" customHeight="1" x14ac:dyDescent="0.25">
      <c r="A15" s="641" t="s">
        <v>364</v>
      </c>
      <c r="B15" s="640"/>
      <c r="C15" s="539" t="s">
        <v>152</v>
      </c>
      <c r="D15" s="642"/>
      <c r="E15" s="539"/>
      <c r="F15" s="718"/>
      <c r="G15" s="717"/>
      <c r="H15" s="717"/>
      <c r="I15" s="717"/>
      <c r="J15" s="717"/>
      <c r="K15" s="717"/>
      <c r="L15" s="717"/>
      <c r="M15" s="695"/>
      <c r="N15" s="695"/>
      <c r="O15" s="695"/>
      <c r="P15" s="695"/>
      <c r="Q15" s="695"/>
      <c r="R15" s="695"/>
      <c r="S15" s="695"/>
      <c r="T15" s="695"/>
      <c r="U15" s="695"/>
      <c r="V15" s="695"/>
      <c r="W15" s="695"/>
      <c r="X15" s="695"/>
      <c r="Y15" s="695"/>
      <c r="Z15" s="695"/>
      <c r="AA15" s="695"/>
      <c r="AB15" s="695"/>
      <c r="AC15" s="717"/>
      <c r="AD15" s="691">
        <f>SUM(F15:AC15)</f>
        <v>0</v>
      </c>
      <c r="AE15" s="588">
        <f t="shared" si="0"/>
        <v>0</v>
      </c>
      <c r="AF15" s="538" t="str">
        <f t="shared" si="1"/>
        <v>sell</v>
      </c>
    </row>
    <row r="16" spans="1:75" s="360" customFormat="1" ht="12.75" customHeight="1" x14ac:dyDescent="0.25">
      <c r="A16" s="641" t="s">
        <v>364</v>
      </c>
      <c r="B16" s="640"/>
      <c r="C16" s="539" t="s">
        <v>152</v>
      </c>
      <c r="D16" s="642"/>
      <c r="E16" s="539"/>
      <c r="F16" s="718"/>
      <c r="G16" s="717"/>
      <c r="H16" s="717"/>
      <c r="I16" s="717"/>
      <c r="J16" s="717"/>
      <c r="K16" s="717"/>
      <c r="L16" s="717"/>
      <c r="M16" s="695"/>
      <c r="N16" s="695"/>
      <c r="O16" s="695"/>
      <c r="P16" s="695"/>
      <c r="Q16" s="695"/>
      <c r="R16" s="695"/>
      <c r="S16" s="695"/>
      <c r="T16" s="695"/>
      <c r="U16" s="695"/>
      <c r="V16" s="695"/>
      <c r="W16" s="695"/>
      <c r="X16" s="695"/>
      <c r="Y16" s="695"/>
      <c r="Z16" s="695"/>
      <c r="AA16" s="695"/>
      <c r="AB16" s="695"/>
      <c r="AC16" s="717"/>
      <c r="AD16" s="691">
        <f>SUM(F16:AC16)</f>
        <v>0</v>
      </c>
      <c r="AE16" s="588">
        <f>AD16*D16</f>
        <v>0</v>
      </c>
      <c r="AF16" s="538" t="str">
        <f>IF(AD16&lt;0,"buy","sell")</f>
        <v>sell</v>
      </c>
    </row>
    <row r="17" spans="1:32" s="360" customFormat="1" x14ac:dyDescent="0.25">
      <c r="A17" s="674" t="s">
        <v>206</v>
      </c>
      <c r="B17" s="670"/>
      <c r="C17" s="670"/>
      <c r="D17" s="556"/>
      <c r="E17" s="556"/>
      <c r="F17" s="696"/>
      <c r="G17" s="696"/>
      <c r="H17" s="696"/>
      <c r="I17" s="696"/>
      <c r="J17" s="696"/>
      <c r="K17" s="696"/>
      <c r="L17" s="696"/>
      <c r="M17" s="696"/>
      <c r="N17" s="696"/>
      <c r="O17" s="696"/>
      <c r="P17" s="696"/>
      <c r="Q17" s="696"/>
      <c r="R17" s="696"/>
      <c r="S17" s="696"/>
      <c r="T17" s="696"/>
      <c r="U17" s="696"/>
      <c r="V17" s="696"/>
      <c r="W17" s="696"/>
      <c r="X17" s="696"/>
      <c r="Y17" s="696"/>
      <c r="Z17" s="696"/>
      <c r="AA17" s="696"/>
      <c r="AB17" s="696"/>
      <c r="AC17" s="707"/>
      <c r="AD17" s="597"/>
      <c r="AE17" s="409"/>
      <c r="AF17" s="637"/>
    </row>
    <row r="18" spans="1:32" s="360" customFormat="1" ht="12.75" customHeight="1" x14ac:dyDescent="0.25">
      <c r="A18" s="643" t="s">
        <v>207</v>
      </c>
      <c r="B18" s="634"/>
      <c r="C18" s="620"/>
      <c r="D18" s="620"/>
      <c r="E18" s="634"/>
      <c r="F18" s="634"/>
      <c r="G18" s="634"/>
      <c r="H18" s="634"/>
      <c r="I18" s="634"/>
      <c r="J18" s="634"/>
      <c r="K18" s="634"/>
      <c r="L18" s="634"/>
      <c r="M18" s="634"/>
      <c r="N18" s="634"/>
      <c r="O18" s="634"/>
      <c r="P18" s="634"/>
      <c r="Q18" s="634"/>
      <c r="R18" s="634"/>
      <c r="S18" s="634"/>
      <c r="T18" s="634"/>
      <c r="U18" s="634"/>
      <c r="V18" s="634"/>
      <c r="W18" s="634"/>
      <c r="X18" s="634"/>
      <c r="Y18" s="634"/>
      <c r="Z18" s="634"/>
      <c r="AA18" s="634"/>
      <c r="AB18" s="634"/>
      <c r="AC18" s="708"/>
      <c r="AD18" s="370"/>
      <c r="AE18" s="494"/>
      <c r="AF18" s="494"/>
    </row>
    <row r="19" spans="1:32" s="360" customFormat="1" hidden="1" x14ac:dyDescent="0.25">
      <c r="A19" s="644" t="s">
        <v>278</v>
      </c>
      <c r="B19" s="488" t="s">
        <v>241</v>
      </c>
      <c r="C19" s="488" t="s">
        <v>152</v>
      </c>
      <c r="D19" s="489">
        <f t="shared" ref="D19:D42" si="5">F115</f>
        <v>-0.25</v>
      </c>
      <c r="E19" s="489"/>
      <c r="F19" s="699"/>
      <c r="G19" s="686"/>
      <c r="H19" s="687"/>
      <c r="I19" s="687"/>
      <c r="J19" s="687"/>
      <c r="K19" s="687"/>
      <c r="L19" s="687"/>
      <c r="M19" s="687"/>
      <c r="N19" s="687"/>
      <c r="O19" s="687"/>
      <c r="P19" s="687"/>
      <c r="Q19" s="687"/>
      <c r="R19" s="687"/>
      <c r="S19" s="687"/>
      <c r="T19" s="687"/>
      <c r="U19" s="687"/>
      <c r="V19" s="687"/>
      <c r="W19" s="687"/>
      <c r="X19" s="687"/>
      <c r="Y19" s="687"/>
      <c r="Z19" s="687"/>
      <c r="AA19" s="687"/>
      <c r="AB19" s="687"/>
      <c r="AC19" s="703"/>
      <c r="AD19" s="598">
        <f t="shared" ref="AD19:AD93" si="6">SUM(F19:AC19)</f>
        <v>0</v>
      </c>
      <c r="AE19" s="492">
        <f t="shared" ref="AE19:AE67" si="7">AD19*D19</f>
        <v>0</v>
      </c>
      <c r="AF19" s="467" t="str">
        <f>IF(AD19&lt;0,"buy","sell")</f>
        <v>sell</v>
      </c>
    </row>
    <row r="20" spans="1:32" s="360" customFormat="1" hidden="1" x14ac:dyDescent="0.25">
      <c r="A20" s="644" t="s">
        <v>278</v>
      </c>
      <c r="B20" s="488" t="s">
        <v>241</v>
      </c>
      <c r="C20" s="488" t="s">
        <v>152</v>
      </c>
      <c r="D20" s="489">
        <f t="shared" si="5"/>
        <v>-0.25</v>
      </c>
      <c r="E20" s="489"/>
      <c r="F20" s="699"/>
      <c r="G20" s="687"/>
      <c r="H20" s="687"/>
      <c r="I20" s="687"/>
      <c r="J20" s="687"/>
      <c r="K20" s="687"/>
      <c r="L20" s="687"/>
      <c r="M20" s="687"/>
      <c r="N20" s="687"/>
      <c r="O20" s="687"/>
      <c r="P20" s="687"/>
      <c r="Q20" s="687"/>
      <c r="R20" s="687"/>
      <c r="S20" s="687"/>
      <c r="T20" s="687"/>
      <c r="U20" s="687"/>
      <c r="V20" s="687"/>
      <c r="W20" s="687"/>
      <c r="X20" s="687"/>
      <c r="Y20" s="687"/>
      <c r="Z20" s="687"/>
      <c r="AA20" s="687"/>
      <c r="AB20" s="699"/>
      <c r="AC20" s="703"/>
      <c r="AD20" s="598">
        <f t="shared" si="6"/>
        <v>0</v>
      </c>
      <c r="AE20" s="492">
        <f t="shared" si="7"/>
        <v>0</v>
      </c>
      <c r="AF20" s="467" t="str">
        <f t="shared" ref="AF20:AF42" si="8">IF(AD20&lt;0,"buy","sell")</f>
        <v>sell</v>
      </c>
    </row>
    <row r="21" spans="1:32" s="360" customFormat="1" hidden="1" x14ac:dyDescent="0.25">
      <c r="A21" s="644" t="s">
        <v>278</v>
      </c>
      <c r="B21" s="488" t="s">
        <v>241</v>
      </c>
      <c r="C21" s="488" t="s">
        <v>152</v>
      </c>
      <c r="D21" s="489">
        <f t="shared" si="5"/>
        <v>-0.25</v>
      </c>
      <c r="E21" s="489"/>
      <c r="F21" s="699"/>
      <c r="G21" s="686"/>
      <c r="H21" s="687">
        <v>0</v>
      </c>
      <c r="I21" s="687"/>
      <c r="J21" s="687"/>
      <c r="K21" s="687"/>
      <c r="L21" s="687"/>
      <c r="M21" s="687"/>
      <c r="N21" s="687"/>
      <c r="O21" s="687"/>
      <c r="P21" s="687"/>
      <c r="Q21" s="687"/>
      <c r="R21" s="687"/>
      <c r="S21" s="687"/>
      <c r="T21" s="687"/>
      <c r="U21" s="687"/>
      <c r="V21" s="687"/>
      <c r="W21" s="687"/>
      <c r="X21" s="687"/>
      <c r="Y21" s="687"/>
      <c r="Z21" s="687"/>
      <c r="AA21" s="687"/>
      <c r="AB21" s="687"/>
      <c r="AC21" s="703"/>
      <c r="AD21" s="598">
        <f t="shared" si="6"/>
        <v>0</v>
      </c>
      <c r="AE21" s="492">
        <f t="shared" si="7"/>
        <v>0</v>
      </c>
      <c r="AF21" s="467" t="str">
        <f t="shared" si="8"/>
        <v>sell</v>
      </c>
    </row>
    <row r="22" spans="1:32" s="360" customFormat="1" hidden="1" x14ac:dyDescent="0.25">
      <c r="A22" s="644" t="s">
        <v>278</v>
      </c>
      <c r="B22" s="488" t="s">
        <v>241</v>
      </c>
      <c r="C22" s="488" t="s">
        <v>152</v>
      </c>
      <c r="D22" s="489">
        <f t="shared" si="5"/>
        <v>-0.25</v>
      </c>
      <c r="E22" s="489"/>
      <c r="F22" s="699"/>
      <c r="G22" s="686"/>
      <c r="H22" s="687"/>
      <c r="I22" s="687">
        <v>0</v>
      </c>
      <c r="J22" s="687"/>
      <c r="K22" s="687"/>
      <c r="L22" s="687"/>
      <c r="M22" s="687"/>
      <c r="N22" s="687"/>
      <c r="O22" s="687"/>
      <c r="P22" s="687"/>
      <c r="Q22" s="687"/>
      <c r="R22" s="687"/>
      <c r="S22" s="687"/>
      <c r="T22" s="687"/>
      <c r="U22" s="687"/>
      <c r="V22" s="687"/>
      <c r="W22" s="687"/>
      <c r="X22" s="687"/>
      <c r="Y22" s="687"/>
      <c r="Z22" s="687"/>
      <c r="AA22" s="687"/>
      <c r="AB22" s="687"/>
      <c r="AC22" s="703"/>
      <c r="AD22" s="598">
        <f t="shared" si="6"/>
        <v>0</v>
      </c>
      <c r="AE22" s="492">
        <f t="shared" si="7"/>
        <v>0</v>
      </c>
      <c r="AF22" s="467" t="str">
        <f t="shared" si="8"/>
        <v>sell</v>
      </c>
    </row>
    <row r="23" spans="1:32" s="360" customFormat="1" hidden="1" x14ac:dyDescent="0.25">
      <c r="A23" s="644" t="s">
        <v>278</v>
      </c>
      <c r="B23" s="488" t="s">
        <v>241</v>
      </c>
      <c r="C23" s="488" t="s">
        <v>152</v>
      </c>
      <c r="D23" s="489">
        <f t="shared" si="5"/>
        <v>-0.25</v>
      </c>
      <c r="E23" s="489"/>
      <c r="F23" s="699"/>
      <c r="G23" s="686"/>
      <c r="H23" s="687"/>
      <c r="I23" s="687"/>
      <c r="J23" s="687">
        <v>0</v>
      </c>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IF(AD23&lt;0,"buy","sell")</f>
        <v>sell</v>
      </c>
    </row>
    <row r="24" spans="1:32" s="360" customFormat="1" hidden="1" x14ac:dyDescent="0.25">
      <c r="A24" s="644" t="s">
        <v>278</v>
      </c>
      <c r="B24" s="488" t="s">
        <v>241</v>
      </c>
      <c r="C24" s="488" t="s">
        <v>152</v>
      </c>
      <c r="D24" s="489">
        <f t="shared" si="5"/>
        <v>-0.25</v>
      </c>
      <c r="E24" s="489"/>
      <c r="F24" s="687"/>
      <c r="G24" s="686"/>
      <c r="H24" s="687"/>
      <c r="I24" s="687"/>
      <c r="J24" s="687"/>
      <c r="K24" s="687">
        <v>0</v>
      </c>
      <c r="L24" s="687"/>
      <c r="M24" s="687"/>
      <c r="N24" s="687"/>
      <c r="O24" s="687"/>
      <c r="P24" s="687"/>
      <c r="Q24" s="687"/>
      <c r="R24" s="687"/>
      <c r="S24" s="687"/>
      <c r="T24" s="687"/>
      <c r="U24" s="687"/>
      <c r="V24" s="687"/>
      <c r="W24" s="687"/>
      <c r="X24" s="687"/>
      <c r="Y24" s="687"/>
      <c r="Z24" s="687"/>
      <c r="AA24" s="687"/>
      <c r="AB24" s="687"/>
      <c r="AC24" s="709"/>
      <c r="AD24" s="598">
        <f t="shared" si="6"/>
        <v>0</v>
      </c>
      <c r="AE24" s="492">
        <f t="shared" si="7"/>
        <v>0</v>
      </c>
      <c r="AF24" s="467" t="str">
        <f t="shared" si="8"/>
        <v>sell</v>
      </c>
    </row>
    <row r="25" spans="1:32" s="360" customFormat="1" hidden="1" x14ac:dyDescent="0.25">
      <c r="A25" s="644" t="s">
        <v>278</v>
      </c>
      <c r="B25" s="488" t="s">
        <v>241</v>
      </c>
      <c r="C25" s="488" t="s">
        <v>152</v>
      </c>
      <c r="D25" s="489">
        <f t="shared" si="5"/>
        <v>-0.25</v>
      </c>
      <c r="E25" s="489"/>
      <c r="F25" s="687"/>
      <c r="G25" s="686"/>
      <c r="H25" s="687"/>
      <c r="I25" s="687"/>
      <c r="J25" s="687"/>
      <c r="K25" s="687"/>
      <c r="L25" s="687">
        <v>0</v>
      </c>
      <c r="M25" s="687"/>
      <c r="N25" s="687"/>
      <c r="O25" s="687"/>
      <c r="P25" s="687"/>
      <c r="Q25" s="687"/>
      <c r="R25" s="687"/>
      <c r="S25" s="687"/>
      <c r="T25" s="687"/>
      <c r="U25" s="687"/>
      <c r="V25" s="687"/>
      <c r="W25" s="687"/>
      <c r="X25" s="687"/>
      <c r="Y25" s="687"/>
      <c r="Z25" s="687"/>
      <c r="AA25" s="687"/>
      <c r="AB25" s="687"/>
      <c r="AC25" s="709"/>
      <c r="AD25" s="598">
        <f t="shared" si="6"/>
        <v>0</v>
      </c>
      <c r="AE25" s="492">
        <f t="shared" si="7"/>
        <v>0</v>
      </c>
      <c r="AF25" s="467" t="str">
        <f t="shared" si="8"/>
        <v>sell</v>
      </c>
    </row>
    <row r="26" spans="1:32" s="360" customFormat="1" hidden="1" x14ac:dyDescent="0.25">
      <c r="A26" s="644" t="s">
        <v>278</v>
      </c>
      <c r="B26" s="488" t="s">
        <v>241</v>
      </c>
      <c r="C26" s="488" t="s">
        <v>152</v>
      </c>
      <c r="D26" s="489">
        <f t="shared" si="5"/>
        <v>-0.25</v>
      </c>
      <c r="E26" s="489"/>
      <c r="F26" s="687"/>
      <c r="G26" s="686"/>
      <c r="H26" s="687"/>
      <c r="I26" s="687"/>
      <c r="J26" s="687"/>
      <c r="K26" s="687"/>
      <c r="L26" s="687"/>
      <c r="M26" s="687">
        <v>0</v>
      </c>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5">
      <c r="A27" s="644" t="s">
        <v>278</v>
      </c>
      <c r="B27" s="488" t="s">
        <v>241</v>
      </c>
      <c r="C27" s="488" t="s">
        <v>152</v>
      </c>
      <c r="D27" s="489">
        <f t="shared" si="5"/>
        <v>-0.25</v>
      </c>
      <c r="E27" s="489"/>
      <c r="F27" s="687"/>
      <c r="G27" s="686"/>
      <c r="H27" s="687"/>
      <c r="I27" s="687"/>
      <c r="J27" s="687"/>
      <c r="K27" s="687"/>
      <c r="L27" s="687"/>
      <c r="M27" s="687"/>
      <c r="N27" s="687">
        <v>0</v>
      </c>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5">
      <c r="A28" s="644" t="s">
        <v>278</v>
      </c>
      <c r="B28" s="488" t="s">
        <v>241</v>
      </c>
      <c r="C28" s="488" t="s">
        <v>152</v>
      </c>
      <c r="D28" s="489">
        <f t="shared" si="5"/>
        <v>-0.25</v>
      </c>
      <c r="E28" s="489"/>
      <c r="F28" s="687"/>
      <c r="G28" s="686"/>
      <c r="H28" s="687"/>
      <c r="I28" s="687"/>
      <c r="J28" s="687"/>
      <c r="K28" s="687"/>
      <c r="L28" s="687"/>
      <c r="M28" s="687"/>
      <c r="N28" s="687"/>
      <c r="O28" s="687">
        <v>0</v>
      </c>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5">
      <c r="A29" s="644" t="s">
        <v>278</v>
      </c>
      <c r="B29" s="488" t="s">
        <v>241</v>
      </c>
      <c r="C29" s="488" t="s">
        <v>152</v>
      </c>
      <c r="D29" s="489">
        <f t="shared" si="5"/>
        <v>-0.25</v>
      </c>
      <c r="E29" s="489"/>
      <c r="F29" s="687"/>
      <c r="G29" s="686"/>
      <c r="H29" s="687"/>
      <c r="I29" s="687"/>
      <c r="J29" s="687"/>
      <c r="K29" s="687"/>
      <c r="L29" s="687"/>
      <c r="M29" s="687"/>
      <c r="N29" s="687"/>
      <c r="O29" s="687"/>
      <c r="P29" s="687">
        <v>0</v>
      </c>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5">
      <c r="A30" s="644" t="s">
        <v>278</v>
      </c>
      <c r="B30" s="488" t="s">
        <v>241</v>
      </c>
      <c r="C30" s="488" t="s">
        <v>152</v>
      </c>
      <c r="D30" s="489">
        <f t="shared" si="5"/>
        <v>-0.25</v>
      </c>
      <c r="E30" s="489"/>
      <c r="F30" s="687"/>
      <c r="G30" s="686"/>
      <c r="H30" s="687"/>
      <c r="I30" s="687"/>
      <c r="J30" s="687"/>
      <c r="K30" s="687"/>
      <c r="L30" s="687"/>
      <c r="M30" s="687"/>
      <c r="N30" s="687"/>
      <c r="O30" s="687"/>
      <c r="P30" s="687"/>
      <c r="Q30" s="687">
        <v>0</v>
      </c>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5">
      <c r="A31" s="644" t="s">
        <v>278</v>
      </c>
      <c r="B31" s="488" t="s">
        <v>241</v>
      </c>
      <c r="C31" s="488" t="s">
        <v>152</v>
      </c>
      <c r="D31" s="489">
        <f t="shared" si="5"/>
        <v>-0.25</v>
      </c>
      <c r="E31" s="489"/>
      <c r="F31" s="687"/>
      <c r="G31" s="686"/>
      <c r="H31" s="687"/>
      <c r="I31" s="687"/>
      <c r="J31" s="687"/>
      <c r="K31" s="687"/>
      <c r="L31" s="687"/>
      <c r="M31" s="687"/>
      <c r="N31" s="687"/>
      <c r="O31" s="687"/>
      <c r="P31" s="687"/>
      <c r="Q31" s="687"/>
      <c r="R31" s="687">
        <v>0</v>
      </c>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5">
      <c r="A32" s="644" t="s">
        <v>278</v>
      </c>
      <c r="B32" s="488" t="s">
        <v>241</v>
      </c>
      <c r="C32" s="488" t="s">
        <v>152</v>
      </c>
      <c r="D32" s="489">
        <f t="shared" si="5"/>
        <v>-0.25</v>
      </c>
      <c r="E32" s="489"/>
      <c r="F32" s="687"/>
      <c r="G32" s="686"/>
      <c r="H32" s="687"/>
      <c r="I32" s="687"/>
      <c r="J32" s="687"/>
      <c r="K32" s="687"/>
      <c r="L32" s="687"/>
      <c r="M32" s="687"/>
      <c r="N32" s="687"/>
      <c r="O32" s="687"/>
      <c r="P32" s="687"/>
      <c r="Q32" s="687"/>
      <c r="R32" s="687"/>
      <c r="S32" s="687">
        <v>0</v>
      </c>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5">
      <c r="A33" s="644" t="s">
        <v>278</v>
      </c>
      <c r="B33" s="488" t="s">
        <v>241</v>
      </c>
      <c r="C33" s="488" t="s">
        <v>152</v>
      </c>
      <c r="D33" s="489">
        <f t="shared" si="5"/>
        <v>-0.25</v>
      </c>
      <c r="E33" s="489"/>
      <c r="F33" s="687"/>
      <c r="G33" s="686"/>
      <c r="H33" s="687"/>
      <c r="I33" s="687"/>
      <c r="J33" s="687"/>
      <c r="K33" s="687"/>
      <c r="L33" s="687"/>
      <c r="M33" s="687"/>
      <c r="N33" s="687"/>
      <c r="O33" s="687"/>
      <c r="P33" s="687"/>
      <c r="Q33" s="687"/>
      <c r="R33" s="687"/>
      <c r="S33" s="687"/>
      <c r="T33" s="687">
        <v>0</v>
      </c>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5">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c r="T34" s="687"/>
      <c r="U34" s="687">
        <v>0</v>
      </c>
      <c r="V34" s="687"/>
      <c r="W34" s="687"/>
      <c r="X34" s="687"/>
      <c r="Y34" s="687"/>
      <c r="Z34" s="687"/>
      <c r="AA34" s="687"/>
      <c r="AB34" s="687"/>
      <c r="AC34" s="709"/>
      <c r="AD34" s="598">
        <f t="shared" si="6"/>
        <v>0</v>
      </c>
      <c r="AE34" s="492">
        <f t="shared" si="7"/>
        <v>0</v>
      </c>
      <c r="AF34" s="467" t="str">
        <f t="shared" si="8"/>
        <v>sell</v>
      </c>
    </row>
    <row r="35" spans="1:32" s="360" customFormat="1" hidden="1" x14ac:dyDescent="0.25">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c r="U35" s="687"/>
      <c r="V35" s="687">
        <v>0</v>
      </c>
      <c r="W35" s="687"/>
      <c r="X35" s="687"/>
      <c r="Y35" s="687"/>
      <c r="Z35" s="687"/>
      <c r="AA35" s="700"/>
      <c r="AB35" s="687"/>
      <c r="AC35" s="709"/>
      <c r="AD35" s="598">
        <f t="shared" si="6"/>
        <v>0</v>
      </c>
      <c r="AE35" s="492">
        <f t="shared" si="7"/>
        <v>0</v>
      </c>
      <c r="AF35" s="467" t="str">
        <f t="shared" si="8"/>
        <v>sell</v>
      </c>
    </row>
    <row r="36" spans="1:32" s="360" customFormat="1" hidden="1" x14ac:dyDescent="0.25">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c r="V36" s="687"/>
      <c r="W36" s="687">
        <v>0</v>
      </c>
      <c r="X36" s="687"/>
      <c r="Y36" s="687"/>
      <c r="Z36" s="687"/>
      <c r="AA36" s="687"/>
      <c r="AB36" s="687"/>
      <c r="AC36" s="709"/>
      <c r="AD36" s="598">
        <f t="shared" si="6"/>
        <v>0</v>
      </c>
      <c r="AE36" s="492">
        <f t="shared" si="7"/>
        <v>0</v>
      </c>
      <c r="AF36" s="467" t="str">
        <f t="shared" si="8"/>
        <v>sell</v>
      </c>
    </row>
    <row r="37" spans="1:32" s="360" customFormat="1" hidden="1" x14ac:dyDescent="0.25">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c r="W37" s="687"/>
      <c r="X37" s="687">
        <v>0</v>
      </c>
      <c r="Y37" s="687"/>
      <c r="Z37" s="687"/>
      <c r="AA37" s="687"/>
      <c r="AB37" s="687"/>
      <c r="AC37" s="709"/>
      <c r="AD37" s="598">
        <f t="shared" si="6"/>
        <v>0</v>
      </c>
      <c r="AE37" s="492">
        <f t="shared" si="7"/>
        <v>0</v>
      </c>
      <c r="AF37" s="467" t="str">
        <f t="shared" si="8"/>
        <v>sell</v>
      </c>
    </row>
    <row r="38" spans="1:32" s="360" customFormat="1" hidden="1" x14ac:dyDescent="0.25">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c r="X38" s="687"/>
      <c r="Y38" s="687">
        <v>0</v>
      </c>
      <c r="Z38" s="687"/>
      <c r="AA38" s="687"/>
      <c r="AB38" s="687"/>
      <c r="AC38" s="709"/>
      <c r="AD38" s="598">
        <f t="shared" si="6"/>
        <v>0</v>
      </c>
      <c r="AE38" s="492">
        <f t="shared" si="7"/>
        <v>0</v>
      </c>
      <c r="AF38" s="467" t="str">
        <f t="shared" si="8"/>
        <v>sell</v>
      </c>
    </row>
    <row r="39" spans="1:32" s="360" customFormat="1" hidden="1" x14ac:dyDescent="0.25">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c r="Y39" s="687"/>
      <c r="Z39" s="687">
        <v>0</v>
      </c>
      <c r="AA39" s="687"/>
      <c r="AB39" s="687"/>
      <c r="AC39" s="709"/>
      <c r="AD39" s="598">
        <f t="shared" si="6"/>
        <v>0</v>
      </c>
      <c r="AE39" s="492">
        <f t="shared" si="7"/>
        <v>0</v>
      </c>
      <c r="AF39" s="467" t="str">
        <f t="shared" si="8"/>
        <v>sell</v>
      </c>
    </row>
    <row r="40" spans="1:32" s="360" customFormat="1" hidden="1" x14ac:dyDescent="0.25">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c r="Z40" s="687"/>
      <c r="AA40" s="687">
        <v>0</v>
      </c>
      <c r="AB40" s="687"/>
      <c r="AC40" s="709"/>
      <c r="AD40" s="598">
        <f t="shared" si="6"/>
        <v>0</v>
      </c>
      <c r="AE40" s="492">
        <f t="shared" si="7"/>
        <v>0</v>
      </c>
      <c r="AF40" s="467" t="str">
        <f t="shared" si="8"/>
        <v>sell</v>
      </c>
    </row>
    <row r="41" spans="1:32" s="360" customFormat="1" hidden="1" x14ac:dyDescent="0.25">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c r="AA41" s="687"/>
      <c r="AB41" s="687">
        <v>0</v>
      </c>
      <c r="AC41" s="709"/>
      <c r="AD41" s="598">
        <f t="shared" si="6"/>
        <v>0</v>
      </c>
      <c r="AE41" s="492">
        <f t="shared" si="7"/>
        <v>0</v>
      </c>
      <c r="AF41" s="467" t="str">
        <f t="shared" si="8"/>
        <v>sell</v>
      </c>
    </row>
    <row r="42" spans="1:32" s="360" customFormat="1" hidden="1" x14ac:dyDescent="0.25">
      <c r="A42" s="644" t="s">
        <v>278</v>
      </c>
      <c r="B42" s="488" t="s">
        <v>241</v>
      </c>
      <c r="C42" s="488" t="s">
        <v>152</v>
      </c>
      <c r="D42" s="489">
        <f t="shared" si="5"/>
        <v>-0.25</v>
      </c>
      <c r="E42" s="489"/>
      <c r="F42" s="687">
        <v>0</v>
      </c>
      <c r="G42" s="686"/>
      <c r="H42" s="687"/>
      <c r="I42" s="687"/>
      <c r="J42" s="687"/>
      <c r="K42" s="687"/>
      <c r="L42" s="687"/>
      <c r="M42" s="687"/>
      <c r="N42" s="687"/>
      <c r="O42" s="687"/>
      <c r="P42" s="687"/>
      <c r="Q42" s="687"/>
      <c r="R42" s="687"/>
      <c r="S42" s="687"/>
      <c r="T42" s="687"/>
      <c r="U42" s="687"/>
      <c r="V42" s="687"/>
      <c r="W42" s="687"/>
      <c r="X42" s="687"/>
      <c r="Y42" s="687"/>
      <c r="Z42" s="687"/>
      <c r="AA42" s="687"/>
      <c r="AB42" s="687"/>
      <c r="AC42" s="709">
        <v>0</v>
      </c>
      <c r="AD42" s="598">
        <f t="shared" si="6"/>
        <v>0</v>
      </c>
      <c r="AE42" s="492">
        <f t="shared" si="7"/>
        <v>0</v>
      </c>
      <c r="AF42" s="467" t="str">
        <f t="shared" si="8"/>
        <v>sell</v>
      </c>
    </row>
    <row r="43" spans="1:32" s="360" customFormat="1" hidden="1" x14ac:dyDescent="0.25">
      <c r="A43" s="644"/>
      <c r="B43" s="488"/>
      <c r="C43" s="488"/>
      <c r="D43" s="489"/>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c r="AC43" s="709"/>
      <c r="AD43" s="598">
        <f t="shared" si="6"/>
        <v>0</v>
      </c>
      <c r="AE43" s="492">
        <f t="shared" si="7"/>
        <v>0</v>
      </c>
      <c r="AF43" s="467"/>
    </row>
    <row r="44" spans="1:32" s="360" customFormat="1" hidden="1" x14ac:dyDescent="0.25">
      <c r="A44" s="644" t="s">
        <v>278</v>
      </c>
      <c r="B44" s="488" t="s">
        <v>241</v>
      </c>
      <c r="C44" s="488" t="s">
        <v>280</v>
      </c>
      <c r="D44" s="489">
        <f t="shared" ref="D44:D66" si="9">F145</f>
        <v>-0.25</v>
      </c>
      <c r="E44" s="489"/>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709"/>
      <c r="AD44" s="598">
        <f t="shared" si="6"/>
        <v>0</v>
      </c>
      <c r="AE44" s="492">
        <f t="shared" si="7"/>
        <v>0</v>
      </c>
      <c r="AF44" s="467" t="str">
        <f>IF(AD44&lt;0,"buy","sell")</f>
        <v>sell</v>
      </c>
    </row>
    <row r="45" spans="1:32" s="360" customFormat="1" hidden="1" x14ac:dyDescent="0.25">
      <c r="A45" s="644" t="s">
        <v>278</v>
      </c>
      <c r="B45" s="488" t="s">
        <v>241</v>
      </c>
      <c r="C45" s="488" t="s">
        <v>280</v>
      </c>
      <c r="D45" s="489">
        <f t="shared" si="9"/>
        <v>-0.25</v>
      </c>
      <c r="E45" s="489"/>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t="str">
        <f t="shared" ref="AF45:AF68" si="10">IF(AD45&lt;0,"buy","sell")</f>
        <v>sell</v>
      </c>
    </row>
    <row r="46" spans="1:32" s="360" customFormat="1" hidden="1" x14ac:dyDescent="0.25">
      <c r="A46" s="644" t="s">
        <v>278</v>
      </c>
      <c r="B46" s="488" t="s">
        <v>241</v>
      </c>
      <c r="C46" s="488" t="s">
        <v>280</v>
      </c>
      <c r="D46" s="489">
        <f t="shared" si="9"/>
        <v>-0.25</v>
      </c>
      <c r="E46" s="489"/>
      <c r="F46" s="687"/>
      <c r="G46" s="687"/>
      <c r="H46" s="687">
        <v>0</v>
      </c>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 t="shared" si="10"/>
        <v>sell</v>
      </c>
    </row>
    <row r="47" spans="1:32" s="360" customFormat="1" hidden="1" x14ac:dyDescent="0.25">
      <c r="A47" s="644" t="s">
        <v>278</v>
      </c>
      <c r="B47" s="488" t="s">
        <v>241</v>
      </c>
      <c r="C47" s="488" t="s">
        <v>280</v>
      </c>
      <c r="D47" s="489">
        <f t="shared" si="9"/>
        <v>-0.25</v>
      </c>
      <c r="E47" s="489"/>
      <c r="F47" s="687"/>
      <c r="G47" s="687"/>
      <c r="H47" s="687"/>
      <c r="I47" s="687">
        <v>0</v>
      </c>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si="10"/>
        <v>sell</v>
      </c>
    </row>
    <row r="48" spans="1:32" s="360" customFormat="1" hidden="1" x14ac:dyDescent="0.25">
      <c r="A48" s="644" t="s">
        <v>278</v>
      </c>
      <c r="B48" s="488" t="s">
        <v>241</v>
      </c>
      <c r="C48" s="488" t="s">
        <v>280</v>
      </c>
      <c r="D48" s="489">
        <f t="shared" si="9"/>
        <v>-0.25</v>
      </c>
      <c r="E48" s="489"/>
      <c r="F48" s="687"/>
      <c r="G48" s="687"/>
      <c r="H48" s="687"/>
      <c r="I48" s="687"/>
      <c r="J48" s="687">
        <v>0</v>
      </c>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5">
      <c r="A49" s="644" t="s">
        <v>278</v>
      </c>
      <c r="B49" s="488" t="s">
        <v>241</v>
      </c>
      <c r="C49" s="488" t="s">
        <v>280</v>
      </c>
      <c r="D49" s="489">
        <f t="shared" si="9"/>
        <v>-0.25</v>
      </c>
      <c r="E49" s="489"/>
      <c r="F49" s="687"/>
      <c r="G49" s="687"/>
      <c r="H49" s="687"/>
      <c r="I49" s="687"/>
      <c r="J49" s="687"/>
      <c r="K49" s="687">
        <v>0</v>
      </c>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5">
      <c r="A50" s="644" t="s">
        <v>278</v>
      </c>
      <c r="B50" s="488" t="s">
        <v>241</v>
      </c>
      <c r="C50" s="488" t="s">
        <v>280</v>
      </c>
      <c r="D50" s="489">
        <f t="shared" si="9"/>
        <v>-0.25</v>
      </c>
      <c r="E50" s="489"/>
      <c r="F50" s="687"/>
      <c r="G50" s="687"/>
      <c r="H50" s="687"/>
      <c r="I50" s="687"/>
      <c r="J50" s="687"/>
      <c r="K50" s="687"/>
      <c r="L50" s="687">
        <v>0</v>
      </c>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5">
      <c r="A51" s="644" t="s">
        <v>278</v>
      </c>
      <c r="B51" s="488" t="s">
        <v>241</v>
      </c>
      <c r="C51" s="488" t="s">
        <v>280</v>
      </c>
      <c r="D51" s="489">
        <f t="shared" si="9"/>
        <v>-0.25</v>
      </c>
      <c r="E51" s="489"/>
      <c r="F51" s="687"/>
      <c r="G51" s="687"/>
      <c r="H51" s="687"/>
      <c r="I51" s="687"/>
      <c r="J51" s="687"/>
      <c r="K51" s="687"/>
      <c r="L51" s="687"/>
      <c r="M51" s="687">
        <v>0</v>
      </c>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5">
      <c r="A52" s="644" t="s">
        <v>278</v>
      </c>
      <c r="B52" s="488" t="s">
        <v>241</v>
      </c>
      <c r="C52" s="488" t="s">
        <v>280</v>
      </c>
      <c r="D52" s="489">
        <f t="shared" si="9"/>
        <v>-0.25</v>
      </c>
      <c r="E52" s="489"/>
      <c r="F52" s="687"/>
      <c r="G52" s="687"/>
      <c r="H52" s="687"/>
      <c r="I52" s="687"/>
      <c r="J52" s="687"/>
      <c r="K52" s="687"/>
      <c r="L52" s="687"/>
      <c r="M52" s="687"/>
      <c r="N52" s="687">
        <v>0</v>
      </c>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5">
      <c r="A53" s="644" t="s">
        <v>278</v>
      </c>
      <c r="B53" s="488" t="s">
        <v>241</v>
      </c>
      <c r="C53" s="488" t="s">
        <v>280</v>
      </c>
      <c r="D53" s="489">
        <f t="shared" si="9"/>
        <v>-0.25</v>
      </c>
      <c r="E53" s="489"/>
      <c r="F53" s="687"/>
      <c r="G53" s="687"/>
      <c r="H53" s="687"/>
      <c r="I53" s="687"/>
      <c r="J53" s="687"/>
      <c r="K53" s="687"/>
      <c r="L53" s="687"/>
      <c r="M53" s="687"/>
      <c r="N53" s="687"/>
      <c r="O53" s="687">
        <v>0</v>
      </c>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5">
      <c r="A54" s="644" t="s">
        <v>278</v>
      </c>
      <c r="B54" s="488" t="s">
        <v>241</v>
      </c>
      <c r="C54" s="488" t="s">
        <v>280</v>
      </c>
      <c r="D54" s="489">
        <f t="shared" si="9"/>
        <v>-0.25</v>
      </c>
      <c r="E54" s="489"/>
      <c r="F54" s="687"/>
      <c r="G54" s="687"/>
      <c r="H54" s="687"/>
      <c r="I54" s="687"/>
      <c r="J54" s="687"/>
      <c r="K54" s="687"/>
      <c r="L54" s="687"/>
      <c r="M54" s="687"/>
      <c r="N54" s="687"/>
      <c r="O54" s="687"/>
      <c r="P54" s="687">
        <v>0</v>
      </c>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5">
      <c r="A55" s="644" t="s">
        <v>278</v>
      </c>
      <c r="B55" s="488" t="s">
        <v>241</v>
      </c>
      <c r="C55" s="488" t="s">
        <v>280</v>
      </c>
      <c r="D55" s="489">
        <f t="shared" si="9"/>
        <v>-0.25</v>
      </c>
      <c r="E55" s="489"/>
      <c r="F55" s="687"/>
      <c r="G55" s="687"/>
      <c r="H55" s="687"/>
      <c r="I55" s="687"/>
      <c r="J55" s="687"/>
      <c r="K55" s="687"/>
      <c r="L55" s="687"/>
      <c r="M55" s="687"/>
      <c r="N55" s="687"/>
      <c r="O55" s="687"/>
      <c r="P55" s="687"/>
      <c r="Q55" s="687">
        <v>0</v>
      </c>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5">
      <c r="A56" s="644" t="s">
        <v>278</v>
      </c>
      <c r="B56" s="488" t="s">
        <v>241</v>
      </c>
      <c r="C56" s="488" t="s">
        <v>280</v>
      </c>
      <c r="D56" s="489">
        <f t="shared" si="9"/>
        <v>-0.25</v>
      </c>
      <c r="E56" s="489"/>
      <c r="F56" s="687"/>
      <c r="G56" s="687"/>
      <c r="H56" s="687"/>
      <c r="I56" s="687"/>
      <c r="J56" s="687"/>
      <c r="K56" s="687"/>
      <c r="L56" s="687"/>
      <c r="M56" s="687"/>
      <c r="N56" s="687"/>
      <c r="O56" s="687"/>
      <c r="P56" s="687"/>
      <c r="Q56" s="687"/>
      <c r="R56" s="687">
        <v>0</v>
      </c>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5">
      <c r="A57" s="644" t="s">
        <v>278</v>
      </c>
      <c r="B57" s="488" t="s">
        <v>241</v>
      </c>
      <c r="C57" s="488" t="s">
        <v>280</v>
      </c>
      <c r="D57" s="489">
        <f t="shared" si="9"/>
        <v>-0.25</v>
      </c>
      <c r="E57" s="489"/>
      <c r="F57" s="687"/>
      <c r="G57" s="687"/>
      <c r="H57" s="687"/>
      <c r="I57" s="687"/>
      <c r="J57" s="687"/>
      <c r="K57" s="687"/>
      <c r="L57" s="687"/>
      <c r="M57" s="687"/>
      <c r="N57" s="687"/>
      <c r="O57" s="687"/>
      <c r="P57" s="687"/>
      <c r="Q57" s="687"/>
      <c r="R57" s="687"/>
      <c r="S57" s="687">
        <v>0</v>
      </c>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5">
      <c r="A58" s="644" t="s">
        <v>278</v>
      </c>
      <c r="B58" s="488" t="s">
        <v>241</v>
      </c>
      <c r="C58" s="488" t="s">
        <v>280</v>
      </c>
      <c r="D58" s="489">
        <f t="shared" si="9"/>
        <v>-0.25</v>
      </c>
      <c r="E58" s="489"/>
      <c r="F58" s="687"/>
      <c r="G58" s="687"/>
      <c r="H58" s="687"/>
      <c r="I58" s="687"/>
      <c r="J58" s="687"/>
      <c r="K58" s="687"/>
      <c r="L58" s="687"/>
      <c r="M58" s="687"/>
      <c r="N58" s="687"/>
      <c r="O58" s="687"/>
      <c r="P58" s="687"/>
      <c r="Q58" s="687"/>
      <c r="R58" s="687"/>
      <c r="S58" s="687"/>
      <c r="T58" s="687">
        <v>0</v>
      </c>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5">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c r="T59" s="687"/>
      <c r="U59" s="687">
        <v>0</v>
      </c>
      <c r="V59" s="687"/>
      <c r="W59" s="687"/>
      <c r="X59" s="687"/>
      <c r="Y59" s="687"/>
      <c r="Z59" s="687"/>
      <c r="AA59" s="687"/>
      <c r="AB59" s="687"/>
      <c r="AC59" s="709"/>
      <c r="AD59" s="598">
        <f t="shared" si="6"/>
        <v>0</v>
      </c>
      <c r="AE59" s="492">
        <f t="shared" si="7"/>
        <v>0</v>
      </c>
      <c r="AF59" s="467" t="str">
        <f t="shared" si="10"/>
        <v>sell</v>
      </c>
    </row>
    <row r="60" spans="1:32" s="360" customFormat="1" hidden="1" x14ac:dyDescent="0.25">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c r="U60" s="687"/>
      <c r="V60" s="687">
        <v>0</v>
      </c>
      <c r="W60" s="687"/>
      <c r="X60" s="687"/>
      <c r="Y60" s="687"/>
      <c r="Z60" s="687"/>
      <c r="AA60" s="687"/>
      <c r="AB60" s="687"/>
      <c r="AC60" s="709"/>
      <c r="AD60" s="598">
        <f t="shared" si="6"/>
        <v>0</v>
      </c>
      <c r="AE60" s="492">
        <f t="shared" si="7"/>
        <v>0</v>
      </c>
      <c r="AF60" s="467" t="str">
        <f t="shared" si="10"/>
        <v>sell</v>
      </c>
    </row>
    <row r="61" spans="1:32" s="360" customFormat="1" hidden="1" x14ac:dyDescent="0.25">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c r="V61" s="687"/>
      <c r="W61" s="687">
        <v>0</v>
      </c>
      <c r="X61" s="687"/>
      <c r="Y61" s="687"/>
      <c r="Z61" s="687"/>
      <c r="AA61" s="687"/>
      <c r="AB61" s="687"/>
      <c r="AC61" s="709"/>
      <c r="AD61" s="598">
        <f t="shared" si="6"/>
        <v>0</v>
      </c>
      <c r="AE61" s="492">
        <f t="shared" si="7"/>
        <v>0</v>
      </c>
      <c r="AF61" s="467" t="str">
        <f t="shared" si="10"/>
        <v>sell</v>
      </c>
    </row>
    <row r="62" spans="1:32" s="360" customFormat="1" hidden="1" x14ac:dyDescent="0.25">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c r="W62" s="687"/>
      <c r="X62" s="687">
        <v>0</v>
      </c>
      <c r="Y62" s="687"/>
      <c r="Z62" s="687"/>
      <c r="AA62" s="687"/>
      <c r="AB62" s="687"/>
      <c r="AC62" s="709"/>
      <c r="AD62" s="598">
        <f t="shared" si="6"/>
        <v>0</v>
      </c>
      <c r="AE62" s="492">
        <f t="shared" si="7"/>
        <v>0</v>
      </c>
      <c r="AF62" s="467" t="str">
        <f t="shared" si="10"/>
        <v>sell</v>
      </c>
    </row>
    <row r="63" spans="1:32" s="360" customFormat="1" hidden="1" x14ac:dyDescent="0.25">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c r="X63" s="687"/>
      <c r="Y63" s="687">
        <v>0</v>
      </c>
      <c r="Z63" s="687"/>
      <c r="AA63" s="687"/>
      <c r="AB63" s="687"/>
      <c r="AC63" s="709"/>
      <c r="AD63" s="598">
        <f t="shared" si="6"/>
        <v>0</v>
      </c>
      <c r="AE63" s="492">
        <f t="shared" si="7"/>
        <v>0</v>
      </c>
      <c r="AF63" s="467" t="str">
        <f t="shared" si="10"/>
        <v>sell</v>
      </c>
    </row>
    <row r="64" spans="1:32" s="360" customFormat="1" hidden="1" x14ac:dyDescent="0.25">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c r="Y64" s="687"/>
      <c r="Z64" s="687">
        <v>0</v>
      </c>
      <c r="AA64" s="687"/>
      <c r="AB64" s="687"/>
      <c r="AC64" s="709"/>
      <c r="AD64" s="598">
        <f t="shared" si="6"/>
        <v>0</v>
      </c>
      <c r="AE64" s="492">
        <f t="shared" si="7"/>
        <v>0</v>
      </c>
      <c r="AF64" s="467" t="str">
        <f t="shared" si="10"/>
        <v>sell</v>
      </c>
    </row>
    <row r="65" spans="1:32" s="360" customFormat="1" hidden="1" x14ac:dyDescent="0.25">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c r="Z65" s="687"/>
      <c r="AA65" s="687">
        <v>0</v>
      </c>
      <c r="AB65" s="687"/>
      <c r="AC65" s="709"/>
      <c r="AD65" s="598">
        <f t="shared" si="6"/>
        <v>0</v>
      </c>
      <c r="AE65" s="492">
        <f t="shared" si="7"/>
        <v>0</v>
      </c>
      <c r="AF65" s="467" t="str">
        <f t="shared" si="10"/>
        <v>sell</v>
      </c>
    </row>
    <row r="66" spans="1:32" s="360" customFormat="1" hidden="1" x14ac:dyDescent="0.25">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c r="AA66" s="687"/>
      <c r="AB66" s="687">
        <v>0</v>
      </c>
      <c r="AC66" s="709"/>
      <c r="AD66" s="598">
        <f t="shared" si="6"/>
        <v>0</v>
      </c>
      <c r="AE66" s="492">
        <f t="shared" si="7"/>
        <v>0</v>
      </c>
      <c r="AF66" s="467" t="str">
        <f t="shared" si="10"/>
        <v>sell</v>
      </c>
    </row>
    <row r="67" spans="1:32" s="360" customFormat="1" hidden="1" x14ac:dyDescent="0.25">
      <c r="A67" s="644"/>
      <c r="B67" s="488"/>
      <c r="C67" s="488"/>
      <c r="D67" s="489"/>
      <c r="E67" s="489"/>
      <c r="F67" s="687"/>
      <c r="G67" s="686"/>
      <c r="H67" s="687"/>
      <c r="I67" s="687"/>
      <c r="J67" s="687"/>
      <c r="K67" s="687"/>
      <c r="L67" s="687"/>
      <c r="M67" s="687"/>
      <c r="N67" s="687"/>
      <c r="O67" s="687"/>
      <c r="P67" s="687"/>
      <c r="Q67" s="687"/>
      <c r="R67" s="687"/>
      <c r="S67" s="687"/>
      <c r="T67" s="687"/>
      <c r="U67" s="687"/>
      <c r="V67" s="687"/>
      <c r="W67" s="687"/>
      <c r="X67" s="687"/>
      <c r="Y67" s="687"/>
      <c r="Z67" s="687"/>
      <c r="AA67" s="687"/>
      <c r="AB67" s="687"/>
      <c r="AC67" s="709"/>
      <c r="AD67" s="599">
        <f t="shared" si="6"/>
        <v>0</v>
      </c>
      <c r="AE67" s="588">
        <f t="shared" si="7"/>
        <v>0</v>
      </c>
      <c r="AF67" s="538" t="str">
        <f t="shared" si="10"/>
        <v>sell</v>
      </c>
    </row>
    <row r="68" spans="1:32" s="360" customFormat="1" ht="12.75" customHeight="1" x14ac:dyDescent="0.25">
      <c r="A68" s="680"/>
      <c r="B68" s="681"/>
      <c r="C68" s="681"/>
      <c r="D68" s="682"/>
      <c r="E68" s="682" t="s">
        <v>15</v>
      </c>
      <c r="F68" s="699"/>
      <c r="G68" s="686"/>
      <c r="H68" s="687"/>
      <c r="I68" s="687"/>
      <c r="J68" s="687"/>
      <c r="K68" s="687"/>
      <c r="L68" s="687"/>
      <c r="M68" s="687"/>
      <c r="N68" s="687"/>
      <c r="O68" s="687"/>
      <c r="P68" s="687"/>
      <c r="Q68" s="687"/>
      <c r="R68" s="687"/>
      <c r="S68" s="687"/>
      <c r="T68" s="687"/>
      <c r="U68" s="687"/>
      <c r="V68" s="687"/>
      <c r="W68" s="687"/>
      <c r="X68" s="687"/>
      <c r="Y68" s="687"/>
      <c r="Z68" s="687"/>
      <c r="AA68" s="687"/>
      <c r="AB68" s="687"/>
      <c r="AC68" s="703"/>
      <c r="AD68" s="599">
        <f>SUM(F68:AC68)</f>
        <v>0</v>
      </c>
      <c r="AE68" s="588">
        <f t="shared" ref="AE68:AE77" si="11">AD68*D68</f>
        <v>0</v>
      </c>
      <c r="AF68" s="538" t="str">
        <f t="shared" si="10"/>
        <v>sell</v>
      </c>
    </row>
    <row r="69" spans="1:32" s="360" customFormat="1" ht="12.75" customHeight="1" x14ac:dyDescent="0.25">
      <c r="A69" s="644" t="s">
        <v>368</v>
      </c>
      <c r="B69" s="683" t="s">
        <v>241</v>
      </c>
      <c r="C69" s="683" t="s">
        <v>152</v>
      </c>
      <c r="D69" s="710"/>
      <c r="E69" s="684"/>
      <c r="F69" s="699"/>
      <c r="G69" s="705"/>
      <c r="H69" s="705"/>
      <c r="I69" s="705"/>
      <c r="J69" s="705"/>
      <c r="K69" s="705"/>
      <c r="L69" s="705"/>
      <c r="M69" s="697"/>
      <c r="N69" s="697"/>
      <c r="O69" s="697"/>
      <c r="P69" s="697"/>
      <c r="Q69" s="697"/>
      <c r="R69" s="697"/>
      <c r="S69" s="697"/>
      <c r="T69" s="697"/>
      <c r="U69" s="697"/>
      <c r="V69" s="697"/>
      <c r="W69" s="697"/>
      <c r="X69" s="697"/>
      <c r="Y69" s="697"/>
      <c r="Z69" s="697"/>
      <c r="AA69" s="697"/>
      <c r="AB69" s="697"/>
      <c r="AC69" s="706"/>
      <c r="AD69" s="599">
        <f t="shared" ref="AD69:AD77" si="12">SUM(E69:AC69)</f>
        <v>0</v>
      </c>
      <c r="AE69" s="588">
        <f t="shared" si="11"/>
        <v>0</v>
      </c>
      <c r="AF69" s="538" t="str">
        <f t="shared" ref="AF69:AF77" si="13">IF(AD69&lt;0,"buy","sell")</f>
        <v>sell</v>
      </c>
    </row>
    <row r="70" spans="1:32" s="360" customFormat="1" ht="12.75" customHeight="1" x14ac:dyDescent="0.25">
      <c r="A70" s="644" t="s">
        <v>370</v>
      </c>
      <c r="B70" s="683" t="s">
        <v>241</v>
      </c>
      <c r="C70" s="683" t="s">
        <v>152</v>
      </c>
      <c r="D70" s="710"/>
      <c r="E70" s="684"/>
      <c r="F70" s="699"/>
      <c r="G70" s="705"/>
      <c r="H70" s="705"/>
      <c r="I70" s="705"/>
      <c r="J70" s="705"/>
      <c r="K70" s="705"/>
      <c r="L70" s="705"/>
      <c r="M70" s="697"/>
      <c r="N70" s="697"/>
      <c r="O70" s="697"/>
      <c r="P70" s="697"/>
      <c r="Q70" s="697"/>
      <c r="R70" s="697"/>
      <c r="S70" s="697"/>
      <c r="T70" s="697"/>
      <c r="U70" s="697"/>
      <c r="V70" s="697"/>
      <c r="W70" s="697"/>
      <c r="X70" s="697"/>
      <c r="Y70" s="697"/>
      <c r="Z70" s="697"/>
      <c r="AA70" s="697"/>
      <c r="AB70" s="697"/>
      <c r="AC70" s="706"/>
      <c r="AD70" s="599">
        <f t="shared" si="12"/>
        <v>0</v>
      </c>
      <c r="AE70" s="588">
        <f t="shared" si="11"/>
        <v>0</v>
      </c>
      <c r="AF70" s="538" t="str">
        <f t="shared" si="13"/>
        <v>sell</v>
      </c>
    </row>
    <row r="71" spans="1:32" s="360" customFormat="1" ht="12.75" customHeight="1" x14ac:dyDescent="0.25">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SUM(E71:AC71)</f>
        <v>0</v>
      </c>
      <c r="AE71" s="588">
        <f>AD71*D71</f>
        <v>0</v>
      </c>
      <c r="AF71" s="538" t="str">
        <f>IF(AD71&lt;0,"buy","sell")</f>
        <v>sell</v>
      </c>
    </row>
    <row r="72" spans="1:32" s="360" customFormat="1" ht="12.75" customHeight="1" x14ac:dyDescent="0.25">
      <c r="A72" s="644" t="s">
        <v>225</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5">
      <c r="A73" s="644" t="s">
        <v>367</v>
      </c>
      <c r="B73" s="683" t="s">
        <v>366</v>
      </c>
      <c r="C73" s="683" t="s">
        <v>152</v>
      </c>
      <c r="D73" s="720"/>
      <c r="E73" s="684"/>
      <c r="F73" s="721"/>
      <c r="G73" s="721"/>
      <c r="H73" s="721"/>
      <c r="I73" s="721"/>
      <c r="J73" s="721"/>
      <c r="K73" s="721"/>
      <c r="L73" s="699"/>
      <c r="M73" s="699"/>
      <c r="N73" s="699"/>
      <c r="O73" s="699"/>
      <c r="P73" s="699"/>
      <c r="Q73" s="699"/>
      <c r="R73" s="699"/>
      <c r="S73" s="699"/>
      <c r="T73" s="699"/>
      <c r="U73" s="699"/>
      <c r="V73" s="699"/>
      <c r="W73" s="699"/>
      <c r="X73" s="699"/>
      <c r="Y73" s="699"/>
      <c r="Z73" s="699"/>
      <c r="AA73" s="699"/>
      <c r="AB73" s="721"/>
      <c r="AC73" s="721"/>
      <c r="AD73" s="599">
        <f>SUM(E73:AC73)</f>
        <v>0</v>
      </c>
      <c r="AE73" s="588">
        <f>AD73*D73</f>
        <v>0</v>
      </c>
      <c r="AF73" s="538" t="str">
        <f>IF(AD73&lt;0,"buy","sell")</f>
        <v>sell</v>
      </c>
    </row>
    <row r="74" spans="1:32" s="360" customFormat="1" ht="12.75" customHeight="1" x14ac:dyDescent="0.25">
      <c r="A74" s="644" t="s">
        <v>372</v>
      </c>
      <c r="B74" s="683" t="s">
        <v>241</v>
      </c>
      <c r="C74" s="683" t="s">
        <v>152</v>
      </c>
      <c r="D74" s="720"/>
      <c r="E74" s="684"/>
      <c r="F74" s="721"/>
      <c r="G74" s="721"/>
      <c r="H74" s="721"/>
      <c r="I74" s="721"/>
      <c r="J74" s="721"/>
      <c r="K74" s="721"/>
      <c r="L74" s="703"/>
      <c r="M74" s="697"/>
      <c r="N74" s="697"/>
      <c r="O74" s="697"/>
      <c r="P74" s="697"/>
      <c r="Q74" s="697"/>
      <c r="R74" s="697"/>
      <c r="S74" s="697"/>
      <c r="T74" s="697"/>
      <c r="U74" s="697"/>
      <c r="V74" s="697"/>
      <c r="W74" s="697"/>
      <c r="X74" s="697"/>
      <c r="Y74" s="697"/>
      <c r="Z74" s="697"/>
      <c r="AA74" s="697"/>
      <c r="AB74" s="701"/>
      <c r="AC74" s="701"/>
      <c r="AD74" s="599">
        <f>SUM(E74:AC74)</f>
        <v>0</v>
      </c>
      <c r="AE74" s="588">
        <f>AD74*D74</f>
        <v>0</v>
      </c>
      <c r="AF74" s="538" t="str">
        <f>IF(AD74&lt;0,"buy","sell")</f>
        <v>sell</v>
      </c>
    </row>
    <row r="75" spans="1:32" s="360" customFormat="1" ht="12.75" customHeight="1" x14ac:dyDescent="0.25">
      <c r="A75" s="644" t="s">
        <v>367</v>
      </c>
      <c r="B75" s="683" t="s">
        <v>241</v>
      </c>
      <c r="C75" s="683" t="s">
        <v>152</v>
      </c>
      <c r="D75" s="683"/>
      <c r="E75" s="684"/>
      <c r="F75" s="703"/>
      <c r="G75" s="701"/>
      <c r="H75" s="701"/>
      <c r="I75" s="701"/>
      <c r="J75" s="701"/>
      <c r="K75" s="701"/>
      <c r="L75" s="701"/>
      <c r="M75" s="697"/>
      <c r="N75" s="697"/>
      <c r="O75" s="697"/>
      <c r="P75" s="697"/>
      <c r="Q75" s="697"/>
      <c r="R75" s="697"/>
      <c r="S75" s="697"/>
      <c r="T75" s="697"/>
      <c r="U75" s="697"/>
      <c r="V75" s="697"/>
      <c r="W75" s="697"/>
      <c r="X75" s="697"/>
      <c r="Y75" s="697"/>
      <c r="Z75" s="697"/>
      <c r="AA75" s="697"/>
      <c r="AB75" s="697"/>
      <c r="AC75" s="702"/>
      <c r="AD75" s="599">
        <f>SUM(E75:AC75)</f>
        <v>0</v>
      </c>
      <c r="AE75" s="588">
        <f>AD75*D75</f>
        <v>0</v>
      </c>
      <c r="AF75" s="538" t="str">
        <f>IF(AD75&lt;0,"buy","sell")</f>
        <v>sell</v>
      </c>
    </row>
    <row r="76" spans="1:32" s="360" customFormat="1" x14ac:dyDescent="0.25">
      <c r="A76" s="644"/>
      <c r="B76" s="683"/>
      <c r="C76" s="683"/>
      <c r="D76" s="488"/>
      <c r="E76" s="684"/>
      <c r="F76" s="693"/>
      <c r="G76" s="694"/>
      <c r="H76" s="694"/>
      <c r="I76" s="694"/>
      <c r="J76" s="694"/>
      <c r="K76" s="694"/>
      <c r="L76" s="694"/>
      <c r="M76" s="694"/>
      <c r="N76" s="697"/>
      <c r="O76" s="694"/>
      <c r="P76" s="694"/>
      <c r="Q76" s="694"/>
      <c r="R76" s="694"/>
      <c r="S76" s="694"/>
      <c r="T76" s="694"/>
      <c r="U76" s="694"/>
      <c r="V76" s="694"/>
      <c r="W76" s="694"/>
      <c r="X76" s="694"/>
      <c r="Y76" s="694"/>
      <c r="Z76" s="694"/>
      <c r="AA76" s="694"/>
      <c r="AB76" s="694"/>
      <c r="AC76" s="685"/>
      <c r="AD76" s="599">
        <f t="shared" si="12"/>
        <v>0</v>
      </c>
      <c r="AE76" s="588">
        <f t="shared" si="11"/>
        <v>0</v>
      </c>
      <c r="AF76" s="538" t="str">
        <f t="shared" si="13"/>
        <v>sell</v>
      </c>
    </row>
    <row r="77" spans="1:32" s="360" customFormat="1" x14ac:dyDescent="0.25">
      <c r="A77" s="645"/>
      <c r="B77" s="582"/>
      <c r="C77" s="582"/>
      <c r="D77" s="583"/>
      <c r="E77" s="565"/>
      <c r="F77" s="692"/>
      <c r="G77" s="647"/>
      <c r="H77" s="647"/>
      <c r="I77" s="647"/>
      <c r="J77" s="647"/>
      <c r="K77" s="647"/>
      <c r="L77" s="647"/>
      <c r="M77" s="647"/>
      <c r="N77" s="698"/>
      <c r="O77" s="647"/>
      <c r="P77" s="647"/>
      <c r="Q77" s="647"/>
      <c r="R77" s="647"/>
      <c r="S77" s="647"/>
      <c r="T77" s="647"/>
      <c r="U77" s="647"/>
      <c r="V77" s="647"/>
      <c r="W77" s="647"/>
      <c r="X77" s="647"/>
      <c r="Y77" s="584"/>
      <c r="Z77" s="584"/>
      <c r="AA77" s="584"/>
      <c r="AB77" s="647"/>
      <c r="AC77" s="647"/>
      <c r="AD77" s="690">
        <f t="shared" si="12"/>
        <v>0</v>
      </c>
      <c r="AE77" s="588">
        <f t="shared" si="11"/>
        <v>0</v>
      </c>
      <c r="AF77" s="538" t="str">
        <f t="shared" si="13"/>
        <v>sell</v>
      </c>
    </row>
    <row r="78" spans="1:32" s="360" customFormat="1" x14ac:dyDescent="0.25">
      <c r="A78" s="645" t="s">
        <v>64</v>
      </c>
      <c r="B78" s="582" t="s">
        <v>366</v>
      </c>
      <c r="C78" s="582" t="s">
        <v>280</v>
      </c>
      <c r="D78" s="583">
        <v>135</v>
      </c>
      <c r="E78" s="565"/>
      <c r="F78" s="692">
        <v>20</v>
      </c>
      <c r="G78" s="647"/>
      <c r="H78" s="647"/>
      <c r="I78" s="647"/>
      <c r="J78" s="647"/>
      <c r="K78" s="647"/>
      <c r="L78" s="647"/>
      <c r="M78" s="647"/>
      <c r="N78" s="698"/>
      <c r="O78" s="647"/>
      <c r="P78" s="647"/>
      <c r="Q78" s="647"/>
      <c r="R78" s="647"/>
      <c r="S78" s="647"/>
      <c r="T78" s="647"/>
      <c r="U78" s="647"/>
      <c r="V78" s="647"/>
      <c r="W78" s="647"/>
      <c r="X78" s="647"/>
      <c r="Y78" s="584"/>
      <c r="Z78" s="584"/>
      <c r="AA78" s="584"/>
      <c r="AB78" s="647"/>
      <c r="AC78" s="647"/>
      <c r="AD78" s="690">
        <f t="shared" ref="AD78:AD91" si="14">SUM(E78:AC78)</f>
        <v>20</v>
      </c>
      <c r="AE78" s="588">
        <f t="shared" ref="AE78:AE105" si="15">AD78*D78</f>
        <v>2700</v>
      </c>
      <c r="AF78" s="538" t="str">
        <f t="shared" ref="AF78:AF105" si="16">IF(AD78&lt;0,"buy","sell")</f>
        <v>sell</v>
      </c>
    </row>
    <row r="79" spans="1:32" s="360" customFormat="1" x14ac:dyDescent="0.25">
      <c r="A79" s="645" t="s">
        <v>376</v>
      </c>
      <c r="B79" s="582" t="s">
        <v>366</v>
      </c>
      <c r="C79" s="582" t="s">
        <v>280</v>
      </c>
      <c r="D79" s="583">
        <v>135</v>
      </c>
      <c r="E79" s="565"/>
      <c r="F79" s="692">
        <v>38</v>
      </c>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c r="AD79" s="690">
        <f t="shared" si="14"/>
        <v>38</v>
      </c>
      <c r="AE79" s="588">
        <f t="shared" si="15"/>
        <v>5130</v>
      </c>
      <c r="AF79" s="538" t="str">
        <f t="shared" si="16"/>
        <v>sell</v>
      </c>
    </row>
    <row r="80" spans="1:32" s="360" customFormat="1" x14ac:dyDescent="0.25">
      <c r="A80" s="645" t="s">
        <v>379</v>
      </c>
      <c r="B80" s="582" t="s">
        <v>366</v>
      </c>
      <c r="C80" s="582" t="s">
        <v>152</v>
      </c>
      <c r="D80" s="583">
        <v>55</v>
      </c>
      <c r="E80" s="565"/>
      <c r="F80" s="692"/>
      <c r="G80" s="647"/>
      <c r="H80" s="647"/>
      <c r="I80" s="724">
        <v>25</v>
      </c>
      <c r="J80" s="724">
        <v>25</v>
      </c>
      <c r="K80" s="724">
        <v>25</v>
      </c>
      <c r="L80" s="647"/>
      <c r="M80" s="647"/>
      <c r="N80" s="698"/>
      <c r="O80" s="647"/>
      <c r="P80" s="647"/>
      <c r="Q80" s="647"/>
      <c r="R80" s="647"/>
      <c r="S80" s="647"/>
      <c r="T80" s="647"/>
      <c r="U80" s="647"/>
      <c r="V80" s="647"/>
      <c r="W80" s="647"/>
      <c r="X80" s="647"/>
      <c r="Y80" s="584"/>
      <c r="Z80" s="584"/>
      <c r="AA80" s="584"/>
      <c r="AB80" s="647"/>
      <c r="AC80" s="647"/>
      <c r="AD80" s="690">
        <f t="shared" si="14"/>
        <v>75</v>
      </c>
      <c r="AE80" s="588">
        <f>AD80*D80</f>
        <v>4125</v>
      </c>
      <c r="AF80" s="538" t="str">
        <f>IF(AD80&lt;0,"buy","sell")</f>
        <v>sell</v>
      </c>
    </row>
    <row r="81" spans="1:32" s="360" customFormat="1" x14ac:dyDescent="0.25">
      <c r="A81" s="645" t="s">
        <v>379</v>
      </c>
      <c r="B81" s="582" t="s">
        <v>366</v>
      </c>
      <c r="C81" s="582" t="s">
        <v>152</v>
      </c>
      <c r="D81" s="583">
        <v>55</v>
      </c>
      <c r="E81" s="565"/>
      <c r="F81" s="692"/>
      <c r="G81" s="647"/>
      <c r="H81" s="647"/>
      <c r="I81" s="724">
        <v>25</v>
      </c>
      <c r="J81" s="724">
        <v>25</v>
      </c>
      <c r="K81" s="724">
        <v>25</v>
      </c>
      <c r="L81" s="647"/>
      <c r="M81" s="647"/>
      <c r="N81" s="698"/>
      <c r="O81" s="647"/>
      <c r="P81" s="647"/>
      <c r="Q81" s="647"/>
      <c r="R81" s="647"/>
      <c r="S81" s="647"/>
      <c r="T81" s="647"/>
      <c r="U81" s="647"/>
      <c r="V81" s="647"/>
      <c r="W81" s="647"/>
      <c r="X81" s="647"/>
      <c r="Y81" s="584"/>
      <c r="Z81" s="584"/>
      <c r="AA81" s="584"/>
      <c r="AB81" s="647"/>
      <c r="AC81" s="647"/>
      <c r="AD81" s="690">
        <f t="shared" si="14"/>
        <v>75</v>
      </c>
      <c r="AE81" s="588">
        <f t="shared" si="15"/>
        <v>4125</v>
      </c>
      <c r="AF81" s="538" t="str">
        <f t="shared" si="16"/>
        <v>sell</v>
      </c>
    </row>
    <row r="82" spans="1:32" s="360" customFormat="1" x14ac:dyDescent="0.25">
      <c r="A82" s="645" t="s">
        <v>384</v>
      </c>
      <c r="B82" s="582" t="s">
        <v>366</v>
      </c>
      <c r="C82" s="582" t="s">
        <v>152</v>
      </c>
      <c r="D82" s="583">
        <v>175</v>
      </c>
      <c r="E82" s="565"/>
      <c r="F82" s="692"/>
      <c r="G82" s="647"/>
      <c r="H82" s="647"/>
      <c r="I82" s="724"/>
      <c r="J82" s="724"/>
      <c r="K82" s="724"/>
      <c r="L82" s="647"/>
      <c r="M82" s="647">
        <v>2</v>
      </c>
      <c r="N82" s="698"/>
      <c r="O82" s="647"/>
      <c r="P82" s="647"/>
      <c r="Q82" s="647"/>
      <c r="R82" s="647"/>
      <c r="S82" s="647"/>
      <c r="T82" s="647"/>
      <c r="U82" s="647"/>
      <c r="V82" s="647"/>
      <c r="W82" s="647"/>
      <c r="X82" s="647"/>
      <c r="Y82" s="584"/>
      <c r="Z82" s="584"/>
      <c r="AA82" s="584"/>
      <c r="AB82" s="647"/>
      <c r="AC82" s="647"/>
      <c r="AD82" s="690">
        <f t="shared" si="14"/>
        <v>2</v>
      </c>
      <c r="AE82" s="588">
        <f>AD82*D82</f>
        <v>350</v>
      </c>
      <c r="AF82" s="538" t="str">
        <f>IF(AD82&lt;0,"buy","sell")</f>
        <v>sell</v>
      </c>
    </row>
    <row r="83" spans="1:32" s="360" customFormat="1" x14ac:dyDescent="0.25">
      <c r="A83" s="645" t="s">
        <v>384</v>
      </c>
      <c r="B83" s="582" t="s">
        <v>366</v>
      </c>
      <c r="C83" s="582" t="s">
        <v>152</v>
      </c>
      <c r="D83" s="583">
        <v>175</v>
      </c>
      <c r="E83" s="565"/>
      <c r="F83" s="692"/>
      <c r="G83" s="647"/>
      <c r="H83" s="647"/>
      <c r="I83" s="724"/>
      <c r="J83" s="724"/>
      <c r="K83" s="724"/>
      <c r="L83" s="647"/>
      <c r="M83" s="647"/>
      <c r="N83" s="698">
        <v>8</v>
      </c>
      <c r="O83" s="647"/>
      <c r="P83" s="647"/>
      <c r="Q83" s="647"/>
      <c r="R83" s="647"/>
      <c r="S83" s="647"/>
      <c r="T83" s="647"/>
      <c r="U83" s="647"/>
      <c r="V83" s="647"/>
      <c r="W83" s="647"/>
      <c r="X83" s="647"/>
      <c r="Y83" s="584"/>
      <c r="Z83" s="584"/>
      <c r="AA83" s="584"/>
      <c r="AB83" s="647"/>
      <c r="AC83" s="647"/>
      <c r="AD83" s="690">
        <f t="shared" si="14"/>
        <v>8</v>
      </c>
      <c r="AE83" s="588">
        <f>AD83*D83</f>
        <v>1400</v>
      </c>
      <c r="AF83" s="538" t="str">
        <f>IF(AD83&lt;0,"buy","sell")</f>
        <v>sell</v>
      </c>
    </row>
    <row r="84" spans="1:32" s="360" customFormat="1" x14ac:dyDescent="0.25">
      <c r="A84" s="645" t="s">
        <v>384</v>
      </c>
      <c r="B84" s="582" t="s">
        <v>366</v>
      </c>
      <c r="C84" s="582" t="s">
        <v>152</v>
      </c>
      <c r="D84" s="583">
        <v>175</v>
      </c>
      <c r="E84" s="565"/>
      <c r="F84" s="692"/>
      <c r="G84" s="647"/>
      <c r="H84" s="647"/>
      <c r="I84" s="724"/>
      <c r="J84" s="724"/>
      <c r="K84" s="724"/>
      <c r="L84" s="647"/>
      <c r="M84" s="647"/>
      <c r="N84" s="698"/>
      <c r="O84" s="647">
        <v>13</v>
      </c>
      <c r="P84" s="647"/>
      <c r="Q84" s="647"/>
      <c r="R84" s="647"/>
      <c r="S84" s="647"/>
      <c r="T84" s="647"/>
      <c r="U84" s="647"/>
      <c r="V84" s="647"/>
      <c r="W84" s="647"/>
      <c r="X84" s="647"/>
      <c r="Y84" s="584"/>
      <c r="Z84" s="584"/>
      <c r="AA84" s="584"/>
      <c r="AB84" s="647"/>
      <c r="AC84" s="647"/>
      <c r="AD84" s="690">
        <f t="shared" si="14"/>
        <v>13</v>
      </c>
      <c r="AE84" s="588">
        <f>AD84*D84</f>
        <v>2275</v>
      </c>
      <c r="AF84" s="538" t="str">
        <f>IF(AD84&lt;0,"buy","sell")</f>
        <v>sell</v>
      </c>
    </row>
    <row r="85" spans="1:32" s="360" customFormat="1" x14ac:dyDescent="0.25">
      <c r="A85" s="645" t="s">
        <v>229</v>
      </c>
      <c r="B85" s="582" t="s">
        <v>366</v>
      </c>
      <c r="C85" s="582" t="s">
        <v>152</v>
      </c>
      <c r="D85" s="583">
        <v>4</v>
      </c>
      <c r="E85" s="565"/>
      <c r="F85" s="692"/>
      <c r="G85" s="647"/>
      <c r="H85" s="724">
        <v>50</v>
      </c>
      <c r="I85" s="724">
        <v>50</v>
      </c>
      <c r="J85" s="647"/>
      <c r="K85" s="647"/>
      <c r="L85" s="647"/>
      <c r="M85" s="647"/>
      <c r="N85" s="698"/>
      <c r="O85" s="647"/>
      <c r="P85" s="647"/>
      <c r="Q85" s="647"/>
      <c r="R85" s="647"/>
      <c r="S85" s="647"/>
      <c r="T85" s="647"/>
      <c r="U85" s="647"/>
      <c r="V85" s="647"/>
      <c r="W85" s="647"/>
      <c r="X85" s="647"/>
      <c r="Y85" s="584"/>
      <c r="Z85" s="584"/>
      <c r="AA85" s="584"/>
      <c r="AB85" s="647"/>
      <c r="AC85" s="647"/>
      <c r="AD85" s="690">
        <f t="shared" si="14"/>
        <v>100</v>
      </c>
      <c r="AE85" s="588">
        <f t="shared" si="15"/>
        <v>400</v>
      </c>
      <c r="AF85" s="538" t="str">
        <f t="shared" si="16"/>
        <v>sell</v>
      </c>
    </row>
    <row r="86" spans="1:32" s="360" customFormat="1" x14ac:dyDescent="0.25">
      <c r="A86" s="645" t="s">
        <v>67</v>
      </c>
      <c r="B86" s="582" t="s">
        <v>366</v>
      </c>
      <c r="C86" s="582" t="s">
        <v>280</v>
      </c>
      <c r="D86" s="583">
        <v>60</v>
      </c>
      <c r="E86" s="565"/>
      <c r="F86" s="692"/>
      <c r="G86" s="647"/>
      <c r="H86" s="647"/>
      <c r="I86" s="647"/>
      <c r="J86" s="724">
        <v>50</v>
      </c>
      <c r="K86" s="724">
        <v>12</v>
      </c>
      <c r="L86" s="647"/>
      <c r="M86" s="647"/>
      <c r="N86" s="698"/>
      <c r="O86" s="647"/>
      <c r="P86" s="647"/>
      <c r="Q86" s="647"/>
      <c r="R86" s="647"/>
      <c r="S86" s="647"/>
      <c r="T86" s="647"/>
      <c r="U86" s="647"/>
      <c r="V86" s="647"/>
      <c r="W86" s="647"/>
      <c r="X86" s="647"/>
      <c r="Y86" s="584"/>
      <c r="Z86" s="584"/>
      <c r="AA86" s="584"/>
      <c r="AB86" s="647"/>
      <c r="AC86" s="647"/>
      <c r="AD86" s="690">
        <f t="shared" si="14"/>
        <v>62</v>
      </c>
      <c r="AE86" s="588">
        <f t="shared" si="15"/>
        <v>3720</v>
      </c>
      <c r="AF86" s="538" t="str">
        <f t="shared" si="16"/>
        <v>sell</v>
      </c>
    </row>
    <row r="87" spans="1:32" s="360" customFormat="1" x14ac:dyDescent="0.25">
      <c r="A87" s="645" t="s">
        <v>68</v>
      </c>
      <c r="B87" s="582" t="s">
        <v>366</v>
      </c>
      <c r="C87" s="582" t="s">
        <v>152</v>
      </c>
      <c r="D87" s="583">
        <v>100</v>
      </c>
      <c r="E87" s="565"/>
      <c r="F87" s="692"/>
      <c r="G87" s="647"/>
      <c r="H87" s="647"/>
      <c r="I87" s="647"/>
      <c r="J87" s="647"/>
      <c r="K87" s="647"/>
      <c r="L87" s="647"/>
      <c r="M87" s="724">
        <v>35</v>
      </c>
      <c r="N87" s="726">
        <v>60</v>
      </c>
      <c r="O87" s="724">
        <v>20</v>
      </c>
      <c r="P87" s="647"/>
      <c r="Q87" s="647"/>
      <c r="R87" s="647"/>
      <c r="S87" s="647"/>
      <c r="T87" s="647"/>
      <c r="U87" s="647"/>
      <c r="V87" s="647"/>
      <c r="W87" s="647"/>
      <c r="X87" s="647"/>
      <c r="Y87" s="584"/>
      <c r="Z87" s="584"/>
      <c r="AA87" s="584"/>
      <c r="AB87" s="647"/>
      <c r="AC87" s="647"/>
      <c r="AD87" s="690">
        <f t="shared" si="14"/>
        <v>115</v>
      </c>
      <c r="AE87" s="588">
        <f>AD87*D87</f>
        <v>11500</v>
      </c>
      <c r="AF87" s="538" t="str">
        <f>IF(AD87&lt;0,"buy","sell")</f>
        <v>sell</v>
      </c>
    </row>
    <row r="88" spans="1:32" s="360" customFormat="1" x14ac:dyDescent="0.25">
      <c r="A88" s="645" t="s">
        <v>64</v>
      </c>
      <c r="B88" s="582" t="s">
        <v>366</v>
      </c>
      <c r="C88" s="582" t="s">
        <v>280</v>
      </c>
      <c r="D88" s="583">
        <v>115</v>
      </c>
      <c r="E88" s="565"/>
      <c r="F88" s="692"/>
      <c r="G88" s="647"/>
      <c r="H88" s="647"/>
      <c r="I88" s="647"/>
      <c r="J88" s="647"/>
      <c r="K88" s="647"/>
      <c r="L88" s="647"/>
      <c r="M88" s="647"/>
      <c r="N88" s="726">
        <v>50</v>
      </c>
      <c r="O88" s="724">
        <v>50</v>
      </c>
      <c r="P88" s="724">
        <v>25</v>
      </c>
      <c r="Q88" s="724">
        <v>20</v>
      </c>
      <c r="R88" s="647"/>
      <c r="S88" s="647"/>
      <c r="T88" s="647"/>
      <c r="U88" s="647"/>
      <c r="V88" s="647"/>
      <c r="W88" s="647"/>
      <c r="X88" s="647"/>
      <c r="Y88" s="584"/>
      <c r="Z88" s="584"/>
      <c r="AA88" s="584"/>
      <c r="AB88" s="647"/>
      <c r="AC88" s="647"/>
      <c r="AD88" s="690">
        <f t="shared" si="14"/>
        <v>145</v>
      </c>
      <c r="AE88" s="588">
        <f>AD88*D88</f>
        <v>16675</v>
      </c>
      <c r="AF88" s="538" t="str">
        <f>IF(AD88&lt;0,"buy","sell")</f>
        <v>sell</v>
      </c>
    </row>
    <row r="89" spans="1:32" s="360" customFormat="1" x14ac:dyDescent="0.25">
      <c r="A89" s="645" t="s">
        <v>67</v>
      </c>
      <c r="B89" s="582" t="s">
        <v>366</v>
      </c>
      <c r="C89" s="582" t="s">
        <v>280</v>
      </c>
      <c r="D89" s="583">
        <v>190</v>
      </c>
      <c r="E89" s="565"/>
      <c r="F89" s="692"/>
      <c r="G89" s="647"/>
      <c r="H89" s="647"/>
      <c r="I89" s="647"/>
      <c r="J89" s="647"/>
      <c r="K89" s="647"/>
      <c r="L89" s="647"/>
      <c r="M89" s="647"/>
      <c r="N89" s="726"/>
      <c r="O89" s="724"/>
      <c r="P89" s="724"/>
      <c r="Q89" s="724"/>
      <c r="R89" s="647"/>
      <c r="S89" s="647"/>
      <c r="T89" s="647"/>
      <c r="U89" s="647"/>
      <c r="V89" s="647"/>
      <c r="W89" s="647"/>
      <c r="X89" s="647"/>
      <c r="Y89" s="584">
        <v>40</v>
      </c>
      <c r="Z89" s="584">
        <v>40</v>
      </c>
      <c r="AA89" s="584">
        <v>40</v>
      </c>
      <c r="AB89" s="647">
        <v>40</v>
      </c>
      <c r="AC89" s="647"/>
      <c r="AD89" s="690">
        <f t="shared" si="14"/>
        <v>160</v>
      </c>
      <c r="AE89" s="588">
        <f>AD89*D89</f>
        <v>30400</v>
      </c>
      <c r="AF89" s="538" t="str">
        <f>IF(AD89&lt;0,"buy","sell")</f>
        <v>sell</v>
      </c>
    </row>
    <row r="90" spans="1:32" s="360" customFormat="1" x14ac:dyDescent="0.25">
      <c r="A90" s="645" t="s">
        <v>67</v>
      </c>
      <c r="B90" s="582" t="s">
        <v>366</v>
      </c>
      <c r="C90" s="582" t="s">
        <v>280</v>
      </c>
      <c r="D90" s="583">
        <v>130</v>
      </c>
      <c r="E90" s="565"/>
      <c r="F90" s="692"/>
      <c r="G90" s="647"/>
      <c r="H90" s="647"/>
      <c r="I90" s="647"/>
      <c r="J90" s="647"/>
      <c r="K90" s="647"/>
      <c r="L90" s="647"/>
      <c r="M90" s="647"/>
      <c r="N90" s="726"/>
      <c r="O90" s="724"/>
      <c r="P90" s="724"/>
      <c r="Q90" s="724"/>
      <c r="R90" s="647"/>
      <c r="S90" s="647"/>
      <c r="T90" s="647"/>
      <c r="U90" s="647"/>
      <c r="V90" s="647"/>
      <c r="W90" s="647"/>
      <c r="X90" s="647"/>
      <c r="Y90" s="584"/>
      <c r="Z90" s="584"/>
      <c r="AA90" s="584"/>
      <c r="AB90" s="647"/>
      <c r="AC90" s="647">
        <v>40</v>
      </c>
      <c r="AD90" s="690">
        <f t="shared" si="14"/>
        <v>40</v>
      </c>
      <c r="AE90" s="588">
        <f>AD90*D90</f>
        <v>5200</v>
      </c>
      <c r="AF90" s="538" t="str">
        <f>IF(AD90&lt;0,"buy","sell")</f>
        <v>sell</v>
      </c>
    </row>
    <row r="91" spans="1:32" s="360" customFormat="1" x14ac:dyDescent="0.25">
      <c r="A91" s="645"/>
      <c r="B91" s="582"/>
      <c r="C91" s="582"/>
      <c r="D91" s="583"/>
      <c r="E91" s="565"/>
      <c r="F91" s="692"/>
      <c r="G91" s="647"/>
      <c r="H91" s="647"/>
      <c r="I91" s="647"/>
      <c r="J91" s="647"/>
      <c r="K91" s="647"/>
      <c r="L91" s="647"/>
      <c r="M91" s="647"/>
      <c r="N91" s="698"/>
      <c r="O91" s="647"/>
      <c r="P91" s="647"/>
      <c r="Q91" s="647"/>
      <c r="R91" s="647"/>
      <c r="S91" s="647"/>
      <c r="T91" s="647"/>
      <c r="U91" s="647"/>
      <c r="V91" s="647"/>
      <c r="W91" s="647"/>
      <c r="X91" s="647"/>
      <c r="Y91" s="584"/>
      <c r="Z91" s="584"/>
      <c r="AA91" s="584"/>
      <c r="AB91" s="647"/>
      <c r="AC91" s="647"/>
      <c r="AD91" s="690">
        <f t="shared" si="14"/>
        <v>0</v>
      </c>
      <c r="AE91" s="588">
        <f t="shared" si="15"/>
        <v>0</v>
      </c>
      <c r="AF91" s="538" t="str">
        <f t="shared" si="16"/>
        <v>sell</v>
      </c>
    </row>
    <row r="92" spans="1:32" s="360" customFormat="1" ht="12" customHeight="1" x14ac:dyDescent="0.25">
      <c r="A92" s="680"/>
      <c r="B92" s="681"/>
      <c r="C92" s="681"/>
      <c r="D92" s="682"/>
      <c r="E92" s="686"/>
      <c r="F92" s="687"/>
      <c r="G92" s="686"/>
      <c r="H92" s="687"/>
      <c r="I92" s="687"/>
      <c r="J92" s="687"/>
      <c r="K92" s="687"/>
      <c r="L92" s="687"/>
      <c r="M92" s="687"/>
      <c r="N92" s="687"/>
      <c r="O92" s="687"/>
      <c r="P92" s="687"/>
      <c r="Q92" s="687"/>
      <c r="R92" s="687"/>
      <c r="S92" s="687"/>
      <c r="T92" s="687"/>
      <c r="U92" s="687"/>
      <c r="V92" s="687"/>
      <c r="W92" s="687"/>
      <c r="X92" s="687"/>
      <c r="Y92" s="687"/>
      <c r="Z92" s="687"/>
      <c r="AA92" s="687"/>
      <c r="AB92" s="687"/>
      <c r="AC92" s="687"/>
      <c r="AD92" s="599">
        <f t="shared" si="6"/>
        <v>0</v>
      </c>
      <c r="AE92" s="588">
        <f t="shared" si="15"/>
        <v>0</v>
      </c>
      <c r="AF92" s="538" t="str">
        <f t="shared" si="16"/>
        <v>sell</v>
      </c>
    </row>
    <row r="93" spans="1:32" s="360" customFormat="1" ht="12.75" customHeight="1" x14ac:dyDescent="0.25">
      <c r="A93" s="680"/>
      <c r="B93" s="681"/>
      <c r="C93" s="681"/>
      <c r="D93" s="682"/>
      <c r="E93" s="686"/>
      <c r="F93" s="688"/>
      <c r="G93" s="689"/>
      <c r="H93" s="687"/>
      <c r="I93" s="687"/>
      <c r="J93" s="687"/>
      <c r="K93" s="687"/>
      <c r="L93" s="687"/>
      <c r="M93" s="687"/>
      <c r="N93" s="687"/>
      <c r="O93" s="687"/>
      <c r="P93" s="687"/>
      <c r="Q93" s="687"/>
      <c r="R93" s="687"/>
      <c r="S93" s="687"/>
      <c r="T93" s="687"/>
      <c r="U93" s="687"/>
      <c r="V93" s="688"/>
      <c r="W93" s="688"/>
      <c r="X93" s="688"/>
      <c r="Y93" s="688"/>
      <c r="Z93" s="688"/>
      <c r="AA93" s="688"/>
      <c r="AB93" s="688"/>
      <c r="AC93" s="688"/>
      <c r="AD93" s="690">
        <f t="shared" si="6"/>
        <v>0</v>
      </c>
      <c r="AE93" s="588">
        <f t="shared" si="15"/>
        <v>0</v>
      </c>
      <c r="AF93" s="538" t="str">
        <f t="shared" si="16"/>
        <v>sell</v>
      </c>
    </row>
    <row r="94" spans="1:32" s="360" customFormat="1" x14ac:dyDescent="0.25">
      <c r="A94" s="645"/>
      <c r="B94" s="582"/>
      <c r="C94" s="582"/>
      <c r="D94" s="583"/>
      <c r="E94" s="565"/>
      <c r="F94" s="628"/>
      <c r="G94" s="584"/>
      <c r="H94" s="584"/>
      <c r="I94" s="584"/>
      <c r="J94" s="584"/>
      <c r="K94" s="584"/>
      <c r="L94" s="584"/>
      <c r="M94" s="584"/>
      <c r="N94" s="584"/>
      <c r="O94" s="584"/>
      <c r="P94" s="584"/>
      <c r="Q94" s="584"/>
      <c r="R94" s="584"/>
      <c r="S94" s="584"/>
      <c r="T94" s="584"/>
      <c r="U94" s="584"/>
      <c r="V94" s="584"/>
      <c r="W94" s="584"/>
      <c r="X94" s="584"/>
      <c r="Y94" s="584"/>
      <c r="Z94" s="584"/>
      <c r="AA94" s="584"/>
      <c r="AB94" s="584"/>
      <c r="AC94" s="584"/>
      <c r="AD94" s="690">
        <f>SUM(F94:AC94)</f>
        <v>0</v>
      </c>
      <c r="AE94" s="588">
        <f t="shared" si="15"/>
        <v>0</v>
      </c>
      <c r="AF94" s="538" t="str">
        <f t="shared" si="16"/>
        <v>sell</v>
      </c>
    </row>
    <row r="95" spans="1:32" s="360" customFormat="1" x14ac:dyDescent="0.25">
      <c r="A95" s="645" t="s">
        <v>376</v>
      </c>
      <c r="B95" s="582" t="s">
        <v>377</v>
      </c>
      <c r="C95" s="582" t="s">
        <v>152</v>
      </c>
      <c r="D95" s="583">
        <v>130</v>
      </c>
      <c r="E95" s="722"/>
      <c r="F95" s="723">
        <v>-25</v>
      </c>
      <c r="G95" s="584"/>
      <c r="H95" s="584"/>
      <c r="I95" s="584"/>
      <c r="J95" s="584"/>
      <c r="K95" s="584"/>
      <c r="L95" s="584"/>
      <c r="M95" s="584"/>
      <c r="N95" s="584"/>
      <c r="O95" s="584"/>
      <c r="P95" s="584"/>
      <c r="Q95" s="584"/>
      <c r="R95" s="584"/>
      <c r="S95" s="584"/>
      <c r="T95" s="584"/>
      <c r="U95" s="584"/>
      <c r="V95" s="584"/>
      <c r="W95" s="584"/>
      <c r="X95" s="584"/>
      <c r="Y95" s="584"/>
      <c r="Z95" s="584"/>
      <c r="AA95" s="584"/>
      <c r="AB95" s="584"/>
      <c r="AC95" s="584"/>
      <c r="AD95" s="690">
        <f t="shared" ref="AD95:AD105" si="17">SUM(E95:AC95)</f>
        <v>-25</v>
      </c>
      <c r="AE95" s="588">
        <f t="shared" si="15"/>
        <v>-3250</v>
      </c>
      <c r="AF95" s="538" t="str">
        <f t="shared" si="16"/>
        <v>buy</v>
      </c>
    </row>
    <row r="96" spans="1:32" s="360" customFormat="1" x14ac:dyDescent="0.25">
      <c r="A96" s="645" t="s">
        <v>376</v>
      </c>
      <c r="B96" s="582" t="s">
        <v>366</v>
      </c>
      <c r="C96" s="582" t="s">
        <v>152</v>
      </c>
      <c r="D96" s="583">
        <v>0</v>
      </c>
      <c r="E96" s="722"/>
      <c r="F96" s="723"/>
      <c r="G96" s="584">
        <v>-25</v>
      </c>
      <c r="H96" s="584"/>
      <c r="I96" s="584"/>
      <c r="J96" s="584"/>
      <c r="K96" s="584"/>
      <c r="L96" s="584"/>
      <c r="M96" s="584"/>
      <c r="N96" s="584"/>
      <c r="O96" s="584"/>
      <c r="P96" s="584"/>
      <c r="Q96" s="584"/>
      <c r="R96" s="584"/>
      <c r="S96" s="584"/>
      <c r="T96" s="584"/>
      <c r="U96" s="584"/>
      <c r="V96" s="584"/>
      <c r="W96" s="584"/>
      <c r="X96" s="584"/>
      <c r="Y96" s="584"/>
      <c r="Z96" s="584"/>
      <c r="AA96" s="584"/>
      <c r="AB96" s="584"/>
      <c r="AC96" s="584"/>
      <c r="AD96" s="690">
        <f t="shared" si="17"/>
        <v>-25</v>
      </c>
      <c r="AE96" s="588">
        <f t="shared" si="15"/>
        <v>0</v>
      </c>
      <c r="AF96" s="538" t="str">
        <f t="shared" si="16"/>
        <v>buy</v>
      </c>
    </row>
    <row r="97" spans="1:33" s="360" customFormat="1" x14ac:dyDescent="0.25">
      <c r="A97" s="645" t="s">
        <v>376</v>
      </c>
      <c r="B97" s="582" t="s">
        <v>366</v>
      </c>
      <c r="C97" s="582" t="s">
        <v>152</v>
      </c>
      <c r="D97" s="583">
        <v>0</v>
      </c>
      <c r="E97" s="722"/>
      <c r="F97" s="723"/>
      <c r="G97" s="584"/>
      <c r="H97" s="725">
        <v>-25</v>
      </c>
      <c r="I97" s="584"/>
      <c r="J97" s="584"/>
      <c r="K97" s="584"/>
      <c r="L97" s="584"/>
      <c r="M97" s="584"/>
      <c r="N97" s="584"/>
      <c r="O97" s="584"/>
      <c r="P97" s="584"/>
      <c r="Q97" s="584"/>
      <c r="R97" s="584"/>
      <c r="S97" s="584"/>
      <c r="T97" s="584"/>
      <c r="U97" s="584"/>
      <c r="V97" s="584"/>
      <c r="W97" s="584"/>
      <c r="X97" s="584"/>
      <c r="Y97" s="584"/>
      <c r="Z97" s="584"/>
      <c r="AA97" s="584"/>
      <c r="AB97" s="584"/>
      <c r="AC97" s="584"/>
      <c r="AD97" s="690">
        <f t="shared" si="17"/>
        <v>-25</v>
      </c>
      <c r="AE97" s="588">
        <f t="shared" si="15"/>
        <v>0</v>
      </c>
      <c r="AF97" s="538" t="str">
        <f t="shared" si="16"/>
        <v>buy</v>
      </c>
    </row>
    <row r="98" spans="1:33" s="360" customFormat="1" x14ac:dyDescent="0.25">
      <c r="A98" s="645" t="s">
        <v>376</v>
      </c>
      <c r="B98" s="582" t="s">
        <v>366</v>
      </c>
      <c r="C98" s="582" t="s">
        <v>152</v>
      </c>
      <c r="D98" s="583">
        <v>50</v>
      </c>
      <c r="E98" s="722"/>
      <c r="F98" s="723"/>
      <c r="G98" s="584"/>
      <c r="H98" s="584"/>
      <c r="I98" s="725">
        <v>-25</v>
      </c>
      <c r="J98" s="725">
        <v>-25</v>
      </c>
      <c r="K98" s="725">
        <v>-25</v>
      </c>
      <c r="L98" s="584"/>
      <c r="M98" s="584"/>
      <c r="N98" s="584"/>
      <c r="O98" s="584"/>
      <c r="P98" s="584"/>
      <c r="Q98" s="584"/>
      <c r="R98" s="584"/>
      <c r="S98" s="584"/>
      <c r="T98" s="584"/>
      <c r="U98" s="584"/>
      <c r="V98" s="584"/>
      <c r="W98" s="584"/>
      <c r="X98" s="584"/>
      <c r="Y98" s="584"/>
      <c r="Z98" s="584"/>
      <c r="AA98" s="584"/>
      <c r="AB98" s="584"/>
      <c r="AC98" s="584"/>
      <c r="AD98" s="690">
        <f t="shared" si="17"/>
        <v>-75</v>
      </c>
      <c r="AE98" s="588">
        <f t="shared" si="15"/>
        <v>-3750</v>
      </c>
      <c r="AF98" s="538" t="str">
        <f t="shared" si="16"/>
        <v>buy</v>
      </c>
    </row>
    <row r="99" spans="1:33" s="360" customFormat="1" x14ac:dyDescent="0.25">
      <c r="A99" s="645" t="s">
        <v>376</v>
      </c>
      <c r="B99" s="582" t="s">
        <v>377</v>
      </c>
      <c r="C99" s="582" t="s">
        <v>152</v>
      </c>
      <c r="D99" s="583">
        <v>125</v>
      </c>
      <c r="E99" s="722"/>
      <c r="F99" s="723"/>
      <c r="G99" s="584"/>
      <c r="H99" s="584"/>
      <c r="I99" s="725"/>
      <c r="J99" s="725"/>
      <c r="K99" s="725"/>
      <c r="L99" s="584"/>
      <c r="M99" s="584"/>
      <c r="N99" s="584"/>
      <c r="O99" s="584"/>
      <c r="P99" s="584"/>
      <c r="Q99" s="584"/>
      <c r="R99" s="584"/>
      <c r="S99" s="584"/>
      <c r="T99" s="584"/>
      <c r="U99" s="584"/>
      <c r="V99" s="584"/>
      <c r="W99" s="584"/>
      <c r="X99" s="584"/>
      <c r="Y99" s="584"/>
      <c r="Z99" s="584"/>
      <c r="AA99" s="584"/>
      <c r="AB99" s="584">
        <v>-25</v>
      </c>
      <c r="AC99" s="584"/>
      <c r="AD99" s="690">
        <f>SUM(E99:AC99)</f>
        <v>-25</v>
      </c>
      <c r="AE99" s="588">
        <f>AD99*D99</f>
        <v>-3125</v>
      </c>
      <c r="AF99" s="538" t="str">
        <f>IF(AD99&lt;0,"buy","sell")</f>
        <v>buy</v>
      </c>
    </row>
    <row r="100" spans="1:33" s="360" customFormat="1" x14ac:dyDescent="0.25">
      <c r="A100" s="645" t="s">
        <v>378</v>
      </c>
      <c r="B100" s="582" t="s">
        <v>377</v>
      </c>
      <c r="C100" s="582" t="s">
        <v>152</v>
      </c>
      <c r="D100" s="583">
        <v>130</v>
      </c>
      <c r="E100" s="722"/>
      <c r="F100" s="723">
        <v>-13</v>
      </c>
      <c r="G100" s="584"/>
      <c r="H100" s="584"/>
      <c r="I100" s="584"/>
      <c r="J100" s="584"/>
      <c r="K100" s="584"/>
      <c r="L100" s="584"/>
      <c r="M100" s="584"/>
      <c r="N100" s="584"/>
      <c r="O100" s="584"/>
      <c r="P100" s="584"/>
      <c r="Q100" s="584"/>
      <c r="R100" s="584"/>
      <c r="S100" s="584"/>
      <c r="T100" s="584"/>
      <c r="U100" s="584"/>
      <c r="V100" s="584"/>
      <c r="W100" s="584"/>
      <c r="X100" s="584"/>
      <c r="Y100" s="584"/>
      <c r="Z100" s="584"/>
      <c r="AA100" s="584"/>
      <c r="AB100" s="584"/>
      <c r="AC100" s="584"/>
      <c r="AD100" s="690">
        <f t="shared" si="17"/>
        <v>-13</v>
      </c>
      <c r="AE100" s="588">
        <f t="shared" si="15"/>
        <v>-1690</v>
      </c>
      <c r="AF100" s="538" t="str">
        <f t="shared" si="16"/>
        <v>buy</v>
      </c>
    </row>
    <row r="101" spans="1:33" s="360" customFormat="1" x14ac:dyDescent="0.25">
      <c r="A101" s="645" t="s">
        <v>63</v>
      </c>
      <c r="B101" s="582" t="s">
        <v>377</v>
      </c>
      <c r="C101" s="582" t="s">
        <v>152</v>
      </c>
      <c r="D101" s="583">
        <v>250</v>
      </c>
      <c r="E101" s="722"/>
      <c r="F101" s="723"/>
      <c r="G101" s="584"/>
      <c r="H101" s="584"/>
      <c r="I101" s="584"/>
      <c r="J101" s="584"/>
      <c r="K101" s="584"/>
      <c r="L101" s="584"/>
      <c r="M101" s="584"/>
      <c r="N101" s="584"/>
      <c r="O101" s="584"/>
      <c r="P101" s="584"/>
      <c r="Q101" s="584"/>
      <c r="R101" s="584"/>
      <c r="S101" s="584"/>
      <c r="T101" s="584">
        <v>-25</v>
      </c>
      <c r="U101" s="584"/>
      <c r="V101" s="584"/>
      <c r="W101" s="584"/>
      <c r="X101" s="584"/>
      <c r="Y101" s="584"/>
      <c r="Z101" s="584"/>
      <c r="AA101" s="584"/>
      <c r="AB101" s="584"/>
      <c r="AC101" s="584"/>
      <c r="AD101" s="690">
        <f>SUM(E101:AC101)</f>
        <v>-25</v>
      </c>
      <c r="AE101" s="588">
        <f>AD101*D101</f>
        <v>-6250</v>
      </c>
      <c r="AF101" s="538" t="str">
        <f>IF(AD101&lt;0,"buy","sell")</f>
        <v>buy</v>
      </c>
    </row>
    <row r="102" spans="1:33" s="360" customFormat="1" x14ac:dyDescent="0.25">
      <c r="A102" s="645" t="s">
        <v>225</v>
      </c>
      <c r="B102" s="582" t="s">
        <v>377</v>
      </c>
      <c r="C102" s="582" t="s">
        <v>152</v>
      </c>
      <c r="D102" s="583">
        <v>225</v>
      </c>
      <c r="E102" s="722"/>
      <c r="F102" s="723"/>
      <c r="G102" s="584"/>
      <c r="H102" s="584"/>
      <c r="I102" s="584"/>
      <c r="J102" s="584"/>
      <c r="K102" s="584"/>
      <c r="L102" s="584"/>
      <c r="M102" s="584"/>
      <c r="N102" s="584"/>
      <c r="O102" s="584"/>
      <c r="P102" s="584"/>
      <c r="Q102" s="584"/>
      <c r="R102" s="584"/>
      <c r="S102" s="584"/>
      <c r="T102" s="584"/>
      <c r="U102" s="584">
        <v>-25</v>
      </c>
      <c r="V102" s="584"/>
      <c r="W102" s="584"/>
      <c r="X102" s="584"/>
      <c r="Y102" s="584"/>
      <c r="Z102" s="584"/>
      <c r="AA102" s="584"/>
      <c r="AB102" s="584"/>
      <c r="AC102" s="584"/>
      <c r="AD102" s="690">
        <f>SUM(E102:AC102)</f>
        <v>-25</v>
      </c>
      <c r="AE102" s="588">
        <f>AD102*D102</f>
        <v>-5625</v>
      </c>
      <c r="AF102" s="538" t="str">
        <f>IF(AD102&lt;0,"buy","sell")</f>
        <v>buy</v>
      </c>
    </row>
    <row r="103" spans="1:33" s="360" customFormat="1" x14ac:dyDescent="0.25">
      <c r="A103" s="645" t="s">
        <v>66</v>
      </c>
      <c r="B103" s="582" t="s">
        <v>377</v>
      </c>
      <c r="C103" s="582" t="s">
        <v>152</v>
      </c>
      <c r="D103" s="583">
        <v>140</v>
      </c>
      <c r="E103" s="722"/>
      <c r="F103" s="723"/>
      <c r="G103" s="584"/>
      <c r="H103" s="584"/>
      <c r="I103" s="584"/>
      <c r="J103" s="584"/>
      <c r="K103" s="584"/>
      <c r="L103" s="584"/>
      <c r="M103" s="584"/>
      <c r="N103" s="584"/>
      <c r="O103" s="584"/>
      <c r="P103" s="584"/>
      <c r="Q103" s="584"/>
      <c r="R103" s="584"/>
      <c r="S103" s="584"/>
      <c r="T103" s="584"/>
      <c r="U103" s="584"/>
      <c r="V103" s="584"/>
      <c r="W103" s="584"/>
      <c r="X103" s="584"/>
      <c r="Y103" s="584">
        <v>-75</v>
      </c>
      <c r="Z103" s="584">
        <v>-75</v>
      </c>
      <c r="AA103" s="584">
        <v>-75</v>
      </c>
      <c r="AB103" s="584"/>
      <c r="AC103" s="584"/>
      <c r="AD103" s="690">
        <f>SUM(E103:AC103)</f>
        <v>-225</v>
      </c>
      <c r="AE103" s="588">
        <f>AD103*D103</f>
        <v>-31500</v>
      </c>
      <c r="AF103" s="538" t="str">
        <f>IF(AD103&lt;0,"buy","sell")</f>
        <v>buy</v>
      </c>
    </row>
    <row r="104" spans="1:33" s="360" customFormat="1" x14ac:dyDescent="0.25">
      <c r="A104" s="645" t="s">
        <v>66</v>
      </c>
      <c r="B104" s="582" t="s">
        <v>377</v>
      </c>
      <c r="C104" s="582" t="s">
        <v>152</v>
      </c>
      <c r="D104" s="583">
        <v>120</v>
      </c>
      <c r="E104" s="722"/>
      <c r="F104" s="723"/>
      <c r="G104" s="584"/>
      <c r="H104" s="584"/>
      <c r="I104" s="584"/>
      <c r="J104" s="584"/>
      <c r="K104" s="584"/>
      <c r="L104" s="584"/>
      <c r="M104" s="584"/>
      <c r="N104" s="584"/>
      <c r="O104" s="584"/>
      <c r="P104" s="584"/>
      <c r="Q104" s="584"/>
      <c r="R104" s="584"/>
      <c r="S104" s="584"/>
      <c r="T104" s="584"/>
      <c r="U104" s="584"/>
      <c r="V104" s="584"/>
      <c r="W104" s="584"/>
      <c r="X104" s="584"/>
      <c r="Y104" s="584"/>
      <c r="Z104" s="584"/>
      <c r="AA104" s="584"/>
      <c r="AB104" s="584">
        <v>-25</v>
      </c>
      <c r="AC104" s="584"/>
      <c r="AD104" s="690">
        <f>SUM(E104:AC104)</f>
        <v>-25</v>
      </c>
      <c r="AE104" s="588">
        <f>AD104*D104</f>
        <v>-3000</v>
      </c>
      <c r="AF104" s="538" t="str">
        <f>IF(AD104&lt;0,"buy","sell")</f>
        <v>buy</v>
      </c>
    </row>
    <row r="105" spans="1:33" s="360" customFormat="1" x14ac:dyDescent="0.25">
      <c r="A105" s="645"/>
      <c r="B105" s="582"/>
      <c r="C105" s="582"/>
      <c r="D105" s="583"/>
      <c r="E105" s="722"/>
      <c r="F105" s="723"/>
      <c r="G105" s="584"/>
      <c r="H105" s="584"/>
      <c r="I105" s="584"/>
      <c r="J105" s="584"/>
      <c r="K105" s="584"/>
      <c r="L105" s="584"/>
      <c r="M105" s="584"/>
      <c r="N105" s="584"/>
      <c r="O105" s="584"/>
      <c r="P105" s="584"/>
      <c r="Q105" s="584"/>
      <c r="R105" s="584"/>
      <c r="S105" s="584"/>
      <c r="T105" s="584"/>
      <c r="U105" s="584"/>
      <c r="V105" s="584"/>
      <c r="W105" s="584"/>
      <c r="X105" s="584"/>
      <c r="Y105" s="584"/>
      <c r="Z105" s="584"/>
      <c r="AA105" s="584"/>
      <c r="AB105" s="584"/>
      <c r="AC105" s="584"/>
      <c r="AD105" s="690">
        <f t="shared" si="17"/>
        <v>0</v>
      </c>
      <c r="AE105" s="588">
        <f t="shared" si="15"/>
        <v>0</v>
      </c>
      <c r="AF105" s="538" t="str">
        <f t="shared" si="16"/>
        <v>sell</v>
      </c>
    </row>
    <row r="106" spans="1:33" s="360" customFormat="1" x14ac:dyDescent="0.25">
      <c r="A106" s="669"/>
      <c r="B106" s="670"/>
      <c r="C106" s="670"/>
      <c r="D106" s="556"/>
      <c r="E106" s="556"/>
      <c r="F106" s="557"/>
      <c r="G106" s="557"/>
      <c r="H106" s="557"/>
      <c r="I106" s="557"/>
      <c r="J106" s="557"/>
      <c r="K106" s="557"/>
      <c r="L106" s="557"/>
      <c r="M106" s="557"/>
      <c r="N106" s="557"/>
      <c r="O106" s="557"/>
      <c r="P106" s="557"/>
      <c r="Q106" s="557"/>
      <c r="R106" s="557"/>
      <c r="S106" s="557"/>
      <c r="T106" s="557"/>
      <c r="U106" s="557"/>
      <c r="V106" s="557"/>
      <c r="W106" s="557"/>
      <c r="X106" s="557"/>
      <c r="Y106" s="557"/>
      <c r="Z106" s="557"/>
      <c r="AA106" s="557"/>
      <c r="AB106" s="557"/>
      <c r="AC106" s="559"/>
      <c r="AD106" s="690"/>
      <c r="AE106" s="588"/>
      <c r="AF106" s="538"/>
    </row>
    <row r="107" spans="1:33" s="360" customFormat="1" x14ac:dyDescent="0.25">
      <c r="A107" s="669" t="s">
        <v>68</v>
      </c>
      <c r="B107" s="670" t="s">
        <v>366</v>
      </c>
      <c r="C107" s="564" t="s">
        <v>152</v>
      </c>
      <c r="D107" s="556">
        <v>10</v>
      </c>
      <c r="E107" s="556"/>
      <c r="F107" s="558"/>
      <c r="G107" s="558"/>
      <c r="H107" s="557"/>
      <c r="I107" s="557"/>
      <c r="J107" s="557"/>
      <c r="K107" s="557"/>
      <c r="L107" s="557"/>
      <c r="M107" s="557"/>
      <c r="N107" s="557"/>
      <c r="O107" s="557">
        <v>-20</v>
      </c>
      <c r="P107" s="557">
        <v>-20</v>
      </c>
      <c r="Q107" s="557">
        <v>-20</v>
      </c>
      <c r="R107" s="557">
        <v>-20</v>
      </c>
      <c r="S107" s="557">
        <v>-20</v>
      </c>
      <c r="T107" s="557">
        <v>-20</v>
      </c>
      <c r="U107" s="558">
        <v>-20</v>
      </c>
      <c r="V107" s="557">
        <v>-20</v>
      </c>
      <c r="W107" s="557"/>
      <c r="X107" s="557">
        <v>-25</v>
      </c>
      <c r="Y107" s="557">
        <v>-25</v>
      </c>
      <c r="Z107" s="557">
        <v>-25</v>
      </c>
      <c r="AA107" s="557"/>
      <c r="AB107" s="557"/>
      <c r="AC107" s="559"/>
      <c r="AD107" s="690">
        <f>SUM(E107:AC107)</f>
        <v>-235</v>
      </c>
      <c r="AE107" s="588">
        <f>AD107*D107</f>
        <v>-2350</v>
      </c>
      <c r="AF107" s="538" t="str">
        <f>IF(AD107&lt;0,"buy","sell")</f>
        <v>buy</v>
      </c>
    </row>
    <row r="108" spans="1:33" s="360" customFormat="1" x14ac:dyDescent="0.25">
      <c r="A108" s="669"/>
      <c r="B108" s="670"/>
      <c r="C108" s="670"/>
      <c r="D108" s="556"/>
      <c r="E108" s="556"/>
      <c r="F108" s="558"/>
      <c r="G108" s="558"/>
      <c r="H108" s="557"/>
      <c r="I108" s="557"/>
      <c r="J108" s="557"/>
      <c r="K108" s="557"/>
      <c r="L108" s="557"/>
      <c r="M108" s="557"/>
      <c r="N108" s="557"/>
      <c r="O108" s="557"/>
      <c r="P108" s="557"/>
      <c r="Q108" s="557"/>
      <c r="R108" s="557"/>
      <c r="S108" s="557"/>
      <c r="T108" s="557"/>
      <c r="U108" s="558"/>
      <c r="V108" s="557"/>
      <c r="W108" s="557"/>
      <c r="X108" s="557"/>
      <c r="Y108" s="557"/>
      <c r="Z108" s="557"/>
      <c r="AA108" s="557"/>
      <c r="AB108" s="557"/>
      <c r="AC108" s="559"/>
      <c r="AD108" s="690"/>
      <c r="AE108" s="588"/>
      <c r="AF108" s="538"/>
    </row>
    <row r="109" spans="1:33" s="360" customFormat="1" x14ac:dyDescent="0.25">
      <c r="A109" s="555"/>
      <c r="B109" s="564"/>
      <c r="C109" s="564"/>
      <c r="D109" s="556"/>
      <c r="E109" s="646"/>
      <c r="F109" s="558"/>
      <c r="G109" s="558"/>
      <c r="H109" s="557"/>
      <c r="I109" s="557"/>
      <c r="J109" s="557"/>
      <c r="K109" s="557"/>
      <c r="L109" s="557"/>
      <c r="M109" s="557"/>
      <c r="N109" s="557"/>
      <c r="O109" s="557"/>
      <c r="P109" s="557"/>
      <c r="Q109" s="557"/>
      <c r="R109" s="557"/>
      <c r="S109" s="557"/>
      <c r="T109" s="557"/>
      <c r="U109" s="560"/>
      <c r="V109" s="557"/>
      <c r="W109" s="557"/>
      <c r="X109" s="557"/>
      <c r="Y109" s="557"/>
      <c r="Z109" s="557"/>
      <c r="AA109" s="557"/>
      <c r="AB109" s="557"/>
      <c r="AC109" s="559"/>
      <c r="AD109" s="690">
        <f>SUM(E109:AC109)</f>
        <v>0</v>
      </c>
      <c r="AE109" s="588">
        <f>AD109*D109</f>
        <v>0</v>
      </c>
      <c r="AF109" s="538" t="str">
        <f>IF(AD109&lt;0,"buy","sell")</f>
        <v>sell</v>
      </c>
    </row>
    <row r="110" spans="1:33" s="360" customFormat="1" x14ac:dyDescent="0.25">
      <c r="A110" s="562" t="s">
        <v>207</v>
      </c>
      <c r="B110" s="495"/>
      <c r="C110" s="495"/>
      <c r="D110" s="495"/>
      <c r="E110" s="495"/>
      <c r="F110" s="631"/>
      <c r="G110" s="495"/>
      <c r="H110" s="495"/>
      <c r="I110" s="495"/>
      <c r="J110" s="495"/>
      <c r="K110" s="495"/>
      <c r="L110" s="495"/>
      <c r="M110" s="495"/>
      <c r="N110" s="495"/>
      <c r="O110" s="495"/>
      <c r="P110" s="495"/>
      <c r="Q110" s="495"/>
      <c r="R110" s="495"/>
      <c r="S110" s="495"/>
      <c r="T110" s="495"/>
      <c r="U110" s="495"/>
      <c r="V110" s="495"/>
      <c r="W110" s="495"/>
      <c r="X110" s="495"/>
      <c r="Y110" s="495"/>
      <c r="Z110" s="495"/>
      <c r="AA110" s="495"/>
      <c r="AB110" s="495"/>
      <c r="AC110" s="495"/>
      <c r="AD110" s="495"/>
      <c r="AE110" s="495"/>
      <c r="AF110" s="495"/>
    </row>
    <row r="111" spans="1:33" x14ac:dyDescent="0.25">
      <c r="A111" s="360"/>
      <c r="B111" s="371"/>
      <c r="C111" s="371"/>
      <c r="D111" s="372"/>
      <c r="E111" s="372"/>
      <c r="F111" s="444"/>
      <c r="G111" s="373"/>
      <c r="H111" s="373"/>
      <c r="I111" s="373"/>
      <c r="J111" s="373"/>
      <c r="K111" s="373"/>
      <c r="L111" s="373"/>
      <c r="M111" s="373"/>
      <c r="N111" s="373"/>
      <c r="O111" s="373"/>
      <c r="P111" s="373"/>
      <c r="Q111" s="373"/>
      <c r="R111" s="373"/>
      <c r="S111" s="373"/>
      <c r="T111" s="373"/>
      <c r="U111" s="373"/>
      <c r="V111" s="373"/>
      <c r="W111" s="373"/>
      <c r="X111" s="373"/>
      <c r="Y111" s="373"/>
      <c r="Z111" s="455"/>
      <c r="AA111" s="455"/>
      <c r="AB111" s="455"/>
      <c r="AC111" s="541"/>
      <c r="AD111" s="473"/>
      <c r="AE111" s="474"/>
      <c r="AF111" s="455"/>
      <c r="AG111" s="360"/>
    </row>
    <row r="112" spans="1:33" s="360" customFormat="1" ht="17.399999999999999" x14ac:dyDescent="0.3">
      <c r="A112" s="441" t="s">
        <v>242</v>
      </c>
      <c r="B112" s="442"/>
      <c r="C112" s="549"/>
      <c r="D112" s="443"/>
      <c r="E112" s="443"/>
      <c r="F112" s="445"/>
      <c r="G112" s="445"/>
      <c r="H112" s="377"/>
      <c r="I112" s="377"/>
      <c r="J112" s="377"/>
      <c r="K112" s="378"/>
      <c r="L112" s="377"/>
      <c r="M112" s="377"/>
      <c r="N112" s="377"/>
      <c r="O112" s="377"/>
      <c r="P112" s="377"/>
      <c r="Q112" s="377"/>
      <c r="R112" s="377"/>
      <c r="S112" s="377" t="s">
        <v>15</v>
      </c>
      <c r="T112" s="377"/>
      <c r="U112" s="377"/>
      <c r="V112" s="377"/>
      <c r="W112" s="377"/>
      <c r="X112" s="377"/>
      <c r="Y112" s="377"/>
      <c r="Z112" s="379"/>
      <c r="AA112" s="379"/>
      <c r="AB112" s="379"/>
      <c r="AC112" s="542"/>
      <c r="AD112" s="473"/>
      <c r="AE112" s="474"/>
      <c r="AF112" s="379"/>
    </row>
    <row r="113" spans="1:33" s="360" customFormat="1" ht="18" thickBot="1" x14ac:dyDescent="0.35">
      <c r="A113" s="446"/>
      <c r="B113" s="447"/>
      <c r="C113" s="447"/>
      <c r="D113" s="443"/>
      <c r="E113" s="443"/>
      <c r="F113" s="629" t="s">
        <v>272</v>
      </c>
      <c r="G113" s="445"/>
      <c r="H113" s="377"/>
      <c r="I113" s="377"/>
      <c r="J113" s="377"/>
      <c r="K113" s="380"/>
      <c r="L113" s="380"/>
      <c r="M113" s="377"/>
      <c r="N113" s="377"/>
      <c r="O113" s="377"/>
      <c r="P113" s="377"/>
      <c r="Q113" s="377"/>
      <c r="R113" s="377"/>
      <c r="S113" s="377"/>
      <c r="T113" s="377"/>
      <c r="U113" s="377"/>
      <c r="V113" s="377"/>
      <c r="W113" s="377"/>
      <c r="X113" s="377"/>
      <c r="Y113" s="377"/>
      <c r="Z113" s="379"/>
      <c r="AA113" s="379"/>
      <c r="AB113" s="379"/>
      <c r="AC113" s="542"/>
      <c r="AD113" s="473"/>
      <c r="AE113" s="474"/>
      <c r="AF113" s="379"/>
    </row>
    <row r="114" spans="1:33" s="360" customFormat="1" ht="18" thickBot="1" x14ac:dyDescent="0.35">
      <c r="A114" s="448" t="s">
        <v>7</v>
      </c>
      <c r="B114" s="449"/>
      <c r="C114" s="449" t="s">
        <v>266</v>
      </c>
      <c r="D114" s="450" t="s">
        <v>9</v>
      </c>
      <c r="E114" s="449"/>
      <c r="F114" s="630" t="s">
        <v>320</v>
      </c>
      <c r="G114" s="452"/>
      <c r="H114" s="377"/>
      <c r="I114" s="377"/>
      <c r="J114" s="377"/>
      <c r="K114" s="380"/>
      <c r="L114" s="378"/>
      <c r="M114" s="377"/>
      <c r="N114" s="377"/>
      <c r="O114" s="377"/>
      <c r="P114" s="377"/>
      <c r="Q114" s="377"/>
      <c r="R114" s="377"/>
      <c r="S114" s="377"/>
      <c r="T114" s="377"/>
      <c r="U114" s="377"/>
      <c r="V114" s="377"/>
      <c r="W114" s="377"/>
      <c r="X114" s="377"/>
      <c r="Y114" s="377"/>
      <c r="AA114" s="379"/>
      <c r="AB114" s="379"/>
      <c r="AC114" s="542"/>
      <c r="AD114" s="473"/>
      <c r="AE114" s="474"/>
      <c r="AF114" s="379"/>
    </row>
    <row r="115" spans="1:33" s="360" customFormat="1" ht="17.399999999999999" x14ac:dyDescent="0.3">
      <c r="A115" s="453" t="s">
        <v>244</v>
      </c>
      <c r="B115" s="454" t="s">
        <v>245</v>
      </c>
      <c r="C115" s="454"/>
      <c r="D115" s="586"/>
      <c r="E115" s="454"/>
      <c r="F115" s="596">
        <f>D116-0.25</f>
        <v>-0.25</v>
      </c>
      <c r="G115" s="445" t="s">
        <v>321</v>
      </c>
      <c r="H115" s="377"/>
      <c r="I115" s="377"/>
      <c r="J115" s="377"/>
      <c r="K115" s="380"/>
      <c r="L115" s="378"/>
      <c r="M115" s="377"/>
      <c r="N115" s="377"/>
      <c r="O115" s="377"/>
      <c r="P115" s="377"/>
      <c r="Q115" s="377"/>
      <c r="R115" s="377"/>
      <c r="S115" s="377"/>
      <c r="T115" s="377"/>
      <c r="U115" s="377"/>
      <c r="V115" s="377"/>
      <c r="W115" s="377"/>
      <c r="X115" s="377"/>
      <c r="Y115" s="377"/>
      <c r="Z115" s="379" t="s">
        <v>208</v>
      </c>
      <c r="AA115" s="379"/>
      <c r="AB115" s="379"/>
      <c r="AC115" s="543"/>
      <c r="AD115" s="469"/>
      <c r="AE115" s="470"/>
      <c r="AF115" s="379"/>
    </row>
    <row r="116" spans="1:33" s="360" customFormat="1" x14ac:dyDescent="0.25">
      <c r="A116" s="447">
        <v>24</v>
      </c>
      <c r="B116" s="447">
        <v>1</v>
      </c>
      <c r="C116" s="455">
        <v>1</v>
      </c>
      <c r="D116" s="589"/>
      <c r="E116" s="540"/>
      <c r="F116" s="596">
        <f t="shared" ref="F116:F139" si="18">D117-0.25</f>
        <v>-0.25</v>
      </c>
      <c r="G116" s="563">
        <f>D116+0.56</f>
        <v>0.56000000000000005</v>
      </c>
      <c r="H116" s="377"/>
      <c r="I116" s="377"/>
      <c r="J116" s="377"/>
      <c r="K116" s="380"/>
      <c r="L116" s="377"/>
      <c r="M116" s="377"/>
      <c r="N116" s="377"/>
      <c r="O116" s="377"/>
      <c r="P116" s="377"/>
      <c r="Q116" s="377"/>
      <c r="R116" s="377"/>
      <c r="S116" s="377"/>
      <c r="T116" s="377"/>
      <c r="U116" s="377"/>
      <c r="V116" s="377"/>
      <c r="W116" s="377"/>
      <c r="X116" s="377"/>
      <c r="Y116" s="377"/>
      <c r="Z116" s="379"/>
      <c r="AA116" s="544"/>
      <c r="AB116" s="544"/>
      <c r="AC116" s="543"/>
      <c r="AD116" s="410"/>
      <c r="AE116" s="410"/>
      <c r="AF116" s="544"/>
    </row>
    <row r="117" spans="1:33" s="360" customFormat="1" x14ac:dyDescent="0.25">
      <c r="A117" s="445">
        <v>1</v>
      </c>
      <c r="B117" s="445">
        <v>2</v>
      </c>
      <c r="C117" s="455">
        <v>1</v>
      </c>
      <c r="D117" s="589"/>
      <c r="E117" s="499"/>
      <c r="F117" s="596">
        <f t="shared" si="18"/>
        <v>-0.25</v>
      </c>
      <c r="G117" s="563">
        <f t="shared" ref="G117:G140" si="19">D117+0.56</f>
        <v>0.56000000000000005</v>
      </c>
      <c r="H117" s="377"/>
      <c r="I117" s="377"/>
      <c r="J117" s="377"/>
      <c r="K117" s="380"/>
      <c r="L117" s="377"/>
      <c r="M117" s="377"/>
      <c r="N117" s="377"/>
      <c r="O117" s="377"/>
      <c r="P117" s="377"/>
      <c r="Q117" s="377"/>
      <c r="R117" s="377"/>
      <c r="S117" s="377"/>
      <c r="T117" s="377"/>
      <c r="U117" s="377"/>
      <c r="V117" s="377"/>
      <c r="W117" s="377"/>
      <c r="X117" s="377"/>
      <c r="Y117" s="377"/>
      <c r="Z117" s="544" t="s">
        <v>267</v>
      </c>
      <c r="AA117" s="544"/>
      <c r="AB117" s="544"/>
      <c r="AC117" s="543"/>
      <c r="AD117" s="490">
        <f>SUM(AD18:AD92)</f>
        <v>853</v>
      </c>
      <c r="AE117" s="490">
        <f>SUM(AE18:AE92)</f>
        <v>88000</v>
      </c>
      <c r="AF117" s="544"/>
    </row>
    <row r="118" spans="1:33" s="360" customFormat="1" x14ac:dyDescent="0.25">
      <c r="A118" s="447">
        <v>2</v>
      </c>
      <c r="B118" s="447">
        <v>3</v>
      </c>
      <c r="C118" s="455">
        <v>1</v>
      </c>
      <c r="D118" s="589"/>
      <c r="E118" s="499"/>
      <c r="F118" s="596">
        <f t="shared" si="18"/>
        <v>-0.25</v>
      </c>
      <c r="G118" s="563">
        <f t="shared" si="19"/>
        <v>0.56000000000000005</v>
      </c>
      <c r="H118" s="377"/>
      <c r="I118" s="377"/>
      <c r="J118" s="377"/>
      <c r="K118" s="380"/>
      <c r="L118" s="377"/>
      <c r="M118" s="377"/>
      <c r="N118" s="377"/>
      <c r="O118" s="377"/>
      <c r="P118" s="377"/>
      <c r="Q118" s="377"/>
      <c r="R118" s="377"/>
      <c r="S118" s="377"/>
      <c r="T118" s="377"/>
      <c r="U118" s="377"/>
      <c r="V118" s="377"/>
      <c r="W118" s="377"/>
      <c r="X118" s="377"/>
      <c r="Y118" s="377"/>
      <c r="Z118" s="544" t="s">
        <v>268</v>
      </c>
      <c r="AA118" s="544"/>
      <c r="AB118" s="544"/>
      <c r="AC118" s="545"/>
      <c r="AD118" s="477">
        <f>SUM(AD92:AD106)</f>
        <v>-488</v>
      </c>
      <c r="AE118" s="477">
        <f>SUM(AE92:AE106)</f>
        <v>-58190</v>
      </c>
      <c r="AF118" s="544"/>
    </row>
    <row r="119" spans="1:33" s="360" customFormat="1" x14ac:dyDescent="0.25">
      <c r="A119" s="445">
        <v>3</v>
      </c>
      <c r="B119" s="445">
        <v>4</v>
      </c>
      <c r="C119" s="455">
        <v>1</v>
      </c>
      <c r="D119" s="589"/>
      <c r="E119" s="499"/>
      <c r="F119" s="596">
        <f t="shared" si="18"/>
        <v>-0.25</v>
      </c>
      <c r="G119" s="563">
        <f t="shared" si="19"/>
        <v>0.56000000000000005</v>
      </c>
      <c r="H119" s="384"/>
      <c r="I119" s="384"/>
      <c r="J119" s="384"/>
      <c r="K119" s="385"/>
      <c r="L119" s="384"/>
      <c r="M119" s="377"/>
      <c r="N119" s="377"/>
      <c r="O119" s="384"/>
      <c r="P119" s="384"/>
      <c r="Q119" s="384"/>
      <c r="R119" s="384"/>
      <c r="S119" s="384"/>
      <c r="T119" s="384"/>
      <c r="U119" s="384"/>
      <c r="V119" s="384"/>
      <c r="W119" s="384"/>
      <c r="X119" s="384"/>
      <c r="Y119" s="384"/>
      <c r="Z119" s="391"/>
      <c r="AA119" s="391"/>
      <c r="AB119" s="391"/>
      <c r="AC119" s="483"/>
      <c r="AF119" s="391"/>
    </row>
    <row r="120" spans="1:33" s="410" customFormat="1" x14ac:dyDescent="0.25">
      <c r="A120" s="447">
        <v>4</v>
      </c>
      <c r="B120" s="447">
        <v>5</v>
      </c>
      <c r="C120" s="455">
        <v>1</v>
      </c>
      <c r="D120" s="589"/>
      <c r="E120" s="499"/>
      <c r="F120" s="596">
        <f t="shared" si="18"/>
        <v>-0.25</v>
      </c>
      <c r="G120" s="563">
        <f t="shared" si="19"/>
        <v>0.56000000000000005</v>
      </c>
      <c r="H120" s="384"/>
      <c r="I120" s="360"/>
      <c r="J120" s="360"/>
      <c r="K120" s="360"/>
      <c r="L120" s="360"/>
      <c r="M120" s="360"/>
      <c r="N120" s="360"/>
      <c r="O120" s="377"/>
      <c r="P120" s="377"/>
      <c r="Q120" s="388"/>
      <c r="R120" s="388"/>
      <c r="S120" s="388"/>
      <c r="T120" s="388"/>
      <c r="U120" s="388"/>
      <c r="V120" s="388"/>
      <c r="W120" s="388"/>
      <c r="X120" s="388"/>
      <c r="Y120" s="388"/>
      <c r="Z120" s="675" t="s">
        <v>281</v>
      </c>
      <c r="AA120" s="675"/>
      <c r="AB120" s="675"/>
      <c r="AC120" s="676"/>
      <c r="AD120" s="677"/>
      <c r="AE120" s="678"/>
      <c r="AG120" s="360"/>
    </row>
    <row r="121" spans="1:33" s="410" customFormat="1" x14ac:dyDescent="0.25">
      <c r="A121" s="445">
        <v>5</v>
      </c>
      <c r="B121" s="445">
        <v>6</v>
      </c>
      <c r="C121" s="455">
        <v>1</v>
      </c>
      <c r="D121" s="589"/>
      <c r="E121" s="499"/>
      <c r="F121" s="596">
        <f t="shared" si="18"/>
        <v>-0.25</v>
      </c>
      <c r="G121" s="563">
        <f t="shared" si="19"/>
        <v>0.56000000000000005</v>
      </c>
      <c r="H121" s="377"/>
      <c r="I121" s="360"/>
      <c r="J121" s="360"/>
      <c r="K121" s="360"/>
      <c r="L121" s="360"/>
      <c r="M121" s="360"/>
      <c r="N121" s="360"/>
      <c r="O121" s="377"/>
      <c r="P121" s="377"/>
      <c r="Q121" s="377"/>
      <c r="R121" s="377"/>
      <c r="S121" s="377"/>
      <c r="T121" s="377"/>
      <c r="U121" s="377"/>
      <c r="V121" s="377"/>
      <c r="W121" s="377"/>
      <c r="X121" s="377"/>
      <c r="Y121" s="377"/>
      <c r="Z121" s="675"/>
      <c r="AA121" s="675"/>
      <c r="AB121" s="675"/>
      <c r="AC121" s="676"/>
      <c r="AD121" s="677"/>
      <c r="AE121" s="678"/>
      <c r="AG121" s="377"/>
    </row>
    <row r="122" spans="1:33" s="410" customFormat="1" x14ac:dyDescent="0.25">
      <c r="A122" s="447">
        <v>6</v>
      </c>
      <c r="B122" s="447">
        <v>7</v>
      </c>
      <c r="C122" s="455">
        <v>1</v>
      </c>
      <c r="D122" s="589"/>
      <c r="E122" s="499"/>
      <c r="F122" s="596">
        <f t="shared" si="18"/>
        <v>-0.25</v>
      </c>
      <c r="G122" s="563">
        <f t="shared" si="19"/>
        <v>0.56000000000000005</v>
      </c>
      <c r="H122" s="389"/>
      <c r="I122" s="360"/>
      <c r="J122" s="360"/>
      <c r="K122" s="360"/>
      <c r="L122" s="360"/>
      <c r="M122" s="360"/>
      <c r="N122" s="360"/>
      <c r="O122" s="377"/>
      <c r="P122" s="377"/>
      <c r="Q122" s="389"/>
      <c r="R122" s="389"/>
      <c r="S122" s="389"/>
      <c r="T122" s="389"/>
      <c r="U122" s="389"/>
      <c r="V122" s="389"/>
      <c r="W122" s="389"/>
      <c r="X122" s="389"/>
      <c r="Y122" s="389"/>
      <c r="Z122" s="675" t="s">
        <v>268</v>
      </c>
      <c r="AA122" s="675"/>
      <c r="AB122" s="675"/>
      <c r="AC122" s="676"/>
      <c r="AD122" s="679">
        <f>SUM(AD106:AD109)</f>
        <v>-235</v>
      </c>
      <c r="AE122" s="679">
        <f>SUM(AE106:AE109)</f>
        <v>-2350</v>
      </c>
      <c r="AG122" s="360"/>
    </row>
    <row r="123" spans="1:33" s="410" customFormat="1" x14ac:dyDescent="0.25">
      <c r="A123" s="445">
        <v>7</v>
      </c>
      <c r="B123" s="445">
        <v>8</v>
      </c>
      <c r="C123" s="455">
        <v>1</v>
      </c>
      <c r="D123" s="589"/>
      <c r="E123" s="499"/>
      <c r="F123" s="596">
        <f t="shared" si="18"/>
        <v>-0.25</v>
      </c>
      <c r="G123" s="563">
        <f t="shared" si="19"/>
        <v>0.56000000000000005</v>
      </c>
      <c r="H123" s="389"/>
      <c r="I123" s="360"/>
      <c r="J123" s="360"/>
      <c r="K123" s="360"/>
      <c r="L123" s="360"/>
      <c r="M123" s="360"/>
      <c r="N123" s="360"/>
      <c r="O123" s="377"/>
      <c r="P123" s="377"/>
      <c r="Q123" s="389"/>
      <c r="R123" s="389"/>
      <c r="S123" s="389"/>
      <c r="T123" s="389"/>
      <c r="U123" s="389"/>
      <c r="V123" s="389"/>
      <c r="W123" s="389"/>
      <c r="X123" s="389"/>
      <c r="Y123" s="389"/>
      <c r="AC123" s="484"/>
      <c r="AG123" s="360"/>
    </row>
    <row r="124" spans="1:33" s="410" customFormat="1" x14ac:dyDescent="0.25">
      <c r="A124" s="447">
        <v>8</v>
      </c>
      <c r="B124" s="447">
        <v>9</v>
      </c>
      <c r="C124" s="455">
        <v>1</v>
      </c>
      <c r="D124" s="589"/>
      <c r="E124" s="499"/>
      <c r="F124" s="596">
        <f t="shared" si="18"/>
        <v>-0.25</v>
      </c>
      <c r="G124" s="563">
        <f t="shared" si="19"/>
        <v>0.56000000000000005</v>
      </c>
      <c r="H124" s="377"/>
      <c r="I124" s="360"/>
      <c r="J124" s="360"/>
      <c r="K124" s="360"/>
      <c r="L124" s="360"/>
      <c r="M124" s="360"/>
      <c r="N124" s="360"/>
      <c r="O124" s="377"/>
      <c r="P124" s="377"/>
      <c r="Q124" s="377"/>
      <c r="R124" s="377"/>
      <c r="S124" s="377"/>
      <c r="T124" s="377"/>
      <c r="U124" s="377"/>
      <c r="V124" s="377"/>
      <c r="W124" s="377"/>
      <c r="X124" s="377"/>
      <c r="Y124" s="377"/>
      <c r="AC124" s="484"/>
      <c r="AG124" s="360"/>
    </row>
    <row r="125" spans="1:33" s="410" customFormat="1" x14ac:dyDescent="0.25">
      <c r="A125" s="445">
        <v>9</v>
      </c>
      <c r="B125" s="445">
        <v>10</v>
      </c>
      <c r="C125" s="455">
        <v>1</v>
      </c>
      <c r="D125" s="589"/>
      <c r="E125" s="499"/>
      <c r="F125" s="596">
        <f t="shared" si="18"/>
        <v>-0.25</v>
      </c>
      <c r="G125" s="563">
        <f t="shared" si="19"/>
        <v>0.56000000000000005</v>
      </c>
      <c r="H125" s="377"/>
      <c r="I125" s="360"/>
      <c r="J125" s="360"/>
      <c r="K125" s="360"/>
      <c r="L125" s="360"/>
      <c r="M125" s="360"/>
      <c r="N125" s="360"/>
      <c r="O125" s="377"/>
      <c r="P125" s="377"/>
      <c r="Q125" s="377"/>
      <c r="R125" s="377"/>
      <c r="S125" s="377"/>
      <c r="T125" s="377"/>
      <c r="U125" s="377"/>
      <c r="V125" s="377"/>
      <c r="W125" s="377"/>
      <c r="X125" s="377"/>
      <c r="Y125" s="377"/>
      <c r="AC125" s="484"/>
      <c r="AG125" s="360"/>
    </row>
    <row r="126" spans="1:33" s="410" customFormat="1" x14ac:dyDescent="0.25">
      <c r="A126" s="447">
        <v>10</v>
      </c>
      <c r="B126" s="447">
        <v>11</v>
      </c>
      <c r="C126" s="455">
        <v>1</v>
      </c>
      <c r="D126" s="589"/>
      <c r="E126" s="499"/>
      <c r="F126" s="596">
        <f t="shared" si="18"/>
        <v>-0.25</v>
      </c>
      <c r="G126" s="563">
        <f t="shared" si="19"/>
        <v>0.56000000000000005</v>
      </c>
      <c r="H126" s="390"/>
      <c r="I126" s="412"/>
      <c r="J126" s="412"/>
      <c r="K126" s="412"/>
      <c r="L126" s="412"/>
      <c r="M126" s="412"/>
      <c r="N126" s="412"/>
      <c r="O126" s="390"/>
      <c r="P126" s="390"/>
      <c r="Q126" s="390"/>
      <c r="R126" s="390"/>
      <c r="S126" s="390"/>
      <c r="T126" s="390"/>
      <c r="U126" s="390"/>
      <c r="V126" s="390"/>
      <c r="W126" s="390"/>
      <c r="X126" s="390"/>
      <c r="Y126" s="390"/>
      <c r="AC126" s="484"/>
      <c r="AG126" s="360"/>
    </row>
    <row r="127" spans="1:33" s="410" customFormat="1" x14ac:dyDescent="0.25">
      <c r="A127" s="445">
        <v>11</v>
      </c>
      <c r="B127" s="445">
        <v>12</v>
      </c>
      <c r="C127" s="455">
        <v>1</v>
      </c>
      <c r="D127" s="589"/>
      <c r="E127" s="499"/>
      <c r="F127" s="596">
        <f t="shared" si="18"/>
        <v>-0.25</v>
      </c>
      <c r="G127" s="563">
        <f t="shared" si="19"/>
        <v>0.56000000000000005</v>
      </c>
      <c r="H127" s="391"/>
      <c r="I127" s="360"/>
      <c r="J127" s="360"/>
      <c r="K127" s="360"/>
      <c r="L127" s="360"/>
      <c r="M127" s="360"/>
      <c r="N127" s="360"/>
      <c r="O127" s="391"/>
      <c r="P127" s="391"/>
      <c r="Q127" s="391"/>
      <c r="R127" s="391"/>
      <c r="S127" s="391"/>
      <c r="T127" s="391"/>
      <c r="U127" s="391"/>
      <c r="V127" s="391"/>
      <c r="W127" s="391"/>
      <c r="X127" s="391"/>
      <c r="Y127" s="391"/>
      <c r="AC127" s="484"/>
      <c r="AG127" s="360"/>
    </row>
    <row r="128" spans="1:33" s="410" customFormat="1" x14ac:dyDescent="0.25">
      <c r="A128" s="447">
        <v>12</v>
      </c>
      <c r="B128" s="447">
        <v>13</v>
      </c>
      <c r="C128" s="455">
        <v>1</v>
      </c>
      <c r="D128" s="589"/>
      <c r="E128" s="499"/>
      <c r="F128" s="596">
        <f t="shared" si="18"/>
        <v>-0.25</v>
      </c>
      <c r="G128" s="563">
        <f t="shared" si="19"/>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G128" s="360"/>
    </row>
    <row r="129" spans="1:33" s="410" customFormat="1" x14ac:dyDescent="0.25">
      <c r="A129" s="445">
        <v>13</v>
      </c>
      <c r="B129" s="445">
        <v>14</v>
      </c>
      <c r="C129" s="455">
        <v>1</v>
      </c>
      <c r="D129" s="589"/>
      <c r="E129" s="499"/>
      <c r="F129" s="596">
        <f t="shared" si="18"/>
        <v>-0.25</v>
      </c>
      <c r="G129" s="563">
        <f t="shared" si="19"/>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c r="AG129" s="360"/>
    </row>
    <row r="130" spans="1:33" s="410" customFormat="1" x14ac:dyDescent="0.25">
      <c r="A130" s="447">
        <v>14</v>
      </c>
      <c r="B130" s="447">
        <v>15</v>
      </c>
      <c r="C130" s="455">
        <v>1</v>
      </c>
      <c r="D130" s="589"/>
      <c r="E130" s="499"/>
      <c r="F130" s="596">
        <f t="shared" si="18"/>
        <v>-0.25</v>
      </c>
      <c r="G130" s="563">
        <f t="shared" si="19"/>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row>
    <row r="131" spans="1:33" s="476" customFormat="1" ht="13.8" thickBot="1" x14ac:dyDescent="0.3">
      <c r="A131" s="445">
        <v>15</v>
      </c>
      <c r="B131" s="445">
        <v>16</v>
      </c>
      <c r="C131" s="455">
        <v>1</v>
      </c>
      <c r="D131" s="589"/>
      <c r="E131" s="499"/>
      <c r="F131" s="596">
        <f t="shared" si="18"/>
        <v>-0.25</v>
      </c>
      <c r="G131" s="563">
        <f t="shared" si="19"/>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c r="AG131" s="410"/>
    </row>
    <row r="132" spans="1:33" s="410" customFormat="1" x14ac:dyDescent="0.25">
      <c r="A132" s="447">
        <v>16</v>
      </c>
      <c r="B132" s="447">
        <v>17</v>
      </c>
      <c r="C132" s="455">
        <v>1</v>
      </c>
      <c r="D132" s="589"/>
      <c r="E132" s="499"/>
      <c r="F132" s="596">
        <f t="shared" si="18"/>
        <v>-0.25</v>
      </c>
      <c r="G132" s="563">
        <f t="shared" si="19"/>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row>
    <row r="133" spans="1:33" s="360" customFormat="1" x14ac:dyDescent="0.25">
      <c r="A133" s="445">
        <v>17</v>
      </c>
      <c r="B133" s="445">
        <v>18</v>
      </c>
      <c r="C133" s="455">
        <v>1</v>
      </c>
      <c r="D133" s="589"/>
      <c r="E133" s="499"/>
      <c r="F133" s="596">
        <f t="shared" si="18"/>
        <v>-0.25</v>
      </c>
      <c r="G133" s="563">
        <f t="shared" si="19"/>
        <v>0.56000000000000005</v>
      </c>
      <c r="H133" s="391"/>
      <c r="O133" s="391"/>
      <c r="P133" s="391"/>
      <c r="Q133" s="391"/>
      <c r="R133" s="391"/>
      <c r="S133" s="391"/>
      <c r="T133" s="391"/>
      <c r="U133" s="391"/>
      <c r="V133" s="391"/>
      <c r="W133" s="391"/>
      <c r="X133" s="391"/>
      <c r="Y133" s="391"/>
      <c r="Z133" s="391"/>
      <c r="AA133" s="391"/>
      <c r="AB133" s="391"/>
      <c r="AC133" s="483"/>
      <c r="AD133" s="473"/>
      <c r="AE133" s="546"/>
      <c r="AF133" s="410"/>
      <c r="AG133" s="410"/>
    </row>
    <row r="134" spans="1:33" s="360" customFormat="1" x14ac:dyDescent="0.25">
      <c r="A134" s="447">
        <v>18</v>
      </c>
      <c r="B134" s="447">
        <v>19</v>
      </c>
      <c r="C134" s="455">
        <v>1</v>
      </c>
      <c r="D134" s="589"/>
      <c r="E134" s="499"/>
      <c r="F134" s="596">
        <f t="shared" si="18"/>
        <v>-0.25</v>
      </c>
      <c r="G134" s="563">
        <f t="shared" si="19"/>
        <v>0.56000000000000005</v>
      </c>
      <c r="H134" s="394"/>
      <c r="O134" s="393"/>
      <c r="P134" s="393"/>
      <c r="Q134" s="394"/>
      <c r="R134" s="394"/>
      <c r="S134" s="394"/>
      <c r="T134" s="394"/>
      <c r="U134" s="394"/>
      <c r="V134" s="394"/>
      <c r="W134" s="394"/>
      <c r="X134" s="394"/>
      <c r="Y134" s="394"/>
      <c r="Z134" s="394"/>
      <c r="AA134" s="394"/>
      <c r="AB134" s="394"/>
      <c r="AC134" s="485"/>
      <c r="AD134" s="410"/>
      <c r="AE134" s="410"/>
      <c r="AF134" s="410"/>
      <c r="AG134" s="410"/>
    </row>
    <row r="135" spans="1:33" s="360" customFormat="1" x14ac:dyDescent="0.25">
      <c r="A135" s="445">
        <v>19</v>
      </c>
      <c r="B135" s="445">
        <v>20</v>
      </c>
      <c r="C135" s="455">
        <v>1</v>
      </c>
      <c r="D135" s="589"/>
      <c r="E135" s="499"/>
      <c r="F135" s="596">
        <f t="shared" si="18"/>
        <v>-0.25</v>
      </c>
      <c r="G135" s="563">
        <f t="shared" si="19"/>
        <v>0.56000000000000005</v>
      </c>
      <c r="H135" s="395"/>
      <c r="O135" s="419"/>
      <c r="P135" s="419"/>
      <c r="Q135" s="395"/>
      <c r="R135" s="395"/>
      <c r="S135" s="395"/>
      <c r="T135" s="395"/>
      <c r="U135" s="395"/>
      <c r="V135" s="395"/>
      <c r="W135" s="395"/>
      <c r="X135" s="395"/>
      <c r="Y135" s="395"/>
      <c r="Z135" s="395"/>
      <c r="AA135" s="395"/>
      <c r="AB135" s="395"/>
      <c r="AC135" s="486"/>
      <c r="AD135" s="547"/>
      <c r="AE135" s="477"/>
      <c r="AF135" s="410"/>
      <c r="AG135" s="410"/>
    </row>
    <row r="136" spans="1:33" s="410" customFormat="1" x14ac:dyDescent="0.25">
      <c r="A136" s="447">
        <v>20</v>
      </c>
      <c r="B136" s="447">
        <v>21</v>
      </c>
      <c r="C136" s="455">
        <v>1</v>
      </c>
      <c r="D136" s="589"/>
      <c r="E136" s="499"/>
      <c r="F136" s="596">
        <f t="shared" si="18"/>
        <v>-0.25</v>
      </c>
      <c r="G136" s="563">
        <f t="shared" si="19"/>
        <v>0.56000000000000005</v>
      </c>
      <c r="H136" s="395"/>
      <c r="I136" s="360"/>
      <c r="J136" s="360"/>
      <c r="K136" s="360"/>
      <c r="L136" s="360"/>
      <c r="M136" s="360"/>
      <c r="N136" s="360"/>
      <c r="O136" s="419"/>
      <c r="P136" s="419"/>
      <c r="Q136" s="395"/>
      <c r="R136" s="395"/>
      <c r="S136" s="395"/>
      <c r="T136" s="395"/>
      <c r="U136" s="395"/>
      <c r="V136" s="395"/>
      <c r="W136" s="395"/>
      <c r="X136" s="395"/>
      <c r="Y136" s="395"/>
      <c r="Z136" s="395"/>
      <c r="AA136" s="395"/>
      <c r="AB136" s="395"/>
      <c r="AC136" s="486"/>
      <c r="AD136" s="477"/>
      <c r="AE136" s="477"/>
    </row>
    <row r="137" spans="1:33" s="410" customFormat="1" x14ac:dyDescent="0.25">
      <c r="A137" s="445">
        <v>21</v>
      </c>
      <c r="B137" s="445">
        <v>22</v>
      </c>
      <c r="C137" s="455">
        <v>1</v>
      </c>
      <c r="D137" s="589"/>
      <c r="E137" s="499"/>
      <c r="F137" s="596">
        <f t="shared" si="18"/>
        <v>-0.25</v>
      </c>
      <c r="G137" s="563">
        <f t="shared" si="19"/>
        <v>0.56000000000000005</v>
      </c>
      <c r="H137" s="395"/>
      <c r="I137" s="360"/>
      <c r="J137" s="438"/>
      <c r="K137" s="360"/>
      <c r="L137" s="360"/>
      <c r="M137" s="360"/>
      <c r="N137" s="360"/>
      <c r="O137" s="419"/>
      <c r="P137" s="419"/>
      <c r="Q137" s="395"/>
      <c r="R137" s="395"/>
      <c r="S137" s="395"/>
      <c r="T137" s="395"/>
      <c r="U137" s="395"/>
      <c r="V137" s="395"/>
      <c r="W137" s="395"/>
      <c r="X137" s="395"/>
      <c r="Y137" s="395"/>
      <c r="Z137" s="395"/>
      <c r="AA137" s="395"/>
      <c r="AB137" s="395"/>
      <c r="AC137" s="486"/>
      <c r="AD137" s="360"/>
      <c r="AE137" s="360"/>
    </row>
    <row r="138" spans="1:33" s="410" customFormat="1" x14ac:dyDescent="0.25">
      <c r="A138" s="447">
        <v>22</v>
      </c>
      <c r="B138" s="447">
        <v>23</v>
      </c>
      <c r="C138" s="455">
        <v>1</v>
      </c>
      <c r="D138" s="589"/>
      <c r="E138" s="499"/>
      <c r="F138" s="596">
        <f t="shared" si="18"/>
        <v>-0.25</v>
      </c>
      <c r="G138" s="563">
        <f t="shared" si="19"/>
        <v>0.56000000000000005</v>
      </c>
      <c r="H138" s="395"/>
      <c r="I138" s="360"/>
      <c r="J138" s="360"/>
      <c r="K138" s="360"/>
      <c r="L138" s="360"/>
      <c r="M138" s="360"/>
      <c r="N138" s="360"/>
      <c r="O138" s="419"/>
      <c r="P138" s="419"/>
      <c r="Q138" s="395"/>
      <c r="R138" s="395"/>
      <c r="S138" s="395"/>
      <c r="T138" s="395"/>
      <c r="U138" s="395"/>
      <c r="V138" s="395"/>
      <c r="W138" s="395"/>
      <c r="X138" s="395"/>
      <c r="Y138" s="395"/>
      <c r="Z138" s="395"/>
      <c r="AA138" s="395"/>
      <c r="AB138" s="395"/>
      <c r="AC138" s="486"/>
      <c r="AD138" s="473"/>
      <c r="AE138" s="546"/>
      <c r="AF138" s="548"/>
    </row>
    <row r="139" spans="1:33" s="410" customFormat="1" x14ac:dyDescent="0.25">
      <c r="A139" s="447">
        <v>23</v>
      </c>
      <c r="B139" s="445">
        <v>24</v>
      </c>
      <c r="C139" s="455">
        <v>1</v>
      </c>
      <c r="D139" s="589"/>
      <c r="E139" s="540"/>
      <c r="F139" s="596">
        <f t="shared" si="18"/>
        <v>-0.25</v>
      </c>
      <c r="G139" s="563">
        <f t="shared" si="19"/>
        <v>0.56000000000000005</v>
      </c>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D139" s="473"/>
      <c r="AE139" s="546"/>
      <c r="AF139" s="548"/>
    </row>
    <row r="140" spans="1:33" s="410" customFormat="1" x14ac:dyDescent="0.25">
      <c r="A140" s="585">
        <v>24</v>
      </c>
      <c r="B140" s="447">
        <v>1</v>
      </c>
      <c r="C140" s="455">
        <v>1</v>
      </c>
      <c r="D140" s="591"/>
      <c r="E140" s="496"/>
      <c r="F140" s="360"/>
      <c r="G140" s="563">
        <f t="shared" si="19"/>
        <v>0.56000000000000005</v>
      </c>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D140" s="477"/>
      <c r="AE140" s="477"/>
      <c r="AF140" s="548"/>
    </row>
    <row r="141" spans="1:33" s="410" customFormat="1" ht="13.8" thickBot="1" x14ac:dyDescent="0.3">
      <c r="A141" s="360"/>
      <c r="B141" s="360"/>
      <c r="C141" s="360"/>
      <c r="D141" s="589"/>
      <c r="E141" s="360"/>
      <c r="F141" s="458"/>
      <c r="G141" s="445"/>
      <c r="H141" s="398"/>
      <c r="I141" s="360"/>
      <c r="J141" s="360"/>
      <c r="K141" s="360"/>
      <c r="L141" s="360"/>
      <c r="M141" s="360"/>
      <c r="N141" s="360"/>
      <c r="O141" s="420"/>
      <c r="P141" s="420"/>
      <c r="Q141" s="398"/>
      <c r="R141" s="398"/>
      <c r="S141" s="398"/>
      <c r="T141" s="398"/>
      <c r="U141" s="398"/>
      <c r="V141" s="398"/>
      <c r="W141" s="398"/>
      <c r="X141" s="398"/>
      <c r="Y141" s="398"/>
      <c r="Z141" s="395"/>
      <c r="AA141" s="395"/>
      <c r="AB141" s="395"/>
      <c r="AC141" s="486"/>
      <c r="AF141" s="471"/>
      <c r="AG141" s="476"/>
    </row>
    <row r="142" spans="1:33" s="410" customFormat="1" ht="17.399999999999999" x14ac:dyDescent="0.3">
      <c r="A142" s="444"/>
      <c r="B142" s="457" t="s">
        <v>243</v>
      </c>
      <c r="C142" s="458"/>
      <c r="D142" s="592"/>
      <c r="E142" s="458"/>
      <c r="F142" s="673"/>
      <c r="G142" s="445"/>
      <c r="H142" s="445"/>
      <c r="I142" s="360"/>
      <c r="J142" s="360"/>
      <c r="K142" s="360"/>
      <c r="L142" s="360"/>
      <c r="M142" s="360"/>
      <c r="N142" s="360"/>
      <c r="O142" s="459"/>
      <c r="P142" s="459"/>
      <c r="Q142" s="445"/>
      <c r="R142" s="445"/>
      <c r="S142" s="445"/>
      <c r="T142" s="445"/>
      <c r="U142" s="445"/>
      <c r="V142" s="445"/>
      <c r="W142" s="445"/>
      <c r="X142" s="445"/>
      <c r="Y142" s="398"/>
      <c r="Z142" s="395"/>
      <c r="AA142" s="395"/>
      <c r="AB142" s="395"/>
      <c r="AC142" s="486"/>
      <c r="AF142" s="471"/>
    </row>
    <row r="143" spans="1:33" s="410" customFormat="1" ht="18" thickBot="1" x14ac:dyDescent="0.35">
      <c r="A143" s="445"/>
      <c r="B143" s="445"/>
      <c r="C143" s="445"/>
      <c r="D143" s="593"/>
      <c r="E143" s="445"/>
      <c r="F143" s="672" t="s">
        <v>272</v>
      </c>
      <c r="G143" s="445"/>
      <c r="H143" s="445"/>
      <c r="I143" s="360"/>
      <c r="J143" s="360"/>
      <c r="K143" s="360"/>
      <c r="L143" s="360"/>
      <c r="M143" s="360"/>
      <c r="N143" s="360"/>
      <c r="O143" s="459"/>
      <c r="P143" s="459"/>
      <c r="Q143" s="445"/>
      <c r="R143" s="445"/>
      <c r="S143" s="445"/>
      <c r="T143" s="445"/>
      <c r="U143" s="445"/>
      <c r="V143" s="445"/>
      <c r="W143" s="445"/>
      <c r="X143" s="445"/>
      <c r="Y143" s="398"/>
      <c r="Z143" s="395"/>
      <c r="AA143" s="395"/>
      <c r="AB143" s="395"/>
      <c r="AC143" s="486"/>
      <c r="AF143" s="360"/>
      <c r="AG143" s="360"/>
    </row>
    <row r="144" spans="1:33" s="410" customFormat="1" ht="18" thickBot="1" x14ac:dyDescent="0.35">
      <c r="A144" s="448" t="s">
        <v>7</v>
      </c>
      <c r="B144" s="449"/>
      <c r="C144" s="449" t="s">
        <v>266</v>
      </c>
      <c r="D144" s="590"/>
      <c r="E144" s="449"/>
      <c r="F144" s="671" t="s">
        <v>320</v>
      </c>
      <c r="G144" s="450"/>
      <c r="H144" s="445" t="s">
        <v>273</v>
      </c>
      <c r="I144" s="360"/>
      <c r="J144" s="360"/>
      <c r="K144" s="360"/>
      <c r="L144" s="360"/>
      <c r="M144" s="360"/>
      <c r="N144" s="360"/>
      <c r="O144" s="459"/>
      <c r="P144" s="459"/>
      <c r="Q144" s="445"/>
      <c r="R144" s="445"/>
      <c r="S144" s="445"/>
      <c r="T144" s="445"/>
      <c r="U144" s="445"/>
      <c r="V144" s="445"/>
      <c r="W144" s="445"/>
      <c r="X144" s="445"/>
      <c r="Y144" s="398"/>
      <c r="Z144" s="398"/>
      <c r="AA144" s="398"/>
      <c r="AB144" s="398"/>
      <c r="AC144" s="487"/>
      <c r="AF144" s="360"/>
      <c r="AG144" s="360"/>
    </row>
    <row r="145" spans="1:33" s="410" customFormat="1" ht="17.399999999999999" x14ac:dyDescent="0.3">
      <c r="A145" s="453" t="s">
        <v>244</v>
      </c>
      <c r="B145" s="454" t="s">
        <v>245</v>
      </c>
      <c r="C145" s="454"/>
      <c r="D145" s="594"/>
      <c r="E145" s="451"/>
      <c r="F145" s="596">
        <f t="shared" ref="F145:F169" si="20">D146-0.25</f>
        <v>-0.25</v>
      </c>
      <c r="G145" s="445" t="s">
        <v>321</v>
      </c>
      <c r="H145" s="460">
        <v>4.3999999999999997E-2</v>
      </c>
      <c r="I145" s="461" t="s">
        <v>275</v>
      </c>
      <c r="J145" s="360"/>
      <c r="K145" s="360"/>
      <c r="L145" s="360"/>
      <c r="M145" s="462" t="s">
        <v>276</v>
      </c>
      <c r="N145" s="463"/>
      <c r="O145" s="459"/>
      <c r="P145" s="459"/>
      <c r="Q145" s="445"/>
      <c r="R145" s="445"/>
      <c r="S145" s="445"/>
      <c r="T145" s="445"/>
      <c r="U145" s="445"/>
      <c r="V145" s="445"/>
      <c r="W145" s="445"/>
      <c r="X145" s="445"/>
      <c r="Y145" s="398"/>
      <c r="Z145" s="398"/>
      <c r="AA145" s="398"/>
      <c r="AB145" s="398"/>
      <c r="AC145" s="487"/>
      <c r="AF145" s="360"/>
      <c r="AG145" s="360"/>
    </row>
    <row r="146" spans="1:33" s="410" customFormat="1" x14ac:dyDescent="0.25">
      <c r="A146" s="447">
        <v>24</v>
      </c>
      <c r="B146" s="445">
        <v>1</v>
      </c>
      <c r="C146" s="455">
        <v>1</v>
      </c>
      <c r="D146" s="589"/>
      <c r="E146" s="540"/>
      <c r="F146" s="596">
        <f t="shared" si="20"/>
        <v>-0.25</v>
      </c>
      <c r="G146" s="563">
        <f>D146+0.56</f>
        <v>0.56000000000000005</v>
      </c>
      <c r="I146" s="464" t="s">
        <v>274</v>
      </c>
      <c r="J146" s="465"/>
      <c r="K146" s="360"/>
      <c r="L146" s="360"/>
      <c r="M146" s="360"/>
      <c r="N146" s="360"/>
      <c r="O146" s="459"/>
      <c r="P146" s="459"/>
      <c r="Q146" s="445"/>
      <c r="R146" s="445"/>
      <c r="S146" s="445"/>
      <c r="T146" s="445"/>
      <c r="U146" s="445"/>
      <c r="V146" s="445"/>
      <c r="W146" s="445"/>
      <c r="X146" s="445"/>
      <c r="Y146" s="398"/>
      <c r="Z146" s="398"/>
      <c r="AA146" s="468"/>
      <c r="AB146" s="398"/>
      <c r="AC146" s="487"/>
      <c r="AD146" s="360"/>
      <c r="AE146" s="360"/>
      <c r="AF146" s="360"/>
    </row>
    <row r="147" spans="1:33" s="410" customFormat="1" x14ac:dyDescent="0.25">
      <c r="A147" s="445">
        <v>1</v>
      </c>
      <c r="B147" s="445">
        <v>2</v>
      </c>
      <c r="C147" s="455">
        <v>1</v>
      </c>
      <c r="D147" s="595"/>
      <c r="E147" s="499"/>
      <c r="F147" s="596">
        <f t="shared" si="20"/>
        <v>-0.25</v>
      </c>
      <c r="G147" s="563">
        <f t="shared" ref="G147:G169" si="21">D147+0.56</f>
        <v>0.56000000000000005</v>
      </c>
      <c r="I147" s="464"/>
      <c r="J147" s="465"/>
      <c r="K147" s="360"/>
      <c r="L147" s="360"/>
      <c r="M147" s="360"/>
      <c r="N147" s="360"/>
      <c r="O147" s="459"/>
      <c r="P147" s="459"/>
      <c r="Q147" s="445"/>
      <c r="R147" s="445"/>
      <c r="S147" s="445"/>
      <c r="T147" s="445"/>
      <c r="U147" s="445"/>
      <c r="V147" s="445"/>
      <c r="W147" s="445"/>
      <c r="X147" s="445"/>
      <c r="Y147" s="398"/>
      <c r="Z147" s="398"/>
      <c r="AA147" s="468"/>
      <c r="AB147" s="398"/>
      <c r="AC147" s="487"/>
      <c r="AD147" s="411"/>
      <c r="AE147" s="360"/>
      <c r="AF147" s="360"/>
    </row>
    <row r="148" spans="1:33" s="410" customFormat="1" x14ac:dyDescent="0.25">
      <c r="A148" s="447">
        <v>2</v>
      </c>
      <c r="B148" s="445">
        <v>3</v>
      </c>
      <c r="C148" s="455">
        <v>1</v>
      </c>
      <c r="D148" s="591"/>
      <c r="E148" s="499"/>
      <c r="F148" s="596">
        <f t="shared" si="20"/>
        <v>-0.25</v>
      </c>
      <c r="G148" s="563">
        <f t="shared" si="21"/>
        <v>0.56000000000000005</v>
      </c>
      <c r="I148" s="464"/>
      <c r="J148" s="465"/>
      <c r="K148" s="383"/>
      <c r="L148" s="383"/>
      <c r="M148" s="383"/>
      <c r="N148" s="383"/>
      <c r="O148" s="459"/>
      <c r="P148" s="459"/>
      <c r="Q148" s="445"/>
      <c r="R148" s="445"/>
      <c r="S148" s="445"/>
      <c r="T148" s="445"/>
      <c r="U148" s="445"/>
      <c r="V148" s="445"/>
      <c r="W148" s="445"/>
      <c r="X148" s="445"/>
      <c r="Y148" s="398"/>
      <c r="Z148" s="398"/>
      <c r="AA148" s="468"/>
      <c r="AB148" s="398"/>
      <c r="AC148" s="487"/>
      <c r="AF148" s="360"/>
    </row>
    <row r="149" spans="1:33" s="410" customFormat="1" x14ac:dyDescent="0.25">
      <c r="A149" s="445">
        <v>3</v>
      </c>
      <c r="B149" s="445">
        <v>4</v>
      </c>
      <c r="C149" s="455">
        <v>1</v>
      </c>
      <c r="D149" s="591"/>
      <c r="E149" s="499"/>
      <c r="F149" s="596">
        <f t="shared" si="20"/>
        <v>-0.25</v>
      </c>
      <c r="G149" s="563">
        <f t="shared" si="21"/>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39"/>
      <c r="AE149" s="440"/>
      <c r="AF149" s="360"/>
    </row>
    <row r="150" spans="1:33" s="410" customFormat="1" x14ac:dyDescent="0.25">
      <c r="A150" s="447">
        <v>4</v>
      </c>
      <c r="B150" s="445">
        <v>5</v>
      </c>
      <c r="C150" s="455">
        <v>1</v>
      </c>
      <c r="D150" s="591"/>
      <c r="E150" s="499"/>
      <c r="F150" s="596">
        <f t="shared" si="20"/>
        <v>-0.25</v>
      </c>
      <c r="G150" s="563">
        <f t="shared" si="21"/>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11"/>
      <c r="AE150" s="360"/>
      <c r="AF150" s="360"/>
    </row>
    <row r="151" spans="1:33" s="410" customFormat="1" x14ac:dyDescent="0.25">
      <c r="A151" s="445">
        <v>5</v>
      </c>
      <c r="B151" s="445">
        <v>6</v>
      </c>
      <c r="C151" s="455">
        <v>1</v>
      </c>
      <c r="D151" s="591"/>
      <c r="E151" s="499"/>
      <c r="F151" s="596">
        <f t="shared" si="20"/>
        <v>-0.25</v>
      </c>
      <c r="G151" s="563">
        <f t="shared" si="21"/>
        <v>0.56000000000000005</v>
      </c>
      <c r="I151" s="466"/>
      <c r="J151" s="465"/>
      <c r="K151" s="445"/>
      <c r="L151" s="445"/>
      <c r="M151" s="459"/>
      <c r="N151" s="459"/>
      <c r="O151" s="445"/>
      <c r="P151" s="445"/>
      <c r="Q151" s="445"/>
      <c r="R151" s="445"/>
      <c r="S151" s="445"/>
      <c r="T151" s="445"/>
      <c r="U151" s="445"/>
      <c r="V151" s="445"/>
      <c r="W151" s="445"/>
      <c r="X151" s="445"/>
      <c r="Y151" s="398"/>
      <c r="Z151" s="398"/>
      <c r="AA151" s="468"/>
      <c r="AB151" s="398"/>
      <c r="AC151" s="487"/>
      <c r="AD151" s="411"/>
      <c r="AE151" s="360"/>
      <c r="AF151" s="360"/>
    </row>
    <row r="152" spans="1:33" s="410" customFormat="1" x14ac:dyDescent="0.25">
      <c r="A152" s="447">
        <v>6</v>
      </c>
      <c r="B152" s="445">
        <v>7</v>
      </c>
      <c r="C152" s="455">
        <v>1</v>
      </c>
      <c r="D152" s="591"/>
      <c r="E152" s="499"/>
      <c r="F152" s="596">
        <f t="shared" si="20"/>
        <v>-0.25</v>
      </c>
      <c r="G152" s="563">
        <f t="shared" si="21"/>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11"/>
      <c r="AE152" s="360"/>
      <c r="AF152" s="360"/>
    </row>
    <row r="153" spans="1:33" s="410" customFormat="1" x14ac:dyDescent="0.25">
      <c r="A153" s="445">
        <v>7</v>
      </c>
      <c r="B153" s="445">
        <v>8</v>
      </c>
      <c r="C153" s="455">
        <v>1</v>
      </c>
      <c r="D153" s="591"/>
      <c r="E153" s="499"/>
      <c r="F153" s="596">
        <f t="shared" si="20"/>
        <v>-0.25</v>
      </c>
      <c r="G153" s="563">
        <f t="shared" si="21"/>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11"/>
      <c r="AE153" s="360"/>
      <c r="AF153" s="360"/>
    </row>
    <row r="154" spans="1:33" s="410" customFormat="1" x14ac:dyDescent="0.25">
      <c r="A154" s="447">
        <v>8</v>
      </c>
      <c r="B154" s="445">
        <v>9</v>
      </c>
      <c r="C154" s="455">
        <v>1</v>
      </c>
      <c r="D154" s="591"/>
      <c r="E154" s="499"/>
      <c r="F154" s="596">
        <f t="shared" si="20"/>
        <v>-0.25</v>
      </c>
      <c r="G154" s="563">
        <f t="shared" si="21"/>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3"/>
      <c r="AE154" s="404"/>
      <c r="AF154" s="411"/>
    </row>
    <row r="155" spans="1:33" s="410" customFormat="1" x14ac:dyDescent="0.25">
      <c r="A155" s="445">
        <v>9</v>
      </c>
      <c r="B155" s="445">
        <v>10</v>
      </c>
      <c r="C155" s="455">
        <v>1</v>
      </c>
      <c r="D155" s="591"/>
      <c r="E155" s="499"/>
      <c r="F155" s="596">
        <f t="shared" si="20"/>
        <v>-0.25</v>
      </c>
      <c r="G155" s="563">
        <f t="shared" si="21"/>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5"/>
      <c r="AE155" s="405"/>
      <c r="AF155" s="411"/>
    </row>
    <row r="156" spans="1:33" s="410" customFormat="1" x14ac:dyDescent="0.25">
      <c r="A156" s="447">
        <v>10</v>
      </c>
      <c r="B156" s="445">
        <v>11</v>
      </c>
      <c r="C156" s="455">
        <v>1</v>
      </c>
      <c r="D156" s="591"/>
      <c r="E156" s="499"/>
      <c r="F156" s="596">
        <f t="shared" si="20"/>
        <v>-0.25</v>
      </c>
      <c r="G156" s="563">
        <f t="shared" si="21"/>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3"/>
      <c r="AE156" s="404"/>
      <c r="AF156" s="411"/>
    </row>
    <row r="157" spans="1:33" s="410" customFormat="1" x14ac:dyDescent="0.25">
      <c r="A157" s="445">
        <v>11</v>
      </c>
      <c r="B157" s="445">
        <v>12</v>
      </c>
      <c r="C157" s="455">
        <v>1</v>
      </c>
      <c r="D157" s="591"/>
      <c r="E157" s="499"/>
      <c r="F157" s="596">
        <f t="shared" si="20"/>
        <v>-0.25</v>
      </c>
      <c r="G157" s="563">
        <f t="shared" si="21"/>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06"/>
      <c r="AF157" s="411"/>
    </row>
    <row r="158" spans="1:33" s="410" customFormat="1" x14ac:dyDescent="0.25">
      <c r="A158" s="447">
        <v>12</v>
      </c>
      <c r="B158" s="445">
        <v>13</v>
      </c>
      <c r="C158" s="455">
        <v>1</v>
      </c>
      <c r="D158" s="591"/>
      <c r="E158" s="499"/>
      <c r="F158" s="596">
        <f t="shared" si="20"/>
        <v>-0.25</v>
      </c>
      <c r="G158" s="563">
        <f t="shared" si="21"/>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06"/>
      <c r="AF158" s="411"/>
    </row>
    <row r="159" spans="1:33" s="410" customFormat="1" x14ac:dyDescent="0.25">
      <c r="A159" s="445">
        <v>13</v>
      </c>
      <c r="B159" s="445">
        <v>14</v>
      </c>
      <c r="C159" s="455">
        <v>1</v>
      </c>
      <c r="D159" s="591"/>
      <c r="E159" s="499"/>
      <c r="F159" s="596">
        <f t="shared" si="20"/>
        <v>-0.25</v>
      </c>
      <c r="G159" s="563">
        <f t="shared" si="21"/>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21"/>
      <c r="AF159" s="411"/>
    </row>
    <row r="160" spans="1:33" s="410" customFormat="1" x14ac:dyDescent="0.25">
      <c r="A160" s="447">
        <v>14</v>
      </c>
      <c r="B160" s="445">
        <v>15</v>
      </c>
      <c r="C160" s="455">
        <v>1</v>
      </c>
      <c r="D160" s="591"/>
      <c r="E160" s="499"/>
      <c r="F160" s="596">
        <f t="shared" si="20"/>
        <v>-0.25</v>
      </c>
      <c r="G160" s="563">
        <f t="shared" si="21"/>
        <v>0.56000000000000005</v>
      </c>
      <c r="H160" s="410" t="s">
        <v>170</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22"/>
      <c r="AF160" s="360"/>
    </row>
    <row r="161" spans="1:32" s="410" customFormat="1" x14ac:dyDescent="0.25">
      <c r="A161" s="445">
        <v>15</v>
      </c>
      <c r="B161" s="445">
        <v>16</v>
      </c>
      <c r="C161" s="455">
        <v>1</v>
      </c>
      <c r="D161" s="591"/>
      <c r="E161" s="499"/>
      <c r="F161" s="596">
        <f t="shared" si="20"/>
        <v>-0.25</v>
      </c>
      <c r="G161" s="563">
        <f t="shared" si="21"/>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3"/>
      <c r="AE161" s="404"/>
      <c r="AF161" s="360"/>
    </row>
    <row r="162" spans="1:32" s="410" customFormat="1" x14ac:dyDescent="0.25">
      <c r="A162" s="447">
        <v>16</v>
      </c>
      <c r="B162" s="445">
        <v>17</v>
      </c>
      <c r="C162" s="455">
        <v>1</v>
      </c>
      <c r="D162" s="591"/>
      <c r="E162" s="499"/>
      <c r="F162" s="596">
        <f t="shared" si="20"/>
        <v>-0.25</v>
      </c>
      <c r="G162" s="563">
        <f t="shared" si="21"/>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403"/>
      <c r="AE162" s="404"/>
      <c r="AF162" s="405"/>
    </row>
    <row r="163" spans="1:32" s="410" customFormat="1" x14ac:dyDescent="0.25">
      <c r="A163" s="445">
        <v>17</v>
      </c>
      <c r="B163" s="445">
        <v>18</v>
      </c>
      <c r="C163" s="455">
        <v>1</v>
      </c>
      <c r="D163" s="591"/>
      <c r="E163" s="499"/>
      <c r="F163" s="596">
        <f t="shared" si="20"/>
        <v>-0.25</v>
      </c>
      <c r="G163" s="563">
        <f t="shared" si="21"/>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88"/>
      <c r="AE163" s="388"/>
      <c r="AF163" s="403"/>
    </row>
    <row r="164" spans="1:32" s="410" customFormat="1" x14ac:dyDescent="0.25">
      <c r="A164" s="447">
        <v>18</v>
      </c>
      <c r="B164" s="445">
        <v>19</v>
      </c>
      <c r="C164" s="455">
        <v>1</v>
      </c>
      <c r="D164" s="591"/>
      <c r="E164" s="499"/>
      <c r="F164" s="596">
        <f t="shared" si="20"/>
        <v>-0.25</v>
      </c>
      <c r="G164" s="563">
        <f t="shared" si="21"/>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77"/>
      <c r="AE164" s="377"/>
      <c r="AF164" s="403"/>
    </row>
    <row r="165" spans="1:32" s="410" customFormat="1" x14ac:dyDescent="0.25">
      <c r="A165" s="445">
        <v>19</v>
      </c>
      <c r="B165" s="445">
        <v>20</v>
      </c>
      <c r="C165" s="455">
        <v>1</v>
      </c>
      <c r="D165" s="591"/>
      <c r="E165" s="499"/>
      <c r="F165" s="596">
        <f t="shared" si="20"/>
        <v>-0.25</v>
      </c>
      <c r="G165" s="563">
        <f t="shared" si="21"/>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89"/>
      <c r="AE165" s="389"/>
      <c r="AF165" s="401"/>
    </row>
    <row r="166" spans="1:32" s="410" customFormat="1" x14ac:dyDescent="0.25">
      <c r="A166" s="447">
        <v>20</v>
      </c>
      <c r="B166" s="445">
        <v>21</v>
      </c>
      <c r="C166" s="455">
        <v>1</v>
      </c>
      <c r="D166" s="591"/>
      <c r="E166" s="499"/>
      <c r="F166" s="596">
        <f t="shared" si="20"/>
        <v>-0.25</v>
      </c>
      <c r="G166" s="563">
        <f t="shared" si="21"/>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9"/>
      <c r="AE166" s="389"/>
      <c r="AF166" s="374"/>
    </row>
    <row r="167" spans="1:32" s="410" customFormat="1" x14ac:dyDescent="0.25">
      <c r="A167" s="445">
        <v>21</v>
      </c>
      <c r="B167" s="445">
        <v>22</v>
      </c>
      <c r="C167" s="455">
        <v>1</v>
      </c>
      <c r="D167" s="591"/>
      <c r="E167" s="499"/>
      <c r="F167" s="596">
        <f t="shared" si="20"/>
        <v>-0.25</v>
      </c>
      <c r="G167" s="563">
        <f t="shared" si="21"/>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374"/>
    </row>
    <row r="168" spans="1:32" s="410" customFormat="1" x14ac:dyDescent="0.25">
      <c r="A168" s="447">
        <v>22</v>
      </c>
      <c r="B168" s="445">
        <v>23</v>
      </c>
      <c r="C168" s="455">
        <v>1</v>
      </c>
      <c r="D168" s="591"/>
      <c r="E168" s="499"/>
      <c r="F168" s="596">
        <f t="shared" si="20"/>
        <v>-0.25</v>
      </c>
      <c r="G168" s="563">
        <f t="shared" si="21"/>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374"/>
    </row>
    <row r="169" spans="1:32" s="410" customFormat="1" x14ac:dyDescent="0.25">
      <c r="A169" s="447">
        <v>23</v>
      </c>
      <c r="B169" s="445">
        <v>24</v>
      </c>
      <c r="C169" s="455">
        <v>1</v>
      </c>
      <c r="D169" s="591"/>
      <c r="E169" s="540"/>
      <c r="F169" s="596">
        <f t="shared" si="20"/>
        <v>-0.25</v>
      </c>
      <c r="G169" s="563">
        <f t="shared" si="21"/>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90"/>
      <c r="AE169" s="390"/>
      <c r="AF169" s="381"/>
    </row>
    <row r="170" spans="1:32" s="410" customFormat="1" x14ac:dyDescent="0.25">
      <c r="A170" s="377">
        <v>24</v>
      </c>
      <c r="B170" s="445">
        <v>1</v>
      </c>
      <c r="C170" s="455">
        <v>1</v>
      </c>
      <c r="D170" s="591"/>
      <c r="E170" s="496"/>
      <c r="F170" s="377"/>
      <c r="G170" s="563">
        <f>D170+0.56</f>
        <v>0.56000000000000005</v>
      </c>
      <c r="H170" s="456"/>
      <c r="I170" s="466"/>
      <c r="J170" s="465"/>
      <c r="K170" s="445"/>
      <c r="L170" s="445"/>
      <c r="M170" s="459"/>
      <c r="N170" s="459"/>
      <c r="O170" s="445"/>
      <c r="R170" s="445"/>
      <c r="S170" s="445"/>
      <c r="T170" s="445"/>
      <c r="U170" s="445"/>
      <c r="V170" s="445"/>
      <c r="W170" s="445"/>
      <c r="X170" s="445"/>
      <c r="Y170" s="377"/>
      <c r="Z170" s="377"/>
      <c r="AA170" s="377"/>
      <c r="AB170" s="377"/>
      <c r="AC170" s="482"/>
      <c r="AD170" s="391"/>
      <c r="AE170" s="391"/>
      <c r="AF170" s="381"/>
    </row>
    <row r="171" spans="1:32" s="410" customFormat="1" x14ac:dyDescent="0.25">
      <c r="A171" s="377"/>
      <c r="B171" s="377"/>
      <c r="C171" s="377"/>
      <c r="D171" s="587"/>
      <c r="E171" s="498"/>
      <c r="F171" s="377"/>
      <c r="G171" s="377"/>
      <c r="H171" s="400"/>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1"/>
    </row>
    <row r="172" spans="1:32" s="410" customFormat="1" x14ac:dyDescent="0.25">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6"/>
    </row>
    <row r="173" spans="1:32" s="410" customFormat="1" x14ac:dyDescent="0.25">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8"/>
    </row>
    <row r="174" spans="1:32" s="410" customFormat="1" x14ac:dyDescent="0.25">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77"/>
    </row>
    <row r="175" spans="1:32" s="410" customFormat="1" x14ac:dyDescent="0.25">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9"/>
    </row>
    <row r="176" spans="1:32" s="410" customFormat="1" x14ac:dyDescent="0.25">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1"/>
      <c r="AE176" s="391"/>
      <c r="AF176" s="389"/>
    </row>
    <row r="177" spans="1:32" s="410" customFormat="1" x14ac:dyDescent="0.25">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4"/>
      <c r="AE177" s="394"/>
      <c r="AF177" s="377"/>
    </row>
    <row r="178" spans="1:32" s="410" customFormat="1" x14ac:dyDescent="0.25">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0"/>
    </row>
    <row r="179" spans="1:32" s="410" customFormat="1" x14ac:dyDescent="0.25">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5">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5">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1"/>
    </row>
    <row r="182" spans="1:32" s="410" customFormat="1" x14ac:dyDescent="0.25">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5">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5">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5"/>
      <c r="AE186" s="398"/>
      <c r="AF186" s="393"/>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6"/>
    </row>
    <row r="192" spans="1:32" s="410" customForma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7"/>
      <c r="AF192" s="391"/>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6"/>
      <c r="AF193" s="393"/>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9"/>
      <c r="AF194" s="395"/>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7"/>
      <c r="AF197" s="395"/>
    </row>
    <row r="198" spans="1:32" s="410" customFormat="1" ht="12.75" customHeigh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6"/>
      <c r="AF198" s="395"/>
    </row>
    <row r="199" spans="1:32" s="410" customForma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9"/>
      <c r="AF199" s="395"/>
    </row>
    <row r="200" spans="1:32" s="410" customForma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5"/>
    </row>
    <row r="202" spans="1:32" s="410" customForma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5"/>
    </row>
    <row r="203" spans="1:32" s="410" customForma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8"/>
      <c r="AE203" s="396"/>
      <c r="AF203" s="398"/>
    </row>
    <row r="204" spans="1:32" s="410" customForma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405"/>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5"/>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5"/>
    </row>
    <row r="259" spans="1:34" s="360" customFormat="1" ht="14.25" customHeigh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4"/>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H260" s="404"/>
    </row>
    <row r="261" spans="1:34" s="412" customFormat="1" ht="12" customHeigh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60"/>
      <c r="AH261" s="405"/>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ht="17.25" customHeigh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5"/>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395"/>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4"/>
      <c r="AH265" s="376"/>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4"/>
      <c r="AH266" s="376"/>
    </row>
    <row r="267" spans="1:34" s="360" customFormat="1" ht="13.5" customHeigh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402"/>
      <c r="AH267" s="377"/>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5"/>
      <c r="AH270" s="377"/>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84"/>
    </row>
    <row r="272" spans="1:34" s="360" customFormat="1" ht="15.75" customHeigh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88"/>
    </row>
    <row r="273" spans="1:34" s="360" customFormat="1" ht="15.75" customHeigh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2"/>
      <c r="AH273" s="377"/>
    </row>
    <row r="274" spans="1:34" s="360" customFormat="1" ht="12.75"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7"/>
      <c r="AH274" s="389"/>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8"/>
      <c r="AH275" s="389"/>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77"/>
      <c r="AH276" s="377"/>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9"/>
      <c r="AH277" s="390"/>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9"/>
      <c r="AH278" s="391"/>
    </row>
    <row r="279" spans="1:34" s="360"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77"/>
      <c r="AH279" s="391"/>
    </row>
    <row r="280" spans="1:34" s="360" customFormat="1" ht="14.25" customHeigh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0"/>
      <c r="AH280" s="391"/>
    </row>
    <row r="281" spans="1:34" s="360"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83"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c r="AH283" s="391"/>
    </row>
    <row r="284" spans="1:34" s="383" customFormat="1" ht="12" customHeigh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3" customForma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4" customFormat="1" ht="11.25" customHeigh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s="388" customForma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x14ac:dyDescent="0.25">
      <c r="AG288" s="393"/>
    </row>
    <row r="289" spans="1:33" s="389"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5"/>
    </row>
    <row r="290" spans="1:33" s="389"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5"/>
    </row>
    <row r="291" spans="1:33" x14ac:dyDescent="0.25">
      <c r="AG291" s="395"/>
    </row>
    <row r="292" spans="1:33" x14ac:dyDescent="0.25">
      <c r="AG292" s="395"/>
    </row>
    <row r="293" spans="1:33" s="392" customFormat="1" x14ac:dyDescent="0.25">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97"/>
    </row>
    <row r="294" spans="1:33" s="392" customFormat="1" x14ac:dyDescent="0.25">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3"/>
    </row>
    <row r="295" spans="1:33" s="392" customFormat="1" x14ac:dyDescent="0.25">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3"/>
    </row>
    <row r="296" spans="1:33" s="392" customFormat="1" x14ac:dyDescent="0.25">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4"/>
    </row>
    <row r="297" spans="1:33" s="392" customFormat="1" x14ac:dyDescent="0.25">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8"/>
    </row>
    <row r="298" spans="1:33" s="392" customFormat="1" x14ac:dyDescent="0.25">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77"/>
    </row>
    <row r="299" spans="1:33" s="392" customFormat="1" x14ac:dyDescent="0.25">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9"/>
    </row>
    <row r="300" spans="1:33" s="392" customFormat="1" x14ac:dyDescent="0.25">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9"/>
    </row>
    <row r="302" spans="1:33" s="390"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1" customForma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4"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5" customFormat="1" ht="12.75" customHeigh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77"/>
    </row>
    <row r="312" spans="1:33" s="395" customFormat="1" ht="12.75" customHeigh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0"/>
    </row>
    <row r="313" spans="1:33" s="395" customFormat="1" ht="12.75" customHeigh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8" customForma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4"/>
    </row>
    <row r="321" spans="1:33" s="398"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x14ac:dyDescent="0.25">
      <c r="AG328" s="395"/>
    </row>
    <row r="329" spans="1:33" x14ac:dyDescent="0.25">
      <c r="AG329" s="395"/>
    </row>
    <row r="330" spans="1:33" x14ac:dyDescent="0.25">
      <c r="AG330" s="398"/>
    </row>
    <row r="331" spans="1:33" x14ac:dyDescent="0.25">
      <c r="AG331" s="398"/>
    </row>
    <row r="332" spans="1:33" x14ac:dyDescent="0.25">
      <c r="AG332" s="398"/>
    </row>
    <row r="333" spans="1:33" x14ac:dyDescent="0.25">
      <c r="AG333" s="398"/>
    </row>
    <row r="334" spans="1:33" x14ac:dyDescent="0.25">
      <c r="AG334" s="398"/>
    </row>
    <row r="335" spans="1:33" x14ac:dyDescent="0.25">
      <c r="AG335" s="398"/>
    </row>
    <row r="336" spans="1:33" x14ac:dyDescent="0.25">
      <c r="AG336" s="398"/>
    </row>
    <row r="337" spans="33:33" x14ac:dyDescent="0.25">
      <c r="AG33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111</xdr:row>
                    <xdr:rowOff>167640</xdr:rowOff>
                  </from>
                  <to>
                    <xdr:col>12</xdr:col>
                    <xdr:colOff>99060</xdr:colOff>
                    <xdr:row>112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1253.3995121860048</v>
      </c>
      <c r="F12" s="33">
        <f>(D12*$C$6)+(C12*$C$7)</f>
        <v>2.09</v>
      </c>
      <c r="G12" s="32">
        <f ca="1">E12*F12</f>
        <v>2619.60498046875</v>
      </c>
      <c r="H12" s="33"/>
    </row>
    <row r="13" spans="1:8" x14ac:dyDescent="0.25">
      <c r="B13" s="238" t="s">
        <v>56</v>
      </c>
      <c r="C13" s="239">
        <v>1</v>
      </c>
      <c r="D13" s="239">
        <v>0</v>
      </c>
      <c r="E13" s="32">
        <f ca="1">-INDEX(Economics!$A$34:$D$45,MATCH(Fuel!B13,Economics!$A$34:$A$45,0),4)/Fuel!F13</f>
        <v>8179.1623056220105</v>
      </c>
      <c r="F13" s="33">
        <f>(D13*$C$6)+(C13*$C$7)</f>
        <v>2.09</v>
      </c>
      <c r="G13" s="32">
        <f ca="1">E13*F13</f>
        <v>17094.44921875</v>
      </c>
      <c r="H13" s="33"/>
    </row>
    <row r="14" spans="1:8" x14ac:dyDescent="0.25">
      <c r="B14" s="238" t="s">
        <v>55</v>
      </c>
      <c r="C14" s="239">
        <v>1</v>
      </c>
      <c r="D14" s="239">
        <v>0</v>
      </c>
      <c r="E14" s="32">
        <f ca="1">-INDEX(Economics!$A$34:$D$45,MATCH(Fuel!B14,Economics!$A$34:$A$45,0),4)/Fuel!F14</f>
        <v>11107.802220394738</v>
      </c>
      <c r="F14" s="33">
        <f>(D14*$C$6)+(C14*$C$7)</f>
        <v>2.09</v>
      </c>
      <c r="G14" s="32">
        <f ca="1">E14*F14</f>
        <v>23215.306640625004</v>
      </c>
      <c r="H14" s="33"/>
    </row>
    <row r="15" spans="1:8" x14ac:dyDescent="0.25">
      <c r="B15" s="240" t="s">
        <v>18</v>
      </c>
      <c r="E15" s="34">
        <f ca="1">SUM(E12:E14)</f>
        <v>20540.364038202752</v>
      </c>
      <c r="F15" s="35"/>
      <c r="G15" s="34">
        <f ca="1">SUM(G12:G14)</f>
        <v>42929.36083984375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11924.669164540817</v>
      </c>
      <c r="F18" s="35">
        <f>C18*G7+D18*G6</f>
        <v>1.96</v>
      </c>
      <c r="G18" s="34">
        <f ca="1">F18*E18</f>
        <v>23372.3515625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21057.537468112245</v>
      </c>
      <c r="F23" s="33">
        <f t="shared" ref="F23:F29" si="1">IF($I$22=1,C23*$C$8,C23*$G$7)+IF($J$22=1,D23*$C$6,D23*$G$6)</f>
        <v>1.96</v>
      </c>
      <c r="G23" s="32">
        <f t="shared" ca="1" si="0"/>
        <v>41272.7734375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19330.867346938776</v>
      </c>
      <c r="F25" s="33">
        <f t="shared" si="1"/>
        <v>1.96</v>
      </c>
      <c r="G25" s="32">
        <f t="shared" ca="1" si="0"/>
        <v>37888.5</v>
      </c>
      <c r="I25" s="31"/>
      <c r="J25" s="31"/>
      <c r="K25" s="31"/>
    </row>
    <row r="26" spans="1:12" x14ac:dyDescent="0.25">
      <c r="B26" s="238" t="s">
        <v>47</v>
      </c>
      <c r="C26" s="239">
        <v>1</v>
      </c>
      <c r="D26" s="239">
        <v>0</v>
      </c>
      <c r="E26" s="32">
        <f ca="1">-INDEX(Economics!$A$34:$D$45,MATCH(Fuel!B26,Economics!$A$34:$A$45,0),4)/Fuel!F26</f>
        <v>15429.891780931122</v>
      </c>
      <c r="F26" s="33">
        <f t="shared" si="1"/>
        <v>1.96</v>
      </c>
      <c r="G26" s="32">
        <f t="shared" ca="1" si="0"/>
        <v>30242.587890625</v>
      </c>
      <c r="I26" s="31"/>
      <c r="J26" s="31"/>
      <c r="K26" s="31"/>
    </row>
    <row r="27" spans="1:12" x14ac:dyDescent="0.25">
      <c r="B27" s="250" t="s">
        <v>46</v>
      </c>
      <c r="C27" s="239">
        <v>1</v>
      </c>
      <c r="D27" s="239">
        <v>0</v>
      </c>
      <c r="E27" s="32">
        <f ca="1">-INDEX(Economics!$A$34:$D$45,MATCH(Fuel!B27,Economics!$A$34:$A$45,0),4)/Fuel!F27</f>
        <v>16055.164819834185</v>
      </c>
      <c r="F27" s="33">
        <f t="shared" si="1"/>
        <v>1.96</v>
      </c>
      <c r="G27" s="32">
        <f t="shared" ca="1" si="0"/>
        <v>31468.123046875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71873.461415816331</v>
      </c>
      <c r="F30" s="35"/>
      <c r="G30" s="34">
        <f ca="1">SUM(G22:G29)</f>
        <v>140871.984375</v>
      </c>
      <c r="I30" s="31"/>
      <c r="J30" s="31"/>
      <c r="K30" s="31"/>
    </row>
    <row r="31" spans="1:12" x14ac:dyDescent="0.25">
      <c r="B31" s="240"/>
      <c r="I31" s="31"/>
      <c r="J31" s="31"/>
      <c r="K31" s="31"/>
    </row>
    <row r="32" spans="1:12" ht="13.8" thickBot="1" x14ac:dyDescent="0.3">
      <c r="B32" s="240" t="s">
        <v>18</v>
      </c>
      <c r="E32" s="7">
        <f ca="1">E15+E18+E30</f>
        <v>104338.4946185599</v>
      </c>
      <c r="F32" s="8"/>
      <c r="G32" s="7">
        <f ca="1">G15+G18+G30</f>
        <v>207173.69677734375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484649.1</v>
      </c>
      <c r="C3" s="117">
        <f ca="1">6.8*0.75*E3</f>
        <v>119406.29999999999</v>
      </c>
      <c r="D3" s="117">
        <f ca="1">C3+B3</f>
        <v>604055.39999999991</v>
      </c>
      <c r="E3" s="118">
        <f ca="1">SUM(Preschedule!B59:Y59)</f>
        <v>23413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-723</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465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388</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-16082.102400000003</v>
      </c>
      <c r="C28" s="120"/>
      <c r="D28" s="120">
        <f ca="1">C28+B28</f>
        <v>-16082.102400000003</v>
      </c>
      <c r="E28" s="114">
        <f>SUM(Preschedule!B56:Y56)</f>
        <v>1230</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-19263.36</v>
      </c>
      <c r="C30" s="120"/>
      <c r="D30" s="120">
        <f>C30+B30</f>
        <v>-19263.36</v>
      </c>
      <c r="E30" s="114">
        <f>SUM(Preschedule!B53:Y53)</f>
        <v>3160</v>
      </c>
      <c r="F30" s="120">
        <f>H30*I30</f>
        <v>6.0960000000000001</v>
      </c>
      <c r="G30" s="79">
        <f>-IF(E30=0,0,D30/E30)</f>
        <v>6.0960000000000001</v>
      </c>
      <c r="H30" s="134">
        <v>10.16</v>
      </c>
      <c r="I30" s="135">
        <v>0.6</v>
      </c>
    </row>
    <row r="31" spans="1:9" ht="12" x14ac:dyDescent="0.25">
      <c r="A31" s="83" t="s">
        <v>44</v>
      </c>
      <c r="B31" s="120">
        <f>-F31*E31</f>
        <v>-19275.552</v>
      </c>
      <c r="C31" s="120"/>
      <c r="D31" s="120">
        <f>C31+B31</f>
        <v>-19275.552</v>
      </c>
      <c r="E31" s="114">
        <f>SUM(Preschedule!B54:Y54)</f>
        <v>3162</v>
      </c>
      <c r="F31" s="120">
        <f>H31*I31</f>
        <v>6.0960000000000001</v>
      </c>
      <c r="G31" s="79">
        <f>-IF(E31=0,0,D31/E31)</f>
        <v>6.0960000000000001</v>
      </c>
      <c r="H31" s="134">
        <v>10.16</v>
      </c>
      <c r="I31" s="135">
        <v>0.6</v>
      </c>
    </row>
    <row r="32" spans="1:9" ht="12" x14ac:dyDescent="0.25">
      <c r="A32" s="83" t="s">
        <v>45</v>
      </c>
      <c r="B32" s="120">
        <f>-F32*E32</f>
        <v>-19287.743999999999</v>
      </c>
      <c r="C32" s="120"/>
      <c r="D32" s="120">
        <f>C32+B32</f>
        <v>-19287.743999999999</v>
      </c>
      <c r="E32" s="114">
        <f>SUM(Preschedule!B55:Y55)</f>
        <v>3164</v>
      </c>
      <c r="F32" s="120">
        <f>H32*I32</f>
        <v>6.0960000000000001</v>
      </c>
      <c r="G32" s="79">
        <f>-IF(E32=0,0,D32/E32)</f>
        <v>6.0959999999999992</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-31468.123046875</v>
      </c>
      <c r="C34" s="120"/>
      <c r="D34" s="120">
        <f ca="1">IF(ISTEXT(B34),0,C34+B34)</f>
        <v>-31468.123046875</v>
      </c>
      <c r="E34" s="114">
        <f>SUM(Preschedule!B41:Y41)</f>
        <v>1402</v>
      </c>
      <c r="F34" s="120">
        <f ca="1">-IF(OR(ISTEXT(B34),E34=0),0,B34/E34)</f>
        <v>22.445166224589872</v>
      </c>
      <c r="G34" s="79">
        <f t="shared" ref="G34:G45" ca="1" si="6">-IF(E34=0,0,D34/E34)</f>
        <v>22.445166224589872</v>
      </c>
      <c r="H34" s="136"/>
      <c r="I34" s="135">
        <f>INDEX(FuelPriceTable,MATCH(A34,FuelNames,0),5)</f>
        <v>1.96</v>
      </c>
    </row>
    <row r="35" spans="1:9" ht="12" x14ac:dyDescent="0.25">
      <c r="A35" s="83" t="s">
        <v>47</v>
      </c>
      <c r="B35" s="120">
        <f ca="1">Gencost(Preschedule!B42:Y42,OFFSET(HeatRateStart,1,MATCH(A35,HeatRateNames,0)-1,250,1),I35)</f>
        <v>-30242.587890625</v>
      </c>
      <c r="C35" s="120"/>
      <c r="D35" s="120">
        <f t="shared" ref="D35:D45" ca="1" si="7">IF(ISTEXT(B35),0,C35+B35)</f>
        <v>-30242.587890625</v>
      </c>
      <c r="E35" s="114">
        <f>SUM(Preschedule!B42:Y42)</f>
        <v>1480</v>
      </c>
      <c r="F35" s="120">
        <f t="shared" ref="F35:F45" ca="1" si="8">-IF(OR(ISTEXT(B35),E35=0),0,B35/E35)</f>
        <v>20.434181007179053</v>
      </c>
      <c r="G35" s="79">
        <f t="shared" ca="1" si="6"/>
        <v>20.434181007179053</v>
      </c>
      <c r="H35" s="136"/>
      <c r="I35" s="135">
        <f t="shared" ref="I35:I45" si="9">INDEX(FuelPriceTable,MATCH(A35,FuelNames,0),5)</f>
        <v>1.96</v>
      </c>
    </row>
    <row r="36" spans="1:9" ht="12" x14ac:dyDescent="0.25">
      <c r="A36" s="83" t="s">
        <v>48</v>
      </c>
      <c r="B36" s="120">
        <f ca="1">Gencost(Preschedule!B43:Y43,OFFSET(HeatRateStart,1,MATCH(A36,HeatRateNames,0)-1,250,1),I36)</f>
        <v>-37888.5</v>
      </c>
      <c r="C36" s="120"/>
      <c r="D36" s="120">
        <f t="shared" ca="1" si="7"/>
        <v>-37888.5</v>
      </c>
      <c r="E36" s="114">
        <f>SUM(Preschedule!B43:Y43)</f>
        <v>1906</v>
      </c>
      <c r="F36" s="120">
        <f t="shared" ca="1" si="8"/>
        <v>19.878541448058762</v>
      </c>
      <c r="G36" s="79">
        <f t="shared" ca="1" si="6"/>
        <v>19.878541448058762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-41272.7734375</v>
      </c>
      <c r="C39" s="120"/>
      <c r="D39" s="120">
        <f t="shared" ca="1" si="7"/>
        <v>-41272.7734375</v>
      </c>
      <c r="E39" s="114">
        <f>SUM(Preschedule!B46:Y46)</f>
        <v>2238</v>
      </c>
      <c r="F39" s="120">
        <f t="shared" ca="1" si="8"/>
        <v>18.441811187444145</v>
      </c>
      <c r="G39" s="79">
        <f t="shared" ca="1" si="6"/>
        <v>18.441811187444145</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-23372.3515625</v>
      </c>
      <c r="C42" s="120"/>
      <c r="D42" s="120">
        <f t="shared" ca="1" si="7"/>
        <v>-23372.3515625</v>
      </c>
      <c r="E42" s="114">
        <f>SUM(Preschedule!B49:Y49)</f>
        <v>867</v>
      </c>
      <c r="F42" s="120">
        <f t="shared" ca="1" si="8"/>
        <v>26.957729599192618</v>
      </c>
      <c r="G42" s="79">
        <f t="shared" ca="1" si="6"/>
        <v>26.957729599192618</v>
      </c>
      <c r="H42" s="136"/>
      <c r="I42" s="135">
        <f t="shared" si="9"/>
        <v>1.96</v>
      </c>
    </row>
    <row r="43" spans="1:9" ht="12" x14ac:dyDescent="0.25">
      <c r="A43" s="83" t="s">
        <v>55</v>
      </c>
      <c r="B43" s="120">
        <f ca="1">Gencost(Preschedule!B50:Y50,OFFSET(HeatRateStart,1,MATCH(A43,HeatRateNames,0)-1,250,1),I43)</f>
        <v>-23215.306640625</v>
      </c>
      <c r="C43" s="120"/>
      <c r="D43" s="120">
        <f t="shared" ca="1" si="7"/>
        <v>-23215.306640625</v>
      </c>
      <c r="E43" s="114">
        <f>SUM(Preschedule!B50:Y50)</f>
        <v>912</v>
      </c>
      <c r="F43" s="120">
        <f t="shared" ca="1" si="8"/>
        <v>25.455380088404606</v>
      </c>
      <c r="G43" s="79">
        <f t="shared" ca="1" si="6"/>
        <v>25.455380088404606</v>
      </c>
      <c r="H43" s="136"/>
      <c r="I43" s="135">
        <f t="shared" si="9"/>
        <v>2.09</v>
      </c>
    </row>
    <row r="44" spans="1:9" ht="12" x14ac:dyDescent="0.25">
      <c r="A44" s="83" t="s">
        <v>56</v>
      </c>
      <c r="B44" s="120">
        <f ca="1">Gencost(Preschedule!B51:Y51,OFFSET(HeatRateStart,1,MATCH(A44,HeatRateNames,0)-1,250,1),I44)</f>
        <v>-17094.44921875</v>
      </c>
      <c r="C44" s="120"/>
      <c r="D44" s="120">
        <f t="shared" ca="1" si="7"/>
        <v>-17094.44921875</v>
      </c>
      <c r="E44" s="114">
        <f>SUM(Preschedule!B51:Y51)</f>
        <v>769</v>
      </c>
      <c r="F44" s="120">
        <f t="shared" ca="1" si="8"/>
        <v>22.229452820221066</v>
      </c>
      <c r="G44" s="79">
        <f t="shared" ca="1" si="6"/>
        <v>22.229452820221066</v>
      </c>
      <c r="H44" s="136"/>
      <c r="I44" s="135">
        <f t="shared" si="9"/>
        <v>2.09</v>
      </c>
    </row>
    <row r="45" spans="1:9" ht="12.6" thickBot="1" x14ac:dyDescent="0.3">
      <c r="A45" s="83" t="s">
        <v>57</v>
      </c>
      <c r="B45" s="120">
        <f ca="1">Gencost(Preschedule!B52:Y52,OFFSET(HeatRateStart,1,MATCH(A45,HeatRateNames,0)-1,250,1),I45)</f>
        <v>-2619.60498046875</v>
      </c>
      <c r="C45" s="120"/>
      <c r="D45" s="120">
        <f t="shared" ca="1" si="7"/>
        <v>-2619.60498046875</v>
      </c>
      <c r="E45" s="114">
        <f>SUM(Preschedule!B52:Y52)</f>
        <v>115</v>
      </c>
      <c r="F45" s="120">
        <f t="shared" ca="1" si="8"/>
        <v>22.77917374320652</v>
      </c>
      <c r="G45" s="79">
        <f t="shared" ca="1" si="6"/>
        <v>22.77917374320652</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37080.48541666667</v>
      </c>
    </row>
    <row r="32" spans="2:2" x14ac:dyDescent="0.25">
      <c r="B32" t="s">
        <v>385</v>
      </c>
    </row>
    <row r="33" spans="2:2" x14ac:dyDescent="0.25">
      <c r="B33" t="s">
        <v>386</v>
      </c>
    </row>
    <row r="34" spans="2:2" x14ac:dyDescent="0.25">
      <c r="B34" t="s">
        <v>387</v>
      </c>
    </row>
    <row r="35" spans="2:2" x14ac:dyDescent="0.25">
      <c r="B35" t="s">
        <v>362</v>
      </c>
    </row>
    <row r="36" spans="2:2" x14ac:dyDescent="0.25">
      <c r="B36" t="s">
        <v>363</v>
      </c>
    </row>
    <row r="37" spans="2:2" x14ac:dyDescent="0.25">
      <c r="B37" t="s">
        <v>388</v>
      </c>
    </row>
    <row r="38" spans="2:2" x14ac:dyDescent="0.25">
      <c r="B38" t="s">
        <v>361</v>
      </c>
    </row>
    <row r="39" spans="2:2" x14ac:dyDescent="0.25">
      <c r="B39" t="s">
        <v>365</v>
      </c>
    </row>
    <row r="40" spans="2:2" x14ac:dyDescent="0.25">
      <c r="B40" t="s">
        <v>389</v>
      </c>
    </row>
    <row r="41" spans="2:2" x14ac:dyDescent="0.25">
      <c r="B41" t="s">
        <v>390</v>
      </c>
    </row>
    <row r="42" spans="2:2" x14ac:dyDescent="0.25">
      <c r="B42" t="s">
        <v>374</v>
      </c>
    </row>
    <row r="43" spans="2:2" x14ac:dyDescent="0.25">
      <c r="B43" t="s">
        <v>369</v>
      </c>
    </row>
    <row r="44" spans="2:2" x14ac:dyDescent="0.25">
      <c r="B44" t="s">
        <v>383</v>
      </c>
    </row>
    <row r="45" spans="2:2" x14ac:dyDescent="0.25">
      <c r="B45" t="s">
        <v>391</v>
      </c>
    </row>
    <row r="46" spans="2:2" x14ac:dyDescent="0.25">
      <c r="B46" t="s">
        <v>382</v>
      </c>
    </row>
    <row r="47" spans="2:2" x14ac:dyDescent="0.25">
      <c r="B47" t="s">
        <v>381</v>
      </c>
    </row>
    <row r="48" spans="2:2" x14ac:dyDescent="0.25">
      <c r="B48" t="s">
        <v>392</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2001-04-03T07:44:28Z</cp:lastPrinted>
  <dcterms:created xsi:type="dcterms:W3CDTF">1998-02-07T06:53:21Z</dcterms:created>
  <dcterms:modified xsi:type="dcterms:W3CDTF">2023-09-10T11:09:11Z</dcterms:modified>
</cp:coreProperties>
</file>