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4688" windowHeight="810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Deals!$D$124</definedName>
    <definedName name="CISOEndDate">Deals!$D$125</definedName>
    <definedName name="cRows">COUNTA(#REF!)</definedName>
    <definedName name="CurrDate">[1]Top!#REF!</definedName>
    <definedName name="DataAll">Deals!$A$2:$AF$257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Deals!$C$123</definedName>
    <definedName name="EndofDType">Deals!$B$123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F117" i="6"/>
  <c r="AD118" i="6"/>
  <c r="AE118" i="6"/>
  <c r="AF118" i="6"/>
  <c r="AD119" i="6"/>
  <c r="AE119" i="6"/>
  <c r="AF119" i="6"/>
  <c r="AD120" i="6"/>
  <c r="AE120" i="6"/>
  <c r="AF120" i="6"/>
  <c r="AD121" i="6"/>
  <c r="AE121" i="6"/>
  <c r="AF121" i="6"/>
  <c r="F127" i="6"/>
  <c r="F128" i="6"/>
  <c r="G128" i="6"/>
  <c r="F129" i="6"/>
  <c r="G129" i="6"/>
  <c r="AD129" i="6"/>
  <c r="AE129" i="6"/>
  <c r="F130" i="6"/>
  <c r="G130" i="6"/>
  <c r="AD130" i="6"/>
  <c r="AE130" i="6"/>
  <c r="F131" i="6"/>
  <c r="G131" i="6"/>
  <c r="F132" i="6"/>
  <c r="G132" i="6"/>
  <c r="F133" i="6"/>
  <c r="G133" i="6"/>
  <c r="F134" i="6"/>
  <c r="G134" i="6"/>
  <c r="AD134" i="6"/>
  <c r="AE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G152" i="6"/>
  <c r="F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F181" i="6"/>
  <c r="G181" i="6"/>
  <c r="G18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BMeyers</author>
    <author>A satisfied Microsoft Office user</author>
  </authors>
  <commentList>
    <comment ref="B58" authorId="0" shapeId="0">
      <text>
        <r>
          <rPr>
            <b/>
            <sz val="8"/>
            <color indexed="81"/>
            <rFont val="Tahoma"/>
          </rPr>
          <t>MERRISS:</t>
        </r>
        <r>
          <rPr>
            <sz val="8"/>
            <color indexed="81"/>
            <rFont val="Tahoma"/>
          </rPr>
          <t xml:space="preserve">
30 MW SPIN</t>
        </r>
      </text>
    </comment>
    <comment ref="C58" authorId="1" shapeId="0">
      <text>
        <r>
          <rPr>
            <sz val="10"/>
            <color indexed="81"/>
            <rFont val="Tahoma"/>
            <family val="2"/>
          </rPr>
          <t xml:space="preserve">Merriss:
30 of spin from PAC
</t>
        </r>
      </text>
    </comment>
    <comment ref="I58" authorId="0" shapeId="0">
      <text>
        <r>
          <rPr>
            <b/>
            <sz val="8"/>
            <color indexed="81"/>
            <rFont val="Tahoma"/>
          </rPr>
          <t xml:space="preserve">mcausholli:
EPE had 29MW extra going to ISO. We took it out late
</t>
        </r>
      </text>
    </comment>
    <comment ref="L58" authorId="0" shapeId="0">
      <text>
        <r>
          <rPr>
            <b/>
            <sz val="11"/>
            <color indexed="81"/>
            <rFont val="Tahoma"/>
            <family val="2"/>
          </rPr>
          <t>mcausholli</t>
        </r>
        <r>
          <rPr>
            <sz val="8"/>
            <color indexed="81"/>
            <rFont val="Tahoma"/>
          </rPr>
          <t xml:space="preserve">
</t>
        </r>
        <r>
          <rPr>
            <sz val="10"/>
            <color indexed="81"/>
            <rFont val="Tahoma"/>
            <family val="2"/>
          </rPr>
          <t>25 Mw reserves</t>
        </r>
      </text>
    </comment>
    <comment ref="M58" authorId="0" shapeId="0">
      <text>
        <r>
          <rPr>
            <b/>
            <sz val="8"/>
            <color indexed="81"/>
            <rFont val="Tahoma"/>
          </rPr>
          <t>mcausholli:
25Mw reserves</t>
        </r>
      </text>
    </comment>
    <comment ref="N58" authorId="0" shapeId="0">
      <text>
        <r>
          <rPr>
            <b/>
            <sz val="10"/>
            <color indexed="81"/>
            <rFont val="Tahoma"/>
            <family val="2"/>
          </rPr>
          <t>mcausholli</t>
        </r>
        <r>
          <rPr>
            <sz val="10"/>
            <color indexed="81"/>
            <rFont val="Tahoma"/>
            <family val="2"/>
          </rPr>
          <t xml:space="preserve">
75 MW reserves</t>
        </r>
      </text>
    </comment>
    <comment ref="O58" authorId="0" shapeId="0">
      <text>
        <r>
          <rPr>
            <b/>
            <sz val="10"/>
            <color indexed="81"/>
            <rFont val="Tahoma"/>
            <family val="2"/>
          </rPr>
          <t>mcausholli:
75 MW reserves</t>
        </r>
      </text>
    </comment>
    <comment ref="P58" authorId="0" shapeId="0">
      <text>
        <r>
          <rPr>
            <b/>
            <sz val="10"/>
            <color indexed="81"/>
            <rFont val="Tahoma"/>
            <family val="2"/>
          </rPr>
          <t>mcausholli:
75 MW reserves</t>
        </r>
        <r>
          <rPr>
            <sz val="10"/>
            <color indexed="81"/>
            <rFont val="Tahoma"/>
            <family val="2"/>
          </rPr>
          <t xml:space="preserve">
</t>
        </r>
      </text>
    </comment>
    <comment ref="Q58" authorId="0" shapeId="0">
      <text>
        <r>
          <rPr>
            <b/>
            <sz val="10"/>
            <color indexed="81"/>
            <rFont val="Tahoma"/>
            <family val="2"/>
          </rPr>
          <t>mcausholli:</t>
        </r>
        <r>
          <rPr>
            <sz val="10"/>
            <color indexed="81"/>
            <rFont val="Tahoma"/>
            <family val="2"/>
          </rPr>
          <t xml:space="preserve">
75MW reserves</t>
        </r>
      </text>
    </comment>
    <comment ref="R58" authorId="0" shapeId="0">
      <text>
        <r>
          <rPr>
            <b/>
            <sz val="10"/>
            <color indexed="81"/>
            <rFont val="Tahoma"/>
            <family val="2"/>
          </rPr>
          <t>mcausholli:
75 MW reserves</t>
        </r>
        <r>
          <rPr>
            <b/>
            <sz val="8"/>
            <color indexed="81"/>
            <rFont val="Tahoma"/>
          </rPr>
          <t xml:space="preserve">
</t>
        </r>
        <r>
          <rPr>
            <sz val="8"/>
            <color indexed="81"/>
            <rFont val="Tahoma"/>
          </rPr>
          <t xml:space="preserve">
</t>
        </r>
      </text>
    </comment>
    <comment ref="S58" authorId="0" shapeId="0">
      <text>
        <r>
          <rPr>
            <b/>
            <sz val="10"/>
            <color indexed="81"/>
            <rFont val="Tahoma"/>
            <family val="2"/>
          </rPr>
          <t>mcausholli:
75 MW reserves</t>
        </r>
        <r>
          <rPr>
            <b/>
            <sz val="8"/>
            <color indexed="81"/>
            <rFont val="Tahoma"/>
          </rPr>
          <t xml:space="preserve">
</t>
        </r>
        <r>
          <rPr>
            <sz val="8"/>
            <color indexed="81"/>
            <rFont val="Tahoma"/>
          </rPr>
          <t xml:space="preserve">
</t>
        </r>
      </text>
    </comment>
    <comment ref="T58" authorId="0" shapeId="0">
      <text>
        <r>
          <rPr>
            <b/>
            <sz val="8"/>
            <color indexed="81"/>
            <rFont val="Tahoma"/>
          </rPr>
          <t>Dean:</t>
        </r>
        <r>
          <rPr>
            <sz val="8"/>
            <color indexed="81"/>
            <rFont val="Tahoma"/>
          </rPr>
          <t xml:space="preserve">
75 Reserves
</t>
        </r>
      </text>
    </comment>
    <comment ref="U58" authorId="0" shapeId="0">
      <text>
        <r>
          <rPr>
            <b/>
            <sz val="8"/>
            <color indexed="81"/>
            <rFont val="Tahoma"/>
          </rPr>
          <t>Dean:</t>
        </r>
        <r>
          <rPr>
            <sz val="8"/>
            <color indexed="81"/>
            <rFont val="Tahoma"/>
          </rPr>
          <t xml:space="preserve">
75  Reserves
</t>
        </r>
      </text>
    </comment>
    <comment ref="V58" authorId="0" shapeId="0">
      <text>
        <r>
          <rPr>
            <b/>
            <sz val="8"/>
            <color indexed="81"/>
            <rFont val="Tahoma"/>
          </rPr>
          <t>Dean:</t>
        </r>
        <r>
          <rPr>
            <sz val="8"/>
            <color indexed="81"/>
            <rFont val="Tahoma"/>
          </rPr>
          <t xml:space="preserve">
75  Reserves
</t>
        </r>
      </text>
    </comment>
    <comment ref="W58" authorId="0" shapeId="0">
      <text>
        <r>
          <rPr>
            <b/>
            <sz val="8"/>
            <color indexed="81"/>
            <rFont val="Tahoma"/>
          </rPr>
          <t>Dean:
50 Reserves</t>
        </r>
        <r>
          <rPr>
            <sz val="8"/>
            <color indexed="81"/>
            <rFont val="Tahoma"/>
          </rPr>
          <t xml:space="preserve">
</t>
        </r>
      </text>
    </comment>
    <comment ref="X58" authorId="0" shapeId="0">
      <text>
        <r>
          <rPr>
            <b/>
            <sz val="8"/>
            <color indexed="81"/>
            <rFont val="Tahoma"/>
          </rPr>
          <t>Dean:
25 Reserves</t>
        </r>
        <r>
          <rPr>
            <sz val="8"/>
            <color indexed="81"/>
            <rFont val="Tahoma"/>
          </rPr>
          <t xml:space="preserve">
</t>
        </r>
      </text>
    </comment>
    <comment ref="Y58" authorId="0" shapeId="0">
      <text>
        <r>
          <rPr>
            <b/>
            <sz val="8"/>
            <color indexed="81"/>
            <rFont val="Tahoma"/>
          </rPr>
          <t>Dean:
25 Reserve</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s_mcrouch</author>
  </authors>
  <commentList>
    <comment ref="A8" authorId="0" shapeId="0">
      <text>
        <r>
          <rPr>
            <sz val="16"/>
            <color indexed="81"/>
            <rFont val="Tahoma"/>
            <family val="2"/>
          </rPr>
          <t>Amrad</t>
        </r>
      </text>
    </comment>
    <comment ref="D21" authorId="1" shapeId="0">
      <text>
        <r>
          <rPr>
            <sz val="10"/>
            <color indexed="81"/>
            <rFont val="Tahoma"/>
            <family val="2"/>
          </rPr>
          <t>NOTE TO SELF.
The CALPX lines are hidden.  They are rows 16-64.</t>
        </r>
      </text>
    </comment>
    <comment ref="R116" authorId="2" shapeId="0">
      <text>
        <r>
          <rPr>
            <b/>
            <sz val="10"/>
            <color indexed="81"/>
            <rFont val="Tahoma"/>
            <family val="2"/>
          </rPr>
          <t>mcausholli:
Purchased 50 Mw at 40 min after. Integrated to 12MW</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<sst xmlns="http://schemas.openxmlformats.org/spreadsheetml/2006/main" count="862" uniqueCount="399">
  <si>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</si>
  <si>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</si>
  <si>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</si>
  <si>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</si>
  <si>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</si>
  <si>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</si>
  <si>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</si>
  <si>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</si>
  <si>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</si>
  <si>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</si>
  <si>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</si>
  <si>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</si>
  <si>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</si>
  <si>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</si>
  <si>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</si>
  <si>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</si>
  <si>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</si>
  <si>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</si>
  <si>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</si>
  <si>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</si>
  <si>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</si>
  <si>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</si>
  <si>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</si>
  <si>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</si>
  <si>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</si>
  <si>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</si>
  <si>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</si>
  <si>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</si>
  <si>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</si>
  <si>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</si>
  <si>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</si>
  <si>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</si>
  <si>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</si>
  <si>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</si>
  <si>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</si>
  <si>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</si>
  <si>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</si>
  <si>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</si>
  <si>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</si>
  <si>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</si>
  <si>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</si>
  <si>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</si>
  <si>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</si>
  <si>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</si>
  <si>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</si>
  <si>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</si>
  <si>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</si>
  <si>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</si>
  <si>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</si>
  <si>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</si>
  <si>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</si>
  <si>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</si>
  <si>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</si>
  <si>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</si>
  <si>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</si>
  <si>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</si>
  <si>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</si>
  <si>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</si>
  <si>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</si>
  <si>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</si>
  <si>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</si>
  <si>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</si>
  <si>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</si>
  <si>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</si>
  <si>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</si>
  <si>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</si>
  <si>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</si>
  <si>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</si>
  <si>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</si>
  <si>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</si>
  <si>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</si>
  <si>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</si>
  <si>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</si>
  <si>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</si>
  <si>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</si>
  <si>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</si>
  <si>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</si>
  <si>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</si>
  <si>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</si>
  <si>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</si>
  <si>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</si>
  <si>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</si>
  <si>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</si>
  <si>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</si>
  <si>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</si>
  <si>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</si>
  <si>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</si>
  <si>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</si>
  <si>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</si>
  <si>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</si>
  <si>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</si>
  <si>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</si>
  <si>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</si>
  <si>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</si>
  <si>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</si>
  <si>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</si>
  <si>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</si>
  <si>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</si>
  <si>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</si>
  <si>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</si>
  <si>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</si>
  <si>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</si>
  <si>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</si>
  <si>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</si>
  <si>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</si>
  <si>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</si>
  <si>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</si>
  <si>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</si>
  <si>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</si>
  <si>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</si>
  <si>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</si>
  <si>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</si>
  <si>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</si>
  <si>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</si>
  <si>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</si>
  <si>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</si>
  <si>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</si>
  <si>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</si>
  <si>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</si>
  <si>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</si>
  <si>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</si>
  <si>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</si>
  <si>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</si>
  <si>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</si>
  <si>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</si>
  <si>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</si>
  <si>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</si>
  <si>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</si>
  <si>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</si>
  <si>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</si>
  <si>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</si>
  <si>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</si>
  <si>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</si>
  <si>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</si>
  <si>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</si>
  <si>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</si>
  <si>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</si>
  <si>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</si>
  <si>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</si>
  <si>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</si>
  <si>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</si>
  <si>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</si>
  <si>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</si>
  <si>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</si>
  <si>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</si>
  <si>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</si>
  <si>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</si>
  <si>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</si>
  <si>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</si>
  <si>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</si>
  <si>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</si>
  <si>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</si>
  <si>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</si>
  <si>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</si>
  <si>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</si>
  <si>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</si>
  <si>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</si>
  <si>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</si>
  <si>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</si>
  <si>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</si>
  <si>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</si>
  <si>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</si>
  <si>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</si>
  <si>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</si>
  <si>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</si>
  <si>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</si>
  <si>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</si>
  <si>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</si>
  <si>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</si>
  <si>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</si>
  <si>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</si>
  <si>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</si>
  <si>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</si>
  <si>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</si>
  <si>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</si>
  <si>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</si>
  <si>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</si>
  <si>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</si>
  <si>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</si>
  <si>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</si>
  <si>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</si>
  <si>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</si>
  <si>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</si>
  <si>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</si>
  <si>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</si>
  <si>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</si>
  <si>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</si>
  <si>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</si>
  <si>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</si>
  <si>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</si>
  <si>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</si>
  <si>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</si>
  <si>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</si>
  <si>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</si>
  <si>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</si>
  <si>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</si>
  <si>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</si>
  <si>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</si>
  <si>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</si>
  <si>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</si>
  <si>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</si>
  <si>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</si>
  <si>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</si>
  <si>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</si>
  <si>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</si>
  <si>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</si>
  <si>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</si>
  <si>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</si>
  <si>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</si>
  <si>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</si>
  <si>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</si>
  <si>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</si>
  <si>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</si>
  <si>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</si>
  <si>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</si>
  <si>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</si>
  <si>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</si>
  <si>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</si>
  <si>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</si>
  <si>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</si>
  <si>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</si>
  <si>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</si>
  <si>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</si>
  <si>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</si>
  <si>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</si>
  <si>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</si>
  <si>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</si>
  <si>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</si>
  <si>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</si>
  <si>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</si>
  <si>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</si>
  <si>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</si>
  <si>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</si>
  <si>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</si>
  <si>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</si>
  <si>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</si>
  <si>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</si>
  <si>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</si>
  <si>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</si>
  <si>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</si>
  <si>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</si>
  <si>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</si>
  <si>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</si>
  <si>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</si>
  <si>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</si>
  <si>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</si>
  <si>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</si>
  <si>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</si>
  <si>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</si>
  <si>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</si>
  <si>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</si>
  <si>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</si>
  <si>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</si>
  <si>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</si>
  <si>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</si>
  <si>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</si>
  <si>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</si>
  <si>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</si>
  <si>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</si>
  <si>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</si>
  <si>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</si>
  <si>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</si>
  <si>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</si>
  <si>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</si>
  <si>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</si>
  <si>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</si>
  <si>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</si>
  <si>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</si>
  <si>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</si>
  <si>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</si>
  <si>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</si>
  <si>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</si>
  <si>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</si>
  <si>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</si>
  <si>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</si>
  <si>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</si>
  <si>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</si>
  <si>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</si>
  <si>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</si>
  <si>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</si>
  <si>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</si>
  <si>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</si>
  <si>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</si>
  <si>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</si>
  <si>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</si>
  <si>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</si>
  <si>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</si>
  <si>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</si>
  <si>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</si>
  <si>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</si>
  <si>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</si>
  <si>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</si>
  <si>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</si>
  <si>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</si>
  <si>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</si>
  <si>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</si>
  <si>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</si>
  <si>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</si>
  <si>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</si>
  <si>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</si>
  <si>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</si>
  <si>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</si>
  <si>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</si>
  <si>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</si>
  <si>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</si>
  <si>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</si>
  <si>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</si>
  <si>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</si>
  <si>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</si>
  <si>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</si>
  <si>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</si>
  <si>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</si>
  <si>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</si>
  <si>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</si>
  <si>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</si>
  <si>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</si>
  <si>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</si>
  <si>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</si>
  <si>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</si>
  <si>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</si>
  <si>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</si>
  <si>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</si>
  <si>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</si>
  <si>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</si>
  <si>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</si>
  <si>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</si>
  <si>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</si>
  <si>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</si>
  <si>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</si>
  <si>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</si>
  <si>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</si>
  <si>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</si>
  <si>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</si>
  <si>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</si>
  <si>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</si>
  <si>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</si>
  <si>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</si>
  <si>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</si>
  <si>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</si>
  <si>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</si>
  <si>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</si>
  <si>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</si>
  <si>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</si>
  <si>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</si>
  <si>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</si>
  <si>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</si>
  <si>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</si>
  <si>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</si>
  <si>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</si>
  <si>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</si>
  <si>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</si>
  <si>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</si>
  <si>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</si>
  <si>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</si>
  <si>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</si>
  <si>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</si>
  <si>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</si>
  <si>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</si>
  <si>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</si>
  <si>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</si>
  <si>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</si>
  <si>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</si>
  <si>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</si>
  <si>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</si>
  <si>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</si>
  <si>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</si>
  <si>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</si>
  <si>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</si>
  <si>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SPS/TNP</t>
  </si>
  <si>
    <t>NEWMAN 4 ,UNAV,  0  ,205  , 86  ,214  ,  0  ,1</t>
  </si>
  <si>
    <t>Econ</t>
  </si>
  <si>
    <t>PNM/SRP</t>
  </si>
  <si>
    <t>PNM/SHIPROCK</t>
  </si>
  <si>
    <t>CISO/IPC</t>
  </si>
  <si>
    <t>RIOGRAN 7,MANL, 32  , 32  , 30  , 49  ,  0  ,1</t>
  </si>
  <si>
    <t>CISO/APS</t>
  </si>
  <si>
    <t>CISO/SRP/MWD</t>
  </si>
  <si>
    <t>CISO/PNM</t>
  </si>
  <si>
    <t>CISO/PAC</t>
  </si>
  <si>
    <t>SRP/NAVHO</t>
  </si>
  <si>
    <t>CISO/APX</t>
  </si>
  <si>
    <t>CISO/DUKE</t>
  </si>
  <si>
    <t>CISO/EMPI</t>
  </si>
  <si>
    <t>IPC</t>
  </si>
  <si>
    <t>EPMI</t>
  </si>
  <si>
    <t>Firm</t>
  </si>
  <si>
    <t>FOURCRNRS,MANL, 52  , 52  , 52  ,104  ,  0  ,1</t>
  </si>
  <si>
    <t>PWRX</t>
  </si>
  <si>
    <t>RIOGRAN 6,MANL, 38  , 40  , 28  , 48  ,  0  ,1</t>
  </si>
  <si>
    <t>NEWMAN 1 ,MANL, 78  , 65  , 37  , 78  ,  0  ,1</t>
  </si>
  <si>
    <t xml:space="preserve">RIOGRANDE,,  71 ,   72,   58,  97 ,   0 , </t>
  </si>
  <si>
    <t>PALOVERDE,MANL,391  ,391  ,391  ,600  ,  0  ,1</t>
  </si>
  <si>
    <t>EMPI</t>
  </si>
  <si>
    <t>NEWMAN 2 ,ECON, 36  , 77  , 37  , 83  , 39  ,1</t>
  </si>
  <si>
    <t>NEWMAN 3 ,ECON, 90  , 95  , 37  ,103  ,  5  ,1</t>
  </si>
  <si>
    <t>NM/GT1+ST,ECON,101  ,100  , 61  ,107  ,  0  ,1</t>
  </si>
  <si>
    <t xml:space="preserve">NEWMAN   ,, 305 ,  337,  172, 371 ,  45 , </t>
  </si>
  <si>
    <t>COPPER   ,ECON, 33  , 69  , 15  , 69  , 35  ,1</t>
  </si>
  <si>
    <t>LAMBDA, 51.10,  610,  615,  121,   -0,    0,24286,104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</si>
</sst>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10"/>
      <color indexed="81"/>
      <name val="Tahoma"/>
      <family val="2"/>
    </font>
    <font>
      <b/>
      <sz val="11"/>
      <color indexed="81"/>
      <name val="Tahoma"/>
      <family val="2"/>
    </font>
    <font>
      <b/>
      <sz val="9"/>
      <name val="Arial"/>
      <family val="2"/>
    </font>
    <font>
      <sz val="10"/>
      <color indexed="12"/>
      <name val="Arial"/>
      <family val="2"/>
    </font>
    <font>
      <b/>
      <sz val="10"/>
      <color indexed="12"/>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43" fontId="65" fillId="12" borderId="3" xfId="1" applyFont="1" applyFill="1" applyBorder="1" applyAlignment="1">
      <alignment wrapText="1"/>
    </xf>
    <xf numFmtId="0" fontId="4" fillId="14" borderId="61" xfId="0" applyFont="1" applyFill="1" applyBorder="1" applyAlignment="1">
      <alignment wrapText="1"/>
    </xf>
    <xf numFmtId="207" fontId="73" fillId="7" borderId="43" xfId="0" applyNumberFormat="1" applyFont="1" applyFill="1" applyBorder="1" applyAlignment="1" applyProtection="1">
      <alignment horizontal="center" vertical="top"/>
    </xf>
    <xf numFmtId="207" fontId="73" fillId="12" borderId="40" xfId="0" applyNumberFormat="1" applyFont="1" applyFill="1" applyBorder="1" applyAlignment="1" applyProtection="1">
      <alignment horizontal="center" vertical="top"/>
    </xf>
    <xf numFmtId="207" fontId="73" fillId="4" borderId="40" xfId="0" applyNumberFormat="1" applyFont="1" applyFill="1" applyBorder="1" applyAlignment="1" applyProtection="1">
      <alignment horizontal="center" vertical="top"/>
    </xf>
    <xf numFmtId="207" fontId="73" fillId="12" borderId="43" xfId="0" applyNumberFormat="1" applyFont="1" applyFill="1" applyBorder="1" applyAlignment="1" applyProtection="1">
      <alignment horizontal="center" vertical="top"/>
    </xf>
    <xf numFmtId="207" fontId="73" fillId="12" borderId="46" xfId="0" applyNumberFormat="1" applyFont="1" applyFill="1" applyBorder="1" applyAlignment="1" applyProtection="1">
      <alignment horizontal="center" vertical="top"/>
    </xf>
    <xf numFmtId="207" fontId="73" fillId="16" borderId="43" xfId="0" applyNumberFormat="1" applyFont="1" applyFill="1" applyBorder="1" applyAlignment="1" applyProtection="1">
      <alignment horizontal="center" vertical="top"/>
    </xf>
    <xf numFmtId="0" fontId="65" fillId="14" borderId="61" xfId="0" applyFont="1" applyFill="1" applyBorder="1" applyAlignment="1">
      <alignment wrapText="1"/>
    </xf>
    <xf numFmtId="0" fontId="74" fillId="12" borderId="59" xfId="0" applyFont="1" applyFill="1" applyBorder="1" applyAlignment="1">
      <alignment wrapText="1"/>
    </xf>
    <xf numFmtId="0" fontId="75" fillId="12" borderId="59" xfId="0" applyFont="1" applyFill="1" applyBorder="1" applyAlignment="1">
      <alignment wrapText="1"/>
    </xf>
    <xf numFmtId="0" fontId="74" fillId="13" borderId="59" xfId="0" applyFont="1" applyFill="1" applyBorder="1" applyAlignment="1">
      <alignment wrapText="1"/>
    </xf>
    <xf numFmtId="0" fontId="74" fillId="2" borderId="61" xfId="0" applyFont="1" applyFill="1" applyBorder="1" applyAlignment="1">
      <alignment wrapText="1"/>
    </xf>
    <xf numFmtId="0" fontId="74" fillId="14" borderId="59" xfId="0" applyFont="1" applyFill="1" applyBorder="1" applyAlignment="1" applyProtection="1">
      <alignment wrapText="1"/>
      <protection locked="0"/>
    </xf>
    <xf numFmtId="0" fontId="74" fillId="14" borderId="70" xfId="0" applyFont="1" applyFill="1" applyBorder="1" applyAlignment="1">
      <alignment wrapText="1"/>
    </xf>
    <xf numFmtId="0" fontId="74" fillId="14" borderId="59" xfId="0" applyFont="1" applyFill="1" applyBorder="1" applyAlignment="1">
      <alignment wrapText="1"/>
    </xf>
    <xf numFmtId="0" fontId="74" fillId="14" borderId="0" xfId="0" applyFont="1" applyFill="1" applyBorder="1" applyAlignment="1">
      <alignment wrapText="1"/>
    </xf>
    <xf numFmtId="0" fontId="74" fillId="14" borderId="62" xfId="0" applyFont="1" applyFill="1" applyBorder="1" applyAlignment="1">
      <alignment wrapText="1"/>
    </xf>
    <xf numFmtId="0" fontId="74" fillId="14" borderId="62" xfId="0" applyFont="1" applyFill="1" applyBorder="1" applyAlignment="1" applyProtection="1">
      <alignment wrapText="1"/>
      <protection locked="0"/>
    </xf>
    <xf numFmtId="0" fontId="74" fillId="4" borderId="84" xfId="0" applyFont="1" applyFill="1" applyBorder="1" applyAlignment="1">
      <alignment wrapText="1"/>
    </xf>
    <xf numFmtId="0" fontId="74" fillId="4" borderId="62" xfId="0" applyFont="1" applyFill="1" applyBorder="1" applyAlignment="1">
      <alignment wrapText="1"/>
    </xf>
    <xf numFmtId="0" fontId="75" fillId="14" borderId="59" xfId="0" applyFont="1" applyFill="1" applyBorder="1" applyAlignment="1">
      <alignment wrapText="1"/>
    </xf>
    <xf numFmtId="0" fontId="75" fillId="14" borderId="70" xfId="0" applyFont="1" applyFill="1" applyBorder="1" applyAlignment="1">
      <alignment wrapText="1"/>
    </xf>
    <xf numFmtId="0" fontId="74" fillId="4" borderId="59" xfId="0" applyFont="1" applyFill="1" applyBorder="1" applyAlignment="1">
      <alignment wrapText="1"/>
    </xf>
    <xf numFmtId="0" fontId="74" fillId="13" borderId="84" xfId="0" applyFont="1" applyFill="1" applyBorder="1" applyAlignment="1">
      <alignment wrapText="1"/>
    </xf>
    <xf numFmtId="0" fontId="74" fillId="13" borderId="84" xfId="0" applyFont="1" applyFill="1" applyBorder="1" applyAlignment="1" applyProtection="1">
      <alignment wrapText="1"/>
      <protection locked="0"/>
    </xf>
    <xf numFmtId="0" fontId="74" fillId="13" borderId="62" xfId="0" applyFont="1" applyFill="1" applyBorder="1" applyAlignment="1">
      <alignment wrapText="1"/>
    </xf>
    <xf numFmtId="0" fontId="74" fillId="13" borderId="70" xfId="0" applyFont="1" applyFill="1" applyBorder="1" applyAlignment="1">
      <alignment wrapText="1"/>
    </xf>
    <xf numFmtId="0" fontId="74" fillId="12" borderId="70" xfId="0" applyFont="1" applyFill="1" applyBorder="1" applyAlignment="1">
      <alignment wrapText="1"/>
    </xf>
    <xf numFmtId="0" fontId="69" fillId="14" borderId="59" xfId="0" applyFont="1" applyFill="1" applyBorder="1" applyAlignment="1" applyProtection="1">
      <alignment wrapText="1"/>
      <protection locked="0"/>
    </xf>
    <xf numFmtId="0" fontId="69" fillId="14" borderId="62" xfId="0" applyFont="1" applyFill="1" applyBorder="1" applyAlignment="1" applyProtection="1">
      <alignment wrapText="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123</xdr:row>
          <xdr:rowOff>167640</xdr:rowOff>
        </xdr:from>
        <xdr:to>
          <xdr:col>12</xdr:col>
          <xdr:colOff>99060</xdr:colOff>
          <xdr:row>124</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125</xdr:row>
      <xdr:rowOff>0</xdr:rowOff>
    </xdr:from>
    <xdr:to>
      <xdr:col>24</xdr:col>
      <xdr:colOff>259080</xdr:colOff>
      <xdr:row>148</xdr:row>
      <xdr:rowOff>76200</xdr:rowOff>
    </xdr:to>
    <xdr:sp macro="" textlink="">
      <xdr:nvSpPr>
        <xdr:cNvPr id="2303" name="Text Box 255"/>
        <xdr:cNvSpPr txBox="1">
          <a:spLocks noChangeArrowheads="1"/>
        </xdr:cNvSpPr>
      </xdr:nvSpPr>
      <xdr:spPr bwMode="auto">
        <a:xfrm>
          <a:off x="5120640" y="127558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E1" zoomScale="70" workbookViewId="0">
      <pane ySplit="3" topLeftCell="A26" activePane="bottomLeft" state="frozen"/>
      <selection pane="bottomLef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2">
        <v>36981</v>
      </c>
      <c r="B1" s="604"/>
      <c r="C1" s="604"/>
      <c r="D1" s="604"/>
      <c r="E1" s="604"/>
      <c r="F1" s="604"/>
      <c r="G1" s="604"/>
      <c r="H1" s="604"/>
      <c r="I1" s="604"/>
      <c r="J1" s="604"/>
      <c r="K1" s="604"/>
      <c r="L1" s="604"/>
      <c r="M1" s="604"/>
      <c r="N1" s="604"/>
      <c r="O1" s="604"/>
      <c r="P1" s="604"/>
      <c r="Q1" s="604"/>
      <c r="R1" s="604"/>
      <c r="S1" s="604"/>
      <c r="T1" s="604"/>
      <c r="U1" s="604"/>
      <c r="V1" s="604"/>
      <c r="W1" s="604"/>
      <c r="X1" s="604"/>
      <c r="Y1" s="60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6" customFormat="1" ht="17.25" customHeight="1" thickBot="1" x14ac:dyDescent="0.35">
      <c r="A2" s="663"/>
      <c r="B2" s="507" t="s">
        <v>366</v>
      </c>
      <c r="C2" s="507" t="s">
        <v>366</v>
      </c>
      <c r="D2" s="507" t="s">
        <v>366</v>
      </c>
      <c r="E2" s="507" t="s">
        <v>366</v>
      </c>
      <c r="F2" s="507" t="s">
        <v>366</v>
      </c>
      <c r="G2" s="507" t="s">
        <v>366</v>
      </c>
      <c r="H2" s="507" t="s">
        <v>366</v>
      </c>
      <c r="I2" s="507" t="s">
        <v>366</v>
      </c>
      <c r="J2" s="507" t="s">
        <v>366</v>
      </c>
      <c r="K2" s="507" t="s">
        <v>366</v>
      </c>
      <c r="L2" s="507" t="s">
        <v>366</v>
      </c>
      <c r="M2" s="507" t="s">
        <v>366</v>
      </c>
      <c r="N2" s="507" t="s">
        <v>366</v>
      </c>
      <c r="O2" s="507" t="s">
        <v>366</v>
      </c>
      <c r="P2" s="507" t="s">
        <v>366</v>
      </c>
      <c r="Q2" s="507" t="s">
        <v>366</v>
      </c>
      <c r="R2" s="507" t="s">
        <v>366</v>
      </c>
      <c r="S2" s="507" t="s">
        <v>366</v>
      </c>
      <c r="T2" s="507" t="s">
        <v>366</v>
      </c>
      <c r="U2" s="507" t="s">
        <v>366</v>
      </c>
      <c r="V2" s="507" t="s">
        <v>366</v>
      </c>
      <c r="W2" s="507" t="s">
        <v>366</v>
      </c>
      <c r="X2" s="507" t="s">
        <v>366</v>
      </c>
      <c r="Y2" s="623" t="s">
        <v>366</v>
      </c>
      <c r="Z2" s="504"/>
      <c r="AA2" s="505"/>
      <c r="AB2" s="504"/>
      <c r="AC2" s="504"/>
      <c r="AD2" s="504"/>
      <c r="AE2" s="504"/>
      <c r="AF2" s="504"/>
      <c r="AG2" s="504"/>
      <c r="AH2" s="504"/>
      <c r="AI2" s="504"/>
      <c r="AJ2" s="504"/>
      <c r="AK2" s="504"/>
      <c r="AL2" s="504"/>
      <c r="AM2" s="504"/>
      <c r="AN2" s="504"/>
      <c r="AO2" s="504"/>
      <c r="AP2" s="504"/>
      <c r="AQ2" s="504"/>
      <c r="AR2" s="504"/>
      <c r="AS2" s="504"/>
      <c r="AT2" s="504"/>
      <c r="AU2" s="504"/>
      <c r="AV2" s="504"/>
      <c r="AW2" s="504"/>
      <c r="AX2" s="504"/>
      <c r="AY2" s="504"/>
      <c r="AZ2" s="504"/>
      <c r="BA2" s="504"/>
      <c r="BB2" s="504"/>
      <c r="BC2" s="504"/>
      <c r="BD2" s="504"/>
      <c r="BE2" s="504"/>
      <c r="BF2" s="504"/>
      <c r="BG2" s="504"/>
      <c r="BH2" s="504"/>
      <c r="BI2" s="504"/>
      <c r="BJ2" s="504"/>
      <c r="BK2" s="504"/>
      <c r="BL2" s="504"/>
      <c r="BM2" s="504"/>
      <c r="BN2" s="504"/>
      <c r="BO2" s="504"/>
      <c r="BP2" s="504"/>
      <c r="BQ2" s="504"/>
      <c r="BR2" s="504"/>
      <c r="BS2" s="504"/>
      <c r="BT2" s="504"/>
      <c r="BU2" s="504"/>
      <c r="BV2" s="504"/>
      <c r="BW2" s="504"/>
      <c r="BX2" s="504"/>
      <c r="BY2" s="504"/>
      <c r="BZ2" s="504"/>
      <c r="CA2" s="504"/>
      <c r="CB2" s="504"/>
      <c r="CC2" s="504"/>
      <c r="CD2" s="504"/>
      <c r="CE2" s="504"/>
      <c r="CF2" s="504"/>
      <c r="CG2" s="504"/>
      <c r="CH2" s="504"/>
      <c r="CI2" s="504"/>
      <c r="CJ2" s="504"/>
      <c r="CK2" s="504"/>
      <c r="CL2" s="504"/>
      <c r="CM2" s="504"/>
      <c r="CN2" s="504"/>
      <c r="CO2" s="504"/>
      <c r="CP2" s="504"/>
      <c r="CQ2" s="504"/>
      <c r="CR2" s="504"/>
      <c r="CS2" s="504"/>
      <c r="CT2" s="504"/>
      <c r="CU2" s="504"/>
      <c r="CV2" s="504"/>
      <c r="CW2" s="504"/>
      <c r="CX2" s="504"/>
      <c r="CY2" s="504"/>
      <c r="CZ2" s="504"/>
      <c r="DA2" s="504"/>
      <c r="DB2" s="504"/>
      <c r="DC2" s="504"/>
      <c r="DD2" s="504"/>
      <c r="DE2" s="504"/>
      <c r="DF2" s="504"/>
      <c r="DG2" s="504"/>
      <c r="DH2" s="504"/>
      <c r="DI2" s="504"/>
      <c r="DJ2" s="504"/>
      <c r="DK2" s="504"/>
      <c r="DL2" s="504"/>
      <c r="DM2" s="504"/>
      <c r="DN2" s="504"/>
      <c r="DO2" s="504"/>
      <c r="DP2" s="504"/>
      <c r="DQ2" s="504"/>
      <c r="DR2" s="504"/>
      <c r="DS2" s="504"/>
      <c r="DT2" s="504"/>
      <c r="DU2" s="504"/>
      <c r="DV2" s="504"/>
      <c r="DW2" s="504"/>
      <c r="DX2" s="504"/>
      <c r="DY2" s="504"/>
      <c r="DZ2" s="504"/>
      <c r="EA2" s="504"/>
      <c r="EB2" s="504"/>
      <c r="EC2" s="504"/>
      <c r="ED2" s="504"/>
      <c r="EE2" s="504"/>
      <c r="EF2" s="504"/>
      <c r="EG2" s="504"/>
      <c r="EH2" s="504"/>
      <c r="EI2" s="504"/>
      <c r="EJ2" s="504"/>
      <c r="EK2" s="504"/>
      <c r="EL2" s="504"/>
      <c r="EM2" s="504"/>
      <c r="EN2" s="504"/>
      <c r="EO2" s="504"/>
      <c r="EP2" s="504"/>
      <c r="EQ2" s="504"/>
      <c r="ER2" s="504"/>
      <c r="ES2" s="504"/>
      <c r="ET2" s="504"/>
      <c r="EU2" s="504"/>
      <c r="EV2" s="504"/>
      <c r="EW2" s="504"/>
      <c r="EX2" s="504"/>
      <c r="EY2" s="504"/>
      <c r="EZ2" s="504"/>
      <c r="FA2" s="504"/>
      <c r="FB2" s="504"/>
      <c r="FC2" s="504"/>
      <c r="FD2" s="504"/>
      <c r="FE2" s="504"/>
      <c r="FF2" s="504"/>
      <c r="FG2" s="504"/>
      <c r="FH2" s="504"/>
      <c r="FI2" s="504"/>
      <c r="FJ2" s="504"/>
      <c r="FK2" s="504"/>
      <c r="FL2" s="504"/>
      <c r="FM2" s="504"/>
      <c r="FN2" s="504"/>
      <c r="FO2" s="504"/>
      <c r="FP2" s="504"/>
      <c r="FQ2" s="504"/>
      <c r="FR2" s="504"/>
      <c r="FS2" s="504"/>
      <c r="FT2" s="504"/>
      <c r="FU2" s="504"/>
      <c r="FV2" s="504"/>
      <c r="FW2" s="504"/>
      <c r="FX2" s="504"/>
      <c r="FY2" s="504"/>
      <c r="FZ2" s="504"/>
      <c r="GA2" s="504"/>
      <c r="GB2" s="504"/>
      <c r="GC2" s="504"/>
      <c r="GD2" s="504"/>
      <c r="GE2" s="504"/>
      <c r="GF2" s="504"/>
      <c r="GG2" s="504"/>
      <c r="GH2" s="504"/>
      <c r="GI2" s="504"/>
      <c r="GJ2" s="504"/>
      <c r="GK2" s="504"/>
      <c r="GL2" s="504"/>
      <c r="GM2" s="504"/>
      <c r="GN2" s="504"/>
      <c r="GO2" s="504"/>
      <c r="GP2" s="504"/>
      <c r="GQ2" s="504"/>
      <c r="GR2" s="504"/>
      <c r="GS2" s="504"/>
      <c r="GT2" s="504"/>
      <c r="GU2" s="504"/>
      <c r="GV2" s="504"/>
      <c r="GW2" s="504"/>
      <c r="GX2" s="504"/>
      <c r="GY2" s="504"/>
      <c r="GZ2" s="504"/>
      <c r="HA2" s="504"/>
      <c r="HB2" s="504"/>
      <c r="HC2" s="504"/>
      <c r="HD2" s="504"/>
      <c r="HE2" s="504"/>
    </row>
    <row r="3" spans="1:213" ht="13.8" thickBot="1" x14ac:dyDescent="0.3">
      <c r="A3" s="555" t="s">
        <v>337</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7" t="s">
        <v>307</v>
      </c>
      <c r="B4" s="530">
        <v>589</v>
      </c>
      <c r="C4" s="530">
        <v>564</v>
      </c>
      <c r="D4" s="530">
        <v>548</v>
      </c>
      <c r="E4" s="530">
        <v>542</v>
      </c>
      <c r="F4" s="530">
        <v>542</v>
      </c>
      <c r="G4" s="530">
        <v>546</v>
      </c>
      <c r="H4" s="530">
        <v>540</v>
      </c>
      <c r="I4" s="530">
        <v>592</v>
      </c>
      <c r="J4" s="530">
        <v>632</v>
      </c>
      <c r="K4" s="530">
        <v>679</v>
      </c>
      <c r="L4" s="530">
        <v>695</v>
      </c>
      <c r="M4" s="530">
        <v>703</v>
      </c>
      <c r="N4" s="530">
        <v>701</v>
      </c>
      <c r="O4" s="530">
        <v>700</v>
      </c>
      <c r="P4" s="530">
        <v>696</v>
      </c>
      <c r="Q4" s="530">
        <v>698</v>
      </c>
      <c r="R4" s="530">
        <v>691</v>
      </c>
      <c r="S4" s="530">
        <v>689</v>
      </c>
      <c r="T4" s="530">
        <v>729</v>
      </c>
      <c r="U4" s="530">
        <v>763</v>
      </c>
      <c r="V4" s="530">
        <v>749</v>
      </c>
      <c r="W4" s="530">
        <v>715</v>
      </c>
      <c r="X4" s="530">
        <v>656</v>
      </c>
      <c r="Y4" s="531">
        <v>615</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08" t="s">
        <v>65</v>
      </c>
      <c r="B5" s="689">
        <f>Deals!F4</f>
        <v>25</v>
      </c>
      <c r="C5" s="532">
        <f>Deals!G4</f>
        <v>25</v>
      </c>
      <c r="D5" s="532">
        <f>Deals!H4</f>
        <v>25</v>
      </c>
      <c r="E5" s="532">
        <f>Deals!I4</f>
        <v>25</v>
      </c>
      <c r="F5" s="532">
        <f>Deals!J4</f>
        <v>25</v>
      </c>
      <c r="G5" s="532">
        <v>25</v>
      </c>
      <c r="H5" s="532">
        <f>Deals!L4</f>
        <v>25</v>
      </c>
      <c r="I5" s="532">
        <v>25</v>
      </c>
      <c r="J5" s="532">
        <v>25</v>
      </c>
      <c r="K5" s="532">
        <f>Deals!O4</f>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20">
        <f>Deals!AC4</f>
        <v>25</v>
      </c>
      <c r="Z5" s="358"/>
      <c r="AA5" s="162"/>
    </row>
    <row r="6" spans="1:213" s="161" customFormat="1" ht="12" x14ac:dyDescent="0.25">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ht="12.6" thickBot="1" x14ac:dyDescent="0.3">
      <c r="A7" s="536" t="s">
        <v>26</v>
      </c>
      <c r="B7" s="508"/>
      <c r="C7" s="508"/>
      <c r="D7" s="508"/>
      <c r="E7" s="508"/>
      <c r="F7" s="508"/>
      <c r="G7" s="508"/>
      <c r="H7" s="508"/>
      <c r="I7" s="508"/>
      <c r="J7" s="508"/>
      <c r="K7" s="508"/>
      <c r="L7" s="508"/>
      <c r="M7" s="508"/>
      <c r="N7" s="508"/>
      <c r="O7" s="508">
        <v>0</v>
      </c>
      <c r="P7" s="508"/>
      <c r="Q7" s="508"/>
      <c r="R7" s="508"/>
      <c r="S7" s="508"/>
      <c r="T7" s="508"/>
      <c r="U7" s="508"/>
      <c r="V7" s="508"/>
      <c r="W7" s="508"/>
      <c r="X7" s="508"/>
      <c r="Y7" s="537"/>
      <c r="Z7" s="160"/>
      <c r="AA7" s="162"/>
    </row>
    <row r="8" spans="1:213" s="161" customFormat="1" ht="11.4" x14ac:dyDescent="0.2">
      <c r="A8" s="510" t="s">
        <v>253</v>
      </c>
      <c r="B8" s="511">
        <f t="array" aca="1" ref="B8" ca="1">SUM(IF((DelPoint= "4C")*(DType = "pre")*(OFFSET(DelPoint,0,B3+2)&lt;0),OFFSET(DelPoint,0,B3+2),0))</f>
        <v>0</v>
      </c>
      <c r="C8" s="511">
        <f t="array" aca="1" ref="C8" ca="1">SUM(IF((DelPoint= "4C")*(DType = "pre")*(OFFSET(DelPoint,0,C3+2)&lt;0),OFFSET(DelPoint,0,C3+2),0))</f>
        <v>0</v>
      </c>
      <c r="D8" s="511">
        <f t="array" aca="1" ref="D8" ca="1">SUM(IF((DelPoint= "4C")*(DType = "pre")*(OFFSET(DelPoint,0,D3+2)&lt;0),OFFSET(DelPoint,0,D3+2),0))</f>
        <v>0</v>
      </c>
      <c r="E8" s="511">
        <f t="array" aca="1" ref="E8" ca="1">SUM(IF((DelPoint= "4C")*(DType = "pre")*(OFFSET(DelPoint,0,E3+2)&lt;0),OFFSET(DelPoint,0,E3+2),0))</f>
        <v>0</v>
      </c>
      <c r="F8" s="511">
        <f t="array" aca="1" ref="F8" ca="1">SUM(IF((DelPoint= "4C")*(DType = "pre")*(OFFSET(DelPoint,0,F3+2)&lt;0),OFFSET(DelPoint,0,F3+2),0))</f>
        <v>0</v>
      </c>
      <c r="G8" s="511">
        <f t="array" aca="1" ref="G8" ca="1">SUM(IF((DelPoint= "4C")*(DType = "pre")*(OFFSET(DelPoint,0,G3+2)&lt;0),OFFSET(DelPoint,0,G3+2),0))</f>
        <v>0</v>
      </c>
      <c r="H8" s="511">
        <f t="array" aca="1" ref="H8" ca="1">SUM(IF((DelPoint= "4C")*(DType = "pre")*(OFFSET(DelPoint,0,H3+2)&lt;0),OFFSET(DelPoint,0,H3+2),0))</f>
        <v>0</v>
      </c>
      <c r="I8" s="511">
        <f t="array" aca="1" ref="I8" ca="1">SUM(IF((DelPoint= "4C")*(DType = "pre")*(OFFSET(DelPoint,0,I3+2)&lt;0),OFFSET(DelPoint,0,I3+2),0))</f>
        <v>0</v>
      </c>
      <c r="J8" s="511">
        <f t="array" aca="1" ref="J8" ca="1">SUM(IF((DelPoint= "4C")*(DType = "pre")*(OFFSET(DelPoint,0,J3+2)&lt;0),OFFSET(DelPoint,0,J3+2),0))</f>
        <v>0</v>
      </c>
      <c r="K8" s="511">
        <f t="array" aca="1" ref="K8" ca="1">SUM(IF((DelPoint= "4C")*(DType = "pre")*(OFFSET(DelPoint,0,K3+2)&lt;0),OFFSET(DelPoint,0,K3+2),0))</f>
        <v>0</v>
      </c>
      <c r="L8" s="511">
        <f t="array" aca="1" ref="L8" ca="1">SUM(IF((DelPoint= "4C")*(DType = "pre")*(OFFSET(DelPoint,0,L3+2)&lt;0),OFFSET(DelPoint,0,L3+2),0))</f>
        <v>0</v>
      </c>
      <c r="M8" s="511">
        <f t="array" aca="1" ref="M8" ca="1">SUM(IF((DelPoint= "4C")*(DType = "pre")*(OFFSET(DelPoint,0,M3+2)&lt;0),OFFSET(DelPoint,0,M3+2),0))</f>
        <v>0</v>
      </c>
      <c r="N8" s="511">
        <f t="array" aca="1" ref="N8" ca="1">SUM(IF((DelPoint= "4C")*(DType = "pre")*(OFFSET(DelPoint,0,N3+2)&lt;0),OFFSET(DelPoint,0,N3+2),0))</f>
        <v>0</v>
      </c>
      <c r="O8" s="511">
        <f t="array" aca="1" ref="O8" ca="1">SUM(IF((DelPoint= "4C")*(DType = "pre")*(OFFSET(DelPoint,0,O3+2)&lt;0),OFFSET(DelPoint,0,O3+2),0))</f>
        <v>0</v>
      </c>
      <c r="P8" s="511">
        <f t="array" aca="1" ref="P8" ca="1">SUM(IF((DelPoint= "4C")*(DType = "pre")*(OFFSET(DelPoint,0,P3+2)&lt;0),OFFSET(DelPoint,0,P3+2),0))</f>
        <v>0</v>
      </c>
      <c r="Q8" s="511">
        <f t="array" aca="1" ref="Q8" ca="1">SUM(IF((DelPoint= "4C")*(DType = "pre")*(OFFSET(DelPoint,0,Q3+2)&lt;0),OFFSET(DelPoint,0,Q3+2),0))</f>
        <v>0</v>
      </c>
      <c r="R8" s="511">
        <f t="array" aca="1" ref="R8" ca="1">SUM(IF((DelPoint= "4C")*(DType = "pre")*(OFFSET(DelPoint,0,R3+2)&lt;0),OFFSET(DelPoint,0,R3+2),0))</f>
        <v>0</v>
      </c>
      <c r="S8" s="511">
        <f t="array" aca="1" ref="S8" ca="1">SUM(IF((DelPoint= "4C")*(DType = "pre")*(OFFSET(DelPoint,0,S3+2)&lt;0),OFFSET(DelPoint,0,S3+2),0))</f>
        <v>0</v>
      </c>
      <c r="T8" s="511">
        <f t="array" aca="1" ref="T8" ca="1">SUM(IF((DelPoint= "4C")*(DType = "pre")*(OFFSET(DelPoint,0,T3+2)&lt;0),OFFSET(DelPoint,0,T3+2),0))</f>
        <v>0</v>
      </c>
      <c r="U8" s="511">
        <f t="array" aca="1" ref="U8" ca="1">SUM(IF((DelPoint= "4C")*(DType = "pre")*(OFFSET(DelPoint,0,U3+2)&lt;0),OFFSET(DelPoint,0,U3+2),0))</f>
        <v>0</v>
      </c>
      <c r="V8" s="511">
        <f t="array" aca="1" ref="V8" ca="1">SUM(IF((DelPoint= "4C")*(DType = "pre")*(OFFSET(DelPoint,0,V3+2)&lt;0),OFFSET(DelPoint,0,V3+2),0))</f>
        <v>0</v>
      </c>
      <c r="W8" s="511">
        <f t="array" aca="1" ref="W8" ca="1">SUM(IF((DelPoint= "4C")*(DType = "pre")*(OFFSET(DelPoint,0,W3+2)&lt;0),OFFSET(DelPoint,0,W3+2),0))</f>
        <v>0</v>
      </c>
      <c r="X8" s="511">
        <f t="array" aca="1" ref="X8" ca="1">SUM(IF((DelPoint= "4C")*(DType = "pre")*(OFFSET(DelPoint,0,X3+2)&lt;0),OFFSET(DelPoint,0,X3+2),0))</f>
        <v>0</v>
      </c>
      <c r="Y8" s="512">
        <f t="array" aca="1" ref="Y8" ca="1">SUM(IF((DelPoint= "4C")*(DType = "pre")*(OFFSET(DelPoint,0,Y3+2)&lt;0),OFFSET(DelPoint,0,Y3+2),0))</f>
        <v>0</v>
      </c>
      <c r="Z8" s="160"/>
      <c r="AA8" s="162"/>
    </row>
    <row r="9" spans="1:213" s="161" customFormat="1" ht="11.4" x14ac:dyDescent="0.2">
      <c r="A9" s="513"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3">
        <f t="shared" ca="1" si="0"/>
        <v>0</v>
      </c>
      <c r="Z9" s="160"/>
      <c r="AA9" s="162"/>
    </row>
    <row r="10" spans="1:213" s="161" customFormat="1" ht="11.4" x14ac:dyDescent="0.2">
      <c r="A10" s="513" t="s">
        <v>361</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3"/>
      <c r="Z10" s="160"/>
      <c r="AA10" s="162"/>
    </row>
    <row r="11" spans="1:213" s="161" customFormat="1" ht="11.4" x14ac:dyDescent="0.2">
      <c r="A11" s="513" t="s">
        <v>254</v>
      </c>
      <c r="B11" s="199">
        <f t="array" aca="1" ref="B11" ca="1">SUM(IF((DelPoint= "4C")*IF((DType = "firm")+(DType = "econ")&gt;0,1,0)*(OFFSET(DelPoint,0,B3+2)&lt;0),OFFSET(DelPoint,0,B3+2),0))</f>
        <v>-30</v>
      </c>
      <c r="C11" s="199">
        <f t="array" aca="1" ref="C11" ca="1">SUM(IF((DelPoint= "4C")*IF((DType = "firm")+(DType = "econ")&gt;0,1,0)*(OFFSET(DelPoint,0,C3+2)&lt;0),OFFSET(DelPoint,0,C3+2),0))</f>
        <v>-30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-25</v>
      </c>
      <c r="U11" s="199">
        <f t="array" aca="1" ref="U11" ca="1">SUM(IF((DelPoint= "4C")*IF((DType = "firm")+(DType = "econ")&gt;0,1,0)*(OFFSET(DelPoint,0,U3+2)&lt;0),OFFSET(DelPoint,0,U3+2),0))</f>
        <v>-25</v>
      </c>
      <c r="V11" s="199">
        <f t="array" aca="1" ref="V11" ca="1">SUM(IF((DelPoint= "4C")*IF((DType = "firm")+(DType = "econ")&gt;0,1,0)*(OFFSET(DelPoint,0,V3+2)&lt;0),OFFSET(DelPoint,0,V3+2),0))</f>
        <v>-25</v>
      </c>
      <c r="W11" s="199">
        <f t="array" aca="1" ref="W11" ca="1">SUM(IF((DelPoint= "4C")*IF((DType = "firm")+(DType = "econ")&gt;0,1,0)*(OFFSET(DelPoint,0,W3+2)&lt;0),OFFSET(DelPoint,0,W3+2),0))</f>
        <v>-25</v>
      </c>
      <c r="X11" s="199">
        <f t="array" aca="1" ref="X11" ca="1">SUM(IF((DelPoint= "4C")*IF((DType = "firm")+(DType = "econ")&gt;0,1,0)*(OFFSET(DelPoint,0,X3+2)&lt;0),OFFSET(DelPoint,0,X3+2),0))</f>
        <v>-25</v>
      </c>
      <c r="Y11" s="644">
        <f t="array" aca="1" ref="Y11" ca="1">SUM(IF((DelPoint= "4C")*IF((DType = "firm")+(DType = "econ")&gt;0,1,0)*(OFFSET(DelPoint,0,Y3+2)&lt;0),OFFSET(DelPoint,0,Y3+2),0))</f>
        <v>-25</v>
      </c>
      <c r="Z11" s="160"/>
      <c r="AA11" s="162"/>
    </row>
    <row r="12" spans="1:213" s="161" customFormat="1" ht="11.4" x14ac:dyDescent="0.2">
      <c r="A12" s="609"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5">
        <f t="array" aca="1" ref="Y12" ca="1">SUM(IF((DelPoint= "PV")*(DType = "pre")*(OFFSET(DelPoint,0,Y3+2)&lt;0),OFFSET(DelPoint,0,Y3+2),0))</f>
        <v>0</v>
      </c>
      <c r="Z12" s="160"/>
      <c r="AA12" s="162"/>
    </row>
    <row r="13" spans="1:213" s="161" customFormat="1" ht="11.4" x14ac:dyDescent="0.2">
      <c r="A13" s="610"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5"/>
      <c r="Z13" s="160"/>
      <c r="AA13" s="162"/>
    </row>
    <row r="14" spans="1:213" s="161" customFormat="1" ht="11.4" x14ac:dyDescent="0.2">
      <c r="A14" s="610" t="s">
        <v>306</v>
      </c>
      <c r="B14" s="553">
        <f ca="1">Deals!F13+Deals!F19+Deals!F18</f>
        <v>0</v>
      </c>
      <c r="C14" s="553">
        <f>Deals!G13+Deals!G19+Deals!G18</f>
        <v>0</v>
      </c>
      <c r="D14" s="553">
        <f>Deals!H13+Deals!H19+Deals!H18</f>
        <v>0</v>
      </c>
      <c r="E14" s="553">
        <f>Deals!I13+Deals!I19+Deals!I18</f>
        <v>0</v>
      </c>
      <c r="F14" s="553">
        <f>Deals!J13+Deals!J19+Deals!J18</f>
        <v>0</v>
      </c>
      <c r="G14" s="553">
        <f>Deals!K13+Deals!K19+Deals!K18</f>
        <v>0</v>
      </c>
      <c r="H14" s="553">
        <f>Deals!L13+Deals!L19+Deals!L18</f>
        <v>0</v>
      </c>
      <c r="I14" s="553">
        <f>Deals!M13+Deals!M19+Deals!M18</f>
        <v>-13</v>
      </c>
      <c r="J14" s="553">
        <f>Deals!N13+Deals!N19+Deals!N18</f>
        <v>-13</v>
      </c>
      <c r="K14" s="553">
        <f>Deals!O13+Deals!O19+Deals!O18</f>
        <v>-13</v>
      </c>
      <c r="L14" s="553">
        <f>Deals!P13+Deals!P19+Deals!P18</f>
        <v>-13</v>
      </c>
      <c r="M14" s="553">
        <f>Deals!Q13+Deals!Q19+Deals!Q18</f>
        <v>-13</v>
      </c>
      <c r="N14" s="553">
        <f>Deals!R13+Deals!R19+Deals!R18</f>
        <v>-13</v>
      </c>
      <c r="O14" s="553">
        <f>Deals!S13+Deals!S19+Deals!S18</f>
        <v>-13</v>
      </c>
      <c r="P14" s="553">
        <f>Deals!T13+Deals!T19+Deals!T18</f>
        <v>-13</v>
      </c>
      <c r="Q14" s="553">
        <f>Deals!U13+Deals!U19+Deals!U18</f>
        <v>-13</v>
      </c>
      <c r="R14" s="553">
        <f>Deals!V13+Deals!V19+Deals!V18</f>
        <v>-13</v>
      </c>
      <c r="S14" s="553">
        <f>Deals!W13+Deals!W19+Deals!W18</f>
        <v>-13</v>
      </c>
      <c r="T14" s="553">
        <f>Deals!X13+Deals!X19+Deals!X18</f>
        <v>-13</v>
      </c>
      <c r="U14" s="553">
        <f>Deals!Y13+Deals!Y19+Deals!Y18</f>
        <v>-13</v>
      </c>
      <c r="V14" s="553">
        <f>Deals!Z13+Deals!Z19+Deals!Z18</f>
        <v>-13</v>
      </c>
      <c r="W14" s="553">
        <f>Deals!AA13+Deals!AA19+Deals!AA18</f>
        <v>-13</v>
      </c>
      <c r="X14" s="553">
        <f>Deals!AB13+Deals!AB19+Deals!AB18</f>
        <v>-13</v>
      </c>
      <c r="Y14" s="553">
        <f>Deals!AC13+Deals!AC19+Deals!AC18</f>
        <v>0</v>
      </c>
      <c r="Z14" s="160"/>
      <c r="AA14" s="162"/>
    </row>
    <row r="15" spans="1:213" s="161" customFormat="1" ht="11.4" x14ac:dyDescent="0.2">
      <c r="A15" s="611"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-62</v>
      </c>
      <c r="O15" s="202">
        <f t="array" aca="1" ref="O15" ca="1">SUM(IF((DelPoint= "PV")*IF((DType = "firm")+(DType = "econ")&gt;0,1,0)*(OFFSET(DelPoint,0,O3+2)&lt;0),OFFSET(DelPoint,0,O3+2),0))</f>
        <v>-75</v>
      </c>
      <c r="P15" s="202">
        <f t="array" aca="1" ref="P15" ca="1">SUM(IF((DelPoint= "PV")*IF((DType = "firm")+(DType = "econ")&gt;0,1,0)*(OFFSET(DelPoint,0,P3+2)&lt;0),OFFSET(DelPoint,0,P3+2),0))</f>
        <v>-50</v>
      </c>
      <c r="Q15" s="202">
        <f t="array" aca="1" ref="Q15" ca="1">SUM(IF((DelPoint= "PV")*IF((DType = "firm")+(DType = "econ")&gt;0,1,0)*(OFFSET(DelPoint,0,Q3+2)&lt;0),OFFSET(DelPoint,0,Q3+2),0))</f>
        <v>-50</v>
      </c>
      <c r="R15" s="202">
        <f t="array" aca="1" ref="R15" ca="1">SUM(IF((DelPoint= "PV")*IF((DType = "firm")+(DType = "econ")&gt;0,1,0)*(OFFSET(DelPoint,0,R3+2)&lt;0),OFFSET(DelPoint,0,R3+2),0))</f>
        <v>-50</v>
      </c>
      <c r="S15" s="202">
        <f t="array" aca="1" ref="S15" ca="1">SUM(IF((DelPoint= "PV")*IF((DType = "firm")+(DType = "econ")&gt;0,1,0)*(OFFSET(DelPoint,0,S3+2)&lt;0),OFFSET(DelPoint,0,S3+2),0))</f>
        <v>-50</v>
      </c>
      <c r="T15" s="202">
        <f t="array" aca="1" ref="T15" ca="1">SUM(IF((DelPoint= "PV")*IF((DType = "firm")+(DType = "econ")&gt;0,1,0)*(OFFSET(DelPoint,0,T3+2)&lt;0),OFFSET(DelPoint,0,T3+2),0))</f>
        <v>-50</v>
      </c>
      <c r="U15" s="202">
        <f t="array" aca="1" ref="U15" ca="1">SUM(IF((DelPoint= "PV")*IF((DType = "firm")+(DType = "econ")&gt;0,1,0)*(OFFSET(DelPoint,0,U3+2)&lt;0),OFFSET(DelPoint,0,U3+2),0))</f>
        <v>-50</v>
      </c>
      <c r="V15" s="202">
        <f t="array" aca="1" ref="V15" ca="1">SUM(IF((DelPoint= "PV")*IF((DType = "firm")+(DType = "econ")&gt;0,1,0)*(OFFSET(DelPoint,0,V3+2)&lt;0),OFFSET(DelPoint,0,V3+2),0))</f>
        <v>-50</v>
      </c>
      <c r="W15" s="202">
        <f t="array" aca="1" ref="W15" ca="1">SUM(IF((DelPoint= "PV")*IF((DType = "firm")+(DType = "econ")&gt;0,1,0)*(OFFSET(DelPoint,0,W3+2)&lt;0),OFFSET(DelPoint,0,W3+2),0))</f>
        <v>-25</v>
      </c>
      <c r="X15" s="202">
        <f t="array" aca="1" ref="X15" ca="1">SUM(IF((DelPoint= "PV")*IF((DType = "firm")+(DType = "econ")&gt;0,1,0)*(OFFSET(DelPoint,0,X3+2)&lt;0),OFFSET(DelPoint,0,X3+2),0))</f>
        <v>0</v>
      </c>
      <c r="Y15" s="646">
        <f t="array" aca="1" ref="Y15" ca="1">SUM(IF((DelPoint= "PV")*IF((DType = "firm")+(DType = "econ")&gt;0,1,0)*(OFFSET(DelPoint,0,Y3+2)&lt;0),OFFSET(DelPoint,0,Y3+2),0))</f>
        <v>0</v>
      </c>
      <c r="Z15" s="160"/>
      <c r="AA15" s="162"/>
    </row>
    <row r="16" spans="1:213" s="161" customFormat="1" ht="11.4" x14ac:dyDescent="0.2">
      <c r="A16" s="612"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47">
        <f t="array" aca="1" ref="Y16" ca="1">SUM(IF((DelPoint= "hidalgo")*(DType = "pre")*(OFFSET(DelPoint,0,Y3+2)&lt;0),OFFSET(DelPoint,0,Y3+2),0))</f>
        <v>0</v>
      </c>
      <c r="Z16" s="160"/>
      <c r="AA16" s="162"/>
    </row>
    <row r="17" spans="1:27" s="161" customFormat="1" ht="11.4" x14ac:dyDescent="0.2">
      <c r="A17" s="613"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48">
        <f t="array" aca="1" ref="Y17" ca="1">SUM(IF((DelPoint= "hidalgo")*IF((DType = "firm")+(DType = "econ")&gt;0,1,0)*(OFFSET(DelPoint,0,Y3+2)&lt;0),OFFSET(DelPoint,0,Y3+2),0))</f>
        <v>0</v>
      </c>
      <c r="Z17" s="160"/>
      <c r="AA17" s="162"/>
    </row>
    <row r="18" spans="1:27" s="161" customFormat="1" ht="12" x14ac:dyDescent="0.2">
      <c r="A18" s="614" t="s">
        <v>277</v>
      </c>
      <c r="B18" s="690">
        <f ca="1">Deals!F7+Deals!F8</f>
        <v>-103</v>
      </c>
      <c r="C18" s="498">
        <f>Deals!G7+Deals!G8</f>
        <v>-103</v>
      </c>
      <c r="D18" s="498">
        <f>Deals!H7+Deals!H8</f>
        <v>-103</v>
      </c>
      <c r="E18" s="498">
        <f>Deals!I7+Deals!I8</f>
        <v>-103</v>
      </c>
      <c r="F18" s="498">
        <f>Deals!J7+Deals!J8</f>
        <v>-103</v>
      </c>
      <c r="G18" s="498">
        <f>Deals!K7+Deals!K8</f>
        <v>-103</v>
      </c>
      <c r="H18" s="498">
        <f>Deals!L7+Deals!L8</f>
        <v>-103</v>
      </c>
      <c r="I18" s="498">
        <f>Deals!M7+Deals!M8</f>
        <v>-125</v>
      </c>
      <c r="J18" s="498">
        <f>Deals!N7+Deals!N8</f>
        <v>-125</v>
      </c>
      <c r="K18" s="498">
        <f>Deals!O7+Deals!O8</f>
        <v>-125</v>
      </c>
      <c r="L18" s="498">
        <f>Deals!P7+Deals!P8</f>
        <v>-125</v>
      </c>
      <c r="M18" s="498">
        <f>Deals!Q7+Deals!Q8</f>
        <v>-125</v>
      </c>
      <c r="N18" s="498">
        <f>Deals!R7+Deals!R8</f>
        <v>-125</v>
      </c>
      <c r="O18" s="498">
        <f>Deals!S7+Deals!S8</f>
        <v>-125</v>
      </c>
      <c r="P18" s="498">
        <f>Deals!T7+Deals!T8</f>
        <v>-125</v>
      </c>
      <c r="Q18" s="498">
        <f>Deals!U7+Deals!U8</f>
        <v>-125</v>
      </c>
      <c r="R18" s="498">
        <f>Deals!V7+Deals!V8</f>
        <v>-125</v>
      </c>
      <c r="S18" s="498">
        <f>Deals!W7+Deals!W8</f>
        <v>-125</v>
      </c>
      <c r="T18" s="498">
        <f>Deals!X7+Deals!X8</f>
        <v>-125</v>
      </c>
      <c r="U18" s="498">
        <f>Deals!Y7+Deals!Y8</f>
        <v>-125</v>
      </c>
      <c r="V18" s="498">
        <f>Deals!Z7+Deals!Z8</f>
        <v>-125</v>
      </c>
      <c r="W18" s="498">
        <f>Deals!AA7+Deals!AA8</f>
        <v>-125</v>
      </c>
      <c r="X18" s="498">
        <f>Deals!AB7+Deals!AB8</f>
        <v>-125</v>
      </c>
      <c r="Y18" s="501">
        <f>Deals!AC7+Deals!AC8</f>
        <v>-103</v>
      </c>
      <c r="Z18" s="160"/>
      <c r="AA18" s="162"/>
    </row>
    <row r="19" spans="1:27" s="161" customFormat="1" ht="11.4" x14ac:dyDescent="0.2">
      <c r="A19" s="615"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9"/>
      <c r="Z19" s="160"/>
      <c r="AA19" s="162"/>
    </row>
    <row r="20" spans="1:27" s="161" customFormat="1" ht="12" thickBot="1" x14ac:dyDescent="0.25">
      <c r="A20" s="616"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362</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9">
        <f t="array" aca="1" ref="Y20" ca="1">SUM(IF((DelPoint= "artesia")*IF((DType = "firm")+(DType = "econ")&gt;0,1,0)*(OFFSET(DelPoint,0,Y3+2)&lt;0),OFFSET(DelPoint,0,Y3+2),0))</f>
        <v>0</v>
      </c>
      <c r="Z20" s="160"/>
      <c r="AA20" s="162"/>
    </row>
    <row r="21" spans="1:27" s="161" customFormat="1" ht="12" x14ac:dyDescent="0.2">
      <c r="A21" s="554"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49"/>
      <c r="Z21" s="160"/>
      <c r="AA21" s="162"/>
    </row>
    <row r="22" spans="1:27" s="161" customFormat="1" ht="12" x14ac:dyDescent="0.2">
      <c r="A22" s="519" t="s">
        <v>121</v>
      </c>
      <c r="B22" s="691">
        <f ca="1">Deals!F3</f>
        <v>150</v>
      </c>
      <c r="C22" s="427">
        <f>Deals!G3</f>
        <v>150</v>
      </c>
      <c r="D22" s="427">
        <f>Deals!H3</f>
        <v>125</v>
      </c>
      <c r="E22" s="427">
        <f>Deals!I3</f>
        <v>125</v>
      </c>
      <c r="F22" s="427">
        <f>Deals!J3</f>
        <v>125</v>
      </c>
      <c r="G22" s="427">
        <f>Deals!K3</f>
        <v>100</v>
      </c>
      <c r="H22" s="427">
        <f>Deals!L3</f>
        <v>80</v>
      </c>
      <c r="I22" s="427">
        <f>Deals!M3</f>
        <v>55</v>
      </c>
      <c r="J22" s="427">
        <f>Deals!N3</f>
        <v>70</v>
      </c>
      <c r="K22" s="427">
        <f>Deals!O3</f>
        <v>100</v>
      </c>
      <c r="L22" s="427">
        <f>Deals!P3</f>
        <v>120</v>
      </c>
      <c r="M22" s="427">
        <f>Deals!Q3</f>
        <v>140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20">
        <f>Deals!AC3</f>
        <v>150</v>
      </c>
      <c r="Z22" s="160"/>
      <c r="AA22" s="162"/>
    </row>
    <row r="23" spans="1:27" s="161" customFormat="1" ht="12" x14ac:dyDescent="0.2">
      <c r="A23" s="521" t="s">
        <v>308</v>
      </c>
      <c r="B23" s="692">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650">
        <f>Deals!AC5</f>
        <v>11</v>
      </c>
      <c r="Z23" s="160"/>
      <c r="AA23" s="162"/>
    </row>
    <row r="24" spans="1:27" s="163" customFormat="1" ht="12" x14ac:dyDescent="0.2">
      <c r="A24" s="522"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1"/>
      <c r="Z24" s="351"/>
      <c r="AA24" s="164"/>
    </row>
    <row r="25" spans="1:27" s="161" customFormat="1" ht="11.4" x14ac:dyDescent="0.2">
      <c r="A25" s="513" t="s">
        <v>115</v>
      </c>
      <c r="B25" s="558">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3">
        <f t="array" aca="1" ref="Y25" ca="1">SUM(IF((DelPoint= "4C")*(DType = "pre")*(OFFSET(DelPoint,0,Y3+2)&gt;0),OFFSET(DelPoint,0,Y3+2),0))</f>
        <v>0</v>
      </c>
      <c r="Z25" s="160"/>
      <c r="AA25" s="162"/>
    </row>
    <row r="26" spans="1:27" s="161" customFormat="1" ht="11.4" x14ac:dyDescent="0.2">
      <c r="A26" s="513"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2">
        <f t="shared" ca="1" si="1"/>
        <v>0</v>
      </c>
      <c r="Z26" s="160"/>
      <c r="AA26" s="162"/>
    </row>
    <row r="27" spans="1:27" s="161" customFormat="1" ht="12" x14ac:dyDescent="0.2">
      <c r="A27" s="618" t="s">
        <v>361</v>
      </c>
      <c r="B27" s="688">
        <f ca="1">Deals!F16</f>
        <v>60</v>
      </c>
      <c r="C27" s="207">
        <f>Deals!G16</f>
        <v>60</v>
      </c>
      <c r="D27" s="207">
        <f>Deals!H16</f>
        <v>60</v>
      </c>
      <c r="E27" s="207">
        <f>Deals!I16</f>
        <v>60</v>
      </c>
      <c r="F27" s="207">
        <f>Deals!J16</f>
        <v>60</v>
      </c>
      <c r="G27" s="207">
        <f>Deals!K16</f>
        <v>60</v>
      </c>
      <c r="H27" s="207">
        <f>Deals!L16</f>
        <v>60</v>
      </c>
      <c r="I27" s="207">
        <f>Deals!M16</f>
        <v>60</v>
      </c>
      <c r="J27" s="207">
        <f>Deals!N16</f>
        <v>60</v>
      </c>
      <c r="K27" s="207">
        <f>Deals!O16</f>
        <v>60</v>
      </c>
      <c r="L27" s="207">
        <f>Deals!P16</f>
        <v>60</v>
      </c>
      <c r="M27" s="207">
        <f>Deals!Q16</f>
        <v>60</v>
      </c>
      <c r="N27" s="207">
        <f>Deals!R16</f>
        <v>60</v>
      </c>
      <c r="O27" s="207">
        <f>Deals!S16</f>
        <v>60</v>
      </c>
      <c r="P27" s="207">
        <f>Deals!T16</f>
        <v>60</v>
      </c>
      <c r="Q27" s="207">
        <f>Deals!U16</f>
        <v>60</v>
      </c>
      <c r="R27" s="207">
        <f>Deals!V16</f>
        <v>60</v>
      </c>
      <c r="S27" s="207">
        <f>Deals!W16</f>
        <v>60</v>
      </c>
      <c r="T27" s="207">
        <f>Deals!X16</f>
        <v>60</v>
      </c>
      <c r="U27" s="207">
        <f>Deals!Y16</f>
        <v>60</v>
      </c>
      <c r="V27" s="207">
        <f>Deals!Z16</f>
        <v>60</v>
      </c>
      <c r="W27" s="207">
        <f>Deals!AA16</f>
        <v>60</v>
      </c>
      <c r="X27" s="207">
        <f>Deals!AB16</f>
        <v>60</v>
      </c>
      <c r="Y27" s="643">
        <f>Deals!AC16</f>
        <v>60</v>
      </c>
      <c r="Z27" s="160"/>
      <c r="AA27" s="162"/>
    </row>
    <row r="28" spans="1:27" s="161" customFormat="1" ht="12" thickBot="1" x14ac:dyDescent="0.25">
      <c r="A28" s="658" t="s">
        <v>117</v>
      </c>
      <c r="B28" s="659">
        <f t="array" aca="1" ref="B28" ca="1">SUM(IF((DelPoint= "4C")*IF((DType = "firm")+(DType = "econ")&gt;0,1,0)*(OFFSET(DelPoint,0,B3+2)&gt;0),OFFSET(DelPoint,0,B3+2),0))</f>
        <v>0</v>
      </c>
      <c r="C28" s="660">
        <f t="array" aca="1" ref="C28" ca="1">SUM(IF((DelPoint= "4C")*IF((DType = "firm")+(DType = "econ")&gt;0,1,0)*(OFFSET(DelPoint,0,C3+2)&gt;0),OFFSET(DelPoint,0,C3+2),0))</f>
        <v>29</v>
      </c>
      <c r="D28" s="659">
        <f t="array" aca="1" ref="D28" ca="1">SUM(IF((DelPoint= "4C")*IF((DType = "firm")+(DType = "econ")&gt;0,1,0)*(OFFSET(DelPoint,0,D3+2)&gt;0),OFFSET(DelPoint,0,D3+2),0))</f>
        <v>74</v>
      </c>
      <c r="E28" s="659">
        <f t="array" aca="1" ref="E28" ca="1">SUM(IF((DelPoint= "4C")*IF((DType = "firm")+(DType = "econ")&gt;0,1,0)*(OFFSET(DelPoint,0,E3+2)&gt;0),OFFSET(DelPoint,0,E3+2),0))</f>
        <v>74</v>
      </c>
      <c r="F28" s="659">
        <f t="array" aca="1" ref="F28" ca="1">SUM(IF((DelPoint= "4C")*IF((DType = "firm")+(DType = "econ")&gt;0,1,0)*(OFFSET(DelPoint,0,F3+2)&gt;0),OFFSET(DelPoint,0,F3+2),0))</f>
        <v>49</v>
      </c>
      <c r="G28" s="659">
        <f t="array" aca="1" ref="G28" ca="1">SUM(IF((DelPoint= "4C")*IF((DType = "firm")+(DType = "econ")&gt;0,1,0)*(OFFSET(DelPoint,0,G3+2)&gt;0),OFFSET(DelPoint,0,G3+2),0))</f>
        <v>29</v>
      </c>
      <c r="H28" s="659">
        <f t="array" aca="1" ref="H28" ca="1">SUM(IF((DelPoint= "4C")*IF((DType = "firm")+(DType = "econ")&gt;0,1,0)*(OFFSET(DelPoint,0,H3+2)&gt;0),OFFSET(DelPoint,0,H3+2),0))</f>
        <v>29</v>
      </c>
      <c r="I28" s="659">
        <f t="array" aca="1" ref="I28" ca="1">SUM(IF((DelPoint= "4C")*IF((DType = "firm")+(DType = "econ")&gt;0,1,0)*(OFFSET(DelPoint,0,I3+2)&gt;0),OFFSET(DelPoint,0,I3+2),0))</f>
        <v>0</v>
      </c>
      <c r="J28" s="659">
        <f t="array" aca="1" ref="J28" ca="1">SUM(IF((DelPoint= "4C")*IF((DType = "firm")+(DType = "econ")&gt;0,1,0)*(OFFSET(DelPoint,0,J3+2)&gt;0),OFFSET(DelPoint,0,J3+2),0))</f>
        <v>5</v>
      </c>
      <c r="K28" s="659">
        <f t="array" aca="1" ref="K28" ca="1">SUM(IF((DelPoint= "4C")*IF((DType = "firm")+(DType = "econ")&gt;0,1,0)*(OFFSET(DelPoint,0,K3+2)&gt;0),OFFSET(DelPoint,0,K3+2),0))</f>
        <v>5</v>
      </c>
      <c r="L28" s="659">
        <f t="array" aca="1" ref="L28" ca="1">SUM(IF((DelPoint= "4C")*IF((DType = "firm")+(DType = "econ")&gt;0,1,0)*(OFFSET(DelPoint,0,L3+2)&gt;0),OFFSET(DelPoint,0,L3+2),0))</f>
        <v>110</v>
      </c>
      <c r="M28" s="659">
        <f t="array" aca="1" ref="M28" ca="1">SUM(IF((DelPoint= "4C")*IF((DType = "firm")+(DType = "econ")&gt;0,1,0)*(OFFSET(DelPoint,0,M3+2)&gt;0),OFFSET(DelPoint,0,M3+2),0))</f>
        <v>78</v>
      </c>
      <c r="N28" s="659">
        <f t="array" aca="1" ref="N28" ca="1">SUM(IF((DelPoint= "4C")*IF((DType = "firm")+(DType = "econ")&gt;0,1,0)*(OFFSET(DelPoint,0,N3+2)&gt;0),OFFSET(DelPoint,0,N3+2),0))</f>
        <v>80</v>
      </c>
      <c r="O28" s="659">
        <f t="array" aca="1" ref="O28" ca="1">SUM(IF((DelPoint= "4C")*IF((DType = "firm")+(DType = "econ")&gt;0,1,0)*(OFFSET(DelPoint,0,O3+2)&gt;0),OFFSET(DelPoint,0,O3+2),0))</f>
        <v>59</v>
      </c>
      <c r="P28" s="659">
        <f t="array" aca="1" ref="P28" ca="1">SUM(IF((DelPoint= "4C")*IF((DType = "firm")+(DType = "econ")&gt;0,1,0)*(OFFSET(DelPoint,0,P3+2)&gt;0),OFFSET(DelPoint,0,P3+2),0))</f>
        <v>34</v>
      </c>
      <c r="Q28" s="659">
        <f t="array" aca="1" ref="Q28" ca="1">SUM(IF((DelPoint= "4C")*IF((DType = "firm")+(DType = "econ")&gt;0,1,0)*(OFFSET(DelPoint,0,Q3+2)&gt;0),OFFSET(DelPoint,0,Q3+2),0))</f>
        <v>34</v>
      </c>
      <c r="R28" s="659">
        <f t="array" aca="1" ref="R28" ca="1">SUM(IF((DelPoint= "4C")*IF((DType = "firm")+(DType = "econ")&gt;0,1,0)*(OFFSET(DelPoint,0,R3+2)&gt;0),OFFSET(DelPoint,0,R3+2),0))</f>
        <v>8</v>
      </c>
      <c r="S28" s="659">
        <f t="array" aca="1" ref="S28" ca="1">SUM(IF((DelPoint= "4C")*IF((DType = "firm")+(DType = "econ")&gt;0,1,0)*(OFFSET(DelPoint,0,S3+2)&gt;0),OFFSET(DelPoint,0,S3+2),0))</f>
        <v>5</v>
      </c>
      <c r="T28" s="659">
        <f t="array" aca="1" ref="T28" ca="1">SUM(IF((DelPoint= "4C")*IF((DType = "firm")+(DType = "econ")&gt;0,1,0)*(OFFSET(DelPoint,0,T3+2)&gt;0),OFFSET(DelPoint,0,T3+2),0))</f>
        <v>7</v>
      </c>
      <c r="U28" s="659">
        <f t="array" aca="1" ref="U28" ca="1">SUM(IF((DelPoint= "4C")*IF((DType = "firm")+(DType = "econ")&gt;0,1,0)*(OFFSET(DelPoint,0,U3+2)&gt;0),OFFSET(DelPoint,0,U3+2),0))</f>
        <v>11</v>
      </c>
      <c r="V28" s="659">
        <f t="array" aca="1" ref="V28" ca="1">SUM(IF((DelPoint= "4C")*IF((DType = "firm")+(DType = "econ")&gt;0,1,0)*(OFFSET(DelPoint,0,V3+2)&gt;0),OFFSET(DelPoint,0,V3+2),0))</f>
        <v>10</v>
      </c>
      <c r="W28" s="659">
        <f t="array" aca="1" ref="W28" ca="1">SUM(IF((DelPoint= "4C")*IF((DType = "firm")+(DType = "econ")&gt;0,1,0)*(OFFSET(DelPoint,0,W3+2)&gt;0),OFFSET(DelPoint,0,W3+2),0))</f>
        <v>5</v>
      </c>
      <c r="X28" s="659">
        <f t="array" aca="1" ref="X28" ca="1">SUM(IF((DelPoint= "4C")*IF((DType = "firm")+(DType = "econ")&gt;0,1,0)*(OFFSET(DelPoint,0,X3+2)&gt;0),OFFSET(DelPoint,0,X3+2),0))</f>
        <v>0</v>
      </c>
      <c r="Y28" s="661">
        <f t="array" aca="1" ref="Y28" ca="1">SUM(IF((DelPoint= "4C")*IF((DType = "firm")+(DType = "econ")&gt;0,1,0)*(OFFSET(DelPoint,0,Y3+2)&gt;0),OFFSET(DelPoint,0,Y3+2),0))</f>
        <v>0</v>
      </c>
      <c r="Z28" s="160"/>
      <c r="AA28" s="162"/>
    </row>
    <row r="29" spans="1:27" s="161" customFormat="1" ht="11.4" x14ac:dyDescent="0.2">
      <c r="A29" s="654" t="s">
        <v>118</v>
      </c>
      <c r="B29" s="655">
        <f t="array" aca="1" ref="B29" ca="1">SUM(IF((DelPoint= "PV")*(DType = "pre")*(OFFSET(DelPoint,0,B3+2)&gt;0),OFFSET(DelPoint,0,B3+2),0))</f>
        <v>75</v>
      </c>
      <c r="C29" s="656">
        <f t="array" aca="1" ref="C29" ca="1">SUM(IF((DelPoint= "PV")*(DType = "pre")*(OFFSET(DelPoint,0,C3+2)&gt;0),OFFSET(DelPoint,0,C3+2),0))</f>
        <v>0</v>
      </c>
      <c r="D29" s="656">
        <f t="array" aca="1" ref="D29" ca="1">SUM(IF((DelPoint= "PV")*(DType = "pre")*(OFFSET(DelPoint,0,D3+2)&gt;0),OFFSET(DelPoint,0,D3+2),0))</f>
        <v>0</v>
      </c>
      <c r="E29" s="655">
        <f t="array" aca="1" ref="E29" ca="1">SUM(IF((DelPoint= "PV")*(DType = "pre")*(OFFSET(DelPoint,0,E3+2)&gt;0),OFFSET(DelPoint,0,E3+2),0))</f>
        <v>0</v>
      </c>
      <c r="F29" s="655">
        <f t="array" aca="1" ref="F29" ca="1">SUM(IF((DelPoint= "PV")*(DType = "pre")*(OFFSET(DelPoint,0,F3+2)&gt;0),OFFSET(DelPoint,0,F3+2),0))</f>
        <v>0</v>
      </c>
      <c r="G29" s="655">
        <f t="array" aca="1" ref="G29" ca="1">SUM(IF((DelPoint= "PV")*(DType = "pre")*(OFFSET(DelPoint,0,G3+2)&gt;0),OFFSET(DelPoint,0,G3+2),0))</f>
        <v>0</v>
      </c>
      <c r="H29" s="655">
        <f t="array" aca="1" ref="H29" ca="1">SUM(IF((DelPoint= "PV")*(DType = "pre")*(OFFSET(DelPoint,0,H3+2)&gt;0),OFFSET(DelPoint,0,H3+2),0))</f>
        <v>0</v>
      </c>
      <c r="I29" s="655">
        <f t="array" aca="1" ref="I29" ca="1">SUM(IF((DelPoint= "PV")*(DType = "pre")*(OFFSET(DelPoint,0,I3+2)&gt;0),OFFSET(DelPoint,0,I3+2),0))</f>
        <v>50</v>
      </c>
      <c r="J29" s="655">
        <f t="array" aca="1" ref="J29" ca="1">SUM(IF((DelPoint= "PV")*(DType = "pre")*(OFFSET(DelPoint,0,J3+2)&gt;0),OFFSET(DelPoint,0,J3+2),0))</f>
        <v>50</v>
      </c>
      <c r="K29" s="655">
        <f t="array" aca="1" ref="K29" ca="1">SUM(IF((DelPoint= "PV")*(DType = "pre")*(OFFSET(DelPoint,0,K3+2)&gt;0),OFFSET(DelPoint,0,K3+2),0))</f>
        <v>50</v>
      </c>
      <c r="L29" s="655">
        <f t="array" aca="1" ref="L29" ca="1">SUM(IF((DelPoint= "PV")*(DType = "pre")*(OFFSET(DelPoint,0,L3+2)&gt;0),OFFSET(DelPoint,0,L3+2),0))</f>
        <v>50</v>
      </c>
      <c r="M29" s="655">
        <f t="array" aca="1" ref="M29" ca="1">SUM(IF((DelPoint= "PV")*(DType = "pre")*(OFFSET(DelPoint,0,M3+2)&gt;0),OFFSET(DelPoint,0,M3+2),0))</f>
        <v>50</v>
      </c>
      <c r="N29" s="655">
        <f t="array" aca="1" ref="N29" ca="1">SUM(IF((DelPoint= "PV")*(DType = "pre")*(OFFSET(DelPoint,0,N3+2)&gt;0),OFFSET(DelPoint,0,N3+2),0))</f>
        <v>50</v>
      </c>
      <c r="O29" s="655">
        <f t="array" aca="1" ref="O29" ca="1">SUM(IF((DelPoint= "PV")*(DType = "pre")*(OFFSET(DelPoint,0,O3+2)&gt;0),OFFSET(DelPoint,0,O3+2),0))</f>
        <v>50</v>
      </c>
      <c r="P29" s="655">
        <f t="array" aca="1" ref="P29" ca="1">SUM(IF((DelPoint= "PV")*(DType = "pre")*(OFFSET(DelPoint,0,P3+2)&gt;0),OFFSET(DelPoint,0,P3+2),0))</f>
        <v>50</v>
      </c>
      <c r="Q29" s="655">
        <f t="array" aca="1" ref="Q29" ca="1">SUM(IF((DelPoint= "PV")*(DType = "pre")*(OFFSET(DelPoint,0,Q3+2)&gt;0),OFFSET(DelPoint,0,Q3+2),0))</f>
        <v>50</v>
      </c>
      <c r="R29" s="655">
        <f t="array" aca="1" ref="R29" ca="1">SUM(IF((DelPoint= "PV")*(DType = "pre")*(OFFSET(DelPoint,0,R3+2)&gt;0),OFFSET(DelPoint,0,R3+2),0))</f>
        <v>50</v>
      </c>
      <c r="S29" s="655">
        <f t="array" aca="1" ref="S29" ca="1">SUM(IF((DelPoint= "PV")*(DType = "pre")*(OFFSET(DelPoint,0,S3+2)&gt;0),OFFSET(DelPoint,0,S3+2),0))</f>
        <v>50</v>
      </c>
      <c r="T29" s="655">
        <f t="array" aca="1" ref="T29" ca="1">SUM(IF((DelPoint= "PV")*(DType = "pre")*(OFFSET(DelPoint,0,T3+2)&gt;0),OFFSET(DelPoint,0,T3+2),0))</f>
        <v>50</v>
      </c>
      <c r="U29" s="655">
        <f t="array" aca="1" ref="U29" ca="1">SUM(IF((DelPoint= "PV")*(DType = "pre")*(OFFSET(DelPoint,0,U3+2)&gt;0),OFFSET(DelPoint,0,U3+2),0))</f>
        <v>50</v>
      </c>
      <c r="V29" s="655">
        <f t="array" aca="1" ref="V29" ca="1">SUM(IF((DelPoint= "PV")*(DType = "pre")*(OFFSET(DelPoint,0,V3+2)&gt;0),OFFSET(DelPoint,0,V3+2),0))</f>
        <v>50</v>
      </c>
      <c r="W29" s="655">
        <f t="array" aca="1" ref="W29" ca="1">SUM(IF((DelPoint= "PV")*(DType = "pre")*(OFFSET(DelPoint,0,W3+2)&gt;0),OFFSET(DelPoint,0,W3+2),0))</f>
        <v>50</v>
      </c>
      <c r="X29" s="655">
        <f t="array" aca="1" ref="X29" ca="1">SUM(IF((DelPoint= "PV")*(DType = "pre")*(OFFSET(DelPoint,0,X3+2)&gt;0),OFFSET(DelPoint,0,X3+2),0))</f>
        <v>50</v>
      </c>
      <c r="Y29" s="657">
        <f t="array" aca="1" ref="Y29" ca="1">SUM(IF((DelPoint= "PV")*(DType = "pre")*(OFFSET(DelPoint,0,Y3+2)&gt;0),OFFSET(DelPoint,0,Y3+2),0))</f>
        <v>0</v>
      </c>
      <c r="Z29" s="160"/>
      <c r="AA29" s="162"/>
    </row>
    <row r="30" spans="1:27" s="161" customFormat="1" ht="11.4" x14ac:dyDescent="0.2">
      <c r="A30" s="514"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3">
        <f t="array" aca="1" ref="I30" ca="1">SUM(IF((DelPoint= "4C")*(DType = "pre")*(OFFSET(DelPoint,0,I7+2)&gt;0),OFFSET(DelPoint,0,I7+2),0))</f>
        <v>0</v>
      </c>
      <c r="J30" s="553">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5">
        <f t="shared" ca="1" si="3"/>
        <v>0</v>
      </c>
      <c r="Z30" s="160"/>
      <c r="AA30" s="162"/>
    </row>
    <row r="31" spans="1:27" s="161" customFormat="1" ht="12" x14ac:dyDescent="0.2">
      <c r="A31" s="514" t="s">
        <v>306</v>
      </c>
      <c r="B31" s="693">
        <f ca="1">Deals!F9+Deals!F10+Deals!F11+Deals!F17+Deals!F12+Deals!F14</f>
        <v>43</v>
      </c>
      <c r="C31" s="553">
        <f>Deals!G9+Deals!G10+Deals!G11+Deals!G17+Deals!G12+Deals!G14</f>
        <v>43</v>
      </c>
      <c r="D31" s="553">
        <f>Deals!H9+Deals!H10+Deals!H11+Deals!H17+Deals!H12+Deals!H14</f>
        <v>43</v>
      </c>
      <c r="E31" s="553">
        <f>Deals!I9+Deals!I10+Deals!I11+Deals!I17+Deals!I12+Deals!I14</f>
        <v>43</v>
      </c>
      <c r="F31" s="553">
        <f>Deals!J9+Deals!J10+Deals!J11+Deals!J17+Deals!J12+Deals!J14</f>
        <v>43</v>
      </c>
      <c r="G31" s="553">
        <f>Deals!K9+Deals!K10+Deals!K11+Deals!K17+Deals!K12+Deals!K14</f>
        <v>43</v>
      </c>
      <c r="H31" s="553">
        <f>Deals!L9+Deals!L10+Deals!L11+Deals!L17+Deals!L12+Deals!L14</f>
        <v>43</v>
      </c>
      <c r="I31" s="553">
        <f>Deals!M9+Deals!M10+Deals!M11+Deals!M17+Deals!M12+Deals!M14</f>
        <v>-25</v>
      </c>
      <c r="J31" s="553">
        <f>Deals!N9+Deals!N10+Deals!N11+Deals!N17+Deals!N12+Deals!N14</f>
        <v>-25</v>
      </c>
      <c r="K31" s="553">
        <f>Deals!O9+Deals!O10+Deals!O11+Deals!O17+Deals!O12+Deals!O14</f>
        <v>-25</v>
      </c>
      <c r="L31" s="553">
        <f>Deals!P9+Deals!P10+Deals!P11+Deals!P17+Deals!P12+Deals!P14</f>
        <v>-25</v>
      </c>
      <c r="M31" s="553">
        <f>Deals!Q9+Deals!Q10+Deals!Q11+Deals!Q17+Deals!Q12+Deals!Q14</f>
        <v>-25</v>
      </c>
      <c r="N31" s="553">
        <f>Deals!R9+Deals!R10+Deals!R11+Deals!R17+Deals!R12+Deals!R14</f>
        <v>-25</v>
      </c>
      <c r="O31" s="553">
        <f>Deals!S9+Deals!S10+Deals!S11+Deals!S17+Deals!S12+Deals!S14</f>
        <v>-25</v>
      </c>
      <c r="P31" s="553">
        <f>Deals!T9+Deals!T10+Deals!T11+Deals!T17+Deals!T12+Deals!T14</f>
        <v>-25</v>
      </c>
      <c r="Q31" s="553">
        <f>Deals!U9+Deals!U10+Deals!U11+Deals!U17+Deals!U12+Deals!U14</f>
        <v>-25</v>
      </c>
      <c r="R31" s="553">
        <f>Deals!V9+Deals!V10+Deals!V11+Deals!V17+Deals!V12+Deals!V14</f>
        <v>-25</v>
      </c>
      <c r="S31" s="553">
        <f>Deals!W9+Deals!W10+Deals!W11+Deals!W17+Deals!W12+Deals!W14</f>
        <v>-25</v>
      </c>
      <c r="T31" s="553">
        <f>Deals!X9+Deals!X10+Deals!X11+Deals!X17+Deals!X12+Deals!X14</f>
        <v>-25</v>
      </c>
      <c r="U31" s="553">
        <f>Deals!Y9+Deals!Y10+Deals!Y11+Deals!Y17+Deals!Y12+Deals!Y14</f>
        <v>-25</v>
      </c>
      <c r="V31" s="553">
        <f>Deals!Z9+Deals!Z10+Deals!Z11+Deals!Z17+Deals!Z12+Deals!Z14</f>
        <v>-25</v>
      </c>
      <c r="W31" s="553">
        <f>Deals!AA9+Deals!AA10+Deals!AA11+Deals!AA17+Deals!AA12+Deals!AA14</f>
        <v>-25</v>
      </c>
      <c r="X31" s="553">
        <f>Deals!AB9+Deals!AB10+Deals!AB11+Deals!AB17+Deals!AB12+Deals!AB14</f>
        <v>-25</v>
      </c>
      <c r="Y31" s="553">
        <f>Deals!AC9+Deals!AC10+Deals!AC11+Deals!AC17+Deals!AC12+Deals!AC14</f>
        <v>53</v>
      </c>
      <c r="Z31" s="160"/>
      <c r="AA31" s="162"/>
    </row>
    <row r="32" spans="1:27" s="161" customFormat="1" ht="11.4" x14ac:dyDescent="0.2">
      <c r="A32" s="515" t="s">
        <v>120</v>
      </c>
      <c r="B32" s="628">
        <f t="array" aca="1" ref="B32" ca="1">SUM(IF((DelPoint= "PV")*IF((DType = "firm")+(DType = "econ")&gt;0,1,0)*(OFFSET(DelPoint,0,B3+2)&gt;0),OFFSET(DelPoint,0,B3+2),0))</f>
        <v>8</v>
      </c>
      <c r="C32" s="202">
        <f t="array" aca="1" ref="C32" ca="1">SUM(IF((DelPoint= "PV")*IF((DType = "firm")+(DType = "econ")&gt;0,1,0)*(OFFSET(DelPoint,0,C3+2)&gt;0),OFFSET(DelPoint,0,C3+2),0))</f>
        <v>40</v>
      </c>
      <c r="D32" s="202">
        <f t="array" aca="1" ref="D32" ca="1">SUM(IF((DelPoint= "PV")*IF((DType = "firm")+(DType = "econ")&gt;0,1,0)*(OFFSET(DelPoint,0,D3+2)&gt;0),OFFSET(DelPoint,0,D3+2),0))</f>
        <v>40</v>
      </c>
      <c r="E32" s="202">
        <f t="array" aca="1" ref="E32" ca="1">SUM(IF((DelPoint= "PV")*IF((DType = "firm")+(DType = "econ")&gt;0,1,0)*(OFFSET(DelPoint,0,E3+2)&gt;0),OFFSET(DelPoint,0,E3+2),0))</f>
        <v>40</v>
      </c>
      <c r="F32" s="202">
        <f t="array" aca="1" ref="F32" ca="1">SUM(IF((DelPoint= "PV")*IF((DType = "firm")+(DType = "econ")&gt;0,1,0)*(OFFSET(DelPoint,0,F3+2)&gt;0),OFFSET(DelPoint,0,F3+2),0))</f>
        <v>90</v>
      </c>
      <c r="G32" s="202">
        <f t="array" aca="1" ref="G32" ca="1">SUM(IF((DelPoint= "PV")*IF((DType = "firm")+(DType = "econ")&gt;0,1,0)*(OFFSET(DelPoint,0,G3+2)&gt;0),OFFSET(DelPoint,0,G3+2),0))</f>
        <v>110</v>
      </c>
      <c r="H32" s="202">
        <f t="array" aca="1" ref="H32" ca="1">SUM(IF((DelPoint= "PV")*IF((DType = "firm")+(DType = "econ")&gt;0,1,0)*(OFFSET(DelPoint,0,H3+2)&gt;0),OFFSET(DelPoint,0,H3+2),0))</f>
        <v>140</v>
      </c>
      <c r="I32" s="202">
        <f t="array" aca="1" ref="I32" ca="1">SUM(IF((DelPoint= "PV")*IF((DType = "firm")+(DType = "econ")&gt;0,1,0)*(OFFSET(DelPoint,0,I3+2)&gt;0),OFFSET(DelPoint,0,I3+2),0))</f>
        <v>150</v>
      </c>
      <c r="J32" s="202">
        <f t="array" aca="1" ref="J32" ca="1">SUM(IF((DelPoint= "PV")*IF((DType = "firm")+(DType = "econ")&gt;0,1,0)*(OFFSET(DelPoint,0,J3+2)&gt;0),OFFSET(DelPoint,0,J3+2),0))</f>
        <v>175</v>
      </c>
      <c r="K32" s="202">
        <f t="array" aca="1" ref="K32" ca="1">SUM(IF((DelPoint= "PV")*IF((DType = "firm")+(DType = "econ")&gt;0,1,0)*(OFFSET(DelPoint,0,K3+2)&gt;0),OFFSET(DelPoint,0,K3+2),0))</f>
        <v>115</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12</v>
      </c>
      <c r="P32" s="202">
        <f t="array" aca="1" ref="P32" ca="1">SUM(IF((DelPoint= "PV")*IF((DType = "firm")+(DType = "econ")&gt;0,1,0)*(OFFSET(DelPoint,0,P3+2)&gt;0),OFFSET(DelPoint,0,P3+2),0))</f>
        <v>12</v>
      </c>
      <c r="Q32" s="202">
        <f t="array" aca="1" ref="Q32" ca="1">SUM(IF((DelPoint= "PV")*IF((DType = "firm")+(DType = "econ")&gt;0,1,0)*(OFFSET(DelPoint,0,Q3+2)&gt;0),OFFSET(DelPoint,0,Q3+2),0))</f>
        <v>12</v>
      </c>
      <c r="R32" s="202">
        <f t="array" aca="1" ref="R32" ca="1">SUM(IF((DelPoint= "PV")*IF((DType = "firm")+(DType = "econ")&gt;0,1,0)*(OFFSET(DelPoint,0,R3+2)&gt;0),OFFSET(DelPoint,0,R3+2),0))</f>
        <v>22</v>
      </c>
      <c r="S32" s="202">
        <f t="array" aca="1" ref="S32" ca="1">SUM(IF((DelPoint= "PV")*IF((DType = "firm")+(DType = "econ")&gt;0,1,0)*(OFFSET(DelPoint,0,S3+2)&gt;0),OFFSET(DelPoint,0,S3+2),0))</f>
        <v>37</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26</v>
      </c>
      <c r="Y32" s="646">
        <f t="array" aca="1" ref="Y32" ca="1">SUM(IF((DelPoint= "PV")*IF((DType = "firm")+(DType = "econ")&gt;0,1,0)*(OFFSET(DelPoint,0,Y3+2)&gt;0),OFFSET(DelPoint,0,Y3+2),0))</f>
        <v>54</v>
      </c>
      <c r="Z32" s="160"/>
      <c r="AA32" s="162"/>
    </row>
    <row r="33" spans="1:33" s="161" customFormat="1" ht="11.4" x14ac:dyDescent="0.2">
      <c r="A33" s="516"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7">
        <f t="array" aca="1" ref="Y33" ca="1">SUM(IF((DelPoint= "hidalgo")*(DType = "pre")*(OFFSET(DelPoint,0,Y3+2)&gt;0),OFFSET(DelPoint,0,Y3+2),0))</f>
        <v>0</v>
      </c>
      <c r="Z33" s="160"/>
      <c r="AA33" s="162"/>
    </row>
    <row r="34" spans="1:33" s="161" customFormat="1" ht="12" thickBot="1" x14ac:dyDescent="0.25">
      <c r="A34" s="523" t="s">
        <v>260</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1.4" x14ac:dyDescent="0.2">
      <c r="A35" s="518"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9">
        <f t="array" aca="1" ref="Y35" ca="1">SUM(IF((DelPoint= "SPS")*(DType = "pre")*(OFFSET(DelPoint,0,Y3+2)&gt;0),OFFSET(DelPoint,0,Y3+2),0))</f>
        <v>0</v>
      </c>
      <c r="Z35" s="160"/>
      <c r="AA35" s="162"/>
    </row>
    <row r="36" spans="1:33" s="161" customFormat="1" ht="11.4" x14ac:dyDescent="0.2">
      <c r="A36" s="518" t="s">
        <v>257</v>
      </c>
      <c r="B36" s="203">
        <f ca="1">SUMIF(OFFSET(SPSBalancingVol,B$3,0),"&gt;0")</f>
        <v>0</v>
      </c>
      <c r="C36" s="203">
        <f t="shared" ref="C36:J36" ca="1" si="4">SUMIF(OFFSET(SPSBalancingVol,C$3,0),"&gt;0")</f>
        <v>0</v>
      </c>
      <c r="D36" s="203">
        <f t="shared" ca="1" si="4"/>
        <v>0</v>
      </c>
      <c r="E36" s="596">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1">
        <f t="shared" ca="1" si="5"/>
        <v>0</v>
      </c>
      <c r="Z36" s="160"/>
      <c r="AA36" s="162"/>
    </row>
    <row r="37" spans="1:33" s="161" customFormat="1" ht="12" thickBot="1" x14ac:dyDescent="0.25">
      <c r="A37" s="518" t="s">
        <v>258</v>
      </c>
      <c r="B37" s="502"/>
      <c r="C37" s="502"/>
      <c r="D37" s="502"/>
      <c r="E37" s="597"/>
      <c r="F37" s="502"/>
      <c r="G37" s="502"/>
      <c r="H37" s="502"/>
      <c r="I37" s="502"/>
      <c r="J37" s="502"/>
      <c r="K37" s="502"/>
      <c r="L37" s="502">
        <f ca="1">SUM(IF((DelPoint= "SPS")*IF((DType = "firm")+(DType = "econ")&gt;0,1,0)*(OFFSET(DelPoint,0,L3+2)&gt;0),OFFSET(DelPoint,0,L3+2),0))</f>
        <v>0</v>
      </c>
      <c r="M37" s="502">
        <f t="array" aca="1" ref="M37" ca="1">SUM(IF((DelPoint= "SPS")*IF((DType = "firm")+(DType = "econ")&gt;0,1,0)*(OFFSET(DelPoint,0,M3+2)&gt;0),OFFSET(DelPoint,0,M3+2),0))</f>
        <v>0</v>
      </c>
      <c r="N37" s="502">
        <f t="array" aca="1" ref="N37" ca="1">SUM(IF((DelPoint= "SPS")*IF((DType = "firm")+(DType = "econ")&gt;0,1,0)*(OFFSET(DelPoint,0,N3+2)&gt;0),OFFSET(DelPoint,0,N3+2),0))</f>
        <v>0</v>
      </c>
      <c r="O37" s="502">
        <f t="array" aca="1" ref="O37" ca="1">SUM(IF((DelPoint= "SPS")*IF((DType = "firm")+(DType = "econ")&gt;0,1,0)*(OFFSET(DelPoint,0,O3+2)&gt;0),OFFSET(DelPoint,0,O3+2),0))</f>
        <v>0</v>
      </c>
      <c r="P37" s="502">
        <f t="array" aca="1" ref="P37" ca="1">SUM(IF((DelPoint= "SPS")*IF((DType = "firm")+(DType = "econ")&gt;0,1,0)*(OFFSET(DelPoint,0,P3+2)&gt;0),OFFSET(DelPoint,0,P3+2),0))</f>
        <v>0</v>
      </c>
      <c r="Q37" s="502">
        <f t="array" aca="1" ref="Q37" ca="1">SUM(IF((DelPoint= "SPS")*IF((DType = "firm")+(DType = "econ")&gt;0,1,0)*(OFFSET(DelPoint,0,Q3+2)&gt;0),OFFSET(DelPoint,0,Q3+2),0))</f>
        <v>0</v>
      </c>
      <c r="R37" s="502">
        <f t="array" aca="1" ref="R37" ca="1">SUM(IF((DelPoint= "SPS")*IF((DType = "firm")+(DType = "econ")&gt;0,1,0)*(OFFSET(DelPoint,0,R3+2)&gt;0),OFFSET(DelPoint,0,R3+2),0))</f>
        <v>0</v>
      </c>
      <c r="S37" s="502">
        <f t="array" aca="1" ref="S37" ca="1">SUM(IF((DelPoint= "SPS")*IF((DType = "firm")+(DType = "econ")&gt;0,1,0)*(OFFSET(DelPoint,0,S3+2)&gt;0),OFFSET(DelPoint,0,S3+2),0))</f>
        <v>0</v>
      </c>
      <c r="T37" s="502">
        <f t="array" aca="1" ref="T37" ca="1">SUM(IF((DelPoint= "SPS")*IF((DType = "firm")+(DType = "econ")&gt;0,1,0)*(OFFSET(DelPoint,0,T3+2)&gt;0),OFFSET(DelPoint,0,T3+2),0))</f>
        <v>0</v>
      </c>
      <c r="U37" s="502">
        <f t="array" aca="1" ref="U37" ca="1">SUM(IF((DelPoint= "SPS")*IF((DType = "firm")+(DType = "econ")&gt;0,1,0)*(OFFSET(DelPoint,0,U3+2)&gt;0),OFFSET(DelPoint,0,U3+2),0))</f>
        <v>0</v>
      </c>
      <c r="V37" s="502">
        <f t="array" aca="1" ref="V37" ca="1">SUM(IF((DelPoint= "SPS")*IF((DType = "firm")+(DType = "econ")&gt;0,1,0)*(OFFSET(DelPoint,0,V3+2)&gt;0),OFFSET(DelPoint,0,V3+2),0))</f>
        <v>0</v>
      </c>
      <c r="W37" s="502">
        <f t="array" aca="1" ref="W37" ca="1">SUM(IF((DelPoint= "SPS")*IF((DType = "firm")+(DType = "econ")&gt;0,1,0)*(OFFSET(DelPoint,0,W3+2)&gt;0),OFFSET(DelPoint,0,W3+2),0))</f>
        <v>0</v>
      </c>
      <c r="X37" s="502">
        <f t="array" aca="1" ref="X37" ca="1">SUM(IF((DelPoint= "SPS")*IF((DType = "firm")+(DType = "econ")&gt;0,1,0)*(OFFSET(DelPoint,0,X3+2)&gt;0),OFFSET(DelPoint,0,X3+2),0))</f>
        <v>0</v>
      </c>
      <c r="Y37" s="503">
        <f t="array" aca="1" ref="Y37" ca="1">SUM(IF((DelPoint= "SPS")*IF((DType = "firm")+(DType = "econ")&gt;0,1,0)*(OFFSET(DelPoint,0,Y3+2)&gt;0),OFFSET(DelPoint,0,Y3+2),0))</f>
        <v>0</v>
      </c>
      <c r="Z37" s="160"/>
      <c r="AA37" s="162"/>
    </row>
    <row r="38" spans="1:33" s="161" customFormat="1" ht="12.6" thickBot="1" x14ac:dyDescent="0.25">
      <c r="A38" s="538" t="s">
        <v>122</v>
      </c>
      <c r="B38" s="551">
        <f t="shared" ref="B38:Y38" ca="1" si="6">SUM(B22:B37)+B4+B5</f>
        <v>961</v>
      </c>
      <c r="C38" s="551">
        <f t="shared" ca="1" si="6"/>
        <v>922</v>
      </c>
      <c r="D38" s="551">
        <f t="shared" ca="1" si="6"/>
        <v>926</v>
      </c>
      <c r="E38" s="598">
        <f t="shared" ca="1" si="6"/>
        <v>920</v>
      </c>
      <c r="F38" s="551">
        <f t="shared" ca="1" si="6"/>
        <v>945</v>
      </c>
      <c r="G38" s="551">
        <f t="shared" ca="1" si="6"/>
        <v>924</v>
      </c>
      <c r="H38" s="551">
        <f t="shared" ca="1" si="6"/>
        <v>928</v>
      </c>
      <c r="I38" s="551">
        <f t="shared" ca="1" si="6"/>
        <v>918</v>
      </c>
      <c r="J38" s="551">
        <f t="shared" ca="1" si="6"/>
        <v>1003</v>
      </c>
      <c r="K38" s="551">
        <f t="shared" ca="1" si="6"/>
        <v>1020</v>
      </c>
      <c r="L38" s="551">
        <f t="shared" ca="1" si="6"/>
        <v>1046</v>
      </c>
      <c r="M38" s="551">
        <f t="shared" ca="1" si="6"/>
        <v>1042</v>
      </c>
      <c r="N38" s="551">
        <f t="shared" ca="1" si="6"/>
        <v>1052</v>
      </c>
      <c r="O38" s="551">
        <f t="shared" ca="1" si="6"/>
        <v>1042</v>
      </c>
      <c r="P38" s="551">
        <f t="shared" ca="1" si="6"/>
        <v>1013</v>
      </c>
      <c r="Q38" s="551">
        <f t="shared" ca="1" si="6"/>
        <v>1015</v>
      </c>
      <c r="R38" s="551">
        <f t="shared" ca="1" si="6"/>
        <v>992</v>
      </c>
      <c r="S38" s="551">
        <f t="shared" ca="1" si="6"/>
        <v>1002</v>
      </c>
      <c r="T38" s="551">
        <f t="shared" ca="1" si="6"/>
        <v>1007</v>
      </c>
      <c r="U38" s="551">
        <f t="shared" ca="1" si="6"/>
        <v>1045</v>
      </c>
      <c r="V38" s="551">
        <f t="shared" ca="1" si="6"/>
        <v>1030</v>
      </c>
      <c r="W38" s="551">
        <f t="shared" ca="1" si="6"/>
        <v>991</v>
      </c>
      <c r="X38" s="551">
        <f t="shared" ca="1" si="6"/>
        <v>953</v>
      </c>
      <c r="Y38" s="552">
        <f t="shared" ca="1" si="6"/>
        <v>968</v>
      </c>
      <c r="Z38" s="352"/>
      <c r="AA38" s="162"/>
    </row>
    <row r="39" spans="1:33" s="161" customFormat="1" ht="16.2" thickBot="1" x14ac:dyDescent="0.25">
      <c r="A39" s="563" t="s">
        <v>265</v>
      </c>
      <c r="B39" s="564"/>
      <c r="C39" s="565"/>
      <c r="D39" s="565"/>
      <c r="E39" s="599"/>
      <c r="F39" s="565"/>
      <c r="G39" s="565"/>
      <c r="H39" s="565"/>
      <c r="I39" s="565"/>
      <c r="J39" s="565"/>
      <c r="K39" s="565"/>
      <c r="L39" s="565"/>
      <c r="M39" s="565"/>
      <c r="N39" s="565"/>
      <c r="O39" s="565"/>
      <c r="P39" s="565"/>
      <c r="Q39" s="565"/>
      <c r="R39" s="565"/>
      <c r="S39" s="565"/>
      <c r="T39" s="565"/>
      <c r="U39" s="565"/>
      <c r="V39" s="565"/>
      <c r="W39" s="565"/>
      <c r="X39" s="565"/>
      <c r="Y39" s="624"/>
      <c r="Z39" s="160"/>
      <c r="AA39" s="162"/>
    </row>
    <row r="40" spans="1:33" s="161" customFormat="1" ht="12.6" thickTop="1" x14ac:dyDescent="0.2">
      <c r="A40" s="568"/>
      <c r="B40" s="569"/>
      <c r="C40" s="570"/>
      <c r="D40" s="570"/>
      <c r="E40" s="600"/>
      <c r="F40" s="570"/>
      <c r="G40" s="570"/>
      <c r="H40" s="570"/>
      <c r="I40" s="570"/>
      <c r="J40" s="570"/>
      <c r="K40" s="570"/>
      <c r="L40" s="570"/>
      <c r="M40" s="570"/>
      <c r="N40" s="570"/>
      <c r="O40" s="570"/>
      <c r="P40" s="570"/>
      <c r="Q40" s="570"/>
      <c r="R40" s="570"/>
      <c r="S40" s="570"/>
      <c r="T40" s="570"/>
      <c r="U40" s="570"/>
      <c r="V40" s="570"/>
      <c r="W40" s="570"/>
      <c r="X40" s="570"/>
      <c r="Y40" s="571"/>
      <c r="Z40" s="353" t="s">
        <v>123</v>
      </c>
      <c r="AA40" s="165" t="s">
        <v>124</v>
      </c>
      <c r="AF40" s="166"/>
      <c r="AG40" s="166"/>
    </row>
    <row r="41" spans="1:33" s="161" customFormat="1" ht="12.75" customHeight="1" x14ac:dyDescent="0.2">
      <c r="A41" s="572" t="s">
        <v>130</v>
      </c>
      <c r="B41" s="191">
        <v>80</v>
      </c>
      <c r="C41" s="191">
        <v>80</v>
      </c>
      <c r="D41" s="191">
        <v>80</v>
      </c>
      <c r="E41" s="601">
        <v>80</v>
      </c>
      <c r="F41" s="191">
        <v>80</v>
      </c>
      <c r="G41" s="191">
        <v>80</v>
      </c>
      <c r="H41" s="191">
        <v>75</v>
      </c>
      <c r="I41" s="191">
        <v>74</v>
      </c>
      <c r="J41" s="191">
        <v>47</v>
      </c>
      <c r="K41" s="191">
        <v>46</v>
      </c>
      <c r="L41" s="191">
        <v>66</v>
      </c>
      <c r="M41" s="191">
        <v>63</v>
      </c>
      <c r="N41" s="191">
        <v>75</v>
      </c>
      <c r="O41" s="191">
        <v>77</v>
      </c>
      <c r="P41" s="191">
        <v>77</v>
      </c>
      <c r="Q41" s="191">
        <v>77</v>
      </c>
      <c r="R41" s="191">
        <v>69</v>
      </c>
      <c r="S41" s="191">
        <v>69</v>
      </c>
      <c r="T41" s="191">
        <v>69</v>
      </c>
      <c r="U41" s="191">
        <v>78</v>
      </c>
      <c r="V41" s="191">
        <v>78</v>
      </c>
      <c r="W41" s="191">
        <v>78</v>
      </c>
      <c r="X41" s="191">
        <v>78</v>
      </c>
      <c r="Y41" s="573">
        <v>78</v>
      </c>
      <c r="Z41" s="354">
        <v>80</v>
      </c>
      <c r="AA41" s="214">
        <f ca="1">-Economics!D34/Economics!I34</f>
        <v>19863.936941964286</v>
      </c>
    </row>
    <row r="42" spans="1:33" s="161" customFormat="1" ht="15" customHeight="1" x14ac:dyDescent="0.2">
      <c r="A42" s="572" t="s">
        <v>131</v>
      </c>
      <c r="B42" s="191">
        <v>78</v>
      </c>
      <c r="C42" s="191">
        <v>78</v>
      </c>
      <c r="D42" s="191">
        <v>78</v>
      </c>
      <c r="E42" s="601">
        <v>37</v>
      </c>
      <c r="F42" s="191">
        <v>51</v>
      </c>
      <c r="G42" s="191">
        <v>40</v>
      </c>
      <c r="H42" s="191">
        <v>40</v>
      </c>
      <c r="I42" s="191">
        <v>38</v>
      </c>
      <c r="J42" s="191">
        <v>71</v>
      </c>
      <c r="K42" s="191">
        <v>70</v>
      </c>
      <c r="L42" s="191">
        <v>73</v>
      </c>
      <c r="M42" s="191">
        <v>74</v>
      </c>
      <c r="N42" s="191">
        <v>77</v>
      </c>
      <c r="O42" s="191">
        <v>73</v>
      </c>
      <c r="P42" s="191">
        <v>73</v>
      </c>
      <c r="Q42" s="191">
        <v>67</v>
      </c>
      <c r="R42" s="191">
        <v>64</v>
      </c>
      <c r="S42" s="191">
        <v>70</v>
      </c>
      <c r="T42" s="191">
        <v>75</v>
      </c>
      <c r="U42" s="191">
        <v>76</v>
      </c>
      <c r="V42" s="191">
        <v>76</v>
      </c>
      <c r="W42" s="191">
        <v>37</v>
      </c>
      <c r="X42" s="191">
        <v>38</v>
      </c>
      <c r="Y42" s="573">
        <v>36</v>
      </c>
      <c r="Z42" s="354">
        <v>78</v>
      </c>
      <c r="AA42" s="214">
        <f ca="1">-Economics!D35/Economics!I35</f>
        <v>15535.942482461734</v>
      </c>
    </row>
    <row r="43" spans="1:33" s="161" customFormat="1" ht="12.75" customHeight="1" x14ac:dyDescent="0.2">
      <c r="A43" s="574" t="s">
        <v>132</v>
      </c>
      <c r="B43" s="192">
        <v>78</v>
      </c>
      <c r="C43" s="192">
        <v>47</v>
      </c>
      <c r="D43" s="192">
        <v>52</v>
      </c>
      <c r="E43" s="602">
        <v>82</v>
      </c>
      <c r="F43" s="192">
        <v>100</v>
      </c>
      <c r="G43" s="192">
        <v>70</v>
      </c>
      <c r="H43" s="192">
        <v>69</v>
      </c>
      <c r="I43" s="192">
        <v>54</v>
      </c>
      <c r="J43" s="192">
        <v>91</v>
      </c>
      <c r="K43" s="192">
        <v>94</v>
      </c>
      <c r="L43" s="192">
        <v>96</v>
      </c>
      <c r="M43" s="192">
        <v>96</v>
      </c>
      <c r="N43" s="192">
        <v>52</v>
      </c>
      <c r="O43" s="192">
        <v>52</v>
      </c>
      <c r="P43" s="192">
        <v>52</v>
      </c>
      <c r="Q43" s="192">
        <v>65</v>
      </c>
      <c r="R43" s="192">
        <v>55</v>
      </c>
      <c r="S43" s="192">
        <v>55</v>
      </c>
      <c r="T43" s="192">
        <v>55</v>
      </c>
      <c r="U43" s="192">
        <v>65</v>
      </c>
      <c r="V43" s="192">
        <v>65</v>
      </c>
      <c r="W43" s="192">
        <v>88</v>
      </c>
      <c r="X43" s="192">
        <v>58</v>
      </c>
      <c r="Y43" s="575">
        <v>90</v>
      </c>
      <c r="Z43" s="356">
        <v>103</v>
      </c>
      <c r="AA43" s="215">
        <f ca="1">-Economics!D36/Economics!I36</f>
        <v>17118.180006377552</v>
      </c>
    </row>
    <row r="44" spans="1:33" s="161" customFormat="1" ht="12.75" customHeight="1" x14ac:dyDescent="0.2">
      <c r="A44" s="572"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3">
        <v>0</v>
      </c>
      <c r="Z44" s="354">
        <v>40</v>
      </c>
      <c r="AA44" s="214">
        <f ca="1">-Economics!D37/Economics!I37</f>
        <v>0</v>
      </c>
    </row>
    <row r="45" spans="1:33" s="161" customFormat="1" ht="12.75" customHeight="1" x14ac:dyDescent="0.2">
      <c r="A45" s="572"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3">
        <v>0</v>
      </c>
      <c r="Z45" s="354">
        <v>40</v>
      </c>
      <c r="AA45" s="214">
        <f ca="1">-Economics!D38/Economics!I38</f>
        <v>0</v>
      </c>
    </row>
    <row r="46" spans="1:33" s="161" customFormat="1" ht="12" customHeight="1" x14ac:dyDescent="0.2">
      <c r="A46" s="572" t="s">
        <v>51</v>
      </c>
      <c r="B46" s="191">
        <v>99</v>
      </c>
      <c r="C46" s="191">
        <v>100</v>
      </c>
      <c r="D46" s="191">
        <v>100</v>
      </c>
      <c r="E46" s="191">
        <v>101</v>
      </c>
      <c r="F46" s="191">
        <v>100</v>
      </c>
      <c r="G46" s="191">
        <v>98</v>
      </c>
      <c r="H46" s="191">
        <v>100</v>
      </c>
      <c r="I46" s="191">
        <v>101</v>
      </c>
      <c r="J46" s="191">
        <v>93</v>
      </c>
      <c r="K46" s="191">
        <v>94</v>
      </c>
      <c r="L46" s="191">
        <v>98</v>
      </c>
      <c r="M46" s="191">
        <v>96</v>
      </c>
      <c r="N46" s="191">
        <v>100</v>
      </c>
      <c r="O46" s="191">
        <v>97</v>
      </c>
      <c r="P46" s="191">
        <v>96</v>
      </c>
      <c r="Q46" s="191">
        <v>93</v>
      </c>
      <c r="R46" s="191">
        <v>98</v>
      </c>
      <c r="S46" s="191">
        <v>95</v>
      </c>
      <c r="T46" s="191">
        <v>95</v>
      </c>
      <c r="U46" s="191">
        <v>99</v>
      </c>
      <c r="V46" s="191">
        <v>96</v>
      </c>
      <c r="W46" s="191">
        <v>99</v>
      </c>
      <c r="X46" s="191">
        <v>100</v>
      </c>
      <c r="Y46" s="573">
        <v>101</v>
      </c>
      <c r="Z46" s="354">
        <v>108</v>
      </c>
      <c r="AA46" s="214">
        <f ca="1">-Economics!D39/Economics!I39</f>
        <v>21907.531489158162</v>
      </c>
    </row>
    <row r="47" spans="1:33" s="161" customFormat="1" ht="12.75" customHeight="1" x14ac:dyDescent="0.2">
      <c r="A47" s="572"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3">
        <v>0</v>
      </c>
      <c r="Z47" s="354">
        <v>108</v>
      </c>
      <c r="AA47" s="214">
        <f ca="1">-Economics!D40/Economics!I40</f>
        <v>0</v>
      </c>
    </row>
    <row r="48" spans="1:33" s="161" customFormat="1" ht="12.75" customHeight="1" x14ac:dyDescent="0.2">
      <c r="A48" s="574"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t="s">
        <v>15</v>
      </c>
      <c r="X48" s="192">
        <v>0</v>
      </c>
      <c r="Y48" s="575">
        <v>0</v>
      </c>
      <c r="Z48" s="356">
        <v>212</v>
      </c>
      <c r="AA48" s="215">
        <f ca="1">-Economics!D41/Economics!I41</f>
        <v>0</v>
      </c>
    </row>
    <row r="49" spans="1:27" s="161" customFormat="1" ht="12.75" customHeight="1" x14ac:dyDescent="0.2">
      <c r="A49" s="574" t="s">
        <v>134</v>
      </c>
      <c r="B49" s="192">
        <v>0</v>
      </c>
      <c r="C49" s="192">
        <v>0</v>
      </c>
      <c r="D49" s="192">
        <v>0</v>
      </c>
      <c r="E49" s="192">
        <v>0</v>
      </c>
      <c r="F49" s="192">
        <v>0</v>
      </c>
      <c r="G49" s="192">
        <v>20</v>
      </c>
      <c r="H49" s="192">
        <v>28</v>
      </c>
      <c r="I49" s="192">
        <v>23</v>
      </c>
      <c r="J49" s="192">
        <v>60</v>
      </c>
      <c r="K49" s="192">
        <v>61</v>
      </c>
      <c r="L49" s="192">
        <v>64</v>
      </c>
      <c r="M49" s="192">
        <v>67</v>
      </c>
      <c r="N49" s="192">
        <v>68</v>
      </c>
      <c r="O49" s="192">
        <v>65</v>
      </c>
      <c r="P49" s="192">
        <v>62</v>
      </c>
      <c r="Q49" s="192">
        <v>59</v>
      </c>
      <c r="R49" s="192">
        <v>57</v>
      </c>
      <c r="S49" s="192">
        <v>58</v>
      </c>
      <c r="T49" s="192">
        <v>60</v>
      </c>
      <c r="U49" s="192">
        <v>68</v>
      </c>
      <c r="V49" s="192">
        <v>65</v>
      </c>
      <c r="W49" s="192">
        <v>35</v>
      </c>
      <c r="X49" s="192">
        <v>24</v>
      </c>
      <c r="Y49" s="575">
        <v>33</v>
      </c>
      <c r="Z49" s="356">
        <v>68</v>
      </c>
      <c r="AA49" s="215">
        <f ca="1">-Economics!D42/Economics!I42</f>
        <v>13365.924944196429</v>
      </c>
    </row>
    <row r="50" spans="1:27" s="161" customFormat="1" ht="12.75" customHeight="1" x14ac:dyDescent="0.2">
      <c r="A50" s="572" t="s">
        <v>135</v>
      </c>
      <c r="B50" s="191">
        <v>38</v>
      </c>
      <c r="C50" s="191">
        <v>38</v>
      </c>
      <c r="D50" s="191">
        <v>39</v>
      </c>
      <c r="E50" s="191">
        <v>39</v>
      </c>
      <c r="F50" s="191">
        <v>39</v>
      </c>
      <c r="G50" s="191">
        <v>39</v>
      </c>
      <c r="H50" s="191">
        <v>39</v>
      </c>
      <c r="I50" s="191">
        <v>39</v>
      </c>
      <c r="J50" s="191">
        <v>39</v>
      </c>
      <c r="K50" s="191">
        <v>39</v>
      </c>
      <c r="L50" s="191">
        <v>39</v>
      </c>
      <c r="M50" s="191">
        <v>39</v>
      </c>
      <c r="N50" s="191">
        <v>38</v>
      </c>
      <c r="O50" s="191">
        <v>38</v>
      </c>
      <c r="P50" s="191">
        <v>38</v>
      </c>
      <c r="Q50" s="191">
        <v>38</v>
      </c>
      <c r="R50" s="191">
        <v>38</v>
      </c>
      <c r="S50" s="191">
        <v>38</v>
      </c>
      <c r="T50" s="191">
        <v>38</v>
      </c>
      <c r="U50" s="191">
        <v>38</v>
      </c>
      <c r="V50" s="191">
        <v>38</v>
      </c>
      <c r="W50" s="191">
        <v>38</v>
      </c>
      <c r="X50" s="191">
        <v>38</v>
      </c>
      <c r="Y50" s="573">
        <v>38</v>
      </c>
      <c r="Z50" s="354">
        <v>48</v>
      </c>
      <c r="AA50" s="214">
        <f ca="1">-Economics!D43/Economics!I43</f>
        <v>11227.636251495216</v>
      </c>
    </row>
    <row r="51" spans="1:27" s="161" customFormat="1" ht="12.75" customHeight="1" x14ac:dyDescent="0.2">
      <c r="A51" s="572" t="s">
        <v>136</v>
      </c>
      <c r="B51" s="191">
        <v>32</v>
      </c>
      <c r="C51" s="191">
        <v>32</v>
      </c>
      <c r="D51" s="191">
        <v>32</v>
      </c>
      <c r="E51" s="191">
        <v>32</v>
      </c>
      <c r="F51" s="191">
        <v>33</v>
      </c>
      <c r="G51" s="191">
        <v>32</v>
      </c>
      <c r="H51" s="191">
        <v>32</v>
      </c>
      <c r="I51" s="191">
        <v>33</v>
      </c>
      <c r="J51" s="191">
        <v>33</v>
      </c>
      <c r="K51" s="191">
        <v>33</v>
      </c>
      <c r="L51" s="191">
        <v>32</v>
      </c>
      <c r="M51" s="191">
        <v>32</v>
      </c>
      <c r="N51" s="191">
        <v>32</v>
      </c>
      <c r="O51" s="191">
        <v>32</v>
      </c>
      <c r="P51" s="191">
        <v>33</v>
      </c>
      <c r="Q51" s="191">
        <v>33</v>
      </c>
      <c r="R51" s="191">
        <v>32</v>
      </c>
      <c r="S51" s="191">
        <v>32</v>
      </c>
      <c r="T51" s="191">
        <v>32</v>
      </c>
      <c r="U51" s="191">
        <v>32</v>
      </c>
      <c r="V51" s="191">
        <v>32</v>
      </c>
      <c r="W51" s="191">
        <v>32</v>
      </c>
      <c r="X51" s="191">
        <v>32</v>
      </c>
      <c r="Y51" s="573">
        <v>32</v>
      </c>
      <c r="Z51" s="354">
        <v>44</v>
      </c>
      <c r="AA51" s="214">
        <f ca="1">-Economics!D44/Economics!I44</f>
        <v>8231.5593226674646</v>
      </c>
    </row>
    <row r="52" spans="1:27" s="161" customFormat="1" ht="12.75" customHeight="1" thickBot="1" x14ac:dyDescent="0.25">
      <c r="A52" s="572"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3">
        <v>0</v>
      </c>
      <c r="Z52" s="357">
        <v>130</v>
      </c>
      <c r="AA52" s="216">
        <f ca="1">-Economics!D45/Economics!I45</f>
        <v>0</v>
      </c>
    </row>
    <row r="53" spans="1:27" s="161" customFormat="1" ht="12.75" customHeight="1" thickTop="1" x14ac:dyDescent="0.2">
      <c r="A53" s="572" t="s">
        <v>127</v>
      </c>
      <c r="B53" s="191">
        <v>130</v>
      </c>
      <c r="C53" s="191">
        <v>130</v>
      </c>
      <c r="D53" s="191">
        <v>129</v>
      </c>
      <c r="E53" s="191">
        <v>130</v>
      </c>
      <c r="F53" s="191">
        <v>130</v>
      </c>
      <c r="G53" s="191">
        <v>130</v>
      </c>
      <c r="H53" s="191">
        <v>130</v>
      </c>
      <c r="I53" s="191">
        <v>131</v>
      </c>
      <c r="J53" s="191">
        <v>131</v>
      </c>
      <c r="K53" s="191">
        <v>131</v>
      </c>
      <c r="L53" s="191">
        <v>131</v>
      </c>
      <c r="M53" s="191">
        <v>130</v>
      </c>
      <c r="N53" s="191">
        <v>131</v>
      </c>
      <c r="O53" s="191">
        <v>130</v>
      </c>
      <c r="P53" s="191">
        <v>130</v>
      </c>
      <c r="Q53" s="191">
        <v>130</v>
      </c>
      <c r="R53" s="191">
        <v>130</v>
      </c>
      <c r="S53" s="191">
        <v>131</v>
      </c>
      <c r="T53" s="191">
        <v>130</v>
      </c>
      <c r="U53" s="191">
        <v>130</v>
      </c>
      <c r="V53" s="191">
        <v>130</v>
      </c>
      <c r="W53" s="191">
        <v>130</v>
      </c>
      <c r="X53" s="191">
        <v>131</v>
      </c>
      <c r="Y53" s="573">
        <v>130</v>
      </c>
      <c r="Z53" s="354">
        <v>198</v>
      </c>
      <c r="AA53" s="212"/>
    </row>
    <row r="54" spans="1:27" s="161" customFormat="1" ht="12.75" customHeight="1" x14ac:dyDescent="0.2">
      <c r="A54" s="572" t="s">
        <v>128</v>
      </c>
      <c r="B54" s="191">
        <v>130</v>
      </c>
      <c r="C54" s="191">
        <v>130</v>
      </c>
      <c r="D54" s="191">
        <v>129</v>
      </c>
      <c r="E54" s="191">
        <v>130</v>
      </c>
      <c r="F54" s="191">
        <v>130</v>
      </c>
      <c r="G54" s="191">
        <v>130</v>
      </c>
      <c r="H54" s="191">
        <v>130</v>
      </c>
      <c r="I54" s="191">
        <v>131</v>
      </c>
      <c r="J54" s="191">
        <v>131</v>
      </c>
      <c r="K54" s="191">
        <v>131</v>
      </c>
      <c r="L54" s="191">
        <v>131</v>
      </c>
      <c r="M54" s="191">
        <v>130</v>
      </c>
      <c r="N54" s="191">
        <v>131</v>
      </c>
      <c r="O54" s="191">
        <v>130</v>
      </c>
      <c r="P54" s="191">
        <v>130</v>
      </c>
      <c r="Q54" s="191">
        <v>130</v>
      </c>
      <c r="R54" s="191">
        <v>130</v>
      </c>
      <c r="S54" s="191">
        <v>131</v>
      </c>
      <c r="T54" s="191">
        <v>130</v>
      </c>
      <c r="U54" s="191">
        <v>130</v>
      </c>
      <c r="V54" s="191">
        <v>130</v>
      </c>
      <c r="W54" s="191">
        <v>130</v>
      </c>
      <c r="X54" s="191">
        <v>131</v>
      </c>
      <c r="Y54" s="573">
        <v>130</v>
      </c>
      <c r="Z54" s="354">
        <v>198</v>
      </c>
      <c r="AA54" s="212"/>
    </row>
    <row r="55" spans="1:27" s="161" customFormat="1" ht="12.75" customHeight="1" x14ac:dyDescent="0.2">
      <c r="A55" s="572" t="s">
        <v>129</v>
      </c>
      <c r="B55" s="191">
        <v>130</v>
      </c>
      <c r="C55" s="191">
        <v>129</v>
      </c>
      <c r="D55" s="191">
        <v>129</v>
      </c>
      <c r="E55" s="191">
        <v>130</v>
      </c>
      <c r="F55" s="191">
        <v>130</v>
      </c>
      <c r="G55" s="191">
        <v>130</v>
      </c>
      <c r="H55" s="191">
        <v>130</v>
      </c>
      <c r="I55" s="191">
        <v>131</v>
      </c>
      <c r="J55" s="191">
        <v>131</v>
      </c>
      <c r="K55" s="191">
        <v>131</v>
      </c>
      <c r="L55" s="191">
        <v>131</v>
      </c>
      <c r="M55" s="191">
        <v>130</v>
      </c>
      <c r="N55" s="191">
        <v>131</v>
      </c>
      <c r="O55" s="191">
        <v>130</v>
      </c>
      <c r="P55" s="191">
        <v>130</v>
      </c>
      <c r="Q55" s="191">
        <v>130</v>
      </c>
      <c r="R55" s="191">
        <v>130</v>
      </c>
      <c r="S55" s="191">
        <v>131</v>
      </c>
      <c r="T55" s="191">
        <v>130</v>
      </c>
      <c r="U55" s="191">
        <v>130</v>
      </c>
      <c r="V55" s="191">
        <v>130</v>
      </c>
      <c r="W55" s="191">
        <v>130</v>
      </c>
      <c r="X55" s="191">
        <v>131</v>
      </c>
      <c r="Y55" s="573">
        <v>130</v>
      </c>
      <c r="Z55" s="354">
        <v>198</v>
      </c>
      <c r="AA55" s="212"/>
    </row>
    <row r="56" spans="1:27" s="161" customFormat="1" ht="12.75" customHeight="1" x14ac:dyDescent="0.2">
      <c r="A56" s="572" t="s">
        <v>125</v>
      </c>
      <c r="B56" s="191">
        <v>52</v>
      </c>
      <c r="C56" s="191">
        <v>52</v>
      </c>
      <c r="D56" s="191">
        <v>52</v>
      </c>
      <c r="E56" s="191">
        <v>52</v>
      </c>
      <c r="F56" s="191">
        <v>52</v>
      </c>
      <c r="G56" s="191">
        <v>52</v>
      </c>
      <c r="H56" s="191">
        <v>51</v>
      </c>
      <c r="I56" s="191">
        <v>52</v>
      </c>
      <c r="J56" s="191">
        <v>52</v>
      </c>
      <c r="K56" s="191">
        <v>52</v>
      </c>
      <c r="L56" s="191">
        <v>52</v>
      </c>
      <c r="M56" s="191">
        <v>51</v>
      </c>
      <c r="N56" s="191">
        <v>52</v>
      </c>
      <c r="O56" s="191">
        <v>52</v>
      </c>
      <c r="P56" s="191">
        <v>52</v>
      </c>
      <c r="Q56" s="191">
        <v>51</v>
      </c>
      <c r="R56" s="191">
        <v>51</v>
      </c>
      <c r="S56" s="191">
        <v>52</v>
      </c>
      <c r="T56" s="191">
        <v>52</v>
      </c>
      <c r="U56" s="191">
        <v>52</v>
      </c>
      <c r="V56" s="191">
        <v>52</v>
      </c>
      <c r="W56" s="191">
        <v>52</v>
      </c>
      <c r="X56" s="191">
        <v>52</v>
      </c>
      <c r="Y56" s="573">
        <v>52</v>
      </c>
      <c r="Z56" s="354">
        <v>52</v>
      </c>
      <c r="AA56" s="212"/>
    </row>
    <row r="57" spans="1:27" s="161" customFormat="1" ht="12.75" customHeight="1" thickBot="1" x14ac:dyDescent="0.25">
      <c r="A57" s="572"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3"/>
      <c r="Z57" s="354">
        <v>52</v>
      </c>
      <c r="AA57" s="212"/>
    </row>
    <row r="58" spans="1:27" s="161" customFormat="1" ht="13.5" customHeight="1" thickBot="1" x14ac:dyDescent="0.3">
      <c r="A58" s="576" t="s">
        <v>10</v>
      </c>
      <c r="B58" s="577">
        <f t="shared" ref="B58:Y58" ca="1" si="7">B59-B38</f>
        <v>19</v>
      </c>
      <c r="C58" s="577">
        <f t="shared" ca="1" si="7"/>
        <v>27</v>
      </c>
      <c r="D58" s="577">
        <f t="shared" ca="1" si="7"/>
        <v>-3</v>
      </c>
      <c r="E58" s="577">
        <f t="shared" ca="1" si="7"/>
        <v>-4</v>
      </c>
      <c r="F58" s="577">
        <f t="shared" ca="1" si="7"/>
        <v>3</v>
      </c>
      <c r="G58" s="577">
        <f t="shared" ca="1" si="7"/>
        <v>0</v>
      </c>
      <c r="H58" s="577">
        <f t="shared" ca="1" si="7"/>
        <v>-1</v>
      </c>
      <c r="I58" s="577">
        <f t="shared" ca="1" si="7"/>
        <v>27</v>
      </c>
      <c r="J58" s="577">
        <f t="shared" ca="1" si="7"/>
        <v>14</v>
      </c>
      <c r="K58" s="577">
        <f t="shared" ca="1" si="7"/>
        <v>0</v>
      </c>
      <c r="L58" s="577">
        <f t="shared" ca="1" si="7"/>
        <v>30</v>
      </c>
      <c r="M58" s="577">
        <f t="shared" ca="1" si="7"/>
        <v>29</v>
      </c>
      <c r="N58" s="577">
        <f t="shared" ca="1" si="7"/>
        <v>60</v>
      </c>
      <c r="O58" s="577">
        <f t="shared" ca="1" si="7"/>
        <v>72</v>
      </c>
      <c r="P58" s="577">
        <f t="shared" ca="1" si="7"/>
        <v>73</v>
      </c>
      <c r="Q58" s="577">
        <f t="shared" ca="1" si="7"/>
        <v>71</v>
      </c>
      <c r="R58" s="577">
        <f t="shared" ca="1" si="7"/>
        <v>75</v>
      </c>
      <c r="S58" s="577">
        <f t="shared" ca="1" si="7"/>
        <v>73</v>
      </c>
      <c r="T58" s="577">
        <f t="shared" ca="1" si="7"/>
        <v>72</v>
      </c>
      <c r="U58" s="578">
        <f t="shared" ca="1" si="7"/>
        <v>66</v>
      </c>
      <c r="V58" s="578">
        <f t="shared" ca="1" si="7"/>
        <v>75</v>
      </c>
      <c r="W58" s="578">
        <f t="shared" ca="1" si="7"/>
        <v>46</v>
      </c>
      <c r="X58" s="578">
        <f t="shared" ca="1" si="7"/>
        <v>23</v>
      </c>
      <c r="Y58" s="653">
        <f t="shared" ca="1" si="7"/>
        <v>10</v>
      </c>
      <c r="Z58" s="355">
        <f ca="1">SUM(Z41:Z55)+Z41+Z42+Z43+Z48+Z49+Z50+Z51+Z52</f>
        <v>2416</v>
      </c>
      <c r="AA58" s="213">
        <f ca="1">SUM(AA41:AA55)</f>
        <v>107250.71143832085</v>
      </c>
    </row>
    <row r="59" spans="1:27" s="161" customFormat="1" ht="12" x14ac:dyDescent="0.2">
      <c r="A59" s="566">
        <v>0</v>
      </c>
      <c r="B59" s="567">
        <f t="shared" ref="B59:Y59" ca="1" si="8">SUM(B41:B57)-SUM(B7:B20)</f>
        <v>980</v>
      </c>
      <c r="C59" s="567">
        <f t="shared" ca="1" si="8"/>
        <v>949</v>
      </c>
      <c r="D59" s="567">
        <f t="shared" ca="1" si="8"/>
        <v>923</v>
      </c>
      <c r="E59" s="567">
        <f t="shared" ca="1" si="8"/>
        <v>916</v>
      </c>
      <c r="F59" s="567">
        <f t="shared" ca="1" si="8"/>
        <v>948</v>
      </c>
      <c r="G59" s="567">
        <f t="shared" ca="1" si="8"/>
        <v>924</v>
      </c>
      <c r="H59" s="567">
        <f t="shared" ca="1" si="8"/>
        <v>927</v>
      </c>
      <c r="I59" s="567">
        <f t="shared" ca="1" si="8"/>
        <v>945</v>
      </c>
      <c r="J59" s="567">
        <f t="shared" ca="1" si="8"/>
        <v>1017</v>
      </c>
      <c r="K59" s="567">
        <f t="shared" ca="1" si="8"/>
        <v>1020</v>
      </c>
      <c r="L59" s="567">
        <f t="shared" ca="1" si="8"/>
        <v>1076</v>
      </c>
      <c r="M59" s="567">
        <f ca="1">SUM(M41:M57)-SUM(M7:M20)</f>
        <v>1071</v>
      </c>
      <c r="N59" s="567">
        <f t="shared" ca="1" si="8"/>
        <v>1112</v>
      </c>
      <c r="O59" s="567">
        <f t="shared" ca="1" si="8"/>
        <v>1114</v>
      </c>
      <c r="P59" s="567">
        <f t="shared" ca="1" si="8"/>
        <v>1086</v>
      </c>
      <c r="Q59" s="567">
        <f t="shared" ca="1" si="8"/>
        <v>1086</v>
      </c>
      <c r="R59" s="567">
        <f t="shared" ca="1" si="8"/>
        <v>1067</v>
      </c>
      <c r="S59" s="567">
        <f t="shared" ca="1" si="8"/>
        <v>1075</v>
      </c>
      <c r="T59" s="567">
        <f ca="1">SUM(T41:T57)-SUM(T7:T20)</f>
        <v>1079</v>
      </c>
      <c r="U59" s="567">
        <f t="shared" ca="1" si="8"/>
        <v>1111</v>
      </c>
      <c r="V59" s="567">
        <f t="shared" ca="1" si="8"/>
        <v>1105</v>
      </c>
      <c r="W59" s="567">
        <f t="shared" ca="1" si="8"/>
        <v>1037</v>
      </c>
      <c r="X59" s="567">
        <f t="shared" ca="1" si="8"/>
        <v>976</v>
      </c>
      <c r="Y59" s="567">
        <f t="shared" ca="1" si="8"/>
        <v>978</v>
      </c>
      <c r="Z59" s="217">
        <f ca="1">SUM(Economics!D28:D45)</f>
        <v>-286168.43256375002</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114</v>
      </c>
      <c r="C62" s="169">
        <f t="shared" ca="1" si="10"/>
        <v>156</v>
      </c>
      <c r="D62" s="169">
        <f t="shared" ca="1" si="10"/>
        <v>179</v>
      </c>
      <c r="E62" s="169">
        <f t="shared" ca="1" si="10"/>
        <v>182</v>
      </c>
      <c r="F62" s="169">
        <f t="shared" ca="1" si="10"/>
        <v>132</v>
      </c>
      <c r="G62" s="169">
        <f t="shared" ca="1" si="10"/>
        <v>137</v>
      </c>
      <c r="H62" s="169">
        <f t="shared" ca="1" si="10"/>
        <v>127</v>
      </c>
      <c r="I62" s="169">
        <f t="shared" ca="1" si="10"/>
        <v>176</v>
      </c>
      <c r="J62" s="169">
        <f ca="1">-SUM(J12:J15,J29:J32,J22) + SUM(J53:J55)</f>
        <v>136</v>
      </c>
      <c r="K62" s="169">
        <f t="shared" ca="1" si="10"/>
        <v>166</v>
      </c>
      <c r="L62" s="169">
        <f t="shared" ca="1" si="10"/>
        <v>261</v>
      </c>
      <c r="M62" s="169">
        <f t="shared" ca="1" si="10"/>
        <v>238</v>
      </c>
      <c r="N62" s="169">
        <f t="shared" ca="1" si="10"/>
        <v>293</v>
      </c>
      <c r="O62" s="169">
        <f t="shared" ca="1" si="10"/>
        <v>291</v>
      </c>
      <c r="P62" s="169">
        <f t="shared" ca="1" si="10"/>
        <v>266</v>
      </c>
      <c r="Q62" s="169">
        <f t="shared" ca="1" si="10"/>
        <v>266</v>
      </c>
      <c r="R62" s="169">
        <f t="shared" ca="1" si="10"/>
        <v>256</v>
      </c>
      <c r="S62" s="169">
        <f t="shared" ca="1" si="10"/>
        <v>244</v>
      </c>
      <c r="T62" s="169">
        <f t="shared" ca="1" si="10"/>
        <v>278</v>
      </c>
      <c r="U62" s="169">
        <f t="shared" ca="1" si="10"/>
        <v>278</v>
      </c>
      <c r="V62" s="169">
        <f t="shared" ca="1" si="10"/>
        <v>278</v>
      </c>
      <c r="W62" s="169">
        <f t="shared" ca="1" si="10"/>
        <v>253</v>
      </c>
      <c r="X62" s="169">
        <f t="shared" ca="1" si="10"/>
        <v>205</v>
      </c>
      <c r="Y62" s="170">
        <f t="shared" ca="1" si="10"/>
        <v>133</v>
      </c>
      <c r="Z62" s="193"/>
      <c r="AA62" s="162"/>
    </row>
    <row r="63" spans="1:27" s="161" customFormat="1" ht="12" x14ac:dyDescent="0.2">
      <c r="A63" s="195" t="s">
        <v>141</v>
      </c>
      <c r="B63" s="169">
        <f t="shared" ref="B63:L63" ca="1" si="11">-SUM(B8:B11,B25:B28) + SUM(B56:B57)</f>
        <v>22</v>
      </c>
      <c r="C63" s="169">
        <f t="shared" ca="1" si="11"/>
        <v>-7</v>
      </c>
      <c r="D63" s="169">
        <f t="shared" ca="1" si="11"/>
        <v>-82</v>
      </c>
      <c r="E63" s="169">
        <f t="shared" ca="1" si="11"/>
        <v>-82</v>
      </c>
      <c r="F63" s="169">
        <f t="shared" ca="1" si="11"/>
        <v>-57</v>
      </c>
      <c r="G63" s="169">
        <f t="shared" ca="1" si="11"/>
        <v>-37</v>
      </c>
      <c r="H63" s="169">
        <f t="shared" ca="1" si="11"/>
        <v>-38</v>
      </c>
      <c r="I63" s="169">
        <f t="shared" ca="1" si="11"/>
        <v>-8</v>
      </c>
      <c r="J63" s="169">
        <f t="shared" ca="1" si="11"/>
        <v>-13</v>
      </c>
      <c r="K63" s="169">
        <f t="shared" ca="1" si="11"/>
        <v>-13</v>
      </c>
      <c r="L63" s="169">
        <f t="shared" ca="1" si="11"/>
        <v>-93</v>
      </c>
      <c r="M63" s="169">
        <f ca="1">-SUM(M8:M11,M25:M28) + SUM(M57:M57)</f>
        <v>-113</v>
      </c>
      <c r="N63" s="169">
        <f t="shared" ref="N63:Y63" ca="1" si="12">-SUM(N8:N11,N25:N28) + SUM(N56:N57)</f>
        <v>-63</v>
      </c>
      <c r="O63" s="169">
        <f t="shared" ca="1" si="12"/>
        <v>-42</v>
      </c>
      <c r="P63" s="169">
        <f t="shared" ca="1" si="12"/>
        <v>-17</v>
      </c>
      <c r="Q63" s="169">
        <f t="shared" ca="1" si="12"/>
        <v>-18</v>
      </c>
      <c r="R63" s="169">
        <f t="shared" ca="1" si="12"/>
        <v>8</v>
      </c>
      <c r="S63" s="169">
        <f t="shared" ca="1" si="12"/>
        <v>12</v>
      </c>
      <c r="T63" s="169">
        <f t="shared" ca="1" si="12"/>
        <v>10</v>
      </c>
      <c r="U63" s="169">
        <f t="shared" ca="1" si="12"/>
        <v>6</v>
      </c>
      <c r="V63" s="169">
        <f t="shared" ca="1" si="12"/>
        <v>7</v>
      </c>
      <c r="W63" s="169">
        <f t="shared" ca="1" si="12"/>
        <v>12</v>
      </c>
      <c r="X63" s="169">
        <f t="shared" ca="1" si="12"/>
        <v>17</v>
      </c>
      <c r="Y63" s="170">
        <f t="shared" ca="1" si="12"/>
        <v>17</v>
      </c>
      <c r="Z63" s="193"/>
      <c r="AA63" s="162"/>
    </row>
    <row r="64" spans="1:27" s="161" customFormat="1" ht="12" x14ac:dyDescent="0.2">
      <c r="A64" s="195" t="s">
        <v>142</v>
      </c>
      <c r="B64" s="169">
        <f ca="1">IF(B62+B63&gt;645,"err",B62+B63)</f>
        <v>136</v>
      </c>
      <c r="C64" s="169">
        <f t="shared" ref="C64:Y64" ca="1" si="13">IF(C62+C63&gt;645,"err",C62+C63)</f>
        <v>149</v>
      </c>
      <c r="D64" s="169">
        <f t="shared" ca="1" si="13"/>
        <v>97</v>
      </c>
      <c r="E64" s="169">
        <f t="shared" ca="1" si="13"/>
        <v>100</v>
      </c>
      <c r="F64" s="169">
        <f t="shared" ca="1" si="13"/>
        <v>75</v>
      </c>
      <c r="G64" s="169">
        <f t="shared" ca="1" si="13"/>
        <v>100</v>
      </c>
      <c r="H64" s="169">
        <f t="shared" ca="1" si="13"/>
        <v>89</v>
      </c>
      <c r="I64" s="169">
        <f t="shared" ca="1" si="13"/>
        <v>168</v>
      </c>
      <c r="J64" s="169">
        <f t="shared" ca="1" si="13"/>
        <v>123</v>
      </c>
      <c r="K64" s="169">
        <f t="shared" ca="1" si="13"/>
        <v>153</v>
      </c>
      <c r="L64" s="169">
        <f t="shared" ca="1" si="13"/>
        <v>168</v>
      </c>
      <c r="M64" s="169">
        <f t="shared" ca="1" si="13"/>
        <v>125</v>
      </c>
      <c r="N64" s="169">
        <f t="shared" ca="1" si="13"/>
        <v>230</v>
      </c>
      <c r="O64" s="169">
        <f t="shared" ca="1" si="13"/>
        <v>249</v>
      </c>
      <c r="P64" s="169">
        <f t="shared" ca="1" si="13"/>
        <v>249</v>
      </c>
      <c r="Q64" s="169">
        <f t="shared" ca="1" si="13"/>
        <v>248</v>
      </c>
      <c r="R64" s="169">
        <f t="shared" ca="1" si="13"/>
        <v>264</v>
      </c>
      <c r="S64" s="169">
        <f t="shared" ca="1" si="13"/>
        <v>256</v>
      </c>
      <c r="T64" s="169">
        <f t="shared" ca="1" si="13"/>
        <v>288</v>
      </c>
      <c r="U64" s="169">
        <f t="shared" ca="1" si="13"/>
        <v>284</v>
      </c>
      <c r="V64" s="169">
        <f t="shared" ca="1" si="13"/>
        <v>285</v>
      </c>
      <c r="W64" s="169">
        <f t="shared" ca="1" si="13"/>
        <v>265</v>
      </c>
      <c r="X64" s="169">
        <f t="shared" ca="1" si="13"/>
        <v>222</v>
      </c>
      <c r="Y64" s="170">
        <f t="shared" ca="1" si="13"/>
        <v>150</v>
      </c>
      <c r="Z64" s="194"/>
      <c r="AA64" s="162"/>
    </row>
    <row r="65" spans="1:27" s="161" customFormat="1" ht="12" x14ac:dyDescent="0.2">
      <c r="A65" s="195" t="s">
        <v>18</v>
      </c>
      <c r="B65" s="169">
        <f ca="1">SUM(B61:B63)</f>
        <v>136</v>
      </c>
      <c r="C65" s="169">
        <f t="shared" ref="C65:Y65" ca="1" si="14">SUM(C61:C63)</f>
        <v>149</v>
      </c>
      <c r="D65" s="169">
        <f t="shared" ca="1" si="14"/>
        <v>97</v>
      </c>
      <c r="E65" s="169">
        <f t="shared" ca="1" si="14"/>
        <v>100</v>
      </c>
      <c r="F65" s="169">
        <f t="shared" ca="1" si="14"/>
        <v>75</v>
      </c>
      <c r="G65" s="169">
        <f t="shared" ca="1" si="14"/>
        <v>100</v>
      </c>
      <c r="H65" s="169">
        <f t="shared" ca="1" si="14"/>
        <v>89</v>
      </c>
      <c r="I65" s="169">
        <f t="shared" ca="1" si="14"/>
        <v>168</v>
      </c>
      <c r="J65" s="169">
        <f t="shared" ca="1" si="14"/>
        <v>123</v>
      </c>
      <c r="K65" s="169">
        <f t="shared" ca="1" si="14"/>
        <v>153</v>
      </c>
      <c r="L65" s="169">
        <f t="shared" ca="1" si="14"/>
        <v>168</v>
      </c>
      <c r="M65" s="169">
        <f t="shared" ca="1" si="14"/>
        <v>125</v>
      </c>
      <c r="N65" s="169">
        <f t="shared" ca="1" si="14"/>
        <v>230</v>
      </c>
      <c r="O65" s="169">
        <f t="shared" ca="1" si="14"/>
        <v>249</v>
      </c>
      <c r="P65" s="169">
        <f t="shared" ca="1" si="14"/>
        <v>249</v>
      </c>
      <c r="Q65" s="169">
        <f t="shared" ca="1" si="14"/>
        <v>248</v>
      </c>
      <c r="R65" s="169">
        <f t="shared" ca="1" si="14"/>
        <v>264</v>
      </c>
      <c r="S65" s="169">
        <f t="shared" ca="1" si="14"/>
        <v>256</v>
      </c>
      <c r="T65" s="169">
        <f t="shared" ca="1" si="14"/>
        <v>288</v>
      </c>
      <c r="U65" s="169">
        <f t="shared" ca="1" si="14"/>
        <v>284</v>
      </c>
      <c r="V65" s="169">
        <f t="shared" ca="1" si="14"/>
        <v>285</v>
      </c>
      <c r="W65" s="169">
        <f t="shared" ca="1" si="14"/>
        <v>265</v>
      </c>
      <c r="X65" s="169">
        <f t="shared" ca="1" si="14"/>
        <v>222</v>
      </c>
      <c r="Y65" s="170">
        <f t="shared" ca="1" si="14"/>
        <v>150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260</v>
      </c>
      <c r="C67" s="169">
        <f t="array" ref="C67">SUM(IF(C$41:C$55 = 0,0,$Z$41:$Z$55-C$41:C$55))-INDEX(Balancing!$R$4:$R$27,C$3)</f>
        <v>291</v>
      </c>
      <c r="D67" s="169">
        <f t="array" ref="D67">SUM(IF(D$41:D$55 = 0,0,$Z$41:$Z$55-D$41:D$55))-INDEX(Balancing!$R$4:$R$27,D$3)</f>
        <v>287</v>
      </c>
      <c r="E67" s="169">
        <f t="array" ref="E67">SUM(IF(E$41:E$55 = 0,0,$Z$41:$Z$55-E$41:E$55))-INDEX(Balancing!$R$4:$R$27,E$3)</f>
        <v>294</v>
      </c>
      <c r="F67" s="169">
        <f t="array" ref="F67">SUM(IF(F$41:F$55 = 0,0,$Z$41:$Z$55-F$41:F$55))-INDEX(Balancing!$R$4:$R$27,F$3)</f>
        <v>262</v>
      </c>
      <c r="G67" s="169">
        <f t="array" ref="G67">SUM(IF(G$41:G$55 = 0,0,$Z$41:$Z$55-G$41:G$55))-INDEX(Balancing!$R$4:$R$27,G$3)</f>
        <v>354</v>
      </c>
      <c r="H67" s="169">
        <f t="array" ref="H67">SUM(IF(H$41:H$55 = 0,0,$Z$41:$Z$55-H$41:H$55))-INDEX(Balancing!$R$4:$R$27,H$3)</f>
        <v>350</v>
      </c>
      <c r="I67" s="169">
        <f t="array" ref="I67">SUM(IF(I$41:I$55 = 0,0,$Z$41:$Z$55-I$41:I$55))-INDEX(Balancing!$R$4:$R$27,I$3)</f>
        <v>368</v>
      </c>
      <c r="J67" s="169">
        <f t="array" ref="J67">SUM(IF(J$41:J$55 = 0,0,$Z$41:$Z$55-J$41:J$55))-INDEX(Balancing!$R$4:$R$27,J$3)</f>
        <v>296</v>
      </c>
      <c r="K67" s="169">
        <f t="array" ref="K67">SUM(IF(K$41:K$55 = 0,0,$Z$41:$Z$55-K$41:K$55))-INDEX(Balancing!$R$4:$R$27,K$3)</f>
        <v>293</v>
      </c>
      <c r="L67" s="169">
        <f t="array" ref="L67">SUM(IF(L$41:L$55 = 0,0,$Z$41:$Z$55-L$41:L$55))-INDEX(Balancing!$R$4:$R$27,L$3)</f>
        <v>262</v>
      </c>
      <c r="M67" s="169">
        <f t="array" ref="M67">SUM(IF(M$41:M$55 = 0,0,$Z$41:$Z$55-M$41:M$55))-INDEX(Balancing!$R$4:$R$27,M$3)</f>
        <v>266</v>
      </c>
      <c r="N67" s="169">
        <v>179</v>
      </c>
      <c r="O67" s="169">
        <f t="array" ref="O67">SUM(IF(O$41:O$55 = 0,0,$Z$41:$Z$55-O$41:O$55))-INDEX(Balancing!$R$4:$R$27,O$3)</f>
        <v>299</v>
      </c>
      <c r="P67" s="169">
        <f t="array" ref="P67">SUM(IF(P$41:P$55 = 0,0,$Z$41:$Z$55-P$41:P$55))-INDEX(Balancing!$R$4:$R$27,P$3)</f>
        <v>302</v>
      </c>
      <c r="Q67" s="169">
        <f t="array" ref="Q67">SUM(IF(Q$41:Q$55 = 0,0,$Z$41:$Z$55-Q$41:Q$55))-INDEX(Balancing!$R$4:$R$27,Q$3)</f>
        <v>301</v>
      </c>
      <c r="R67" s="169">
        <f t="array" ref="R67">SUM(IF(R$41:R$55 = 0,0,$Z$41:$Z$55-R$41:R$55))-INDEX(Balancing!$R$4:$R$27,R$3)</f>
        <v>320</v>
      </c>
      <c r="S67" s="169">
        <f t="array" ref="S67">SUM(IF(S$41:S$55 = 0,0,$Z$41:$Z$55-S$41:S$55))-INDEX(Balancing!$R$4:$R$27,S$3)</f>
        <v>313</v>
      </c>
      <c r="T67" s="169">
        <f t="array" ref="T67">SUM(IF(T$41:T$55 = 0,0,$Z$41:$Z$55-T$41:T$55))-INDEX(Balancing!$R$4:$R$27,T$3)</f>
        <v>309</v>
      </c>
      <c r="U67" s="169">
        <f t="array" ref="U67">SUM(IF(U$41:U$55 = 0,0,$Z$41:$Z$55-U$41:U$55))-INDEX(Balancing!$R$4:$R$27,U$3)</f>
        <v>277</v>
      </c>
      <c r="V67" s="169">
        <f t="array" ref="V67">SUM(IF(V$41:V$55 = 0,0,$Z$41:$Z$55-V$41:V$55))-INDEX(Balancing!$R$4:$R$27,V$3)</f>
        <v>283</v>
      </c>
      <c r="W67" s="169" t="e">
        <f t="array" ref="W67">SUM(IF(W$41:W$55 = 0,0,$Z$41:$Z$55-W$41:W$55))-INDEX(Balancing!$R$4:$R$27,W$3)</f>
        <v>#VALUE!</v>
      </c>
      <c r="X67" s="169">
        <f t="array" ref="X67">SUM(IF(X$41:X$55 = 0,0,$Z$41:$Z$55-X$41:X$55))-INDEX(Balancing!$R$4:$R$27,X$3)</f>
        <v>362</v>
      </c>
      <c r="Y67" s="170">
        <f t="array" ref="Y67">SUM(IF(Y$41:Y$55 = 0,0,$Z$41:$Z$55-Y$41:Y$55))-INDEX(Balancing!$R$4:$R$27,Y$3)</f>
        <v>325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41</v>
      </c>
      <c r="C69" s="171">
        <f t="shared" si="15"/>
        <v>39</v>
      </c>
      <c r="D69" s="171">
        <f t="shared" si="15"/>
        <v>38</v>
      </c>
      <c r="E69" s="171">
        <f t="shared" si="15"/>
        <v>38</v>
      </c>
      <c r="F69" s="171">
        <f t="shared" si="15"/>
        <v>38</v>
      </c>
      <c r="G69" s="171">
        <f t="shared" si="15"/>
        <v>38</v>
      </c>
      <c r="H69" s="171">
        <f t="shared" ref="H69:X69" si="16">IF(H67&lt;0.07*I4,"err",ROUND(I4*0.07,0))</f>
        <v>41</v>
      </c>
      <c r="I69" s="171">
        <f t="shared" si="16"/>
        <v>44</v>
      </c>
      <c r="J69" s="171">
        <f t="shared" si="16"/>
        <v>48</v>
      </c>
      <c r="K69" s="171">
        <f t="shared" si="16"/>
        <v>49</v>
      </c>
      <c r="L69" s="171">
        <f t="shared" si="16"/>
        <v>49</v>
      </c>
      <c r="M69" s="171">
        <f t="shared" si="16"/>
        <v>49</v>
      </c>
      <c r="N69" s="171">
        <f t="shared" si="16"/>
        <v>49</v>
      </c>
      <c r="O69" s="171">
        <f t="shared" si="16"/>
        <v>49</v>
      </c>
      <c r="P69" s="171">
        <f t="shared" si="16"/>
        <v>49</v>
      </c>
      <c r="Q69" s="171">
        <f t="shared" si="16"/>
        <v>48</v>
      </c>
      <c r="R69" s="171">
        <f t="shared" si="16"/>
        <v>48</v>
      </c>
      <c r="S69" s="171">
        <f t="shared" si="16"/>
        <v>51</v>
      </c>
      <c r="T69" s="171">
        <f t="shared" si="16"/>
        <v>53</v>
      </c>
      <c r="U69" s="171">
        <f t="shared" si="16"/>
        <v>52</v>
      </c>
      <c r="V69" s="171">
        <f t="shared" si="16"/>
        <v>50</v>
      </c>
      <c r="W69" s="171" t="e">
        <f t="shared" si="16"/>
        <v>#VALUE!</v>
      </c>
      <c r="X69" s="171">
        <f t="shared" si="16"/>
        <v>43</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225</v>
      </c>
      <c r="C78" s="478">
        <f t="shared" ca="1" si="17"/>
        <v>150</v>
      </c>
      <c r="D78" s="478">
        <f t="shared" ca="1" si="17"/>
        <v>125</v>
      </c>
      <c r="E78" s="478">
        <f t="shared" ca="1" si="17"/>
        <v>125</v>
      </c>
      <c r="F78" s="478">
        <f t="shared" ca="1" si="17"/>
        <v>125</v>
      </c>
      <c r="G78" s="478">
        <f t="shared" ca="1" si="17"/>
        <v>100</v>
      </c>
      <c r="H78" s="478">
        <f t="shared" ca="1" si="17"/>
        <v>80</v>
      </c>
      <c r="I78" s="478">
        <f t="shared" ca="1" si="17"/>
        <v>105</v>
      </c>
      <c r="J78" s="478">
        <f t="shared" ca="1" si="17"/>
        <v>120</v>
      </c>
      <c r="K78" s="478">
        <f t="shared" ca="1" si="17"/>
        <v>150</v>
      </c>
      <c r="L78" s="478">
        <f t="shared" ca="1" si="17"/>
        <v>170</v>
      </c>
      <c r="M78" s="478">
        <f t="shared" ca="1" si="17"/>
        <v>190</v>
      </c>
      <c r="N78" s="478">
        <f t="shared" ca="1" si="17"/>
        <v>200</v>
      </c>
      <c r="O78" s="478">
        <f t="shared" ca="1" si="17"/>
        <v>200</v>
      </c>
      <c r="P78" s="478">
        <f t="shared" ca="1" si="17"/>
        <v>200</v>
      </c>
      <c r="Q78" s="478">
        <f t="shared" ca="1" si="17"/>
        <v>200</v>
      </c>
      <c r="R78" s="478">
        <f t="shared" ca="1" si="17"/>
        <v>200</v>
      </c>
      <c r="S78" s="478">
        <f t="shared" ca="1" si="17"/>
        <v>200</v>
      </c>
      <c r="T78" s="478">
        <f t="shared" ca="1" si="17"/>
        <v>200</v>
      </c>
      <c r="U78" s="478">
        <f t="shared" ca="1" si="17"/>
        <v>200</v>
      </c>
      <c r="V78" s="478">
        <f t="shared" ca="1" si="17"/>
        <v>200</v>
      </c>
      <c r="W78" s="478">
        <f t="shared" ca="1" si="17"/>
        <v>200</v>
      </c>
      <c r="X78" s="478">
        <f t="shared" ca="1" si="17"/>
        <v>200</v>
      </c>
      <c r="Y78" s="478">
        <f t="shared" ca="1" si="17"/>
        <v>150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Deals!AD148</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4015</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257437.90616577843</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52</v>
      </c>
      <c r="C89" s="232">
        <f t="shared" si="18"/>
        <v>52</v>
      </c>
      <c r="D89" s="232">
        <f t="shared" si="18"/>
        <v>52</v>
      </c>
      <c r="E89" s="232">
        <f>E56</f>
        <v>52</v>
      </c>
      <c r="F89" s="232">
        <f t="shared" si="18"/>
        <v>52</v>
      </c>
      <c r="G89" s="232">
        <f t="shared" si="18"/>
        <v>52</v>
      </c>
      <c r="H89" s="232">
        <f t="shared" si="18"/>
        <v>51</v>
      </c>
      <c r="I89" s="232">
        <f t="shared" si="18"/>
        <v>52</v>
      </c>
      <c r="J89" s="232">
        <f t="shared" si="18"/>
        <v>52</v>
      </c>
      <c r="K89" s="232">
        <f t="shared" si="18"/>
        <v>52</v>
      </c>
      <c r="L89" s="232">
        <f t="shared" si="18"/>
        <v>52</v>
      </c>
      <c r="M89" s="232">
        <f>M57</f>
        <v>0</v>
      </c>
      <c r="N89" s="232">
        <f t="shared" si="18"/>
        <v>52</v>
      </c>
      <c r="O89" s="232">
        <f t="shared" si="18"/>
        <v>52</v>
      </c>
      <c r="P89" s="232">
        <f t="shared" si="18"/>
        <v>52</v>
      </c>
      <c r="Q89" s="232">
        <f t="shared" si="18"/>
        <v>51</v>
      </c>
      <c r="R89" s="232">
        <f t="shared" si="18"/>
        <v>51</v>
      </c>
      <c r="S89" s="232">
        <f t="shared" si="18"/>
        <v>52</v>
      </c>
      <c r="T89" s="232">
        <f t="shared" si="18"/>
        <v>52</v>
      </c>
      <c r="U89" s="232">
        <f t="shared" si="18"/>
        <v>52</v>
      </c>
      <c r="V89" s="232">
        <f t="shared" si="18"/>
        <v>52</v>
      </c>
      <c r="W89" s="232">
        <f t="shared" si="18"/>
        <v>52</v>
      </c>
      <c r="X89" s="232">
        <f t="shared" si="18"/>
        <v>52</v>
      </c>
      <c r="Y89" s="232">
        <f t="shared" si="18"/>
        <v>52</v>
      </c>
      <c r="Z89" s="261">
        <f t="array" ref="Z89">SUM(B89:Y89*Economics!F$28)</f>
        <v>15598.331840000008</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51</v>
      </c>
      <c r="C91" s="210">
        <f t="shared" si="19"/>
        <v>0</v>
      </c>
      <c r="D91" s="210">
        <f t="shared" si="19"/>
        <v>-50</v>
      </c>
      <c r="E91" s="210">
        <f t="shared" si="19"/>
        <v>-50</v>
      </c>
      <c r="F91" s="210">
        <f t="shared" si="19"/>
        <v>-50</v>
      </c>
      <c r="G91" s="210">
        <f t="shared" si="19"/>
        <v>-50</v>
      </c>
      <c r="H91" s="210">
        <f t="shared" si="19"/>
        <v>1</v>
      </c>
      <c r="I91" s="210">
        <f t="shared" si="19"/>
        <v>0</v>
      </c>
      <c r="J91" s="210">
        <f t="shared" si="19"/>
        <v>0</v>
      </c>
      <c r="K91" s="210">
        <f t="shared" si="19"/>
        <v>0</v>
      </c>
      <c r="L91" s="210">
        <f t="shared" si="19"/>
        <v>51</v>
      </c>
      <c r="M91" s="210">
        <f t="shared" si="19"/>
        <v>103</v>
      </c>
      <c r="N91" s="210">
        <f t="shared" si="19"/>
        <v>51</v>
      </c>
      <c r="O91" s="210">
        <f t="shared" si="19"/>
        <v>51</v>
      </c>
      <c r="P91" s="210">
        <f t="shared" si="19"/>
        <v>51</v>
      </c>
      <c r="Q91" s="210">
        <f t="shared" si="19"/>
        <v>52</v>
      </c>
      <c r="R91" s="210">
        <f t="shared" si="19"/>
        <v>52</v>
      </c>
      <c r="S91" s="210">
        <f t="shared" si="19"/>
        <v>51</v>
      </c>
      <c r="T91" s="210">
        <f t="shared" si="19"/>
        <v>51</v>
      </c>
      <c r="U91" s="210">
        <f t="shared" si="19"/>
        <v>51</v>
      </c>
      <c r="V91" s="210">
        <f t="shared" si="19"/>
        <v>0</v>
      </c>
      <c r="W91" s="210">
        <f t="shared" si="19"/>
        <v>0</v>
      </c>
      <c r="X91" s="210">
        <f t="shared" si="19"/>
        <v>0</v>
      </c>
      <c r="Y91" s="210">
        <f t="shared" si="19"/>
        <v>0</v>
      </c>
      <c r="Z91" s="264">
        <f>Z89-Z90</f>
        <v>-5439.1500799999867</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130</v>
      </c>
      <c r="C95" s="181">
        <f t="shared" si="22"/>
        <v>130</v>
      </c>
      <c r="D95" s="181">
        <f t="shared" si="22"/>
        <v>129</v>
      </c>
      <c r="E95" s="181">
        <f>E53</f>
        <v>130</v>
      </c>
      <c r="F95" s="181">
        <f t="shared" si="22"/>
        <v>130</v>
      </c>
      <c r="G95" s="181">
        <f t="shared" si="22"/>
        <v>130</v>
      </c>
      <c r="H95" s="181">
        <f t="shared" si="22"/>
        <v>130</v>
      </c>
      <c r="I95" s="181">
        <f t="shared" si="22"/>
        <v>131</v>
      </c>
      <c r="J95" s="181">
        <f t="shared" si="22"/>
        <v>131</v>
      </c>
      <c r="K95" s="181">
        <f t="shared" si="22"/>
        <v>131</v>
      </c>
      <c r="L95" s="181">
        <f t="shared" si="22"/>
        <v>131</v>
      </c>
      <c r="M95" s="181">
        <f t="shared" si="22"/>
        <v>130</v>
      </c>
      <c r="N95" s="181">
        <f t="shared" si="22"/>
        <v>131</v>
      </c>
      <c r="O95" s="181">
        <f t="shared" si="22"/>
        <v>130</v>
      </c>
      <c r="P95" s="181">
        <f t="shared" si="22"/>
        <v>130</v>
      </c>
      <c r="Q95" s="181">
        <f t="shared" si="22"/>
        <v>130</v>
      </c>
      <c r="R95" s="181">
        <f t="shared" si="22"/>
        <v>130</v>
      </c>
      <c r="S95" s="181">
        <f t="shared" si="22"/>
        <v>131</v>
      </c>
      <c r="T95" s="181">
        <f t="shared" si="22"/>
        <v>130</v>
      </c>
      <c r="U95" s="181">
        <f t="shared" si="22"/>
        <v>130</v>
      </c>
      <c r="V95" s="181">
        <f t="shared" si="22"/>
        <v>130</v>
      </c>
      <c r="W95" s="181">
        <f t="shared" si="22"/>
        <v>130</v>
      </c>
      <c r="X95" s="181">
        <f t="shared" si="22"/>
        <v>131</v>
      </c>
      <c r="Y95" s="181">
        <f t="shared" si="22"/>
        <v>130</v>
      </c>
      <c r="Z95" s="263">
        <f t="array" ref="Z95">SUM(B95:Y95*Economics!F$30)</f>
        <v>19056.095999999998</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70</v>
      </c>
      <c r="C97" s="210">
        <f t="shared" si="23"/>
        <v>70</v>
      </c>
      <c r="D97" s="210">
        <f t="shared" si="23"/>
        <v>71</v>
      </c>
      <c r="E97" s="210">
        <f t="shared" si="23"/>
        <v>70</v>
      </c>
      <c r="F97" s="210">
        <f t="shared" si="23"/>
        <v>70</v>
      </c>
      <c r="G97" s="210">
        <f t="shared" si="23"/>
        <v>70</v>
      </c>
      <c r="H97" s="210">
        <f t="shared" si="23"/>
        <v>70</v>
      </c>
      <c r="I97" s="210">
        <f t="shared" si="23"/>
        <v>69</v>
      </c>
      <c r="J97" s="210">
        <f t="shared" si="23"/>
        <v>69</v>
      </c>
      <c r="K97" s="210">
        <f t="shared" si="23"/>
        <v>69</v>
      </c>
      <c r="L97" s="210">
        <f t="shared" si="23"/>
        <v>69</v>
      </c>
      <c r="M97" s="210">
        <f t="shared" si="23"/>
        <v>70</v>
      </c>
      <c r="N97" s="210">
        <f t="shared" si="23"/>
        <v>69</v>
      </c>
      <c r="O97" s="210">
        <f t="shared" si="23"/>
        <v>70</v>
      </c>
      <c r="P97" s="210">
        <f t="shared" si="23"/>
        <v>70</v>
      </c>
      <c r="Q97" s="210">
        <f t="shared" si="23"/>
        <v>70</v>
      </c>
      <c r="R97" s="210">
        <f t="shared" si="23"/>
        <v>70</v>
      </c>
      <c r="S97" s="210">
        <f t="shared" si="23"/>
        <v>69</v>
      </c>
      <c r="T97" s="210">
        <f t="shared" si="23"/>
        <v>70</v>
      </c>
      <c r="U97" s="210">
        <f t="shared" si="23"/>
        <v>70</v>
      </c>
      <c r="V97" s="210">
        <f t="shared" si="23"/>
        <v>70</v>
      </c>
      <c r="W97" s="210">
        <f t="shared" si="23"/>
        <v>70</v>
      </c>
      <c r="X97" s="210">
        <f t="shared" si="23"/>
        <v>69</v>
      </c>
      <c r="Y97" s="210">
        <f t="shared" si="23"/>
        <v>70</v>
      </c>
      <c r="Z97" s="264">
        <f>Z95-Z96</f>
        <v>-10204.704000000012</v>
      </c>
    </row>
    <row r="98" spans="1:29" x14ac:dyDescent="0.25">
      <c r="A98" s="183" t="str">
        <f>Economics!A31</f>
        <v>PV Unit 2</v>
      </c>
      <c r="B98" s="181">
        <f t="shared" ref="B98:Y98" si="24">B54</f>
        <v>130</v>
      </c>
      <c r="C98" s="181">
        <f t="shared" si="24"/>
        <v>130</v>
      </c>
      <c r="D98" s="181">
        <f t="shared" si="24"/>
        <v>129</v>
      </c>
      <c r="E98" s="181">
        <f>E54</f>
        <v>130</v>
      </c>
      <c r="F98" s="181">
        <f t="shared" si="24"/>
        <v>130</v>
      </c>
      <c r="G98" s="181">
        <f t="shared" si="24"/>
        <v>130</v>
      </c>
      <c r="H98" s="181">
        <f t="shared" si="24"/>
        <v>130</v>
      </c>
      <c r="I98" s="181">
        <f t="shared" si="24"/>
        <v>131</v>
      </c>
      <c r="J98" s="181">
        <f t="shared" si="24"/>
        <v>131</v>
      </c>
      <c r="K98" s="181">
        <f t="shared" si="24"/>
        <v>131</v>
      </c>
      <c r="L98" s="181">
        <f t="shared" si="24"/>
        <v>131</v>
      </c>
      <c r="M98" s="181">
        <f t="shared" si="24"/>
        <v>130</v>
      </c>
      <c r="N98" s="181">
        <f t="shared" si="24"/>
        <v>131</v>
      </c>
      <c r="O98" s="181">
        <f t="shared" si="24"/>
        <v>130</v>
      </c>
      <c r="P98" s="181">
        <f t="shared" si="24"/>
        <v>130</v>
      </c>
      <c r="Q98" s="181">
        <f t="shared" si="24"/>
        <v>130</v>
      </c>
      <c r="R98" s="181">
        <f t="shared" si="24"/>
        <v>130</v>
      </c>
      <c r="S98" s="181">
        <f t="shared" si="24"/>
        <v>131</v>
      </c>
      <c r="T98" s="181">
        <f t="shared" si="24"/>
        <v>130</v>
      </c>
      <c r="U98" s="181">
        <f t="shared" si="24"/>
        <v>130</v>
      </c>
      <c r="V98" s="181">
        <f t="shared" si="24"/>
        <v>130</v>
      </c>
      <c r="W98" s="181">
        <f t="shared" si="24"/>
        <v>130</v>
      </c>
      <c r="X98" s="181">
        <f t="shared" si="24"/>
        <v>131</v>
      </c>
      <c r="Y98" s="181">
        <f t="shared" si="24"/>
        <v>130</v>
      </c>
      <c r="Z98" s="263">
        <f t="array" ref="Z98">SUM(B98:Y98*Economics!F$31)</f>
        <v>19056.095999999998</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64</v>
      </c>
      <c r="C100" s="210">
        <f t="shared" si="25"/>
        <v>64</v>
      </c>
      <c r="D100" s="210">
        <f t="shared" si="25"/>
        <v>65</v>
      </c>
      <c r="E100" s="210">
        <f t="shared" si="25"/>
        <v>64</v>
      </c>
      <c r="F100" s="210">
        <f t="shared" si="25"/>
        <v>65</v>
      </c>
      <c r="G100" s="210">
        <f t="shared" si="25"/>
        <v>65</v>
      </c>
      <c r="H100" s="210">
        <f t="shared" si="25"/>
        <v>65</v>
      </c>
      <c r="I100" s="210">
        <f t="shared" si="25"/>
        <v>64</v>
      </c>
      <c r="J100" s="210">
        <f t="shared" si="25"/>
        <v>64</v>
      </c>
      <c r="K100" s="210">
        <f t="shared" si="25"/>
        <v>64</v>
      </c>
      <c r="L100" s="210">
        <f t="shared" si="25"/>
        <v>64</v>
      </c>
      <c r="M100" s="210">
        <f t="shared" si="25"/>
        <v>65</v>
      </c>
      <c r="N100" s="210">
        <f t="shared" si="25"/>
        <v>64</v>
      </c>
      <c r="O100" s="210">
        <f t="shared" si="25"/>
        <v>65</v>
      </c>
      <c r="P100" s="210">
        <f t="shared" si="25"/>
        <v>65</v>
      </c>
      <c r="Q100" s="210">
        <f t="shared" si="25"/>
        <v>65</v>
      </c>
      <c r="R100" s="210">
        <f t="shared" si="25"/>
        <v>65</v>
      </c>
      <c r="S100" s="210">
        <f t="shared" si="25"/>
        <v>64</v>
      </c>
      <c r="T100" s="210">
        <f t="shared" si="25"/>
        <v>65</v>
      </c>
      <c r="U100" s="210">
        <f t="shared" si="25"/>
        <v>65</v>
      </c>
      <c r="V100" s="210">
        <f t="shared" si="25"/>
        <v>65</v>
      </c>
      <c r="W100" s="210">
        <f t="shared" si="25"/>
        <v>65</v>
      </c>
      <c r="X100" s="210">
        <f t="shared" si="25"/>
        <v>64</v>
      </c>
      <c r="Y100" s="210">
        <f t="shared" si="25"/>
        <v>65</v>
      </c>
      <c r="Z100" s="264">
        <f>Z98-Z99</f>
        <v>-9448.8000000000102</v>
      </c>
    </row>
    <row r="101" spans="1:29" x14ac:dyDescent="0.25">
      <c r="A101" s="183" t="str">
        <f>Economics!A32</f>
        <v>PV Unit 3</v>
      </c>
      <c r="B101" s="181">
        <f t="shared" ref="B101:Y101" si="26">B55</f>
        <v>130</v>
      </c>
      <c r="C101" s="181">
        <f t="shared" si="26"/>
        <v>129</v>
      </c>
      <c r="D101" s="181">
        <f t="shared" si="26"/>
        <v>129</v>
      </c>
      <c r="E101" s="181">
        <f>E55</f>
        <v>130</v>
      </c>
      <c r="F101" s="181">
        <f t="shared" si="26"/>
        <v>130</v>
      </c>
      <c r="G101" s="181">
        <f t="shared" si="26"/>
        <v>130</v>
      </c>
      <c r="H101" s="181">
        <f t="shared" si="26"/>
        <v>130</v>
      </c>
      <c r="I101" s="181">
        <f t="shared" si="26"/>
        <v>131</v>
      </c>
      <c r="J101" s="181">
        <f t="shared" si="26"/>
        <v>131</v>
      </c>
      <c r="K101" s="181">
        <f t="shared" si="26"/>
        <v>131</v>
      </c>
      <c r="L101" s="181">
        <f t="shared" si="26"/>
        <v>131</v>
      </c>
      <c r="M101" s="181">
        <f t="shared" si="26"/>
        <v>130</v>
      </c>
      <c r="N101" s="181">
        <f t="shared" si="26"/>
        <v>131</v>
      </c>
      <c r="O101" s="181">
        <f t="shared" si="26"/>
        <v>130</v>
      </c>
      <c r="P101" s="181">
        <f t="shared" si="26"/>
        <v>130</v>
      </c>
      <c r="Q101" s="181">
        <f t="shared" si="26"/>
        <v>130</v>
      </c>
      <c r="R101" s="181">
        <f t="shared" si="26"/>
        <v>130</v>
      </c>
      <c r="S101" s="181">
        <f t="shared" si="26"/>
        <v>131</v>
      </c>
      <c r="T101" s="181">
        <f t="shared" si="26"/>
        <v>130</v>
      </c>
      <c r="U101" s="181">
        <f t="shared" si="26"/>
        <v>130</v>
      </c>
      <c r="V101" s="181">
        <f t="shared" si="26"/>
        <v>130</v>
      </c>
      <c r="W101" s="181">
        <f t="shared" si="26"/>
        <v>130</v>
      </c>
      <c r="X101" s="181">
        <f t="shared" si="26"/>
        <v>131</v>
      </c>
      <c r="Y101" s="181">
        <f t="shared" si="26"/>
        <v>130</v>
      </c>
      <c r="Z101" s="263">
        <f t="array" ref="Z101">SUM(B101:Y101*Economics!F$32)</f>
        <v>19049.999999999996</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70</v>
      </c>
      <c r="C103" s="210">
        <f t="shared" si="27"/>
        <v>71</v>
      </c>
      <c r="D103" s="210">
        <f t="shared" si="27"/>
        <v>71</v>
      </c>
      <c r="E103" s="210">
        <f t="shared" si="27"/>
        <v>70</v>
      </c>
      <c r="F103" s="210">
        <f t="shared" si="27"/>
        <v>70</v>
      </c>
      <c r="G103" s="210">
        <f t="shared" si="27"/>
        <v>70</v>
      </c>
      <c r="H103" s="210">
        <f t="shared" si="27"/>
        <v>70</v>
      </c>
      <c r="I103" s="210">
        <f t="shared" si="27"/>
        <v>69</v>
      </c>
      <c r="J103" s="210">
        <f t="shared" si="27"/>
        <v>69</v>
      </c>
      <c r="K103" s="210">
        <f t="shared" si="27"/>
        <v>69</v>
      </c>
      <c r="L103" s="210">
        <f t="shared" si="27"/>
        <v>69</v>
      </c>
      <c r="M103" s="210">
        <f t="shared" si="27"/>
        <v>70</v>
      </c>
      <c r="N103" s="210">
        <f t="shared" si="27"/>
        <v>69</v>
      </c>
      <c r="O103" s="210">
        <f t="shared" si="27"/>
        <v>70</v>
      </c>
      <c r="P103" s="210">
        <f t="shared" si="27"/>
        <v>70</v>
      </c>
      <c r="Q103" s="210">
        <f t="shared" si="27"/>
        <v>70</v>
      </c>
      <c r="R103" s="210">
        <f t="shared" si="27"/>
        <v>70</v>
      </c>
      <c r="S103" s="210">
        <f t="shared" si="27"/>
        <v>69</v>
      </c>
      <c r="T103" s="210">
        <f t="shared" si="27"/>
        <v>70</v>
      </c>
      <c r="U103" s="210">
        <f t="shared" si="27"/>
        <v>70</v>
      </c>
      <c r="V103" s="210">
        <f t="shared" si="27"/>
        <v>70</v>
      </c>
      <c r="W103" s="210">
        <f t="shared" si="27"/>
        <v>70</v>
      </c>
      <c r="X103" s="210">
        <f t="shared" si="27"/>
        <v>69</v>
      </c>
      <c r="Y103" s="210">
        <f t="shared" si="27"/>
        <v>70</v>
      </c>
      <c r="Z103" s="264">
        <f>Z101-Z102</f>
        <v>-10210.800000000014</v>
      </c>
    </row>
    <row r="104" spans="1:29" x14ac:dyDescent="0.25">
      <c r="A104" s="183" t="str">
        <f>Economics!A34</f>
        <v>Newman 1</v>
      </c>
      <c r="B104" s="181">
        <v>31</v>
      </c>
      <c r="C104" s="181">
        <f t="shared" ref="C104:R104" si="28">C41</f>
        <v>80</v>
      </c>
      <c r="D104" s="181">
        <f t="shared" si="28"/>
        <v>80</v>
      </c>
      <c r="E104" s="181">
        <f>E41</f>
        <v>80</v>
      </c>
      <c r="F104" s="181">
        <f t="shared" si="28"/>
        <v>80</v>
      </c>
      <c r="G104" s="181">
        <f t="shared" si="28"/>
        <v>80</v>
      </c>
      <c r="H104" s="181">
        <f t="shared" si="28"/>
        <v>75</v>
      </c>
      <c r="I104" s="181">
        <f>I41</f>
        <v>74</v>
      </c>
      <c r="J104" s="181">
        <f t="shared" si="28"/>
        <v>47</v>
      </c>
      <c r="K104" s="181">
        <f t="shared" si="28"/>
        <v>46</v>
      </c>
      <c r="L104" s="181">
        <f t="shared" si="28"/>
        <v>66</v>
      </c>
      <c r="M104" s="181">
        <f t="shared" si="28"/>
        <v>63</v>
      </c>
      <c r="N104" s="181">
        <f t="shared" si="28"/>
        <v>75</v>
      </c>
      <c r="O104" s="181">
        <f t="shared" si="28"/>
        <v>77</v>
      </c>
      <c r="P104" s="181">
        <f t="shared" si="28"/>
        <v>77</v>
      </c>
      <c r="Q104" s="181">
        <f t="shared" si="28"/>
        <v>77</v>
      </c>
      <c r="R104" s="181">
        <f t="shared" si="28"/>
        <v>69</v>
      </c>
      <c r="S104" s="181">
        <v>34</v>
      </c>
      <c r="T104" s="181">
        <v>34</v>
      </c>
      <c r="U104" s="181">
        <v>34</v>
      </c>
      <c r="V104" s="181">
        <v>34</v>
      </c>
      <c r="W104" s="181">
        <f>W41</f>
        <v>78</v>
      </c>
      <c r="X104" s="181">
        <f>X41</f>
        <v>78</v>
      </c>
      <c r="Y104" s="181">
        <f>Y41</f>
        <v>78</v>
      </c>
      <c r="Z104" s="223">
        <f>SUM(B104:Y104)</f>
        <v>1547</v>
      </c>
      <c r="AA104" s="322" t="s">
        <v>167</v>
      </c>
    </row>
    <row r="105" spans="1:29" x14ac:dyDescent="0.25">
      <c r="A105" s="185">
        <f>Economics!$I34</f>
        <v>1.96</v>
      </c>
      <c r="B105" s="189">
        <f t="shared" ref="B105:Y105" ca="1" si="29">IndGencost(B104,OFFSET(HeatRateStart,1,MATCH($A104,HeatRateNames,0)-1,250,1),$A105)</f>
        <v>23.547401890555044</v>
      </c>
      <c r="C105" s="189">
        <f t="shared" ca="1" si="29"/>
        <v>22.128302430677412</v>
      </c>
      <c r="D105" s="189">
        <f t="shared" ca="1" si="29"/>
        <v>22.128302430677412</v>
      </c>
      <c r="E105" s="189">
        <f ca="1">IndGencost(E104,OFFSET(HeatRateStart,1,MATCH($A104,HeatRateNames,0)-1,250,1),$A105)</f>
        <v>22.128302430677412</v>
      </c>
      <c r="F105" s="189">
        <f t="shared" ca="1" si="29"/>
        <v>22.128302430677412</v>
      </c>
      <c r="G105" s="189">
        <f t="shared" ca="1" si="29"/>
        <v>22.128302430677412</v>
      </c>
      <c r="H105" s="189">
        <f t="shared" ca="1" si="29"/>
        <v>22.17096509817441</v>
      </c>
      <c r="I105" s="189">
        <f t="shared" ca="1" si="29"/>
        <v>22.180664626291122</v>
      </c>
      <c r="J105" s="189">
        <f t="shared" ca="1" si="29"/>
        <v>22.692834986345613</v>
      </c>
      <c r="K105" s="189">
        <f t="shared" ca="1" si="29"/>
        <v>22.726917972762891</v>
      </c>
      <c r="L105" s="189">
        <f t="shared" ca="1" si="29"/>
        <v>22.275235318385615</v>
      </c>
      <c r="M105" s="189">
        <f t="shared" ca="1" si="29"/>
        <v>22.31996118996317</v>
      </c>
      <c r="N105" s="189">
        <f t="shared" ca="1" si="29"/>
        <v>22.17096509817441</v>
      </c>
      <c r="O105" s="189">
        <f t="shared" ca="1" si="29"/>
        <v>22.152778503881059</v>
      </c>
      <c r="P105" s="189">
        <f t="shared" ca="1" si="29"/>
        <v>22.152778503881059</v>
      </c>
      <c r="Q105" s="189">
        <f t="shared" ca="1" si="29"/>
        <v>22.152778503881059</v>
      </c>
      <c r="R105" s="189">
        <f t="shared" ca="1" si="29"/>
        <v>22.235927453061944</v>
      </c>
      <c r="S105" s="189">
        <f t="shared" ca="1" si="29"/>
        <v>23.319183465619929</v>
      </c>
      <c r="T105" s="189">
        <f t="shared" ca="1" si="29"/>
        <v>23.319183465619929</v>
      </c>
      <c r="U105" s="189">
        <f t="shared" ca="1" si="29"/>
        <v>23.319183465619929</v>
      </c>
      <c r="V105" s="189">
        <f t="shared" ca="1" si="29"/>
        <v>23.319183465619929</v>
      </c>
      <c r="W105" s="189">
        <f t="shared" ca="1" si="29"/>
        <v>22.144260348936715</v>
      </c>
      <c r="X105" s="189">
        <f t="shared" ca="1" si="29"/>
        <v>22.144260348936715</v>
      </c>
      <c r="Y105" s="189">
        <f t="shared" ca="1" si="29"/>
        <v>22.144260348936715</v>
      </c>
      <c r="Z105" s="263">
        <f t="array" aca="1" ref="Z105" ca="1">SUM(B104:Y104*B105:Y105)</f>
        <v>34541.365636669638</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1.5060966959794371</v>
      </c>
      <c r="D108" s="188">
        <f t="shared" ca="1" si="31"/>
        <v>1.5060966959794371</v>
      </c>
      <c r="E108" s="188">
        <f t="shared" ca="1" si="31"/>
        <v>1.5060966959794371</v>
      </c>
      <c r="F108" s="188">
        <f t="shared" ca="1" si="31"/>
        <v>1.5060966959794371</v>
      </c>
      <c r="G108" s="188">
        <f t="shared" ca="1" si="31"/>
        <v>1.5060966959794371</v>
      </c>
      <c r="H108" s="188">
        <f t="shared" ca="1" si="31"/>
        <v>1.463434028482439</v>
      </c>
      <c r="I108" s="188">
        <f t="shared" ca="1" si="31"/>
        <v>1.4537345003657265</v>
      </c>
      <c r="J108" s="188">
        <f t="shared" ca="1" si="31"/>
        <v>0.94156414031123603</v>
      </c>
      <c r="K108" s="188">
        <f t="shared" ca="1" si="31"/>
        <v>0.90748115389395778</v>
      </c>
      <c r="L108" s="188">
        <f t="shared" ca="1" si="31"/>
        <v>1.3591638082712336</v>
      </c>
      <c r="M108" s="188">
        <f t="shared" ca="1" si="31"/>
        <v>1.3144379366936789</v>
      </c>
      <c r="N108" s="188">
        <f t="shared" ca="1" si="31"/>
        <v>1.463434028482439</v>
      </c>
      <c r="O108" s="188">
        <f t="shared" ca="1" si="31"/>
        <v>1.4816206227757895</v>
      </c>
      <c r="P108" s="188">
        <f t="shared" ca="1" si="31"/>
        <v>1.4816206227757895</v>
      </c>
      <c r="Q108" s="188">
        <f t="shared" ca="1" si="31"/>
        <v>1.4816206227757895</v>
      </c>
      <c r="R108" s="188">
        <f t="shared" ca="1" si="31"/>
        <v>1.398471673594905</v>
      </c>
      <c r="S108" s="188">
        <f t="shared" ca="1" si="31"/>
        <v>0.31521566103691967</v>
      </c>
      <c r="T108" s="188">
        <f t="shared" ca="1" si="31"/>
        <v>0.31521566103691967</v>
      </c>
      <c r="U108" s="188">
        <f t="shared" ca="1" si="31"/>
        <v>0.31521566103691967</v>
      </c>
      <c r="V108" s="188">
        <f t="shared" ca="1" si="31"/>
        <v>0.31521566103691967</v>
      </c>
      <c r="W108" s="188">
        <f t="shared" ca="1" si="31"/>
        <v>1.4901387777201336</v>
      </c>
      <c r="X108" s="188">
        <f t="shared" ca="1" si="31"/>
        <v>1.4901387777201336</v>
      </c>
      <c r="Y108" s="188">
        <f t="shared" ca="1" si="31"/>
        <v>1.4901387777201336</v>
      </c>
      <c r="Z108" s="264">
        <f ca="1">Z105-Z107</f>
        <v>17524.59826547671</v>
      </c>
    </row>
    <row r="109" spans="1:29" x14ac:dyDescent="0.25">
      <c r="A109" s="183" t="str">
        <f>Economics!A35</f>
        <v>Newman 2</v>
      </c>
      <c r="B109" s="181">
        <f>B42</f>
        <v>78</v>
      </c>
      <c r="C109" s="181">
        <f t="shared" ref="C109:Y109" si="32">C42</f>
        <v>78</v>
      </c>
      <c r="D109" s="181">
        <f t="shared" si="32"/>
        <v>78</v>
      </c>
      <c r="E109" s="181">
        <f>E42</f>
        <v>37</v>
      </c>
      <c r="F109" s="181">
        <f t="shared" si="32"/>
        <v>51</v>
      </c>
      <c r="G109" s="181">
        <f t="shared" si="32"/>
        <v>40</v>
      </c>
      <c r="H109" s="181">
        <f t="shared" si="32"/>
        <v>40</v>
      </c>
      <c r="I109" s="181">
        <f>I42</f>
        <v>38</v>
      </c>
      <c r="J109" s="181">
        <f t="shared" si="32"/>
        <v>71</v>
      </c>
      <c r="K109" s="181">
        <f t="shared" si="32"/>
        <v>70</v>
      </c>
      <c r="L109" s="181">
        <f t="shared" si="32"/>
        <v>73</v>
      </c>
      <c r="M109" s="181">
        <f t="shared" si="32"/>
        <v>74</v>
      </c>
      <c r="N109" s="181">
        <f t="shared" si="32"/>
        <v>77</v>
      </c>
      <c r="O109" s="181">
        <f t="shared" si="32"/>
        <v>73</v>
      </c>
      <c r="P109" s="181">
        <f t="shared" si="32"/>
        <v>73</v>
      </c>
      <c r="Q109" s="181">
        <f t="shared" si="32"/>
        <v>67</v>
      </c>
      <c r="R109" s="181">
        <f t="shared" si="32"/>
        <v>64</v>
      </c>
      <c r="S109" s="181">
        <f t="shared" si="32"/>
        <v>70</v>
      </c>
      <c r="T109" s="181">
        <f t="shared" si="32"/>
        <v>75</v>
      </c>
      <c r="U109" s="181">
        <f t="shared" si="32"/>
        <v>76</v>
      </c>
      <c r="V109" s="181">
        <f t="shared" si="32"/>
        <v>76</v>
      </c>
      <c r="W109" s="181">
        <f t="shared" si="32"/>
        <v>37</v>
      </c>
      <c r="X109" s="181">
        <f t="shared" si="32"/>
        <v>38</v>
      </c>
      <c r="Y109" s="181">
        <f t="shared" si="32"/>
        <v>36</v>
      </c>
      <c r="Z109" s="223">
        <f>SUM(B109:Y109)</f>
        <v>1490</v>
      </c>
      <c r="AA109" s="322" t="s">
        <v>171</v>
      </c>
    </row>
    <row r="110" spans="1:29" x14ac:dyDescent="0.25">
      <c r="A110" s="185">
        <f>Economics!$I35</f>
        <v>1.96</v>
      </c>
      <c r="B110" s="189">
        <f t="shared" ref="B110:Y110" ca="1" si="33">IndGencost(B109,OFFSET(HeatRateStart,1,MATCH($A109,HeatRateNames,0)-1,250,1),$A110)</f>
        <v>20.246931060727437</v>
      </c>
      <c r="C110" s="189">
        <f t="shared" ca="1" si="33"/>
        <v>20.246931060727437</v>
      </c>
      <c r="D110" s="189">
        <f t="shared" ca="1" si="33"/>
        <v>20.246931060727437</v>
      </c>
      <c r="E110" s="189">
        <f ca="1">IndGencost(E109,OFFSET(HeatRateStart,1,MATCH($A109,HeatRateNames,0)-1,250,1),$A110)</f>
        <v>21.160356411838535</v>
      </c>
      <c r="F110" s="189">
        <f t="shared" ca="1" si="33"/>
        <v>20.606337420663646</v>
      </c>
      <c r="G110" s="189">
        <f t="shared" ca="1" si="33"/>
        <v>21.000420408725741</v>
      </c>
      <c r="H110" s="189">
        <f t="shared" ca="1" si="33"/>
        <v>21.000420408725741</v>
      </c>
      <c r="I110" s="189">
        <f t="shared" ca="1" si="33"/>
        <v>21.103691779156737</v>
      </c>
      <c r="J110" s="189">
        <f t="shared" ca="1" si="33"/>
        <v>20.293379380880278</v>
      </c>
      <c r="K110" s="189">
        <f t="shared" ca="1" si="33"/>
        <v>20.301960395131793</v>
      </c>
      <c r="L110" s="189">
        <f t="shared" ca="1" si="33"/>
        <v>20.277776449455629</v>
      </c>
      <c r="M110" s="189">
        <f t="shared" ca="1" si="33"/>
        <v>20.270712394523621</v>
      </c>
      <c r="N110" s="189">
        <f t="shared" ca="1" si="33"/>
        <v>20.252240030527737</v>
      </c>
      <c r="O110" s="189">
        <f t="shared" ca="1" si="33"/>
        <v>20.277776449455629</v>
      </c>
      <c r="P110" s="189">
        <f t="shared" ca="1" si="33"/>
        <v>20.277776449455629</v>
      </c>
      <c r="Q110" s="189">
        <f t="shared" ca="1" si="33"/>
        <v>20.331100873310888</v>
      </c>
      <c r="R110" s="189">
        <f t="shared" ca="1" si="33"/>
        <v>20.365894896376133</v>
      </c>
      <c r="S110" s="189">
        <f t="shared" ca="1" si="33"/>
        <v>20.301960395131793</v>
      </c>
      <c r="T110" s="189">
        <f t="shared" ca="1" si="33"/>
        <v>20.264113727728525</v>
      </c>
      <c r="U110" s="189">
        <f t="shared" ca="1" si="33"/>
        <v>20.257962078485992</v>
      </c>
      <c r="V110" s="189">
        <f t="shared" ca="1" si="33"/>
        <v>20.257962078485992</v>
      </c>
      <c r="W110" s="189">
        <f t="shared" ca="1" si="33"/>
        <v>21.160356411838535</v>
      </c>
      <c r="X110" s="189">
        <f t="shared" ca="1" si="33"/>
        <v>21.103691779156737</v>
      </c>
      <c r="Y110" s="189">
        <f t="shared" ca="1" si="33"/>
        <v>21.220746190791662</v>
      </c>
      <c r="Z110" s="263">
        <f t="array" aca="1" ref="Z110" ca="1">SUM(B109:Y109*B110:Y110)</f>
        <v>30450.444952649123</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1.3442586498188724</v>
      </c>
      <c r="C113" s="188">
        <f t="shared" ca="1" si="35"/>
        <v>1.3442586498188724</v>
      </c>
      <c r="D113" s="188">
        <f t="shared" ca="1" si="35"/>
        <v>1.3442586498188724</v>
      </c>
      <c r="E113" s="188">
        <f t="shared" ca="1" si="35"/>
        <v>0.43083329870777476</v>
      </c>
      <c r="F113" s="188">
        <f t="shared" ca="1" si="35"/>
        <v>0.98485228988266371</v>
      </c>
      <c r="G113" s="188">
        <f t="shared" ca="1" si="35"/>
        <v>0.59076930182056842</v>
      </c>
      <c r="H113" s="188">
        <f t="shared" ca="1" si="35"/>
        <v>0.59076930182056842</v>
      </c>
      <c r="I113" s="188">
        <f t="shared" ca="1" si="35"/>
        <v>0.48749793138957287</v>
      </c>
      <c r="J113" s="188">
        <f t="shared" ca="1" si="35"/>
        <v>1.2978103296660315</v>
      </c>
      <c r="K113" s="188">
        <f t="shared" ca="1" si="35"/>
        <v>1.2892293154145165</v>
      </c>
      <c r="L113" s="188">
        <f t="shared" ca="1" si="35"/>
        <v>1.3134132610906804</v>
      </c>
      <c r="M113" s="188">
        <f t="shared" ca="1" si="35"/>
        <v>1.3204773160226893</v>
      </c>
      <c r="N113" s="188">
        <f t="shared" ca="1" si="35"/>
        <v>1.3389496800185725</v>
      </c>
      <c r="O113" s="188">
        <f t="shared" ca="1" si="35"/>
        <v>1.3134132610906804</v>
      </c>
      <c r="P113" s="188">
        <f t="shared" ca="1" si="35"/>
        <v>1.3134132610906804</v>
      </c>
      <c r="Q113" s="188">
        <f t="shared" ca="1" si="35"/>
        <v>1.260088837235422</v>
      </c>
      <c r="R113" s="188">
        <f t="shared" ca="1" si="35"/>
        <v>1.2252948141701765</v>
      </c>
      <c r="S113" s="188">
        <f t="shared" ca="1" si="35"/>
        <v>1.2892293154145165</v>
      </c>
      <c r="T113" s="188">
        <f t="shared" ca="1" si="35"/>
        <v>1.3270759828177852</v>
      </c>
      <c r="U113" s="188">
        <f t="shared" ca="1" si="35"/>
        <v>1.3332276320603178</v>
      </c>
      <c r="V113" s="188">
        <f t="shared" ca="1" si="35"/>
        <v>1.3332276320603178</v>
      </c>
      <c r="W113" s="188">
        <f t="shared" ca="1" si="35"/>
        <v>0.43083329870777476</v>
      </c>
      <c r="X113" s="188">
        <f t="shared" ca="1" si="35"/>
        <v>0.48749793138957287</v>
      </c>
      <c r="Y113" s="188">
        <f t="shared" ca="1" si="35"/>
        <v>0.37044351975464807</v>
      </c>
      <c r="Z113" s="264">
        <f ca="1">Z110-Z112</f>
        <v>14386.599808002658</v>
      </c>
      <c r="AC113" s="174"/>
    </row>
    <row r="114" spans="1:29" x14ac:dyDescent="0.25">
      <c r="A114" s="183" t="str">
        <f>Economics!A36</f>
        <v>Newman 3</v>
      </c>
      <c r="B114" s="181">
        <f t="shared" ref="B114:Y114" si="36">B43</f>
        <v>78</v>
      </c>
      <c r="C114" s="181">
        <f t="shared" si="36"/>
        <v>47</v>
      </c>
      <c r="D114" s="181">
        <f t="shared" si="36"/>
        <v>52</v>
      </c>
      <c r="E114" s="181">
        <f>E43</f>
        <v>82</v>
      </c>
      <c r="F114" s="181">
        <f t="shared" si="36"/>
        <v>100</v>
      </c>
      <c r="G114" s="181">
        <f t="shared" si="36"/>
        <v>70</v>
      </c>
      <c r="H114" s="181">
        <f t="shared" si="36"/>
        <v>69</v>
      </c>
      <c r="I114" s="181">
        <f t="shared" si="36"/>
        <v>54</v>
      </c>
      <c r="J114" s="181">
        <f t="shared" si="36"/>
        <v>91</v>
      </c>
      <c r="K114" s="181">
        <f t="shared" si="36"/>
        <v>94</v>
      </c>
      <c r="L114" s="181">
        <f t="shared" si="36"/>
        <v>96</v>
      </c>
      <c r="M114" s="181">
        <f t="shared" si="36"/>
        <v>96</v>
      </c>
      <c r="N114" s="181">
        <f t="shared" si="36"/>
        <v>52</v>
      </c>
      <c r="O114" s="181">
        <f t="shared" si="36"/>
        <v>52</v>
      </c>
      <c r="P114" s="181">
        <f t="shared" si="36"/>
        <v>52</v>
      </c>
      <c r="Q114" s="181">
        <f t="shared" si="36"/>
        <v>65</v>
      </c>
      <c r="R114" s="181">
        <f t="shared" si="36"/>
        <v>55</v>
      </c>
      <c r="S114" s="181">
        <f t="shared" si="36"/>
        <v>55</v>
      </c>
      <c r="T114" s="181">
        <f t="shared" si="36"/>
        <v>55</v>
      </c>
      <c r="U114" s="181">
        <f t="shared" si="36"/>
        <v>65</v>
      </c>
      <c r="V114" s="181">
        <f t="shared" si="36"/>
        <v>65</v>
      </c>
      <c r="W114" s="181">
        <f t="shared" si="36"/>
        <v>88</v>
      </c>
      <c r="X114" s="181">
        <f t="shared" si="36"/>
        <v>58</v>
      </c>
      <c r="Y114" s="181">
        <f t="shared" si="36"/>
        <v>90</v>
      </c>
      <c r="Z114" s="223">
        <f>SUM(B114:Y114)</f>
        <v>1681</v>
      </c>
      <c r="AA114" s="322" t="s">
        <v>173</v>
      </c>
    </row>
    <row r="115" spans="1:29" x14ac:dyDescent="0.25">
      <c r="A115" s="185">
        <f>Economics!$I36</f>
        <v>1.96</v>
      </c>
      <c r="B115" s="189">
        <f t="shared" ref="B115:Y115" ca="1" si="37">IndGencost(B114,OFFSET(HeatRateStart,1,MATCH($A114,HeatRateNames,0)-1,250,1),$A115)</f>
        <v>19.765896794954934</v>
      </c>
      <c r="C115" s="189">
        <f t="shared" ca="1" si="37"/>
        <v>20.644513593288181</v>
      </c>
      <c r="D115" s="189">
        <f t="shared" ca="1" si="37"/>
        <v>20.368245011806493</v>
      </c>
      <c r="E115" s="189">
        <f ca="1">IndGencost(E114,OFFSET(HeatRateStart,1,MATCH($A114,HeatRateNames,0)-1,250,1),$A115)</f>
        <v>19.744418920865876</v>
      </c>
      <c r="F115" s="189">
        <f t="shared" ca="1" si="37"/>
        <v>19.769932384777071</v>
      </c>
      <c r="G115" s="189">
        <f t="shared" ca="1" si="37"/>
        <v>19.851160386357989</v>
      </c>
      <c r="H115" s="189">
        <f t="shared" ca="1" si="37"/>
        <v>19.866531980860064</v>
      </c>
      <c r="I115" s="189">
        <f t="shared" ca="1" si="37"/>
        <v>20.278668542826619</v>
      </c>
      <c r="J115" s="189">
        <f t="shared" ca="1" si="37"/>
        <v>19.735757307188852</v>
      </c>
      <c r="K115" s="189">
        <f t="shared" ca="1" si="37"/>
        <v>19.742996979997514</v>
      </c>
      <c r="L115" s="189">
        <f t="shared" ca="1" si="37"/>
        <v>19.750226217726865</v>
      </c>
      <c r="M115" s="189">
        <f t="shared" ca="1" si="37"/>
        <v>19.750226217726865</v>
      </c>
      <c r="N115" s="189">
        <f t="shared" ca="1" si="37"/>
        <v>20.368245011806493</v>
      </c>
      <c r="O115" s="189">
        <f t="shared" ca="1" si="37"/>
        <v>20.368245011806493</v>
      </c>
      <c r="P115" s="189">
        <f t="shared" ca="1" si="37"/>
        <v>20.368245011806493</v>
      </c>
      <c r="Q115" s="189">
        <f t="shared" ca="1" si="37"/>
        <v>19.940588080406187</v>
      </c>
      <c r="R115" s="189">
        <f t="shared" ca="1" si="37"/>
        <v>20.237713121154094</v>
      </c>
      <c r="S115" s="189">
        <f t="shared" ca="1" si="37"/>
        <v>20.237713121154094</v>
      </c>
      <c r="T115" s="189">
        <f t="shared" ca="1" si="37"/>
        <v>20.237713121154094</v>
      </c>
      <c r="U115" s="189">
        <f t="shared" ca="1" si="37"/>
        <v>19.940588080406187</v>
      </c>
      <c r="V115" s="189">
        <f t="shared" ca="1" si="37"/>
        <v>19.940588080406187</v>
      </c>
      <c r="W115" s="189">
        <f t="shared" ca="1" si="37"/>
        <v>19.733235838608309</v>
      </c>
      <c r="X115" s="189">
        <f t="shared" ca="1" si="37"/>
        <v>20.128592115895497</v>
      </c>
      <c r="Y115" s="189">
        <f t="shared" ca="1" si="37"/>
        <v>19.734369272973801</v>
      </c>
      <c r="Z115" s="263">
        <f t="array" aca="1" ref="Z115" ca="1">SUM(B114:Y114*B115:Y115)</f>
        <v>33551.635413006785</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-19.765896794954934</v>
      </c>
      <c r="C118" s="188">
        <f t="shared" ca="1" si="39"/>
        <v>-20.644513593288181</v>
      </c>
      <c r="D118" s="188">
        <f t="shared" ca="1" si="39"/>
        <v>-20.368245011806493</v>
      </c>
      <c r="E118" s="188">
        <f t="shared" ca="1" si="39"/>
        <v>-19.744418920865876</v>
      </c>
      <c r="F118" s="188">
        <f t="shared" ca="1" si="39"/>
        <v>-19.769932384777071</v>
      </c>
      <c r="G118" s="188">
        <f t="shared" ca="1" si="39"/>
        <v>-19.851160386357989</v>
      </c>
      <c r="H118" s="188">
        <f t="shared" ca="1" si="39"/>
        <v>-19.866531980860064</v>
      </c>
      <c r="I118" s="188">
        <f t="shared" ca="1" si="39"/>
        <v>-20.278668542826619</v>
      </c>
      <c r="J118" s="188">
        <f t="shared" ca="1" si="39"/>
        <v>-19.735757307188852</v>
      </c>
      <c r="K118" s="188">
        <f t="shared" ca="1" si="39"/>
        <v>-19.742996979997514</v>
      </c>
      <c r="L118" s="188">
        <f t="shared" ca="1" si="39"/>
        <v>-19.750226217726865</v>
      </c>
      <c r="M118" s="188">
        <f t="shared" ca="1" si="39"/>
        <v>-19.750226217726865</v>
      </c>
      <c r="N118" s="188">
        <f t="shared" ca="1" si="39"/>
        <v>-20.368245011806493</v>
      </c>
      <c r="O118" s="188">
        <f t="shared" ca="1" si="39"/>
        <v>-20.368245011806493</v>
      </c>
      <c r="P118" s="188">
        <f t="shared" ca="1" si="39"/>
        <v>-20.368245011806493</v>
      </c>
      <c r="Q118" s="188">
        <f t="shared" ca="1" si="39"/>
        <v>-19.940588080406187</v>
      </c>
      <c r="R118" s="188">
        <f t="shared" ca="1" si="39"/>
        <v>-20.237713121154094</v>
      </c>
      <c r="S118" s="188">
        <f t="shared" ca="1" si="39"/>
        <v>-20.237713121154094</v>
      </c>
      <c r="T118" s="188">
        <f t="shared" ca="1" si="39"/>
        <v>-20.237713121154094</v>
      </c>
      <c r="U118" s="188">
        <f t="shared" ca="1" si="39"/>
        <v>-19.940588080406187</v>
      </c>
      <c r="V118" s="188">
        <f t="shared" ca="1" si="39"/>
        <v>-19.940588080406187</v>
      </c>
      <c r="W118" s="188">
        <f t="shared" ca="1" si="39"/>
        <v>-19.733235838608309</v>
      </c>
      <c r="X118" s="188">
        <f t="shared" ca="1" si="39"/>
        <v>-20.128592115895497</v>
      </c>
      <c r="Y118" s="188">
        <f t="shared" ca="1" si="39"/>
        <v>-19.734369272973801</v>
      </c>
      <c r="Z118" s="264">
        <f ca="1">Z115-Z117</f>
        <v>33551.635413006785</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99</v>
      </c>
      <c r="C129" s="181">
        <f t="shared" si="50"/>
        <v>100</v>
      </c>
      <c r="D129" s="181">
        <f t="shared" si="50"/>
        <v>100</v>
      </c>
      <c r="E129" s="181">
        <f>E46</f>
        <v>101</v>
      </c>
      <c r="F129" s="181">
        <f t="shared" si="50"/>
        <v>100</v>
      </c>
      <c r="G129" s="181">
        <f t="shared" si="50"/>
        <v>98</v>
      </c>
      <c r="H129" s="181">
        <f t="shared" si="50"/>
        <v>100</v>
      </c>
      <c r="I129" s="181">
        <f t="shared" si="50"/>
        <v>101</v>
      </c>
      <c r="J129" s="181">
        <f t="shared" si="50"/>
        <v>93</v>
      </c>
      <c r="K129" s="181">
        <f t="shared" si="50"/>
        <v>94</v>
      </c>
      <c r="L129" s="181">
        <f t="shared" si="50"/>
        <v>98</v>
      </c>
      <c r="M129" s="181">
        <f t="shared" si="50"/>
        <v>96</v>
      </c>
      <c r="N129" s="181">
        <f t="shared" si="50"/>
        <v>100</v>
      </c>
      <c r="O129" s="181">
        <f t="shared" si="50"/>
        <v>97</v>
      </c>
      <c r="P129" s="181">
        <f t="shared" si="50"/>
        <v>96</v>
      </c>
      <c r="Q129" s="181">
        <f t="shared" si="50"/>
        <v>93</v>
      </c>
      <c r="R129" s="181">
        <f t="shared" si="50"/>
        <v>98</v>
      </c>
      <c r="S129" s="181">
        <f t="shared" si="50"/>
        <v>95</v>
      </c>
      <c r="T129" s="181">
        <f t="shared" si="50"/>
        <v>95</v>
      </c>
      <c r="U129" s="181">
        <f t="shared" si="50"/>
        <v>99</v>
      </c>
      <c r="V129" s="181">
        <f t="shared" si="50"/>
        <v>96</v>
      </c>
      <c r="W129" s="181">
        <f t="shared" si="50"/>
        <v>99</v>
      </c>
      <c r="X129" s="181">
        <f t="shared" si="50"/>
        <v>100</v>
      </c>
      <c r="Y129" s="181">
        <f t="shared" si="50"/>
        <v>101</v>
      </c>
      <c r="Z129" s="223">
        <f>SUM(B129:Y129)</f>
        <v>2349</v>
      </c>
      <c r="AA129" s="322" t="s">
        <v>175</v>
      </c>
    </row>
    <row r="130" spans="1:27" x14ac:dyDescent="0.25">
      <c r="A130" s="185">
        <f>Economics!$I39</f>
        <v>1.96</v>
      </c>
      <c r="B130" s="189">
        <f t="shared" ref="B130:Y130" ca="1" si="51">IndGencost(B129,OFFSET(HeatRateStart,1,MATCH($A129,HeatRateNames,0)-1,250,1),$A130)</f>
        <v>18.247761619595899</v>
      </c>
      <c r="C130" s="189">
        <f t="shared" ca="1" si="51"/>
        <v>18.221826354646684</v>
      </c>
      <c r="D130" s="189">
        <f t="shared" ca="1" si="51"/>
        <v>18.221826354646684</v>
      </c>
      <c r="E130" s="189">
        <f ca="1">IndGencost(E129,OFFSET(HeatRateStart,1,MATCH($A129,HeatRateNames,0)-1,250,1),$A130)</f>
        <v>18.196856643071595</v>
      </c>
      <c r="F130" s="189">
        <f t="shared" ca="1" si="51"/>
        <v>18.221826354646684</v>
      </c>
      <c r="G130" s="189">
        <f t="shared" ca="1" si="51"/>
        <v>18.274691995675596</v>
      </c>
      <c r="H130" s="189">
        <f t="shared" ca="1" si="51"/>
        <v>18.221826354646684</v>
      </c>
      <c r="I130" s="189">
        <f t="shared" ca="1" si="51"/>
        <v>18.196856643071595</v>
      </c>
      <c r="J130" s="189">
        <f t="shared" ca="1" si="51"/>
        <v>18.425394055597916</v>
      </c>
      <c r="K130" s="189">
        <f t="shared" ca="1" si="51"/>
        <v>18.392999788616486</v>
      </c>
      <c r="L130" s="189">
        <f t="shared" ca="1" si="51"/>
        <v>18.274691995675596</v>
      </c>
      <c r="M130" s="189">
        <f t="shared" ca="1" si="51"/>
        <v>18.331662470117728</v>
      </c>
      <c r="N130" s="189">
        <f t="shared" ca="1" si="51"/>
        <v>18.221826354646684</v>
      </c>
      <c r="O130" s="189">
        <f t="shared" ca="1" si="51"/>
        <v>18.302648259518669</v>
      </c>
      <c r="P130" s="189">
        <f t="shared" ca="1" si="51"/>
        <v>18.331662470117728</v>
      </c>
      <c r="Q130" s="189">
        <f t="shared" ca="1" si="51"/>
        <v>18.425394055597916</v>
      </c>
      <c r="R130" s="189">
        <f t="shared" ca="1" si="51"/>
        <v>18.274691995675596</v>
      </c>
      <c r="S130" s="189">
        <f t="shared" ca="1" si="51"/>
        <v>18.361768036317699</v>
      </c>
      <c r="T130" s="189">
        <f t="shared" ca="1" si="51"/>
        <v>18.361768036317699</v>
      </c>
      <c r="U130" s="189">
        <f t="shared" ca="1" si="51"/>
        <v>18.247761619595899</v>
      </c>
      <c r="V130" s="189">
        <f t="shared" ca="1" si="51"/>
        <v>18.331662470117728</v>
      </c>
      <c r="W130" s="189">
        <f t="shared" ca="1" si="51"/>
        <v>18.247761619595899</v>
      </c>
      <c r="X130" s="189">
        <f t="shared" ca="1" si="51"/>
        <v>18.221826354646684</v>
      </c>
      <c r="Y130" s="189">
        <f t="shared" ca="1" si="51"/>
        <v>18.196856643071595</v>
      </c>
      <c r="Z130" s="263">
        <f t="array" aca="1" ref="Z130" ca="1">SUM(B129:Y129*B130:Y130)</f>
        <v>42938.764897326051</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-18.247761619595899</v>
      </c>
      <c r="C133" s="188">
        <f t="shared" ca="1" si="53"/>
        <v>-18.221826354646684</v>
      </c>
      <c r="D133" s="188">
        <f t="shared" ca="1" si="53"/>
        <v>-18.221826354646684</v>
      </c>
      <c r="E133" s="188">
        <f t="shared" ca="1" si="53"/>
        <v>-18.196856643071595</v>
      </c>
      <c r="F133" s="188">
        <f t="shared" ca="1" si="53"/>
        <v>-18.221826354646684</v>
      </c>
      <c r="G133" s="188">
        <f t="shared" ca="1" si="53"/>
        <v>-18.274691995675596</v>
      </c>
      <c r="H133" s="188">
        <f t="shared" ca="1" si="53"/>
        <v>-18.221826354646684</v>
      </c>
      <c r="I133" s="188">
        <f t="shared" ca="1" si="53"/>
        <v>-18.196856643071595</v>
      </c>
      <c r="J133" s="188">
        <f t="shared" ca="1" si="53"/>
        <v>-18.425394055597916</v>
      </c>
      <c r="K133" s="188">
        <f t="shared" ca="1" si="53"/>
        <v>-18.392999788616486</v>
      </c>
      <c r="L133" s="188">
        <f t="shared" ca="1" si="53"/>
        <v>-18.274691995675596</v>
      </c>
      <c r="M133" s="188">
        <f t="shared" ca="1" si="53"/>
        <v>-18.331662470117728</v>
      </c>
      <c r="N133" s="188">
        <f t="shared" ca="1" si="53"/>
        <v>-18.221826354646684</v>
      </c>
      <c r="O133" s="188">
        <f t="shared" ca="1" si="53"/>
        <v>-18.302648259518669</v>
      </c>
      <c r="P133" s="188">
        <f t="shared" ca="1" si="53"/>
        <v>-18.331662470117728</v>
      </c>
      <c r="Q133" s="188">
        <f t="shared" ca="1" si="53"/>
        <v>-18.425394055597916</v>
      </c>
      <c r="R133" s="188">
        <f t="shared" ca="1" si="53"/>
        <v>-18.274691995675596</v>
      </c>
      <c r="S133" s="188">
        <f t="shared" ca="1" si="53"/>
        <v>-18.361768036317699</v>
      </c>
      <c r="T133" s="188">
        <f t="shared" ca="1" si="53"/>
        <v>-18.361768036317699</v>
      </c>
      <c r="U133" s="188">
        <f t="shared" ca="1" si="53"/>
        <v>-18.247761619595899</v>
      </c>
      <c r="V133" s="188">
        <f t="shared" ca="1" si="53"/>
        <v>-18.331662470117728</v>
      </c>
      <c r="W133" s="188">
        <f t="shared" ca="1" si="53"/>
        <v>-18.247761619595899</v>
      </c>
      <c r="X133" s="188">
        <f t="shared" ca="1" si="53"/>
        <v>-18.221826354646684</v>
      </c>
      <c r="Y133" s="188">
        <f t="shared" ca="1" si="53"/>
        <v>-18.196856643071595</v>
      </c>
      <c r="Z133" s="264">
        <f ca="1">Z130-Z132</f>
        <v>42938.764897326051</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t="str">
        <f t="shared" si="59"/>
        <v xml:space="preserve"> </v>
      </c>
      <c r="X139" s="181">
        <f t="shared" si="59"/>
        <v>0</v>
      </c>
      <c r="Y139" s="181">
        <f t="shared" si="59"/>
        <v>0</v>
      </c>
      <c r="Z139" s="223">
        <f>SUM(B139:Y139)</f>
        <v>0</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t="e">
        <f t="shared" ca="1" si="60"/>
        <v>#VALUE!</v>
      </c>
      <c r="X140" s="189">
        <f t="shared" ca="1" si="60"/>
        <v>0</v>
      </c>
      <c r="Y140" s="189">
        <f t="shared" ca="1" si="60"/>
        <v>0</v>
      </c>
      <c r="Z140" s="263" t="e">
        <f t="array" aca="1" ref="Z140" ca="1">SUM(B139:Y139*B140:Y140)</f>
        <v>#VALUE!</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t="e">
        <f t="shared" ca="1" si="62"/>
        <v>#VALUE!</v>
      </c>
      <c r="X143" s="188">
        <f t="shared" ca="1" si="62"/>
        <v>19.025115355453305</v>
      </c>
      <c r="Y143" s="188">
        <f t="shared" ca="1" si="62"/>
        <v>19.025115355453305</v>
      </c>
      <c r="Z143" s="264" t="e">
        <f ca="1">Z140-Z142</f>
        <v>#VALUE!</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20</v>
      </c>
      <c r="H144" s="181">
        <f t="shared" si="63"/>
        <v>28</v>
      </c>
      <c r="I144" s="181">
        <f t="shared" si="63"/>
        <v>23</v>
      </c>
      <c r="J144" s="181">
        <f t="shared" si="63"/>
        <v>60</v>
      </c>
      <c r="K144" s="181">
        <f t="shared" si="63"/>
        <v>61</v>
      </c>
      <c r="L144" s="181">
        <f t="shared" si="63"/>
        <v>64</v>
      </c>
      <c r="M144" s="181">
        <f t="shared" si="63"/>
        <v>67</v>
      </c>
      <c r="N144" s="181">
        <f t="shared" si="63"/>
        <v>68</v>
      </c>
      <c r="O144" s="181">
        <f t="shared" si="63"/>
        <v>65</v>
      </c>
      <c r="P144" s="181">
        <f t="shared" si="63"/>
        <v>62</v>
      </c>
      <c r="Q144" s="181">
        <f t="shared" si="63"/>
        <v>59</v>
      </c>
      <c r="R144" s="181">
        <f t="shared" si="63"/>
        <v>57</v>
      </c>
      <c r="S144" s="181">
        <f t="shared" si="63"/>
        <v>58</v>
      </c>
      <c r="T144" s="181">
        <f t="shared" si="63"/>
        <v>60</v>
      </c>
      <c r="U144" s="181">
        <v>0</v>
      </c>
      <c r="V144" s="181">
        <v>0</v>
      </c>
      <c r="W144" s="181">
        <v>0</v>
      </c>
      <c r="X144" s="181">
        <f>X49</f>
        <v>24</v>
      </c>
      <c r="Y144" s="181">
        <f>Y49</f>
        <v>33</v>
      </c>
      <c r="Z144" s="223">
        <f>SUM(B144:Y144)</f>
        <v>809</v>
      </c>
      <c r="AA144" s="322" t="s">
        <v>171</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40.356777105453496</v>
      </c>
      <c r="H145" s="189">
        <f t="shared" ca="1" si="64"/>
        <v>33.405658698165674</v>
      </c>
      <c r="I145" s="189">
        <f t="shared" ca="1" si="64"/>
        <v>37.140171821284319</v>
      </c>
      <c r="J145" s="189">
        <f t="shared" ca="1" si="64"/>
        <v>25.552865457328792</v>
      </c>
      <c r="K145" s="189">
        <f t="shared" ca="1" si="64"/>
        <v>25.476114606261241</v>
      </c>
      <c r="L145" s="189">
        <f t="shared" ca="1" si="64"/>
        <v>25.272692565875861</v>
      </c>
      <c r="M145" s="189">
        <f t="shared" ca="1" si="64"/>
        <v>25.105311512856975</v>
      </c>
      <c r="N145" s="189">
        <f t="shared" ca="1" si="64"/>
        <v>25.056702469789752</v>
      </c>
      <c r="O145" s="189">
        <f t="shared" ca="1" si="64"/>
        <v>25.213140761486052</v>
      </c>
      <c r="P145" s="189">
        <f t="shared" ca="1" si="64"/>
        <v>25.403979757398815</v>
      </c>
      <c r="Q145" s="189">
        <f t="shared" ca="1" si="64"/>
        <v>25.634467022578001</v>
      </c>
      <c r="R145" s="189">
        <f t="shared" ca="1" si="64"/>
        <v>25.81324349860699</v>
      </c>
      <c r="S145" s="189">
        <f t="shared" ca="1" si="64"/>
        <v>25.721170201018257</v>
      </c>
      <c r="T145" s="189">
        <f t="shared" ca="1" si="64"/>
        <v>25.552865457328792</v>
      </c>
      <c r="U145" s="189">
        <f t="shared" ca="1" si="64"/>
        <v>0</v>
      </c>
      <c r="V145" s="189">
        <f t="shared" ca="1" si="64"/>
        <v>0</v>
      </c>
      <c r="W145" s="189">
        <f t="shared" ca="1" si="64"/>
        <v>0</v>
      </c>
      <c r="X145" s="189">
        <f t="shared" ca="1" si="64"/>
        <v>36.257727889674754</v>
      </c>
      <c r="Y145" s="189">
        <f t="shared" ca="1" si="64"/>
        <v>30.903339274918221</v>
      </c>
      <c r="Z145" s="263">
        <f t="array" aca="1" ref="Z145" ca="1">SUM(B144:Y144*B145:Y145)</f>
        <v>21799.981612223386</v>
      </c>
      <c r="AA145" s="322" t="s">
        <v>168</v>
      </c>
    </row>
    <row r="146" spans="1:27" x14ac:dyDescent="0.25">
      <c r="A146" s="184" t="s">
        <v>178</v>
      </c>
      <c r="B146" s="186">
        <v>0</v>
      </c>
      <c r="C146" s="186">
        <f t="shared" ref="C146:T146" si="65">C144</f>
        <v>0</v>
      </c>
      <c r="D146" s="186">
        <f t="shared" si="65"/>
        <v>0</v>
      </c>
      <c r="E146" s="186">
        <f t="shared" si="65"/>
        <v>0</v>
      </c>
      <c r="F146" s="186">
        <f t="shared" si="65"/>
        <v>0</v>
      </c>
      <c r="G146" s="186">
        <f t="shared" si="65"/>
        <v>20</v>
      </c>
      <c r="H146" s="186">
        <f t="shared" si="65"/>
        <v>28</v>
      </c>
      <c r="I146" s="186">
        <f t="shared" si="65"/>
        <v>23</v>
      </c>
      <c r="J146" s="186">
        <f t="shared" si="65"/>
        <v>60</v>
      </c>
      <c r="K146" s="186">
        <f t="shared" si="65"/>
        <v>61</v>
      </c>
      <c r="L146" s="186">
        <f t="shared" si="65"/>
        <v>64</v>
      </c>
      <c r="M146" s="186">
        <f t="shared" si="65"/>
        <v>67</v>
      </c>
      <c r="N146" s="186">
        <f t="shared" si="65"/>
        <v>68</v>
      </c>
      <c r="O146" s="186">
        <f t="shared" si="65"/>
        <v>65</v>
      </c>
      <c r="P146" s="186">
        <f t="shared" si="65"/>
        <v>62</v>
      </c>
      <c r="Q146" s="186">
        <f t="shared" si="65"/>
        <v>59</v>
      </c>
      <c r="R146" s="186">
        <f t="shared" si="65"/>
        <v>57</v>
      </c>
      <c r="S146" s="186">
        <f t="shared" si="65"/>
        <v>58</v>
      </c>
      <c r="T146" s="186">
        <f t="shared" si="65"/>
        <v>60</v>
      </c>
      <c r="U146" s="186"/>
      <c r="V146" s="186"/>
      <c r="W146" s="186"/>
      <c r="X146" s="186">
        <f>X144</f>
        <v>24</v>
      </c>
      <c r="Y146" s="186">
        <f>Y144</f>
        <v>33</v>
      </c>
      <c r="Z146" s="224">
        <f>SUM(B146:Y146)</f>
        <v>809</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40.356777105453496</v>
      </c>
      <c r="H147" s="190">
        <f t="shared" ca="1" si="66"/>
        <v>33.405658698165674</v>
      </c>
      <c r="I147" s="190">
        <f t="shared" ca="1" si="66"/>
        <v>37.140171821284319</v>
      </c>
      <c r="J147" s="190">
        <f t="shared" ca="1" si="66"/>
        <v>25.552865457328792</v>
      </c>
      <c r="K147" s="190">
        <f t="shared" ca="1" si="66"/>
        <v>25.476114606261241</v>
      </c>
      <c r="L147" s="190">
        <f t="shared" ca="1" si="66"/>
        <v>25.272692565875861</v>
      </c>
      <c r="M147" s="190">
        <f t="shared" ca="1" si="66"/>
        <v>25.105311512856975</v>
      </c>
      <c r="N147" s="190">
        <f t="shared" ca="1" si="66"/>
        <v>25.056702469789752</v>
      </c>
      <c r="O147" s="190">
        <f t="shared" ca="1" si="66"/>
        <v>25.213140761486052</v>
      </c>
      <c r="P147" s="190">
        <f t="shared" ca="1" si="66"/>
        <v>25.403979757398815</v>
      </c>
      <c r="Q147" s="190">
        <f t="shared" ca="1" si="66"/>
        <v>25.634467022578001</v>
      </c>
      <c r="R147" s="190">
        <f t="shared" ca="1" si="66"/>
        <v>25.81324349860699</v>
      </c>
      <c r="S147" s="190">
        <f t="shared" ca="1" si="66"/>
        <v>25.721170201018257</v>
      </c>
      <c r="T147" s="190">
        <f t="shared" ca="1" si="66"/>
        <v>25.552865457328792</v>
      </c>
      <c r="U147" s="190">
        <f t="shared" ca="1" si="66"/>
        <v>0</v>
      </c>
      <c r="V147" s="190">
        <f t="shared" ca="1" si="66"/>
        <v>0</v>
      </c>
      <c r="W147" s="190">
        <f t="shared" ca="1" si="66"/>
        <v>0</v>
      </c>
      <c r="X147" s="190">
        <f t="shared" ca="1" si="66"/>
        <v>36.257727889674754</v>
      </c>
      <c r="Y147" s="190">
        <f t="shared" ca="1" si="66"/>
        <v>30.903339274918221</v>
      </c>
      <c r="Z147" s="262">
        <f t="array" aca="1" ref="Z147" ca="1">SUM(B146:Y146*B147:Y147)</f>
        <v>21799.981612223386</v>
      </c>
    </row>
    <row r="148" spans="1:27" ht="13.8" thickBot="1" x14ac:dyDescent="0.3">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0</v>
      </c>
    </row>
    <row r="149" spans="1:27" x14ac:dyDescent="0.25">
      <c r="A149" s="183" t="str">
        <f>Economics!A43</f>
        <v>Rio Grande 6</v>
      </c>
      <c r="B149" s="181">
        <f t="shared" ref="B149:Y149" si="68">B50</f>
        <v>38</v>
      </c>
      <c r="C149" s="181">
        <f t="shared" si="68"/>
        <v>38</v>
      </c>
      <c r="D149" s="181">
        <f t="shared" si="68"/>
        <v>39</v>
      </c>
      <c r="E149" s="181">
        <f>E50</f>
        <v>39</v>
      </c>
      <c r="F149" s="181">
        <f t="shared" si="68"/>
        <v>39</v>
      </c>
      <c r="G149" s="181">
        <f t="shared" si="68"/>
        <v>39</v>
      </c>
      <c r="H149" s="181">
        <f t="shared" si="68"/>
        <v>39</v>
      </c>
      <c r="I149" s="181">
        <f t="shared" si="68"/>
        <v>39</v>
      </c>
      <c r="J149" s="181">
        <f t="shared" si="68"/>
        <v>39</v>
      </c>
      <c r="K149" s="181">
        <f t="shared" si="68"/>
        <v>39</v>
      </c>
      <c r="L149" s="181">
        <f t="shared" si="68"/>
        <v>39</v>
      </c>
      <c r="M149" s="181">
        <f t="shared" si="68"/>
        <v>39</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38</v>
      </c>
      <c r="Z149" s="223">
        <f>SUM(B149:Y149)</f>
        <v>922</v>
      </c>
      <c r="AA149" s="322" t="s">
        <v>179</v>
      </c>
    </row>
    <row r="150" spans="1:27" x14ac:dyDescent="0.25">
      <c r="A150" s="185">
        <f>Economics!$I43</f>
        <v>2.09</v>
      </c>
      <c r="B150" s="189">
        <f t="shared" ref="B150:Y150" ca="1" si="69">IndGencost(B149,OFFSET(HeatRateStart,1,MATCH($A149,HeatRateNames,0)-1,250,1),$A150)</f>
        <v>25.45537769461594</v>
      </c>
      <c r="C150" s="189">
        <f t="shared" ca="1" si="69"/>
        <v>25.45537769461594</v>
      </c>
      <c r="D150" s="189">
        <f t="shared" ca="1" si="69"/>
        <v>25.444858668637675</v>
      </c>
      <c r="E150" s="189">
        <f ca="1">IndGencost(E149,OFFSET(HeatRateStart,1,MATCH($A149,HeatRateNames,0)-1,250,1),$A150)</f>
        <v>25.444858668637675</v>
      </c>
      <c r="F150" s="189">
        <f t="shared" ca="1" si="69"/>
        <v>25.444858668637675</v>
      </c>
      <c r="G150" s="189">
        <f t="shared" ca="1" si="69"/>
        <v>25.444858668637675</v>
      </c>
      <c r="H150" s="189">
        <f t="shared" ca="1" si="69"/>
        <v>25.444858668637675</v>
      </c>
      <c r="I150" s="189">
        <f t="shared" ca="1" si="69"/>
        <v>25.444858668637675</v>
      </c>
      <c r="J150" s="189">
        <f t="shared" ca="1" si="69"/>
        <v>25.444858668637675</v>
      </c>
      <c r="K150" s="189">
        <f t="shared" ca="1" si="69"/>
        <v>25.444858668637675</v>
      </c>
      <c r="L150" s="189">
        <f t="shared" ca="1" si="69"/>
        <v>25.444858668637675</v>
      </c>
      <c r="M150" s="189">
        <f t="shared" ca="1" si="69"/>
        <v>25.444858668637675</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25.45537769461594</v>
      </c>
      <c r="Z150" s="263">
        <f t="array" aca="1" ref="Z150" ca="1">SUM(B149:Y149*B150:Y150)</f>
        <v>23465.755814304383</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-25.45537769461594</v>
      </c>
      <c r="C153" s="188">
        <f t="shared" ca="1" si="71"/>
        <v>-25.45537769461594</v>
      </c>
      <c r="D153" s="188">
        <f t="shared" ca="1" si="71"/>
        <v>-25.444858668637675</v>
      </c>
      <c r="E153" s="188">
        <f t="shared" ca="1" si="71"/>
        <v>-25.444858668637675</v>
      </c>
      <c r="F153" s="188">
        <f t="shared" ca="1" si="71"/>
        <v>-25.444858668637675</v>
      </c>
      <c r="G153" s="188">
        <f t="shared" ca="1" si="71"/>
        <v>-25.444858668637675</v>
      </c>
      <c r="H153" s="188">
        <f t="shared" ca="1" si="71"/>
        <v>-25.444858668637675</v>
      </c>
      <c r="I153" s="188">
        <f t="shared" ca="1" si="71"/>
        <v>-25.444858668637675</v>
      </c>
      <c r="J153" s="188">
        <f t="shared" ca="1" si="71"/>
        <v>-25.444858668637675</v>
      </c>
      <c r="K153" s="188">
        <f t="shared" ca="1" si="71"/>
        <v>-25.444858668637675</v>
      </c>
      <c r="L153" s="188">
        <f t="shared" ca="1" si="71"/>
        <v>-25.444858668637675</v>
      </c>
      <c r="M153" s="188">
        <f t="shared" ca="1" si="71"/>
        <v>-25.444858668637675</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-25.45537769461594</v>
      </c>
      <c r="Z153" s="264">
        <f ca="1">Z150-Z152</f>
        <v>23465.755814304383</v>
      </c>
    </row>
    <row r="154" spans="1:27" x14ac:dyDescent="0.25">
      <c r="A154" s="183" t="str">
        <f>Economics!A44</f>
        <v>Rio Grande 7</v>
      </c>
      <c r="B154" s="181">
        <f t="shared" ref="B154:Y154" si="72">B51</f>
        <v>32</v>
      </c>
      <c r="C154" s="181">
        <f t="shared" si="72"/>
        <v>32</v>
      </c>
      <c r="D154" s="181">
        <f t="shared" si="72"/>
        <v>32</v>
      </c>
      <c r="E154" s="181">
        <f>E51</f>
        <v>32</v>
      </c>
      <c r="F154" s="181">
        <f t="shared" si="72"/>
        <v>33</v>
      </c>
      <c r="G154" s="181">
        <f t="shared" si="72"/>
        <v>32</v>
      </c>
      <c r="H154" s="181">
        <f t="shared" si="72"/>
        <v>32</v>
      </c>
      <c r="I154" s="181">
        <f t="shared" si="72"/>
        <v>33</v>
      </c>
      <c r="J154" s="181">
        <f t="shared" si="72"/>
        <v>33</v>
      </c>
      <c r="K154" s="181">
        <f t="shared" si="72"/>
        <v>33</v>
      </c>
      <c r="L154" s="181">
        <f t="shared" si="72"/>
        <v>32</v>
      </c>
      <c r="M154" s="181">
        <f t="shared" si="72"/>
        <v>32</v>
      </c>
      <c r="N154" s="181">
        <f t="shared" si="72"/>
        <v>32</v>
      </c>
      <c r="O154" s="181">
        <f t="shared" si="72"/>
        <v>32</v>
      </c>
      <c r="P154" s="181">
        <f t="shared" si="72"/>
        <v>33</v>
      </c>
      <c r="Q154" s="181">
        <f t="shared" si="72"/>
        <v>33</v>
      </c>
      <c r="R154" s="181">
        <f t="shared" si="72"/>
        <v>32</v>
      </c>
      <c r="S154" s="181">
        <f t="shared" si="72"/>
        <v>32</v>
      </c>
      <c r="T154" s="181">
        <f t="shared" si="72"/>
        <v>32</v>
      </c>
      <c r="U154" s="181">
        <f t="shared" si="72"/>
        <v>32</v>
      </c>
      <c r="V154" s="181">
        <f t="shared" si="72"/>
        <v>32</v>
      </c>
      <c r="W154" s="181">
        <f t="shared" si="72"/>
        <v>32</v>
      </c>
      <c r="X154" s="181">
        <f t="shared" si="72"/>
        <v>32</v>
      </c>
      <c r="Y154" s="181">
        <f t="shared" si="72"/>
        <v>32</v>
      </c>
      <c r="Z154" s="223">
        <f>SUM(B154:Y154)</f>
        <v>774</v>
      </c>
      <c r="AA154" s="322" t="s">
        <v>179</v>
      </c>
    </row>
    <row r="155" spans="1:27" x14ac:dyDescent="0.25">
      <c r="A155" s="185">
        <f>Economics!$I44</f>
        <v>2.09</v>
      </c>
      <c r="B155" s="189">
        <f t="shared" ref="B155:Y155" ca="1" si="73">IndGencost(B154,OFFSET(HeatRateStart,1,MATCH($A154,HeatRateNames,0)-1,250,1),$A155)</f>
        <v>22.22988594207823</v>
      </c>
      <c r="C155" s="189">
        <f t="shared" ca="1" si="73"/>
        <v>22.22988594207823</v>
      </c>
      <c r="D155" s="189">
        <f t="shared" ca="1" si="73"/>
        <v>22.22988594207823</v>
      </c>
      <c r="E155" s="189">
        <f ca="1">IndGencost(E154,OFFSET(HeatRateStart,1,MATCH($A154,HeatRateNames,0)-1,250,1),$A155)</f>
        <v>22.22988594207823</v>
      </c>
      <c r="F155" s="189">
        <f t="shared" ca="1" si="73"/>
        <v>22.219928707487149</v>
      </c>
      <c r="G155" s="189">
        <f t="shared" ca="1" si="73"/>
        <v>22.22988594207823</v>
      </c>
      <c r="H155" s="189">
        <f t="shared" ca="1" si="73"/>
        <v>22.22988594207823</v>
      </c>
      <c r="I155" s="189">
        <f t="shared" ca="1" si="73"/>
        <v>22.219928707487149</v>
      </c>
      <c r="J155" s="189">
        <f t="shared" ca="1" si="73"/>
        <v>22.219928707487149</v>
      </c>
      <c r="K155" s="189">
        <f t="shared" ca="1" si="73"/>
        <v>22.219928707487149</v>
      </c>
      <c r="L155" s="189">
        <f t="shared" ca="1" si="73"/>
        <v>22.22988594207823</v>
      </c>
      <c r="M155" s="189">
        <f t="shared" ca="1" si="73"/>
        <v>22.22988594207823</v>
      </c>
      <c r="N155" s="189">
        <f t="shared" ca="1" si="73"/>
        <v>22.22988594207823</v>
      </c>
      <c r="O155" s="189">
        <f t="shared" ca="1" si="73"/>
        <v>22.22988594207823</v>
      </c>
      <c r="P155" s="189">
        <f t="shared" ca="1" si="73"/>
        <v>22.219928707487149</v>
      </c>
      <c r="Q155" s="189">
        <f t="shared" ca="1" si="73"/>
        <v>22.219928707487149</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22.22988594207823</v>
      </c>
      <c r="X155" s="189">
        <f t="shared" ca="1" si="73"/>
        <v>22.22988594207823</v>
      </c>
      <c r="Y155" s="189">
        <f t="shared" ca="1" si="73"/>
        <v>22.22988594207823</v>
      </c>
      <c r="Z155" s="263">
        <f t="array" aca="1" ref="Z155" ca="1">SUM(B154:Y154*B155:Y155)</f>
        <v>17203.960186719516</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-22.22988594207823</v>
      </c>
      <c r="C158" s="188">
        <f t="shared" ca="1" si="75"/>
        <v>-22.22988594207823</v>
      </c>
      <c r="D158" s="188">
        <f t="shared" ca="1" si="75"/>
        <v>-22.22988594207823</v>
      </c>
      <c r="E158" s="188">
        <f t="shared" ca="1" si="75"/>
        <v>-22.22988594207823</v>
      </c>
      <c r="F158" s="188">
        <f t="shared" ca="1" si="75"/>
        <v>-22.219928707487149</v>
      </c>
      <c r="G158" s="188">
        <f t="shared" ca="1" si="75"/>
        <v>-22.22988594207823</v>
      </c>
      <c r="H158" s="188">
        <f t="shared" ca="1" si="75"/>
        <v>-22.22988594207823</v>
      </c>
      <c r="I158" s="188">
        <f t="shared" ca="1" si="75"/>
        <v>-22.219928707487149</v>
      </c>
      <c r="J158" s="188">
        <f t="shared" ca="1" si="75"/>
        <v>-22.219928707487149</v>
      </c>
      <c r="K158" s="188">
        <f t="shared" ca="1" si="75"/>
        <v>-22.219928707487149</v>
      </c>
      <c r="L158" s="188">
        <f t="shared" ca="1" si="75"/>
        <v>-22.22988594207823</v>
      </c>
      <c r="M158" s="188">
        <f t="shared" ca="1" si="75"/>
        <v>-22.22988594207823</v>
      </c>
      <c r="N158" s="188">
        <f t="shared" ca="1" si="75"/>
        <v>-22.22988594207823</v>
      </c>
      <c r="O158" s="188">
        <f t="shared" ca="1" si="75"/>
        <v>-22.22988594207823</v>
      </c>
      <c r="P158" s="188">
        <f t="shared" ca="1" si="75"/>
        <v>-22.219928707487149</v>
      </c>
      <c r="Q158" s="188">
        <f t="shared" ca="1" si="75"/>
        <v>-22.219928707487149</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-22.22988594207823</v>
      </c>
      <c r="X158" s="188">
        <f t="shared" ca="1" si="75"/>
        <v>-22.22988594207823</v>
      </c>
      <c r="Y158" s="188">
        <f t="shared" ca="1" si="75"/>
        <v>-22.22988594207823</v>
      </c>
      <c r="Z158" s="264">
        <f ca="1">Z155-Z157</f>
        <v>17203.960186719516</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5">
      <c r="A164" s="306" t="s">
        <v>183</v>
      </c>
      <c r="B164" s="307">
        <f t="shared" ref="B164:Y164" si="80">B159+B154+B149+B144+B139+B134+B129+B124+B119+B114+B109+B104+B101+B98+B95+B92+B89</f>
        <v>798</v>
      </c>
      <c r="C164" s="307">
        <f t="shared" si="80"/>
        <v>816</v>
      </c>
      <c r="D164" s="307">
        <f t="shared" si="80"/>
        <v>820</v>
      </c>
      <c r="E164" s="307">
        <f t="shared" si="80"/>
        <v>813</v>
      </c>
      <c r="F164" s="307">
        <f t="shared" si="80"/>
        <v>845</v>
      </c>
      <c r="G164" s="307">
        <f t="shared" si="80"/>
        <v>821</v>
      </c>
      <c r="H164" s="307">
        <f t="shared" si="80"/>
        <v>824</v>
      </c>
      <c r="I164" s="307">
        <f t="shared" si="80"/>
        <v>807</v>
      </c>
      <c r="J164" s="307">
        <f t="shared" si="80"/>
        <v>879</v>
      </c>
      <c r="K164" s="307">
        <f t="shared" si="80"/>
        <v>882</v>
      </c>
      <c r="L164" s="307">
        <f t="shared" si="80"/>
        <v>913</v>
      </c>
      <c r="M164" s="307" t="e">
        <f t="shared" si="80"/>
        <v>#REF!</v>
      </c>
      <c r="N164" s="307">
        <f t="shared" si="80"/>
        <v>887</v>
      </c>
      <c r="O164" s="307">
        <f t="shared" si="80"/>
        <v>876</v>
      </c>
      <c r="P164" s="307">
        <f t="shared" si="80"/>
        <v>873</v>
      </c>
      <c r="Q164" s="307">
        <f t="shared" si="80"/>
        <v>873</v>
      </c>
      <c r="R164" s="307">
        <f t="shared" si="80"/>
        <v>854</v>
      </c>
      <c r="S164" s="307">
        <f t="shared" si="80"/>
        <v>827</v>
      </c>
      <c r="T164" s="307">
        <f t="shared" si="80"/>
        <v>831</v>
      </c>
      <c r="U164" s="307">
        <f t="shared" si="80"/>
        <v>786</v>
      </c>
      <c r="V164" s="307">
        <f t="shared" si="80"/>
        <v>783</v>
      </c>
      <c r="W164" s="307" t="e">
        <f t="shared" si="80"/>
        <v>#VALUE!</v>
      </c>
      <c r="X164" s="307">
        <f t="shared" si="80"/>
        <v>813</v>
      </c>
      <c r="Y164" s="308">
        <f t="shared" si="80"/>
        <v>850</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888</v>
      </c>
      <c r="H165" s="310">
        <f t="shared" si="81"/>
        <v>922</v>
      </c>
      <c r="I165" s="310">
        <f t="shared" si="81"/>
        <v>902</v>
      </c>
      <c r="J165" s="310">
        <f t="shared" si="81"/>
        <v>939</v>
      </c>
      <c r="K165" s="310">
        <f t="shared" si="81"/>
        <v>940</v>
      </c>
      <c r="L165" s="310">
        <f t="shared" si="81"/>
        <v>994</v>
      </c>
      <c r="M165" s="310">
        <f t="shared" si="81"/>
        <v>997</v>
      </c>
      <c r="N165" s="310">
        <f t="shared" si="81"/>
        <v>998</v>
      </c>
      <c r="O165" s="310">
        <f t="shared" si="81"/>
        <v>995</v>
      </c>
      <c r="P165" s="310">
        <f t="shared" si="81"/>
        <v>992</v>
      </c>
      <c r="Q165" s="310">
        <f t="shared" si="81"/>
        <v>989</v>
      </c>
      <c r="R165" s="310">
        <f t="shared" si="81"/>
        <v>987</v>
      </c>
      <c r="S165" s="310">
        <f t="shared" si="81"/>
        <v>988</v>
      </c>
      <c r="T165" s="310">
        <f t="shared" si="81"/>
        <v>1089</v>
      </c>
      <c r="U165" s="310">
        <f t="shared" si="81"/>
        <v>1054</v>
      </c>
      <c r="V165" s="310">
        <f t="shared" si="81"/>
        <v>968</v>
      </c>
      <c r="W165" s="310">
        <f>W161+W156+W151+W146+W141+W136+W131+W126+W121+W116+W111+W106+W102+W99+W96+W93+W90</f>
        <v>938</v>
      </c>
      <c r="X165" s="310">
        <f t="shared" si="81"/>
        <v>933</v>
      </c>
      <c r="Y165" s="311">
        <f t="shared" si="81"/>
        <v>942</v>
      </c>
      <c r="Z165" s="275"/>
      <c r="AA165" s="174" t="e">
        <f ca="1">Z163+Z158+Z153+Z148+Z143+Z138+Z133+Z128+Z123+Z118+Z113+Z108+Z103+Z100+Z97+Z94+Z91</f>
        <v>#VALUE!</v>
      </c>
    </row>
    <row r="166" spans="1:27" x14ac:dyDescent="0.25">
      <c r="A166" s="334" t="s">
        <v>185</v>
      </c>
      <c r="B166" s="335">
        <f t="shared" ref="B166:Y166" si="82">B165-B164</f>
        <v>181</v>
      </c>
      <c r="C166" s="335">
        <f t="shared" si="82"/>
        <v>62</v>
      </c>
      <c r="D166" s="335">
        <f t="shared" si="82"/>
        <v>28</v>
      </c>
      <c r="E166" s="335">
        <f t="shared" si="82"/>
        <v>35</v>
      </c>
      <c r="F166" s="335">
        <f t="shared" si="82"/>
        <v>13</v>
      </c>
      <c r="G166" s="335">
        <f t="shared" si="82"/>
        <v>67</v>
      </c>
      <c r="H166" s="335">
        <f t="shared" si="82"/>
        <v>98</v>
      </c>
      <c r="I166" s="335">
        <f t="shared" si="82"/>
        <v>95</v>
      </c>
      <c r="J166" s="335">
        <f t="shared" si="82"/>
        <v>60</v>
      </c>
      <c r="K166" s="335">
        <f t="shared" si="82"/>
        <v>58</v>
      </c>
      <c r="L166" s="335">
        <f t="shared" si="82"/>
        <v>81</v>
      </c>
      <c r="M166" s="335" t="e">
        <f t="shared" si="82"/>
        <v>#REF!</v>
      </c>
      <c r="N166" s="335">
        <f t="shared" si="82"/>
        <v>111</v>
      </c>
      <c r="O166" s="335">
        <f t="shared" si="82"/>
        <v>119</v>
      </c>
      <c r="P166" s="335">
        <f t="shared" si="82"/>
        <v>119</v>
      </c>
      <c r="Q166" s="335">
        <f t="shared" si="82"/>
        <v>116</v>
      </c>
      <c r="R166" s="335">
        <f t="shared" si="82"/>
        <v>133</v>
      </c>
      <c r="S166" s="335">
        <f t="shared" si="82"/>
        <v>161</v>
      </c>
      <c r="T166" s="335">
        <f t="shared" si="82"/>
        <v>258</v>
      </c>
      <c r="U166" s="335">
        <f t="shared" si="82"/>
        <v>268</v>
      </c>
      <c r="V166" s="335">
        <f t="shared" si="82"/>
        <v>185</v>
      </c>
      <c r="W166" s="335" t="e">
        <f t="shared" si="82"/>
        <v>#VALUE!</v>
      </c>
      <c r="X166" s="335">
        <f t="shared" si="82"/>
        <v>120</v>
      </c>
      <c r="Y166" s="336">
        <f t="shared" si="82"/>
        <v>92</v>
      </c>
      <c r="Z166" s="340" t="e">
        <f>SUM(B166:Y166)</f>
        <v>#REF!</v>
      </c>
    </row>
    <row r="167" spans="1:27" s="329" customFormat="1" ht="32.25" customHeight="1" thickBot="1" x14ac:dyDescent="0.3">
      <c r="A167" s="337" t="s">
        <v>186</v>
      </c>
      <c r="B167" s="338">
        <f t="shared" ref="B167:Y167" ca="1" si="83">B58</f>
        <v>19</v>
      </c>
      <c r="C167" s="338">
        <f t="shared" ca="1" si="83"/>
        <v>27</v>
      </c>
      <c r="D167" s="338">
        <f t="shared" ca="1" si="83"/>
        <v>-3</v>
      </c>
      <c r="E167" s="338">
        <f ca="1">E58</f>
        <v>-4</v>
      </c>
      <c r="F167" s="338">
        <f t="shared" ca="1" si="83"/>
        <v>3</v>
      </c>
      <c r="G167" s="338">
        <f t="shared" ca="1" si="83"/>
        <v>0</v>
      </c>
      <c r="H167" s="338">
        <f t="shared" ca="1" si="83"/>
        <v>-1</v>
      </c>
      <c r="I167" s="338">
        <f t="shared" ca="1" si="83"/>
        <v>27</v>
      </c>
      <c r="J167" s="338">
        <f t="shared" ca="1" si="83"/>
        <v>14</v>
      </c>
      <c r="K167" s="338">
        <f t="shared" ca="1" si="83"/>
        <v>0</v>
      </c>
      <c r="L167" s="338">
        <f t="shared" ca="1" si="83"/>
        <v>30</v>
      </c>
      <c r="M167" s="338">
        <f t="shared" ca="1" si="83"/>
        <v>29</v>
      </c>
      <c r="N167" s="338">
        <f t="shared" ca="1" si="83"/>
        <v>60</v>
      </c>
      <c r="O167" s="338">
        <f t="shared" ca="1" si="83"/>
        <v>72</v>
      </c>
      <c r="P167" s="338">
        <f t="shared" ca="1" si="83"/>
        <v>73</v>
      </c>
      <c r="Q167" s="338">
        <f t="shared" ca="1" si="83"/>
        <v>71</v>
      </c>
      <c r="R167" s="338">
        <f t="shared" ca="1" si="83"/>
        <v>75</v>
      </c>
      <c r="S167" s="338">
        <f t="shared" ca="1" si="83"/>
        <v>73</v>
      </c>
      <c r="T167" s="338">
        <f t="shared" ca="1" si="83"/>
        <v>72</v>
      </c>
      <c r="U167" s="338">
        <f t="shared" ca="1" si="83"/>
        <v>66</v>
      </c>
      <c r="V167" s="338">
        <f t="shared" ca="1" si="83"/>
        <v>75</v>
      </c>
      <c r="W167" s="338">
        <f t="shared" ca="1" si="83"/>
        <v>46</v>
      </c>
      <c r="X167" s="338">
        <f ca="1">X58</f>
        <v>23</v>
      </c>
      <c r="Y167" s="339">
        <f t="shared" ca="1" si="83"/>
        <v>10</v>
      </c>
      <c r="Z167" s="327">
        <f ca="1">SUM(B167:Y167)</f>
        <v>857</v>
      </c>
      <c r="AA167" s="328"/>
    </row>
    <row r="168" spans="1:27" ht="13.8" hidden="1" thickBot="1" x14ac:dyDescent="0.3">
      <c r="A168" s="330" t="s">
        <v>187</v>
      </c>
      <c r="B168" s="331">
        <f t="shared" ref="B168:Y168" ca="1" si="84">B167+B166</f>
        <v>200</v>
      </c>
      <c r="C168" s="331">
        <f t="shared" ca="1" si="84"/>
        <v>89</v>
      </c>
      <c r="D168" s="331">
        <f t="shared" ca="1" si="84"/>
        <v>25</v>
      </c>
      <c r="E168" s="331">
        <f t="shared" ca="1" si="84"/>
        <v>31</v>
      </c>
      <c r="F168" s="331">
        <f t="shared" ca="1" si="84"/>
        <v>16</v>
      </c>
      <c r="G168" s="331">
        <f t="shared" ca="1" si="84"/>
        <v>67</v>
      </c>
      <c r="H168" s="331">
        <f t="shared" ca="1" si="84"/>
        <v>97</v>
      </c>
      <c r="I168" s="331">
        <f t="shared" ca="1" si="84"/>
        <v>122</v>
      </c>
      <c r="J168" s="331">
        <f t="shared" ca="1" si="84"/>
        <v>74</v>
      </c>
      <c r="K168" s="331">
        <f t="shared" ca="1" si="84"/>
        <v>58</v>
      </c>
      <c r="L168" s="331">
        <f t="shared" ca="1" si="84"/>
        <v>111</v>
      </c>
      <c r="M168" s="331" t="e">
        <f t="shared" ca="1" si="84"/>
        <v>#REF!</v>
      </c>
      <c r="N168" s="331">
        <f t="shared" ca="1" si="84"/>
        <v>171</v>
      </c>
      <c r="O168" s="331">
        <f t="shared" ca="1" si="84"/>
        <v>191</v>
      </c>
      <c r="P168" s="331">
        <f t="shared" ca="1" si="84"/>
        <v>192</v>
      </c>
      <c r="Q168" s="331">
        <f t="shared" ca="1" si="84"/>
        <v>187</v>
      </c>
      <c r="R168" s="331">
        <f t="shared" ca="1" si="84"/>
        <v>208</v>
      </c>
      <c r="S168" s="331">
        <f t="shared" ca="1" si="84"/>
        <v>234</v>
      </c>
      <c r="T168" s="331">
        <f t="shared" ca="1" si="84"/>
        <v>330</v>
      </c>
      <c r="U168" s="331">
        <f t="shared" ca="1" si="84"/>
        <v>334</v>
      </c>
      <c r="V168" s="331">
        <f t="shared" ca="1" si="84"/>
        <v>260</v>
      </c>
      <c r="W168" s="331" t="e">
        <f t="shared" ca="1" si="84"/>
        <v>#VALUE!</v>
      </c>
      <c r="X168" s="331">
        <f t="shared" ca="1" si="84"/>
        <v>143</v>
      </c>
      <c r="Y168" s="331">
        <f t="shared" ca="1" si="84"/>
        <v>102</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413</v>
      </c>
      <c r="C171" s="342">
        <f t="shared" si="85"/>
        <v>396</v>
      </c>
      <c r="D171" s="342">
        <f t="shared" si="85"/>
        <v>392</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400</v>
      </c>
      <c r="F171" s="342">
        <f t="shared" si="85"/>
        <v>367</v>
      </c>
      <c r="G171" s="342">
        <f t="shared" si="85"/>
        <v>453</v>
      </c>
      <c r="H171" s="342">
        <f t="shared" si="85"/>
        <v>452</v>
      </c>
      <c r="I171" s="342">
        <f t="shared" si="85"/>
        <v>470</v>
      </c>
      <c r="J171" s="342">
        <f t="shared" si="85"/>
        <v>390</v>
      </c>
      <c r="K171" s="342">
        <f t="shared" si="85"/>
        <v>388</v>
      </c>
      <c r="L171" s="342">
        <f t="shared" si="85"/>
        <v>361</v>
      </c>
      <c r="M171" s="342">
        <f t="shared" si="85"/>
        <v>312</v>
      </c>
      <c r="N171" s="342">
        <f t="shared" si="85"/>
        <v>389</v>
      </c>
      <c r="O171" s="342">
        <f t="shared" si="85"/>
        <v>397</v>
      </c>
      <c r="P171" s="342">
        <f t="shared" si="85"/>
        <v>399</v>
      </c>
      <c r="Q171" s="342">
        <f t="shared" si="85"/>
        <v>396</v>
      </c>
      <c r="R171" s="342">
        <f t="shared" si="85"/>
        <v>420</v>
      </c>
      <c r="S171" s="342">
        <f t="shared" si="85"/>
        <v>444</v>
      </c>
      <c r="T171" s="342">
        <f t="shared" si="85"/>
        <v>440</v>
      </c>
      <c r="U171" s="342">
        <f t="shared" si="85"/>
        <v>425</v>
      </c>
      <c r="V171" s="342">
        <f t="shared" si="85"/>
        <v>425</v>
      </c>
      <c r="W171" s="342" t="e">
        <f t="shared" si="85"/>
        <v>#VALUE!</v>
      </c>
      <c r="X171" s="342">
        <f t="shared" si="85"/>
        <v>463</v>
      </c>
      <c r="Y171" s="343">
        <f t="shared" si="85"/>
        <v>427</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313</v>
      </c>
      <c r="H172" s="345">
        <f t="shared" si="86"/>
        <v>260</v>
      </c>
      <c r="I172" s="345">
        <f t="shared" si="86"/>
        <v>270</v>
      </c>
      <c r="J172" s="345">
        <f t="shared" si="86"/>
        <v>233</v>
      </c>
      <c r="K172" s="345">
        <f t="shared" si="86"/>
        <v>232</v>
      </c>
      <c r="L172" s="345">
        <f t="shared" si="86"/>
        <v>178</v>
      </c>
      <c r="M172" s="345">
        <f t="shared" si="86"/>
        <v>175</v>
      </c>
      <c r="N172" s="345">
        <f t="shared" si="86"/>
        <v>174</v>
      </c>
      <c r="O172" s="345">
        <f t="shared" si="86"/>
        <v>177</v>
      </c>
      <c r="P172" s="345">
        <f t="shared" si="86"/>
        <v>180</v>
      </c>
      <c r="Q172" s="345">
        <f t="shared" si="86"/>
        <v>183</v>
      </c>
      <c r="R172" s="345">
        <f t="shared" si="86"/>
        <v>185</v>
      </c>
      <c r="S172" s="345">
        <f t="shared" si="86"/>
        <v>184</v>
      </c>
      <c r="T172" s="345">
        <f t="shared" si="86"/>
        <v>122</v>
      </c>
      <c r="U172" s="345">
        <f t="shared" si="86"/>
        <v>118</v>
      </c>
      <c r="V172" s="345">
        <f t="shared" si="86"/>
        <v>184</v>
      </c>
      <c r="W172" s="345">
        <f t="shared" si="86"/>
        <v>189</v>
      </c>
      <c r="X172" s="345">
        <f t="shared" si="86"/>
        <v>249</v>
      </c>
      <c r="Y172" s="346">
        <f t="shared" si="86"/>
        <v>240</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9"/>
  <sheetViews>
    <sheetView showGridLines="0" tabSelected="1" topLeftCell="F1" zoomScale="65" zoomScaleNormal="60" workbookViewId="0">
      <pane ySplit="2" topLeftCell="A77" activePane="bottomLeft" state="frozen"/>
      <selection pane="bottomLeft" activeCell="R100" sqref="R99:R100"/>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5.8867187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343</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0"/>
    </row>
    <row r="2" spans="1:75" s="360" customFormat="1" ht="25.5" customHeight="1" x14ac:dyDescent="0.25">
      <c r="A2" s="365" t="s">
        <v>60</v>
      </c>
      <c r="B2" s="366" t="s">
        <v>59</v>
      </c>
      <c r="C2" s="366" t="s">
        <v>58</v>
      </c>
      <c r="D2" s="366" t="s">
        <v>9</v>
      </c>
      <c r="E2" s="366"/>
      <c r="F2" s="622">
        <v>1</v>
      </c>
      <c r="G2" s="367">
        <v>2</v>
      </c>
      <c r="H2" s="367">
        <v>3</v>
      </c>
      <c r="I2" s="367">
        <v>4</v>
      </c>
      <c r="J2" s="367">
        <v>5</v>
      </c>
      <c r="K2" s="367">
        <v>6</v>
      </c>
      <c r="L2" s="367">
        <v>7</v>
      </c>
      <c r="M2" s="367">
        <v>8</v>
      </c>
      <c r="N2" s="367">
        <v>9</v>
      </c>
      <c r="O2" s="367">
        <v>10</v>
      </c>
      <c r="P2" s="367">
        <v>11</v>
      </c>
      <c r="Q2" s="367">
        <v>12</v>
      </c>
      <c r="R2" s="367">
        <v>13</v>
      </c>
      <c r="S2" s="367">
        <v>14</v>
      </c>
      <c r="T2" s="622">
        <v>15</v>
      </c>
      <c r="U2" s="367">
        <v>16</v>
      </c>
      <c r="V2" s="367">
        <v>17</v>
      </c>
      <c r="W2" s="367">
        <v>18</v>
      </c>
      <c r="X2" s="367">
        <v>19</v>
      </c>
      <c r="Y2" s="367">
        <v>20</v>
      </c>
      <c r="Z2" s="367">
        <v>21</v>
      </c>
      <c r="AA2" s="367">
        <v>22</v>
      </c>
      <c r="AB2" s="367">
        <v>23</v>
      </c>
      <c r="AC2" s="481">
        <v>24</v>
      </c>
      <c r="AD2" s="366" t="s">
        <v>21</v>
      </c>
      <c r="AE2" s="368" t="s">
        <v>205</v>
      </c>
      <c r="AF2" s="631" t="s">
        <v>10</v>
      </c>
    </row>
    <row r="3" spans="1:75" s="360" customFormat="1" ht="12.75" customHeight="1" x14ac:dyDescent="0.25">
      <c r="A3" s="634" t="s">
        <v>63</v>
      </c>
      <c r="B3" s="635" t="s">
        <v>62</v>
      </c>
      <c r="C3" s="540" t="s">
        <v>152</v>
      </c>
      <c r="D3" s="540"/>
      <c r="E3" s="540"/>
      <c r="F3" s="695">
        <v>150</v>
      </c>
      <c r="G3" s="695">
        <v>150</v>
      </c>
      <c r="H3" s="695">
        <v>125</v>
      </c>
      <c r="I3" s="695">
        <v>125</v>
      </c>
      <c r="J3" s="695">
        <v>125</v>
      </c>
      <c r="K3" s="695">
        <v>100</v>
      </c>
      <c r="L3" s="695">
        <v>80</v>
      </c>
      <c r="M3" s="695">
        <v>55</v>
      </c>
      <c r="N3" s="695">
        <v>70</v>
      </c>
      <c r="O3" s="695">
        <v>100</v>
      </c>
      <c r="P3" s="695">
        <v>120</v>
      </c>
      <c r="Q3" s="695">
        <v>140</v>
      </c>
      <c r="R3" s="695">
        <v>150</v>
      </c>
      <c r="S3" s="695">
        <v>150</v>
      </c>
      <c r="T3" s="695">
        <v>150</v>
      </c>
      <c r="U3" s="695">
        <v>150</v>
      </c>
      <c r="V3" s="695">
        <v>150</v>
      </c>
      <c r="W3" s="695">
        <v>150</v>
      </c>
      <c r="X3" s="695">
        <v>150</v>
      </c>
      <c r="Y3" s="695">
        <v>150</v>
      </c>
      <c r="Z3" s="695">
        <v>150</v>
      </c>
      <c r="AA3" s="695">
        <v>150</v>
      </c>
      <c r="AB3" s="695">
        <v>150</v>
      </c>
      <c r="AC3" s="695">
        <v>150</v>
      </c>
      <c r="AD3" s="682">
        <f>SUM(F3:AC3)</f>
        <v>3140</v>
      </c>
      <c r="AE3" s="584">
        <f t="shared" ref="AE3:AE18" si="0">AD3*D3</f>
        <v>0</v>
      </c>
      <c r="AF3" s="539" t="str">
        <f t="shared" ref="AF3:AF18"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4" t="s">
        <v>65</v>
      </c>
      <c r="B4" s="635" t="s">
        <v>62</v>
      </c>
      <c r="C4" s="540"/>
      <c r="D4" s="540"/>
      <c r="E4" s="540"/>
      <c r="F4" s="695">
        <v>25</v>
      </c>
      <c r="G4" s="695">
        <v>25</v>
      </c>
      <c r="H4" s="695">
        <v>25</v>
      </c>
      <c r="I4" s="695">
        <v>25</v>
      </c>
      <c r="J4" s="695">
        <v>25</v>
      </c>
      <c r="K4" s="695">
        <v>25</v>
      </c>
      <c r="L4" s="695">
        <v>25</v>
      </c>
      <c r="M4" s="695">
        <v>25</v>
      </c>
      <c r="N4" s="695">
        <v>25</v>
      </c>
      <c r="O4" s="695">
        <v>25</v>
      </c>
      <c r="P4" s="695">
        <v>25</v>
      </c>
      <c r="Q4" s="695">
        <v>25</v>
      </c>
      <c r="R4" s="695">
        <v>25</v>
      </c>
      <c r="S4" s="695">
        <v>25</v>
      </c>
      <c r="T4" s="695">
        <v>25</v>
      </c>
      <c r="U4" s="695">
        <v>25</v>
      </c>
      <c r="V4" s="695">
        <v>25</v>
      </c>
      <c r="W4" s="695">
        <v>25</v>
      </c>
      <c r="X4" s="695">
        <v>25</v>
      </c>
      <c r="Y4" s="695">
        <v>25</v>
      </c>
      <c r="Z4" s="695">
        <v>25</v>
      </c>
      <c r="AA4" s="695">
        <v>25</v>
      </c>
      <c r="AB4" s="695">
        <v>25</v>
      </c>
      <c r="AC4" s="695">
        <v>25</v>
      </c>
      <c r="AD4" s="682">
        <f>SUM(F4:AC4)</f>
        <v>600</v>
      </c>
      <c r="AE4" s="584">
        <f t="shared" si="0"/>
        <v>0</v>
      </c>
      <c r="AF4" s="539" t="str">
        <f t="shared" si="1"/>
        <v>sell</v>
      </c>
    </row>
    <row r="5" spans="1:75" s="360" customFormat="1" ht="12.75" customHeight="1" x14ac:dyDescent="0.25">
      <c r="A5" s="634" t="s">
        <v>64</v>
      </c>
      <c r="B5" s="540" t="s">
        <v>61</v>
      </c>
      <c r="C5" s="540" t="s">
        <v>279</v>
      </c>
      <c r="D5" s="540"/>
      <c r="E5" s="540"/>
      <c r="F5" s="695">
        <v>11</v>
      </c>
      <c r="G5" s="695">
        <v>11</v>
      </c>
      <c r="H5" s="695">
        <v>11</v>
      </c>
      <c r="I5" s="695">
        <v>11</v>
      </c>
      <c r="J5" s="695">
        <v>11</v>
      </c>
      <c r="K5" s="695">
        <v>11</v>
      </c>
      <c r="L5" s="695">
        <v>11</v>
      </c>
      <c r="M5" s="695">
        <v>11</v>
      </c>
      <c r="N5" s="695">
        <v>11</v>
      </c>
      <c r="O5" s="695">
        <v>11</v>
      </c>
      <c r="P5" s="695">
        <v>11</v>
      </c>
      <c r="Q5" s="695">
        <v>11</v>
      </c>
      <c r="R5" s="695">
        <v>11</v>
      </c>
      <c r="S5" s="695">
        <v>11</v>
      </c>
      <c r="T5" s="695">
        <v>11</v>
      </c>
      <c r="U5" s="695">
        <v>11</v>
      </c>
      <c r="V5" s="695">
        <v>11</v>
      </c>
      <c r="W5" s="695">
        <v>11</v>
      </c>
      <c r="X5" s="695">
        <v>11</v>
      </c>
      <c r="Y5" s="695">
        <v>11</v>
      </c>
      <c r="Z5" s="695">
        <v>11</v>
      </c>
      <c r="AA5" s="695">
        <v>11</v>
      </c>
      <c r="AB5" s="695">
        <v>11</v>
      </c>
      <c r="AC5" s="695">
        <v>11</v>
      </c>
      <c r="AD5" s="682">
        <f t="shared" ref="AD5:AD12" si="2">SUM(E5:AC5)</f>
        <v>264</v>
      </c>
      <c r="AE5" s="584">
        <f t="shared" si="0"/>
        <v>0</v>
      </c>
      <c r="AF5" s="539" t="str">
        <f t="shared" si="1"/>
        <v>sell</v>
      </c>
    </row>
    <row r="6" spans="1:75" s="360" customFormat="1" ht="12.75" customHeight="1" x14ac:dyDescent="0.25">
      <c r="A6" s="636"/>
      <c r="B6" s="621"/>
      <c r="C6" s="619"/>
      <c r="D6" s="620"/>
      <c r="E6" s="540"/>
      <c r="F6" s="695"/>
      <c r="G6" s="695"/>
      <c r="H6" s="695"/>
      <c r="I6" s="695"/>
      <c r="J6" s="695"/>
      <c r="K6" s="695"/>
      <c r="L6" s="695"/>
      <c r="M6" s="714"/>
      <c r="N6" s="714"/>
      <c r="O6" s="714"/>
      <c r="P6" s="714"/>
      <c r="Q6" s="714"/>
      <c r="R6" s="714"/>
      <c r="S6" s="714"/>
      <c r="T6" s="714"/>
      <c r="U6" s="714"/>
      <c r="V6" s="714"/>
      <c r="W6" s="714"/>
      <c r="X6" s="714"/>
      <c r="Y6" s="714"/>
      <c r="Z6" s="714"/>
      <c r="AA6" s="714"/>
      <c r="AB6" s="714"/>
      <c r="AC6" s="695"/>
      <c r="AD6" s="682">
        <f t="shared" si="2"/>
        <v>0</v>
      </c>
      <c r="AE6" s="584">
        <f t="shared" si="0"/>
        <v>0</v>
      </c>
      <c r="AF6" s="539" t="str">
        <f t="shared" si="1"/>
        <v>sell</v>
      </c>
    </row>
    <row r="7" spans="1:75" s="360" customFormat="1" ht="12.75" customHeight="1" x14ac:dyDescent="0.25">
      <c r="A7" s="636" t="s">
        <v>3</v>
      </c>
      <c r="B7" s="540"/>
      <c r="C7" s="540" t="s">
        <v>263</v>
      </c>
      <c r="D7" s="540"/>
      <c r="E7" s="603"/>
      <c r="F7" s="695">
        <v>-103</v>
      </c>
      <c r="G7" s="695">
        <v>-103</v>
      </c>
      <c r="H7" s="695">
        <v>-103</v>
      </c>
      <c r="I7" s="695">
        <v>-103</v>
      </c>
      <c r="J7" s="695">
        <v>-103</v>
      </c>
      <c r="K7" s="695">
        <v>-103</v>
      </c>
      <c r="L7" s="695">
        <v>-103</v>
      </c>
      <c r="M7" s="695">
        <v>-103</v>
      </c>
      <c r="N7" s="695">
        <v>-103</v>
      </c>
      <c r="O7" s="695">
        <v>-103</v>
      </c>
      <c r="P7" s="695">
        <v>-103</v>
      </c>
      <c r="Q7" s="695">
        <v>-103</v>
      </c>
      <c r="R7" s="695">
        <v>-103</v>
      </c>
      <c r="S7" s="695">
        <v>-103</v>
      </c>
      <c r="T7" s="695">
        <v>-103</v>
      </c>
      <c r="U7" s="695">
        <v>-103</v>
      </c>
      <c r="V7" s="695">
        <v>-103</v>
      </c>
      <c r="W7" s="695">
        <v>-103</v>
      </c>
      <c r="X7" s="695">
        <v>-103</v>
      </c>
      <c r="Y7" s="695">
        <v>-103</v>
      </c>
      <c r="Z7" s="695">
        <v>-103</v>
      </c>
      <c r="AA7" s="695">
        <v>-103</v>
      </c>
      <c r="AB7" s="695">
        <v>-103</v>
      </c>
      <c r="AC7" s="695">
        <v>-103</v>
      </c>
      <c r="AD7" s="595">
        <f t="shared" si="2"/>
        <v>-2472</v>
      </c>
      <c r="AE7" s="584">
        <f t="shared" si="0"/>
        <v>0</v>
      </c>
      <c r="AF7" s="539" t="str">
        <f t="shared" si="1"/>
        <v>buy</v>
      </c>
    </row>
    <row r="8" spans="1:75" s="360" customFormat="1" ht="12.75" customHeight="1" x14ac:dyDescent="0.25">
      <c r="A8" s="636" t="s">
        <v>368</v>
      </c>
      <c r="B8" s="540"/>
      <c r="C8" s="540" t="s">
        <v>263</v>
      </c>
      <c r="D8" s="540"/>
      <c r="E8" s="603"/>
      <c r="F8" s="695"/>
      <c r="G8" s="695"/>
      <c r="H8" s="695"/>
      <c r="I8" s="695"/>
      <c r="J8" s="695"/>
      <c r="K8" s="695"/>
      <c r="L8" s="695"/>
      <c r="M8" s="695">
        <v>-22</v>
      </c>
      <c r="N8" s="695">
        <v>-22</v>
      </c>
      <c r="O8" s="695">
        <v>-22</v>
      </c>
      <c r="P8" s="695">
        <v>-22</v>
      </c>
      <c r="Q8" s="695">
        <v>-22</v>
      </c>
      <c r="R8" s="695">
        <v>-22</v>
      </c>
      <c r="S8" s="695">
        <v>-22</v>
      </c>
      <c r="T8" s="695">
        <v>-22</v>
      </c>
      <c r="U8" s="695">
        <v>-22</v>
      </c>
      <c r="V8" s="695">
        <v>-22</v>
      </c>
      <c r="W8" s="695">
        <v>-22</v>
      </c>
      <c r="X8" s="695">
        <v>-22</v>
      </c>
      <c r="Y8" s="695">
        <v>-22</v>
      </c>
      <c r="Z8" s="695">
        <v>-22</v>
      </c>
      <c r="AA8" s="695">
        <v>-22</v>
      </c>
      <c r="AB8" s="695">
        <v>-22</v>
      </c>
      <c r="AC8" s="695"/>
      <c r="AD8" s="595">
        <f t="shared" si="2"/>
        <v>-352</v>
      </c>
      <c r="AE8" s="584">
        <f t="shared" si="0"/>
        <v>0</v>
      </c>
      <c r="AF8" s="539" t="str">
        <f t="shared" si="1"/>
        <v>buy</v>
      </c>
    </row>
    <row r="9" spans="1:75" s="360" customFormat="1" ht="12.75" customHeight="1" x14ac:dyDescent="0.25">
      <c r="A9" s="636" t="s">
        <v>64</v>
      </c>
      <c r="B9" s="633"/>
      <c r="C9" s="540" t="s">
        <v>152</v>
      </c>
      <c r="D9" s="620"/>
      <c r="E9" s="540"/>
      <c r="F9" s="695">
        <v>15</v>
      </c>
      <c r="G9" s="695">
        <v>15</v>
      </c>
      <c r="H9" s="695">
        <v>15</v>
      </c>
      <c r="I9" s="695">
        <v>15</v>
      </c>
      <c r="J9" s="695">
        <v>15</v>
      </c>
      <c r="K9" s="695">
        <v>15</v>
      </c>
      <c r="L9" s="695">
        <v>15</v>
      </c>
      <c r="M9" s="695"/>
      <c r="N9" s="695"/>
      <c r="O9" s="695"/>
      <c r="P9" s="695"/>
      <c r="Q9" s="695"/>
      <c r="R9" s="695"/>
      <c r="S9" s="695"/>
      <c r="T9" s="695"/>
      <c r="U9" s="695"/>
      <c r="V9" s="695"/>
      <c r="W9" s="695"/>
      <c r="X9" s="695"/>
      <c r="Y9" s="695"/>
      <c r="Z9" s="695"/>
      <c r="AA9" s="695"/>
      <c r="AB9" s="695"/>
      <c r="AC9" s="695">
        <v>15</v>
      </c>
      <c r="AD9" s="682">
        <f t="shared" si="2"/>
        <v>120</v>
      </c>
      <c r="AE9" s="584">
        <f>AD9*D9</f>
        <v>0</v>
      </c>
      <c r="AF9" s="539" t="str">
        <f>IF(AD9&lt;0,"buy","sell")</f>
        <v>sell</v>
      </c>
    </row>
    <row r="10" spans="1:75" s="360" customFormat="1" ht="12.75" customHeight="1" x14ac:dyDescent="0.25">
      <c r="A10" s="636" t="s">
        <v>64</v>
      </c>
      <c r="B10" s="633"/>
      <c r="C10" s="540" t="s">
        <v>152</v>
      </c>
      <c r="D10" s="686"/>
      <c r="E10" s="540"/>
      <c r="F10" s="695">
        <v>3</v>
      </c>
      <c r="G10" s="695">
        <v>3</v>
      </c>
      <c r="H10" s="695">
        <v>3</v>
      </c>
      <c r="I10" s="695">
        <v>3</v>
      </c>
      <c r="J10" s="695">
        <v>3</v>
      </c>
      <c r="K10" s="695">
        <v>3</v>
      </c>
      <c r="L10" s="695">
        <v>3</v>
      </c>
      <c r="M10" s="695"/>
      <c r="N10" s="695"/>
      <c r="O10" s="695"/>
      <c r="P10" s="695"/>
      <c r="Q10" s="695"/>
      <c r="R10" s="695"/>
      <c r="S10" s="695"/>
      <c r="T10" s="695"/>
      <c r="U10" s="695"/>
      <c r="V10" s="695"/>
      <c r="W10" s="695"/>
      <c r="X10" s="695"/>
      <c r="Y10" s="695"/>
      <c r="Z10" s="695"/>
      <c r="AA10" s="695"/>
      <c r="AB10" s="695"/>
      <c r="AC10" s="695">
        <v>13</v>
      </c>
      <c r="AD10" s="682">
        <f t="shared" si="2"/>
        <v>34</v>
      </c>
      <c r="AE10" s="584">
        <f>AD10*D10</f>
        <v>0</v>
      </c>
      <c r="AF10" s="539" t="str">
        <f>IF(AD10&lt;0,"buy","sell")</f>
        <v>sell</v>
      </c>
    </row>
    <row r="11" spans="1:75" s="360" customFormat="1" ht="12.75" customHeight="1" x14ac:dyDescent="0.25">
      <c r="A11" s="636" t="s">
        <v>373</v>
      </c>
      <c r="B11" s="633"/>
      <c r="C11" s="540" t="s">
        <v>152</v>
      </c>
      <c r="D11" s="620"/>
      <c r="E11" s="540"/>
      <c r="F11" s="695"/>
      <c r="G11" s="695"/>
      <c r="H11" s="695"/>
      <c r="I11" s="695"/>
      <c r="J11" s="695"/>
      <c r="K11" s="695"/>
      <c r="L11" s="695"/>
      <c r="M11" s="695"/>
      <c r="N11" s="695"/>
      <c r="O11" s="695"/>
      <c r="P11" s="695"/>
      <c r="Q11" s="695"/>
      <c r="R11" s="695"/>
      <c r="S11" s="695"/>
      <c r="T11" s="695"/>
      <c r="U11" s="695"/>
      <c r="V11" s="695"/>
      <c r="W11" s="695"/>
      <c r="X11" s="695"/>
      <c r="Y11" s="695"/>
      <c r="Z11" s="695"/>
      <c r="AA11" s="695"/>
      <c r="AB11" s="695"/>
      <c r="AC11" s="695"/>
      <c r="AD11" s="682">
        <f t="shared" si="2"/>
        <v>0</v>
      </c>
      <c r="AE11" s="584">
        <f>AD11*D11</f>
        <v>0</v>
      </c>
      <c r="AF11" s="539" t="str">
        <f>IF(AD11&lt;0,"buy","sell")</f>
        <v>sell</v>
      </c>
    </row>
    <row r="12" spans="1:75" s="360" customFormat="1" ht="12.75" customHeight="1" x14ac:dyDescent="0.25">
      <c r="A12" s="636" t="s">
        <v>377</v>
      </c>
      <c r="B12" s="633"/>
      <c r="C12" s="540" t="s">
        <v>152</v>
      </c>
      <c r="D12" s="620"/>
      <c r="E12" s="540"/>
      <c r="F12" s="695"/>
      <c r="G12" s="695"/>
      <c r="H12" s="695"/>
      <c r="I12" s="695"/>
      <c r="J12" s="695"/>
      <c r="K12" s="695"/>
      <c r="L12" s="695"/>
      <c r="M12" s="695"/>
      <c r="N12" s="695"/>
      <c r="O12" s="695"/>
      <c r="P12" s="695"/>
      <c r="Q12" s="695"/>
      <c r="R12" s="695"/>
      <c r="S12" s="695"/>
      <c r="T12" s="695"/>
      <c r="U12" s="695"/>
      <c r="V12" s="696"/>
      <c r="W12" s="696"/>
      <c r="X12" s="696"/>
      <c r="Y12" s="696"/>
      <c r="Z12" s="696"/>
      <c r="AA12" s="696"/>
      <c r="AB12" s="696"/>
      <c r="AC12" s="695"/>
      <c r="AD12" s="682">
        <f t="shared" si="2"/>
        <v>0</v>
      </c>
      <c r="AE12" s="584">
        <f t="shared" si="0"/>
        <v>0</v>
      </c>
      <c r="AF12" s="539" t="str">
        <f t="shared" si="1"/>
        <v>sell</v>
      </c>
    </row>
    <row r="13" spans="1:75" s="360" customFormat="1" ht="12.75" customHeight="1" x14ac:dyDescent="0.25">
      <c r="A13" s="636" t="s">
        <v>371</v>
      </c>
      <c r="B13" s="633"/>
      <c r="C13" s="540" t="s">
        <v>152</v>
      </c>
      <c r="D13" s="620"/>
      <c r="E13" s="540"/>
      <c r="F13" s="695"/>
      <c r="G13" s="695"/>
      <c r="H13" s="695"/>
      <c r="I13" s="695"/>
      <c r="J13" s="695"/>
      <c r="K13" s="695"/>
      <c r="L13" s="695"/>
      <c r="M13" s="695">
        <v>-13</v>
      </c>
      <c r="N13" s="695">
        <v>-13</v>
      </c>
      <c r="O13" s="695">
        <v>-13</v>
      </c>
      <c r="P13" s="695">
        <v>-13</v>
      </c>
      <c r="Q13" s="695">
        <v>-13</v>
      </c>
      <c r="R13" s="695">
        <v>-13</v>
      </c>
      <c r="S13" s="695">
        <v>-13</v>
      </c>
      <c r="T13" s="695">
        <v>-13</v>
      </c>
      <c r="U13" s="695">
        <v>-13</v>
      </c>
      <c r="V13" s="695">
        <v>-13</v>
      </c>
      <c r="W13" s="695">
        <v>-13</v>
      </c>
      <c r="X13" s="695">
        <v>-13</v>
      </c>
      <c r="Y13" s="695">
        <v>-13</v>
      </c>
      <c r="Z13" s="695">
        <v>-13</v>
      </c>
      <c r="AA13" s="695">
        <v>-13</v>
      </c>
      <c r="AB13" s="695">
        <v>-13</v>
      </c>
      <c r="AC13" s="695"/>
      <c r="AD13" s="682">
        <f>SUM(E13:AC13)</f>
        <v>-208</v>
      </c>
      <c r="AE13" s="584">
        <f>AD13*D13</f>
        <v>0</v>
      </c>
      <c r="AF13" s="539" t="str">
        <f>IF(AD13&lt;0,"buy","sell")</f>
        <v>buy</v>
      </c>
    </row>
    <row r="14" spans="1:75" s="360" customFormat="1" ht="12.75" customHeight="1" x14ac:dyDescent="0.25">
      <c r="A14" s="636" t="s">
        <v>382</v>
      </c>
      <c r="B14" s="633"/>
      <c r="C14" s="540" t="s">
        <v>152</v>
      </c>
      <c r="D14" s="620"/>
      <c r="E14" s="540"/>
      <c r="F14" s="695">
        <v>25</v>
      </c>
      <c r="G14" s="695">
        <v>25</v>
      </c>
      <c r="H14" s="695">
        <v>25</v>
      </c>
      <c r="I14" s="695">
        <v>25</v>
      </c>
      <c r="J14" s="695">
        <v>25</v>
      </c>
      <c r="K14" s="695">
        <v>25</v>
      </c>
      <c r="L14" s="695">
        <v>25</v>
      </c>
      <c r="M14" s="695"/>
      <c r="N14" s="695"/>
      <c r="O14" s="695"/>
      <c r="P14" s="695"/>
      <c r="Q14" s="695"/>
      <c r="R14" s="695"/>
      <c r="S14" s="695"/>
      <c r="T14" s="695"/>
      <c r="U14" s="695"/>
      <c r="V14" s="695"/>
      <c r="W14" s="695"/>
      <c r="X14" s="695"/>
      <c r="Y14" s="695"/>
      <c r="Z14" s="695"/>
      <c r="AA14" s="695"/>
      <c r="AB14" s="695"/>
      <c r="AC14" s="695">
        <v>25</v>
      </c>
      <c r="AD14" s="682">
        <f>SUM(E14:AC14)</f>
        <v>200</v>
      </c>
      <c r="AE14" s="584">
        <f>AD14*D14</f>
        <v>0</v>
      </c>
      <c r="AF14" s="539" t="str">
        <f>IF(AD14&lt;0,"buy","sell")</f>
        <v>sell</v>
      </c>
    </row>
    <row r="15" spans="1:75" s="360" customFormat="1" ht="12.75" customHeight="1" x14ac:dyDescent="0.25">
      <c r="A15" s="636"/>
      <c r="B15" s="633"/>
      <c r="C15" s="540" t="s">
        <v>152</v>
      </c>
      <c r="D15" s="620"/>
      <c r="E15" s="540"/>
      <c r="F15" s="695"/>
      <c r="G15" s="695"/>
      <c r="H15" s="695"/>
      <c r="I15" s="695"/>
      <c r="J15" s="695"/>
      <c r="K15" s="695"/>
      <c r="L15" s="695"/>
      <c r="M15" s="695"/>
      <c r="N15" s="695"/>
      <c r="O15" s="695"/>
      <c r="P15" s="695"/>
      <c r="Q15" s="695"/>
      <c r="R15" s="695"/>
      <c r="S15" s="695"/>
      <c r="T15" s="695"/>
      <c r="U15" s="695"/>
      <c r="V15" s="695"/>
      <c r="W15" s="695"/>
      <c r="X15" s="695"/>
      <c r="Y15" s="695"/>
      <c r="Z15" s="695"/>
      <c r="AA15" s="695"/>
      <c r="AB15" s="695"/>
      <c r="AC15" s="695"/>
      <c r="AD15" s="682">
        <f>SUM(E15:AC15)</f>
        <v>0</v>
      </c>
      <c r="AE15" s="584">
        <f>AD15*D15</f>
        <v>0</v>
      </c>
      <c r="AF15" s="539" t="str">
        <f>IF(AD15&lt;0,"buy","sell")</f>
        <v>sell</v>
      </c>
    </row>
    <row r="16" spans="1:75" s="360" customFormat="1" ht="12.75" customHeight="1" x14ac:dyDescent="0.25">
      <c r="A16" s="636" t="s">
        <v>229</v>
      </c>
      <c r="B16" s="633"/>
      <c r="C16" s="540" t="s">
        <v>280</v>
      </c>
      <c r="D16" s="620"/>
      <c r="E16" s="540"/>
      <c r="F16" s="695">
        <v>60</v>
      </c>
      <c r="G16" s="695">
        <v>60</v>
      </c>
      <c r="H16" s="695">
        <v>60</v>
      </c>
      <c r="I16" s="695">
        <v>60</v>
      </c>
      <c r="J16" s="695">
        <v>60</v>
      </c>
      <c r="K16" s="695">
        <v>60</v>
      </c>
      <c r="L16" s="695">
        <v>60</v>
      </c>
      <c r="M16" s="695">
        <v>60</v>
      </c>
      <c r="N16" s="695">
        <v>60</v>
      </c>
      <c r="O16" s="695">
        <v>60</v>
      </c>
      <c r="P16" s="695">
        <v>60</v>
      </c>
      <c r="Q16" s="695">
        <v>60</v>
      </c>
      <c r="R16" s="695">
        <v>60</v>
      </c>
      <c r="S16" s="695">
        <v>60</v>
      </c>
      <c r="T16" s="695">
        <v>60</v>
      </c>
      <c r="U16" s="695">
        <v>60</v>
      </c>
      <c r="V16" s="695">
        <v>60</v>
      </c>
      <c r="W16" s="695">
        <v>60</v>
      </c>
      <c r="X16" s="695">
        <v>60</v>
      </c>
      <c r="Y16" s="695">
        <v>60</v>
      </c>
      <c r="Z16" s="695">
        <v>60</v>
      </c>
      <c r="AA16" s="695">
        <v>60</v>
      </c>
      <c r="AB16" s="695">
        <v>60</v>
      </c>
      <c r="AC16" s="695">
        <v>60</v>
      </c>
      <c r="AD16" s="682">
        <f>SUM(E16:AC16)</f>
        <v>1440</v>
      </c>
      <c r="AE16" s="584">
        <f>AD16*D16</f>
        <v>0</v>
      </c>
      <c r="AF16" s="539" t="str">
        <f>IF(AD16&lt;0,"buy","sell")</f>
        <v>sell</v>
      </c>
    </row>
    <row r="17" spans="1:32" s="360" customFormat="1" ht="12.75" customHeight="1" x14ac:dyDescent="0.25">
      <c r="A17" s="636" t="s">
        <v>367</v>
      </c>
      <c r="B17" s="633"/>
      <c r="C17" s="540" t="s">
        <v>152</v>
      </c>
      <c r="D17" s="620"/>
      <c r="E17" s="540"/>
      <c r="F17" s="695"/>
      <c r="G17" s="695"/>
      <c r="H17" s="695"/>
      <c r="I17" s="695"/>
      <c r="J17" s="695"/>
      <c r="K17" s="695"/>
      <c r="L17" s="695"/>
      <c r="M17" s="695">
        <v>-25</v>
      </c>
      <c r="N17" s="695">
        <v>-25</v>
      </c>
      <c r="O17" s="695">
        <v>-25</v>
      </c>
      <c r="P17" s="695">
        <v>-25</v>
      </c>
      <c r="Q17" s="695">
        <v>-25</v>
      </c>
      <c r="R17" s="695">
        <v>-25</v>
      </c>
      <c r="S17" s="695">
        <v>-25</v>
      </c>
      <c r="T17" s="695">
        <v>-25</v>
      </c>
      <c r="U17" s="695">
        <v>-25</v>
      </c>
      <c r="V17" s="695">
        <v>-25</v>
      </c>
      <c r="W17" s="695">
        <v>-25</v>
      </c>
      <c r="X17" s="695">
        <v>-25</v>
      </c>
      <c r="Y17" s="695">
        <v>-25</v>
      </c>
      <c r="Z17" s="695">
        <v>-25</v>
      </c>
      <c r="AA17" s="695">
        <v>-25</v>
      </c>
      <c r="AB17" s="695">
        <v>-25</v>
      </c>
      <c r="AC17" s="695"/>
      <c r="AD17" s="682">
        <f>SUM(E17:AC17)</f>
        <v>-400</v>
      </c>
      <c r="AE17" s="584">
        <f>AD17*D17</f>
        <v>0</v>
      </c>
      <c r="AF17" s="539" t="str">
        <f>IF(AD17&lt;0,"buy","sell")</f>
        <v>buy</v>
      </c>
    </row>
    <row r="18" spans="1:32" s="360" customFormat="1" ht="12.75" customHeight="1" x14ac:dyDescent="0.25">
      <c r="A18" s="636" t="s">
        <v>367</v>
      </c>
      <c r="B18" s="635"/>
      <c r="C18" s="540" t="s">
        <v>152</v>
      </c>
      <c r="D18" s="637"/>
      <c r="E18" s="540"/>
      <c r="F18" s="695">
        <v>60</v>
      </c>
      <c r="G18" s="695">
        <v>60</v>
      </c>
      <c r="H18" s="695">
        <v>60</v>
      </c>
      <c r="I18" s="695">
        <v>60</v>
      </c>
      <c r="J18" s="695">
        <v>60</v>
      </c>
      <c r="K18" s="695">
        <v>60</v>
      </c>
      <c r="L18" s="695">
        <v>60</v>
      </c>
      <c r="M18" s="695"/>
      <c r="N18" s="695"/>
      <c r="O18" s="695"/>
      <c r="P18" s="695"/>
      <c r="Q18" s="695"/>
      <c r="R18" s="695"/>
      <c r="S18" s="695"/>
      <c r="T18" s="695"/>
      <c r="U18" s="695"/>
      <c r="V18" s="695"/>
      <c r="W18" s="695"/>
      <c r="X18" s="695"/>
      <c r="Y18" s="695"/>
      <c r="Z18" s="695"/>
      <c r="AA18" s="695"/>
      <c r="AB18" s="695"/>
      <c r="AC18" s="695">
        <v>60</v>
      </c>
      <c r="AD18" s="682">
        <f>SUM(F18:AC18)</f>
        <v>480</v>
      </c>
      <c r="AE18" s="584">
        <f t="shared" si="0"/>
        <v>0</v>
      </c>
      <c r="AF18" s="539" t="str">
        <f t="shared" si="1"/>
        <v>sell</v>
      </c>
    </row>
    <row r="19" spans="1:32" s="360" customFormat="1" ht="12.75" customHeight="1" x14ac:dyDescent="0.25">
      <c r="A19" s="636" t="s">
        <v>367</v>
      </c>
      <c r="B19" s="635"/>
      <c r="C19" s="540" t="s">
        <v>152</v>
      </c>
      <c r="D19" s="637"/>
      <c r="E19" s="540"/>
      <c r="F19" s="695">
        <v>-60</v>
      </c>
      <c r="G19" s="695">
        <v>-60</v>
      </c>
      <c r="H19" s="695">
        <v>-60</v>
      </c>
      <c r="I19" s="695">
        <v>-60</v>
      </c>
      <c r="J19" s="695">
        <v>-60</v>
      </c>
      <c r="K19" s="695">
        <v>-60</v>
      </c>
      <c r="L19" s="695">
        <v>-60</v>
      </c>
      <c r="M19" s="695"/>
      <c r="N19" s="695"/>
      <c r="O19" s="695"/>
      <c r="P19" s="695"/>
      <c r="Q19" s="695"/>
      <c r="R19" s="695"/>
      <c r="S19" s="695"/>
      <c r="T19" s="695"/>
      <c r="U19" s="695"/>
      <c r="V19" s="695"/>
      <c r="W19" s="695"/>
      <c r="X19" s="695"/>
      <c r="Y19" s="695"/>
      <c r="Z19" s="695"/>
      <c r="AA19" s="695"/>
      <c r="AB19" s="695"/>
      <c r="AC19" s="695">
        <v>-60</v>
      </c>
      <c r="AD19" s="682">
        <f>SUM(F19:AC19)</f>
        <v>-480</v>
      </c>
      <c r="AE19" s="584">
        <f>AD19*D19</f>
        <v>0</v>
      </c>
      <c r="AF19" s="539" t="str">
        <f>IF(AD19&lt;0,"buy","sell")</f>
        <v>buy</v>
      </c>
    </row>
    <row r="20" spans="1:32" s="360" customFormat="1" x14ac:dyDescent="0.25">
      <c r="A20" s="669" t="s">
        <v>206</v>
      </c>
      <c r="B20" s="665"/>
      <c r="C20" s="665"/>
      <c r="D20" s="557"/>
      <c r="E20" s="557"/>
      <c r="F20" s="697"/>
      <c r="G20" s="697"/>
      <c r="H20" s="697"/>
      <c r="I20" s="697"/>
      <c r="J20" s="697"/>
      <c r="K20" s="697"/>
      <c r="L20" s="697"/>
      <c r="M20" s="697"/>
      <c r="N20" s="697"/>
      <c r="O20" s="697"/>
      <c r="P20" s="697"/>
      <c r="Q20" s="697"/>
      <c r="R20" s="697"/>
      <c r="S20" s="697"/>
      <c r="T20" s="697"/>
      <c r="U20" s="697"/>
      <c r="V20" s="697"/>
      <c r="W20" s="697"/>
      <c r="X20" s="697"/>
      <c r="Y20" s="697"/>
      <c r="Z20" s="697"/>
      <c r="AA20" s="697"/>
      <c r="AB20" s="697"/>
      <c r="AC20" s="697"/>
      <c r="AD20" s="593"/>
      <c r="AE20" s="409"/>
      <c r="AF20" s="632"/>
    </row>
    <row r="21" spans="1:32" s="360" customFormat="1" ht="12.75" customHeight="1" x14ac:dyDescent="0.25">
      <c r="A21" s="638" t="s">
        <v>207</v>
      </c>
      <c r="B21" s="629"/>
      <c r="C21" s="617"/>
      <c r="D21" s="617"/>
      <c r="E21" s="629"/>
      <c r="F21" s="698"/>
      <c r="G21" s="698"/>
      <c r="H21" s="698"/>
      <c r="I21" s="698"/>
      <c r="J21" s="698"/>
      <c r="K21" s="698"/>
      <c r="L21" s="698"/>
      <c r="M21" s="698"/>
      <c r="N21" s="698"/>
      <c r="O21" s="698"/>
      <c r="P21" s="698"/>
      <c r="Q21" s="698"/>
      <c r="R21" s="698"/>
      <c r="S21" s="698"/>
      <c r="T21" s="698"/>
      <c r="U21" s="698"/>
      <c r="V21" s="698"/>
      <c r="W21" s="698"/>
      <c r="X21" s="698"/>
      <c r="Y21" s="698"/>
      <c r="Z21" s="698"/>
      <c r="AA21" s="698"/>
      <c r="AB21" s="698"/>
      <c r="AC21" s="698"/>
      <c r="AD21" s="370"/>
      <c r="AE21" s="494"/>
      <c r="AF21" s="494"/>
    </row>
    <row r="22" spans="1:32" s="360" customFormat="1" hidden="1" x14ac:dyDescent="0.25">
      <c r="A22" s="639" t="s">
        <v>278</v>
      </c>
      <c r="B22" s="488" t="s">
        <v>241</v>
      </c>
      <c r="C22" s="488" t="s">
        <v>152</v>
      </c>
      <c r="D22" s="489">
        <f t="shared" ref="D22:D45" si="3">F127</f>
        <v>-0.25</v>
      </c>
      <c r="E22" s="489"/>
      <c r="F22" s="699"/>
      <c r="G22" s="700"/>
      <c r="H22" s="701"/>
      <c r="I22" s="701"/>
      <c r="J22" s="701"/>
      <c r="K22" s="701"/>
      <c r="L22" s="701"/>
      <c r="M22" s="701"/>
      <c r="N22" s="701"/>
      <c r="O22" s="701"/>
      <c r="P22" s="701"/>
      <c r="Q22" s="701"/>
      <c r="R22" s="701"/>
      <c r="S22" s="701"/>
      <c r="T22" s="701"/>
      <c r="U22" s="701"/>
      <c r="V22" s="701"/>
      <c r="W22" s="701"/>
      <c r="X22" s="701"/>
      <c r="Y22" s="701"/>
      <c r="Z22" s="701"/>
      <c r="AA22" s="701"/>
      <c r="AB22" s="701"/>
      <c r="AC22" s="699"/>
      <c r="AD22" s="594">
        <f t="shared" ref="AD22:AD115" si="4">SUM(F22:AC22)</f>
        <v>0</v>
      </c>
      <c r="AE22" s="492">
        <f t="shared" ref="AE22:AE70" si="5">AD22*D22</f>
        <v>0</v>
      </c>
      <c r="AF22" s="467" t="str">
        <f>IF(AD22&lt;0,"buy","sell")</f>
        <v>sell</v>
      </c>
    </row>
    <row r="23" spans="1:32" s="360" customFormat="1" hidden="1" x14ac:dyDescent="0.25">
      <c r="A23" s="639" t="s">
        <v>278</v>
      </c>
      <c r="B23" s="488" t="s">
        <v>241</v>
      </c>
      <c r="C23" s="488" t="s">
        <v>152</v>
      </c>
      <c r="D23" s="489">
        <f t="shared" si="3"/>
        <v>-0.25</v>
      </c>
      <c r="E23" s="489"/>
      <c r="F23" s="699"/>
      <c r="G23" s="701"/>
      <c r="H23" s="701"/>
      <c r="I23" s="701"/>
      <c r="J23" s="701"/>
      <c r="K23" s="701"/>
      <c r="L23" s="701"/>
      <c r="M23" s="701"/>
      <c r="N23" s="701"/>
      <c r="O23" s="701"/>
      <c r="P23" s="701"/>
      <c r="Q23" s="701"/>
      <c r="R23" s="701"/>
      <c r="S23" s="701"/>
      <c r="T23" s="701"/>
      <c r="U23" s="701"/>
      <c r="V23" s="701"/>
      <c r="W23" s="701"/>
      <c r="X23" s="701"/>
      <c r="Y23" s="701"/>
      <c r="Z23" s="701"/>
      <c r="AA23" s="701"/>
      <c r="AB23" s="699"/>
      <c r="AC23" s="699"/>
      <c r="AD23" s="594">
        <f t="shared" si="4"/>
        <v>0</v>
      </c>
      <c r="AE23" s="492">
        <f t="shared" si="5"/>
        <v>0</v>
      </c>
      <c r="AF23" s="467" t="str">
        <f t="shared" ref="AF23:AF45" si="6">IF(AD23&lt;0,"buy","sell")</f>
        <v>sell</v>
      </c>
    </row>
    <row r="24" spans="1:32" s="360" customFormat="1" hidden="1" x14ac:dyDescent="0.25">
      <c r="A24" s="639" t="s">
        <v>278</v>
      </c>
      <c r="B24" s="488" t="s">
        <v>241</v>
      </c>
      <c r="C24" s="488" t="s">
        <v>152</v>
      </c>
      <c r="D24" s="489">
        <f t="shared" si="3"/>
        <v>-0.25</v>
      </c>
      <c r="E24" s="489"/>
      <c r="F24" s="699"/>
      <c r="G24" s="700"/>
      <c r="H24" s="701">
        <v>0</v>
      </c>
      <c r="I24" s="701"/>
      <c r="J24" s="701"/>
      <c r="K24" s="701"/>
      <c r="L24" s="701"/>
      <c r="M24" s="701"/>
      <c r="N24" s="701"/>
      <c r="O24" s="701"/>
      <c r="P24" s="701"/>
      <c r="Q24" s="701"/>
      <c r="R24" s="701"/>
      <c r="S24" s="701"/>
      <c r="T24" s="701"/>
      <c r="U24" s="701"/>
      <c r="V24" s="701"/>
      <c r="W24" s="701"/>
      <c r="X24" s="701"/>
      <c r="Y24" s="701"/>
      <c r="Z24" s="701"/>
      <c r="AA24" s="701"/>
      <c r="AB24" s="701"/>
      <c r="AC24" s="699"/>
      <c r="AD24" s="594">
        <f t="shared" si="4"/>
        <v>0</v>
      </c>
      <c r="AE24" s="492">
        <f t="shared" si="5"/>
        <v>0</v>
      </c>
      <c r="AF24" s="467" t="str">
        <f t="shared" si="6"/>
        <v>sell</v>
      </c>
    </row>
    <row r="25" spans="1:32" s="360" customFormat="1" hidden="1" x14ac:dyDescent="0.25">
      <c r="A25" s="639" t="s">
        <v>278</v>
      </c>
      <c r="B25" s="488" t="s">
        <v>241</v>
      </c>
      <c r="C25" s="488" t="s">
        <v>152</v>
      </c>
      <c r="D25" s="489">
        <f t="shared" si="3"/>
        <v>-0.25</v>
      </c>
      <c r="E25" s="489"/>
      <c r="F25" s="699"/>
      <c r="G25" s="700"/>
      <c r="H25" s="701"/>
      <c r="I25" s="701">
        <v>0</v>
      </c>
      <c r="J25" s="701"/>
      <c r="K25" s="701"/>
      <c r="L25" s="701"/>
      <c r="M25" s="701"/>
      <c r="N25" s="701"/>
      <c r="O25" s="701"/>
      <c r="P25" s="701"/>
      <c r="Q25" s="701"/>
      <c r="R25" s="701"/>
      <c r="S25" s="701"/>
      <c r="T25" s="701"/>
      <c r="U25" s="701"/>
      <c r="V25" s="701"/>
      <c r="W25" s="701"/>
      <c r="X25" s="701"/>
      <c r="Y25" s="701"/>
      <c r="Z25" s="701"/>
      <c r="AA25" s="701"/>
      <c r="AB25" s="701"/>
      <c r="AC25" s="699"/>
      <c r="AD25" s="594">
        <f t="shared" si="4"/>
        <v>0</v>
      </c>
      <c r="AE25" s="492">
        <f t="shared" si="5"/>
        <v>0</v>
      </c>
      <c r="AF25" s="467" t="str">
        <f t="shared" si="6"/>
        <v>sell</v>
      </c>
    </row>
    <row r="26" spans="1:32" s="360" customFormat="1" hidden="1" x14ac:dyDescent="0.25">
      <c r="A26" s="639" t="s">
        <v>278</v>
      </c>
      <c r="B26" s="488" t="s">
        <v>241</v>
      </c>
      <c r="C26" s="488" t="s">
        <v>152</v>
      </c>
      <c r="D26" s="489">
        <f t="shared" si="3"/>
        <v>-0.25</v>
      </c>
      <c r="E26" s="489"/>
      <c r="F26" s="699"/>
      <c r="G26" s="700"/>
      <c r="H26" s="701"/>
      <c r="I26" s="701"/>
      <c r="J26" s="701">
        <v>0</v>
      </c>
      <c r="K26" s="701"/>
      <c r="L26" s="701"/>
      <c r="M26" s="701"/>
      <c r="N26" s="701"/>
      <c r="O26" s="701"/>
      <c r="P26" s="701"/>
      <c r="Q26" s="701"/>
      <c r="R26" s="701"/>
      <c r="S26" s="701"/>
      <c r="T26" s="701"/>
      <c r="U26" s="701"/>
      <c r="V26" s="701"/>
      <c r="W26" s="701"/>
      <c r="X26" s="701"/>
      <c r="Y26" s="701"/>
      <c r="Z26" s="701"/>
      <c r="AA26" s="701"/>
      <c r="AB26" s="701"/>
      <c r="AC26" s="699"/>
      <c r="AD26" s="594">
        <f t="shared" si="4"/>
        <v>0</v>
      </c>
      <c r="AE26" s="492">
        <f t="shared" si="5"/>
        <v>0</v>
      </c>
      <c r="AF26" s="467" t="str">
        <f>IF(AD26&lt;0,"buy","sell")</f>
        <v>sell</v>
      </c>
    </row>
    <row r="27" spans="1:32" s="360" customFormat="1" hidden="1" x14ac:dyDescent="0.25">
      <c r="A27" s="639" t="s">
        <v>278</v>
      </c>
      <c r="B27" s="488" t="s">
        <v>241</v>
      </c>
      <c r="C27" s="488" t="s">
        <v>152</v>
      </c>
      <c r="D27" s="489">
        <f t="shared" si="3"/>
        <v>-0.25</v>
      </c>
      <c r="E27" s="489"/>
      <c r="F27" s="701"/>
      <c r="G27" s="700"/>
      <c r="H27" s="701"/>
      <c r="I27" s="701"/>
      <c r="J27" s="701"/>
      <c r="K27" s="701">
        <v>0</v>
      </c>
      <c r="L27" s="701"/>
      <c r="M27" s="701"/>
      <c r="N27" s="701"/>
      <c r="O27" s="701"/>
      <c r="P27" s="701"/>
      <c r="Q27" s="701"/>
      <c r="R27" s="701"/>
      <c r="S27" s="701"/>
      <c r="T27" s="701"/>
      <c r="U27" s="701"/>
      <c r="V27" s="701"/>
      <c r="W27" s="701"/>
      <c r="X27" s="701"/>
      <c r="Y27" s="701"/>
      <c r="Z27" s="701"/>
      <c r="AA27" s="701"/>
      <c r="AB27" s="701"/>
      <c r="AC27" s="701"/>
      <c r="AD27" s="594">
        <f t="shared" si="4"/>
        <v>0</v>
      </c>
      <c r="AE27" s="492">
        <f t="shared" si="5"/>
        <v>0</v>
      </c>
      <c r="AF27" s="467" t="str">
        <f t="shared" si="6"/>
        <v>sell</v>
      </c>
    </row>
    <row r="28" spans="1:32" s="360" customFormat="1" hidden="1" x14ac:dyDescent="0.25">
      <c r="A28" s="639" t="s">
        <v>278</v>
      </c>
      <c r="B28" s="488" t="s">
        <v>241</v>
      </c>
      <c r="C28" s="488" t="s">
        <v>152</v>
      </c>
      <c r="D28" s="489">
        <f t="shared" si="3"/>
        <v>-0.25</v>
      </c>
      <c r="E28" s="489"/>
      <c r="F28" s="701"/>
      <c r="G28" s="700"/>
      <c r="H28" s="701"/>
      <c r="I28" s="701"/>
      <c r="J28" s="701"/>
      <c r="K28" s="701"/>
      <c r="L28" s="701">
        <v>0</v>
      </c>
      <c r="M28" s="701"/>
      <c r="N28" s="701"/>
      <c r="O28" s="701"/>
      <c r="P28" s="701"/>
      <c r="Q28" s="701"/>
      <c r="R28" s="701"/>
      <c r="S28" s="701"/>
      <c r="T28" s="701"/>
      <c r="U28" s="701"/>
      <c r="V28" s="701"/>
      <c r="W28" s="701"/>
      <c r="X28" s="701"/>
      <c r="Y28" s="701"/>
      <c r="Z28" s="701"/>
      <c r="AA28" s="701"/>
      <c r="AB28" s="701"/>
      <c r="AC28" s="701"/>
      <c r="AD28" s="594">
        <f t="shared" si="4"/>
        <v>0</v>
      </c>
      <c r="AE28" s="492">
        <f t="shared" si="5"/>
        <v>0</v>
      </c>
      <c r="AF28" s="467" t="str">
        <f t="shared" si="6"/>
        <v>sell</v>
      </c>
    </row>
    <row r="29" spans="1:32" s="360" customFormat="1" hidden="1" x14ac:dyDescent="0.25">
      <c r="A29" s="639" t="s">
        <v>278</v>
      </c>
      <c r="B29" s="488" t="s">
        <v>241</v>
      </c>
      <c r="C29" s="488" t="s">
        <v>152</v>
      </c>
      <c r="D29" s="489">
        <f t="shared" si="3"/>
        <v>-0.25</v>
      </c>
      <c r="E29" s="489"/>
      <c r="F29" s="701"/>
      <c r="G29" s="700"/>
      <c r="H29" s="701"/>
      <c r="I29" s="701"/>
      <c r="J29" s="701"/>
      <c r="K29" s="701"/>
      <c r="L29" s="701"/>
      <c r="M29" s="701">
        <v>0</v>
      </c>
      <c r="N29" s="701"/>
      <c r="O29" s="701"/>
      <c r="P29" s="701"/>
      <c r="Q29" s="701"/>
      <c r="R29" s="701"/>
      <c r="S29" s="701"/>
      <c r="T29" s="701"/>
      <c r="U29" s="701"/>
      <c r="V29" s="701"/>
      <c r="W29" s="701"/>
      <c r="X29" s="701"/>
      <c r="Y29" s="701"/>
      <c r="Z29" s="701"/>
      <c r="AA29" s="701"/>
      <c r="AB29" s="701"/>
      <c r="AC29" s="701"/>
      <c r="AD29" s="594">
        <f t="shared" si="4"/>
        <v>0</v>
      </c>
      <c r="AE29" s="492">
        <f t="shared" si="5"/>
        <v>0</v>
      </c>
      <c r="AF29" s="467" t="str">
        <f t="shared" si="6"/>
        <v>sell</v>
      </c>
    </row>
    <row r="30" spans="1:32" s="360" customFormat="1" hidden="1" x14ac:dyDescent="0.25">
      <c r="A30" s="639" t="s">
        <v>278</v>
      </c>
      <c r="B30" s="488" t="s">
        <v>241</v>
      </c>
      <c r="C30" s="488" t="s">
        <v>152</v>
      </c>
      <c r="D30" s="489">
        <f t="shared" si="3"/>
        <v>-0.25</v>
      </c>
      <c r="E30" s="489"/>
      <c r="F30" s="701"/>
      <c r="G30" s="700"/>
      <c r="H30" s="701"/>
      <c r="I30" s="701"/>
      <c r="J30" s="701"/>
      <c r="K30" s="701"/>
      <c r="L30" s="701"/>
      <c r="M30" s="701"/>
      <c r="N30" s="701">
        <v>0</v>
      </c>
      <c r="O30" s="701"/>
      <c r="P30" s="701"/>
      <c r="Q30" s="701"/>
      <c r="R30" s="701"/>
      <c r="S30" s="701"/>
      <c r="T30" s="701"/>
      <c r="U30" s="701"/>
      <c r="V30" s="701"/>
      <c r="W30" s="701"/>
      <c r="X30" s="701"/>
      <c r="Y30" s="701"/>
      <c r="Z30" s="701"/>
      <c r="AA30" s="701"/>
      <c r="AB30" s="701"/>
      <c r="AC30" s="701"/>
      <c r="AD30" s="594">
        <f t="shared" si="4"/>
        <v>0</v>
      </c>
      <c r="AE30" s="492">
        <f t="shared" si="5"/>
        <v>0</v>
      </c>
      <c r="AF30" s="467" t="str">
        <f t="shared" si="6"/>
        <v>sell</v>
      </c>
    </row>
    <row r="31" spans="1:32" s="360" customFormat="1" hidden="1" x14ac:dyDescent="0.25">
      <c r="A31" s="639" t="s">
        <v>278</v>
      </c>
      <c r="B31" s="488" t="s">
        <v>241</v>
      </c>
      <c r="C31" s="488" t="s">
        <v>152</v>
      </c>
      <c r="D31" s="489">
        <f t="shared" si="3"/>
        <v>-0.25</v>
      </c>
      <c r="E31" s="489"/>
      <c r="F31" s="701"/>
      <c r="G31" s="700"/>
      <c r="H31" s="701"/>
      <c r="I31" s="701"/>
      <c r="J31" s="701"/>
      <c r="K31" s="701"/>
      <c r="L31" s="701"/>
      <c r="M31" s="701"/>
      <c r="N31" s="701"/>
      <c r="O31" s="701">
        <v>0</v>
      </c>
      <c r="P31" s="701"/>
      <c r="Q31" s="701"/>
      <c r="R31" s="701"/>
      <c r="S31" s="701"/>
      <c r="T31" s="701"/>
      <c r="U31" s="701"/>
      <c r="V31" s="701"/>
      <c r="W31" s="701"/>
      <c r="X31" s="701"/>
      <c r="Y31" s="701"/>
      <c r="Z31" s="701"/>
      <c r="AA31" s="701"/>
      <c r="AB31" s="701"/>
      <c r="AC31" s="701"/>
      <c r="AD31" s="594">
        <f t="shared" si="4"/>
        <v>0</v>
      </c>
      <c r="AE31" s="492">
        <f t="shared" si="5"/>
        <v>0</v>
      </c>
      <c r="AF31" s="467" t="str">
        <f t="shared" si="6"/>
        <v>sell</v>
      </c>
    </row>
    <row r="32" spans="1:32" s="360" customFormat="1" hidden="1" x14ac:dyDescent="0.25">
      <c r="A32" s="639" t="s">
        <v>278</v>
      </c>
      <c r="B32" s="488" t="s">
        <v>241</v>
      </c>
      <c r="C32" s="488" t="s">
        <v>152</v>
      </c>
      <c r="D32" s="489">
        <f t="shared" si="3"/>
        <v>-0.25</v>
      </c>
      <c r="E32" s="489"/>
      <c r="F32" s="701"/>
      <c r="G32" s="700"/>
      <c r="H32" s="701"/>
      <c r="I32" s="701"/>
      <c r="J32" s="701"/>
      <c r="K32" s="701"/>
      <c r="L32" s="701"/>
      <c r="M32" s="701"/>
      <c r="N32" s="701"/>
      <c r="O32" s="701"/>
      <c r="P32" s="701">
        <v>0</v>
      </c>
      <c r="Q32" s="701"/>
      <c r="R32" s="701"/>
      <c r="S32" s="701"/>
      <c r="T32" s="701"/>
      <c r="U32" s="701"/>
      <c r="V32" s="701"/>
      <c r="W32" s="701"/>
      <c r="X32" s="701"/>
      <c r="Y32" s="701"/>
      <c r="Z32" s="701"/>
      <c r="AA32" s="701"/>
      <c r="AB32" s="701"/>
      <c r="AC32" s="701"/>
      <c r="AD32" s="594">
        <f t="shared" si="4"/>
        <v>0</v>
      </c>
      <c r="AE32" s="492">
        <f t="shared" si="5"/>
        <v>0</v>
      </c>
      <c r="AF32" s="467" t="str">
        <f t="shared" si="6"/>
        <v>sell</v>
      </c>
    </row>
    <row r="33" spans="1:32" s="360" customFormat="1" hidden="1" x14ac:dyDescent="0.25">
      <c r="A33" s="639" t="s">
        <v>278</v>
      </c>
      <c r="B33" s="488" t="s">
        <v>241</v>
      </c>
      <c r="C33" s="488" t="s">
        <v>152</v>
      </c>
      <c r="D33" s="489">
        <f t="shared" si="3"/>
        <v>-0.25</v>
      </c>
      <c r="E33" s="489"/>
      <c r="F33" s="701"/>
      <c r="G33" s="700"/>
      <c r="H33" s="701"/>
      <c r="I33" s="701"/>
      <c r="J33" s="701"/>
      <c r="K33" s="701"/>
      <c r="L33" s="701"/>
      <c r="M33" s="701"/>
      <c r="N33" s="701"/>
      <c r="O33" s="701"/>
      <c r="P33" s="701"/>
      <c r="Q33" s="701">
        <v>0</v>
      </c>
      <c r="R33" s="701"/>
      <c r="S33" s="701"/>
      <c r="T33" s="701"/>
      <c r="U33" s="701"/>
      <c r="V33" s="701"/>
      <c r="W33" s="701"/>
      <c r="X33" s="701"/>
      <c r="Y33" s="701"/>
      <c r="Z33" s="701"/>
      <c r="AA33" s="701"/>
      <c r="AB33" s="701"/>
      <c r="AC33" s="701"/>
      <c r="AD33" s="594">
        <f t="shared" si="4"/>
        <v>0</v>
      </c>
      <c r="AE33" s="492">
        <f t="shared" si="5"/>
        <v>0</v>
      </c>
      <c r="AF33" s="467" t="str">
        <f t="shared" si="6"/>
        <v>sell</v>
      </c>
    </row>
    <row r="34" spans="1:32" s="360" customFormat="1" hidden="1" x14ac:dyDescent="0.25">
      <c r="A34" s="639" t="s">
        <v>278</v>
      </c>
      <c r="B34" s="488" t="s">
        <v>241</v>
      </c>
      <c r="C34" s="488" t="s">
        <v>152</v>
      </c>
      <c r="D34" s="489">
        <f t="shared" si="3"/>
        <v>-0.25</v>
      </c>
      <c r="E34" s="489"/>
      <c r="F34" s="701"/>
      <c r="G34" s="700"/>
      <c r="H34" s="701"/>
      <c r="I34" s="701"/>
      <c r="J34" s="701"/>
      <c r="K34" s="701"/>
      <c r="L34" s="701"/>
      <c r="M34" s="701"/>
      <c r="N34" s="701"/>
      <c r="O34" s="701"/>
      <c r="P34" s="701"/>
      <c r="Q34" s="701"/>
      <c r="R34" s="701">
        <v>0</v>
      </c>
      <c r="S34" s="701"/>
      <c r="T34" s="701"/>
      <c r="U34" s="701"/>
      <c r="V34" s="701"/>
      <c r="W34" s="701"/>
      <c r="X34" s="701"/>
      <c r="Y34" s="701"/>
      <c r="Z34" s="701"/>
      <c r="AA34" s="701"/>
      <c r="AB34" s="701"/>
      <c r="AC34" s="701"/>
      <c r="AD34" s="594">
        <f t="shared" si="4"/>
        <v>0</v>
      </c>
      <c r="AE34" s="492">
        <f t="shared" si="5"/>
        <v>0</v>
      </c>
      <c r="AF34" s="467" t="str">
        <f t="shared" si="6"/>
        <v>sell</v>
      </c>
    </row>
    <row r="35" spans="1:32" s="360" customFormat="1" hidden="1" x14ac:dyDescent="0.25">
      <c r="A35" s="639" t="s">
        <v>278</v>
      </c>
      <c r="B35" s="488" t="s">
        <v>241</v>
      </c>
      <c r="C35" s="488" t="s">
        <v>152</v>
      </c>
      <c r="D35" s="489">
        <f t="shared" si="3"/>
        <v>-0.25</v>
      </c>
      <c r="E35" s="489"/>
      <c r="F35" s="701"/>
      <c r="G35" s="700"/>
      <c r="H35" s="701"/>
      <c r="I35" s="701"/>
      <c r="J35" s="701"/>
      <c r="K35" s="701"/>
      <c r="L35" s="701"/>
      <c r="M35" s="701"/>
      <c r="N35" s="701"/>
      <c r="O35" s="701"/>
      <c r="P35" s="701"/>
      <c r="Q35" s="701"/>
      <c r="R35" s="701"/>
      <c r="S35" s="701">
        <v>0</v>
      </c>
      <c r="T35" s="701"/>
      <c r="U35" s="701"/>
      <c r="V35" s="701"/>
      <c r="W35" s="701"/>
      <c r="X35" s="701"/>
      <c r="Y35" s="701"/>
      <c r="Z35" s="701"/>
      <c r="AA35" s="701"/>
      <c r="AB35" s="701"/>
      <c r="AC35" s="701"/>
      <c r="AD35" s="594">
        <f t="shared" si="4"/>
        <v>0</v>
      </c>
      <c r="AE35" s="492">
        <f t="shared" si="5"/>
        <v>0</v>
      </c>
      <c r="AF35" s="467" t="str">
        <f t="shared" si="6"/>
        <v>sell</v>
      </c>
    </row>
    <row r="36" spans="1:32" s="360" customFormat="1" hidden="1" x14ac:dyDescent="0.25">
      <c r="A36" s="639" t="s">
        <v>278</v>
      </c>
      <c r="B36" s="488" t="s">
        <v>241</v>
      </c>
      <c r="C36" s="488" t="s">
        <v>152</v>
      </c>
      <c r="D36" s="489">
        <f t="shared" si="3"/>
        <v>-0.25</v>
      </c>
      <c r="E36" s="489"/>
      <c r="F36" s="701"/>
      <c r="G36" s="700"/>
      <c r="H36" s="701"/>
      <c r="I36" s="701"/>
      <c r="J36" s="701"/>
      <c r="K36" s="701"/>
      <c r="L36" s="701"/>
      <c r="M36" s="701"/>
      <c r="N36" s="701"/>
      <c r="O36" s="701"/>
      <c r="P36" s="701"/>
      <c r="Q36" s="701"/>
      <c r="R36" s="701"/>
      <c r="S36" s="701"/>
      <c r="T36" s="701">
        <v>0</v>
      </c>
      <c r="U36" s="701"/>
      <c r="V36" s="701"/>
      <c r="W36" s="701"/>
      <c r="X36" s="701"/>
      <c r="Y36" s="701"/>
      <c r="Z36" s="701"/>
      <c r="AA36" s="701"/>
      <c r="AB36" s="701"/>
      <c r="AC36" s="701"/>
      <c r="AD36" s="594">
        <f t="shared" si="4"/>
        <v>0</v>
      </c>
      <c r="AE36" s="492">
        <f t="shared" si="5"/>
        <v>0</v>
      </c>
      <c r="AF36" s="467" t="str">
        <f t="shared" si="6"/>
        <v>sell</v>
      </c>
    </row>
    <row r="37" spans="1:32" s="360" customFormat="1" hidden="1" x14ac:dyDescent="0.25">
      <c r="A37" s="639" t="s">
        <v>278</v>
      </c>
      <c r="B37" s="488" t="s">
        <v>241</v>
      </c>
      <c r="C37" s="488" t="s">
        <v>152</v>
      </c>
      <c r="D37" s="489">
        <f t="shared" si="3"/>
        <v>-0.25</v>
      </c>
      <c r="E37" s="489"/>
      <c r="F37" s="701"/>
      <c r="G37" s="700"/>
      <c r="H37" s="701"/>
      <c r="I37" s="701"/>
      <c r="J37" s="701"/>
      <c r="K37" s="701"/>
      <c r="L37" s="701"/>
      <c r="M37" s="701"/>
      <c r="N37" s="701"/>
      <c r="O37" s="701"/>
      <c r="P37" s="701"/>
      <c r="Q37" s="701"/>
      <c r="R37" s="701"/>
      <c r="S37" s="701"/>
      <c r="T37" s="701"/>
      <c r="U37" s="701">
        <v>0</v>
      </c>
      <c r="V37" s="701"/>
      <c r="W37" s="701"/>
      <c r="X37" s="701"/>
      <c r="Y37" s="701"/>
      <c r="Z37" s="701"/>
      <c r="AA37" s="701"/>
      <c r="AB37" s="701"/>
      <c r="AC37" s="701"/>
      <c r="AD37" s="594">
        <f t="shared" si="4"/>
        <v>0</v>
      </c>
      <c r="AE37" s="492">
        <f t="shared" si="5"/>
        <v>0</v>
      </c>
      <c r="AF37" s="467" t="str">
        <f t="shared" si="6"/>
        <v>sell</v>
      </c>
    </row>
    <row r="38" spans="1:32" s="360" customFormat="1" hidden="1" x14ac:dyDescent="0.25">
      <c r="A38" s="639" t="s">
        <v>278</v>
      </c>
      <c r="B38" s="488" t="s">
        <v>241</v>
      </c>
      <c r="C38" s="488" t="s">
        <v>152</v>
      </c>
      <c r="D38" s="489">
        <f t="shared" si="3"/>
        <v>-0.25</v>
      </c>
      <c r="E38" s="489"/>
      <c r="F38" s="701"/>
      <c r="G38" s="700"/>
      <c r="H38" s="701"/>
      <c r="I38" s="701"/>
      <c r="J38" s="701"/>
      <c r="K38" s="701"/>
      <c r="L38" s="701"/>
      <c r="M38" s="701"/>
      <c r="N38" s="701"/>
      <c r="O38" s="701"/>
      <c r="P38" s="701"/>
      <c r="Q38" s="701"/>
      <c r="R38" s="701"/>
      <c r="S38" s="701"/>
      <c r="T38" s="701"/>
      <c r="U38" s="701"/>
      <c r="V38" s="701">
        <v>0</v>
      </c>
      <c r="W38" s="701"/>
      <c r="X38" s="701"/>
      <c r="Y38" s="701"/>
      <c r="Z38" s="701"/>
      <c r="AA38" s="702"/>
      <c r="AB38" s="701"/>
      <c r="AC38" s="701"/>
      <c r="AD38" s="594">
        <f t="shared" si="4"/>
        <v>0</v>
      </c>
      <c r="AE38" s="492">
        <f t="shared" si="5"/>
        <v>0</v>
      </c>
      <c r="AF38" s="467" t="str">
        <f t="shared" si="6"/>
        <v>sell</v>
      </c>
    </row>
    <row r="39" spans="1:32" s="360" customFormat="1" hidden="1" x14ac:dyDescent="0.25">
      <c r="A39" s="639" t="s">
        <v>278</v>
      </c>
      <c r="B39" s="488" t="s">
        <v>241</v>
      </c>
      <c r="C39" s="488" t="s">
        <v>152</v>
      </c>
      <c r="D39" s="489">
        <f t="shared" si="3"/>
        <v>-0.25</v>
      </c>
      <c r="E39" s="489"/>
      <c r="F39" s="701"/>
      <c r="G39" s="700"/>
      <c r="H39" s="701"/>
      <c r="I39" s="701"/>
      <c r="J39" s="701"/>
      <c r="K39" s="701"/>
      <c r="L39" s="701"/>
      <c r="M39" s="701"/>
      <c r="N39" s="701"/>
      <c r="O39" s="701"/>
      <c r="P39" s="701"/>
      <c r="Q39" s="701"/>
      <c r="R39" s="701"/>
      <c r="S39" s="701"/>
      <c r="T39" s="701"/>
      <c r="U39" s="701"/>
      <c r="V39" s="701"/>
      <c r="W39" s="701">
        <v>0</v>
      </c>
      <c r="X39" s="701"/>
      <c r="Y39" s="701"/>
      <c r="Z39" s="701"/>
      <c r="AA39" s="701"/>
      <c r="AB39" s="701"/>
      <c r="AC39" s="701"/>
      <c r="AD39" s="594">
        <f t="shared" si="4"/>
        <v>0</v>
      </c>
      <c r="AE39" s="492">
        <f t="shared" si="5"/>
        <v>0</v>
      </c>
      <c r="AF39" s="467" t="str">
        <f t="shared" si="6"/>
        <v>sell</v>
      </c>
    </row>
    <row r="40" spans="1:32" s="360" customFormat="1" hidden="1" x14ac:dyDescent="0.25">
      <c r="A40" s="639" t="s">
        <v>278</v>
      </c>
      <c r="B40" s="488" t="s">
        <v>241</v>
      </c>
      <c r="C40" s="488" t="s">
        <v>152</v>
      </c>
      <c r="D40" s="489">
        <f t="shared" si="3"/>
        <v>-0.25</v>
      </c>
      <c r="E40" s="489"/>
      <c r="F40" s="701"/>
      <c r="G40" s="700"/>
      <c r="H40" s="701"/>
      <c r="I40" s="701"/>
      <c r="J40" s="701"/>
      <c r="K40" s="701"/>
      <c r="L40" s="701"/>
      <c r="M40" s="701"/>
      <c r="N40" s="701"/>
      <c r="O40" s="701"/>
      <c r="P40" s="701"/>
      <c r="Q40" s="701"/>
      <c r="R40" s="701"/>
      <c r="S40" s="701"/>
      <c r="T40" s="701"/>
      <c r="U40" s="701"/>
      <c r="V40" s="701"/>
      <c r="W40" s="701"/>
      <c r="X40" s="701">
        <v>0</v>
      </c>
      <c r="Y40" s="701"/>
      <c r="Z40" s="701"/>
      <c r="AA40" s="701"/>
      <c r="AB40" s="701"/>
      <c r="AC40" s="701"/>
      <c r="AD40" s="594">
        <f t="shared" si="4"/>
        <v>0</v>
      </c>
      <c r="AE40" s="492">
        <f t="shared" si="5"/>
        <v>0</v>
      </c>
      <c r="AF40" s="467" t="str">
        <f t="shared" si="6"/>
        <v>sell</v>
      </c>
    </row>
    <row r="41" spans="1:32" s="360" customFormat="1" hidden="1" x14ac:dyDescent="0.25">
      <c r="A41" s="639" t="s">
        <v>278</v>
      </c>
      <c r="B41" s="488" t="s">
        <v>241</v>
      </c>
      <c r="C41" s="488" t="s">
        <v>152</v>
      </c>
      <c r="D41" s="489">
        <f t="shared" si="3"/>
        <v>-0.25</v>
      </c>
      <c r="E41" s="489"/>
      <c r="F41" s="701"/>
      <c r="G41" s="700"/>
      <c r="H41" s="701"/>
      <c r="I41" s="701"/>
      <c r="J41" s="701"/>
      <c r="K41" s="701"/>
      <c r="L41" s="701"/>
      <c r="M41" s="701"/>
      <c r="N41" s="701"/>
      <c r="O41" s="701"/>
      <c r="P41" s="701"/>
      <c r="Q41" s="701"/>
      <c r="R41" s="701"/>
      <c r="S41" s="701"/>
      <c r="T41" s="701"/>
      <c r="U41" s="701"/>
      <c r="V41" s="701"/>
      <c r="W41" s="701"/>
      <c r="X41" s="701"/>
      <c r="Y41" s="701">
        <v>0</v>
      </c>
      <c r="Z41" s="701"/>
      <c r="AA41" s="701"/>
      <c r="AB41" s="701"/>
      <c r="AC41" s="701"/>
      <c r="AD41" s="594">
        <f t="shared" si="4"/>
        <v>0</v>
      </c>
      <c r="AE41" s="492">
        <f t="shared" si="5"/>
        <v>0</v>
      </c>
      <c r="AF41" s="467" t="str">
        <f t="shared" si="6"/>
        <v>sell</v>
      </c>
    </row>
    <row r="42" spans="1:32" s="360" customFormat="1" hidden="1" x14ac:dyDescent="0.25">
      <c r="A42" s="639" t="s">
        <v>278</v>
      </c>
      <c r="B42" s="488" t="s">
        <v>241</v>
      </c>
      <c r="C42" s="488" t="s">
        <v>152</v>
      </c>
      <c r="D42" s="489">
        <f t="shared" si="3"/>
        <v>-0.25</v>
      </c>
      <c r="E42" s="489"/>
      <c r="F42" s="701"/>
      <c r="G42" s="700"/>
      <c r="H42" s="701"/>
      <c r="I42" s="701"/>
      <c r="J42" s="701"/>
      <c r="K42" s="701"/>
      <c r="L42" s="701"/>
      <c r="M42" s="701"/>
      <c r="N42" s="701"/>
      <c r="O42" s="701"/>
      <c r="P42" s="701"/>
      <c r="Q42" s="701"/>
      <c r="R42" s="701"/>
      <c r="S42" s="701"/>
      <c r="T42" s="701"/>
      <c r="U42" s="701"/>
      <c r="V42" s="701"/>
      <c r="W42" s="701"/>
      <c r="X42" s="701"/>
      <c r="Y42" s="701"/>
      <c r="Z42" s="701">
        <v>0</v>
      </c>
      <c r="AA42" s="701"/>
      <c r="AB42" s="701"/>
      <c r="AC42" s="701"/>
      <c r="AD42" s="594">
        <f t="shared" si="4"/>
        <v>0</v>
      </c>
      <c r="AE42" s="492">
        <f t="shared" si="5"/>
        <v>0</v>
      </c>
      <c r="AF42" s="467" t="str">
        <f t="shared" si="6"/>
        <v>sell</v>
      </c>
    </row>
    <row r="43" spans="1:32" s="360" customFormat="1" hidden="1" x14ac:dyDescent="0.25">
      <c r="A43" s="639" t="s">
        <v>278</v>
      </c>
      <c r="B43" s="488" t="s">
        <v>241</v>
      </c>
      <c r="C43" s="488" t="s">
        <v>152</v>
      </c>
      <c r="D43" s="489">
        <f t="shared" si="3"/>
        <v>-0.25</v>
      </c>
      <c r="E43" s="489"/>
      <c r="F43" s="701"/>
      <c r="G43" s="700"/>
      <c r="H43" s="701"/>
      <c r="I43" s="701"/>
      <c r="J43" s="701"/>
      <c r="K43" s="701"/>
      <c r="L43" s="701"/>
      <c r="M43" s="701"/>
      <c r="N43" s="701"/>
      <c r="O43" s="701"/>
      <c r="P43" s="701"/>
      <c r="Q43" s="701"/>
      <c r="R43" s="701"/>
      <c r="S43" s="701"/>
      <c r="T43" s="701"/>
      <c r="U43" s="701"/>
      <c r="V43" s="701"/>
      <c r="W43" s="701"/>
      <c r="X43" s="701"/>
      <c r="Y43" s="701"/>
      <c r="Z43" s="701"/>
      <c r="AA43" s="701">
        <v>0</v>
      </c>
      <c r="AB43" s="701"/>
      <c r="AC43" s="701"/>
      <c r="AD43" s="594">
        <f t="shared" si="4"/>
        <v>0</v>
      </c>
      <c r="AE43" s="492">
        <f t="shared" si="5"/>
        <v>0</v>
      </c>
      <c r="AF43" s="467" t="str">
        <f t="shared" si="6"/>
        <v>sell</v>
      </c>
    </row>
    <row r="44" spans="1:32" s="360" customFormat="1" hidden="1" x14ac:dyDescent="0.25">
      <c r="A44" s="639" t="s">
        <v>278</v>
      </c>
      <c r="B44" s="488" t="s">
        <v>241</v>
      </c>
      <c r="C44" s="488" t="s">
        <v>152</v>
      </c>
      <c r="D44" s="489">
        <f t="shared" si="3"/>
        <v>-0.25</v>
      </c>
      <c r="E44" s="489"/>
      <c r="F44" s="701"/>
      <c r="G44" s="700"/>
      <c r="H44" s="701"/>
      <c r="I44" s="701"/>
      <c r="J44" s="701"/>
      <c r="K44" s="701"/>
      <c r="L44" s="701"/>
      <c r="M44" s="701"/>
      <c r="N44" s="701"/>
      <c r="O44" s="701"/>
      <c r="P44" s="701"/>
      <c r="Q44" s="701"/>
      <c r="R44" s="701"/>
      <c r="S44" s="701"/>
      <c r="T44" s="701"/>
      <c r="U44" s="701"/>
      <c r="V44" s="701"/>
      <c r="W44" s="701"/>
      <c r="X44" s="701"/>
      <c r="Y44" s="701"/>
      <c r="Z44" s="701"/>
      <c r="AA44" s="701"/>
      <c r="AB44" s="701">
        <v>0</v>
      </c>
      <c r="AC44" s="701"/>
      <c r="AD44" s="594">
        <f t="shared" si="4"/>
        <v>0</v>
      </c>
      <c r="AE44" s="492">
        <f t="shared" si="5"/>
        <v>0</v>
      </c>
      <c r="AF44" s="467" t="str">
        <f t="shared" si="6"/>
        <v>sell</v>
      </c>
    </row>
    <row r="45" spans="1:32" s="360" customFormat="1" hidden="1" x14ac:dyDescent="0.25">
      <c r="A45" s="639" t="s">
        <v>278</v>
      </c>
      <c r="B45" s="488" t="s">
        <v>241</v>
      </c>
      <c r="C45" s="488" t="s">
        <v>152</v>
      </c>
      <c r="D45" s="489">
        <f t="shared" si="3"/>
        <v>-0.25</v>
      </c>
      <c r="E45" s="489"/>
      <c r="F45" s="701">
        <v>0</v>
      </c>
      <c r="G45" s="700"/>
      <c r="H45" s="701"/>
      <c r="I45" s="701"/>
      <c r="J45" s="701"/>
      <c r="K45" s="701"/>
      <c r="L45" s="701"/>
      <c r="M45" s="701"/>
      <c r="N45" s="701"/>
      <c r="O45" s="701"/>
      <c r="P45" s="701"/>
      <c r="Q45" s="701"/>
      <c r="R45" s="701"/>
      <c r="S45" s="701"/>
      <c r="T45" s="701"/>
      <c r="U45" s="701"/>
      <c r="V45" s="701"/>
      <c r="W45" s="701"/>
      <c r="X45" s="701"/>
      <c r="Y45" s="701"/>
      <c r="Z45" s="701"/>
      <c r="AA45" s="701"/>
      <c r="AB45" s="701"/>
      <c r="AC45" s="701">
        <v>0</v>
      </c>
      <c r="AD45" s="594">
        <f t="shared" si="4"/>
        <v>0</v>
      </c>
      <c r="AE45" s="492">
        <f t="shared" si="5"/>
        <v>0</v>
      </c>
      <c r="AF45" s="467" t="str">
        <f t="shared" si="6"/>
        <v>sell</v>
      </c>
    </row>
    <row r="46" spans="1:32" s="360" customFormat="1" hidden="1" x14ac:dyDescent="0.25">
      <c r="A46" s="639"/>
      <c r="B46" s="488"/>
      <c r="C46" s="488"/>
      <c r="D46" s="489"/>
      <c r="E46" s="489"/>
      <c r="F46" s="701"/>
      <c r="G46" s="700"/>
      <c r="H46" s="701"/>
      <c r="I46" s="701"/>
      <c r="J46" s="701"/>
      <c r="K46" s="701"/>
      <c r="L46" s="701"/>
      <c r="M46" s="701"/>
      <c r="N46" s="701"/>
      <c r="O46" s="701"/>
      <c r="P46" s="701"/>
      <c r="Q46" s="701"/>
      <c r="R46" s="701"/>
      <c r="S46" s="701"/>
      <c r="T46" s="701"/>
      <c r="U46" s="701"/>
      <c r="V46" s="701"/>
      <c r="W46" s="701"/>
      <c r="X46" s="701"/>
      <c r="Y46" s="701"/>
      <c r="Z46" s="701"/>
      <c r="AA46" s="701"/>
      <c r="AB46" s="701"/>
      <c r="AC46" s="701"/>
      <c r="AD46" s="594">
        <f t="shared" si="4"/>
        <v>0</v>
      </c>
      <c r="AE46" s="492">
        <f t="shared" si="5"/>
        <v>0</v>
      </c>
      <c r="AF46" s="467"/>
    </row>
    <row r="47" spans="1:32" s="360" customFormat="1" hidden="1" x14ac:dyDescent="0.25">
      <c r="A47" s="639" t="s">
        <v>278</v>
      </c>
      <c r="B47" s="488" t="s">
        <v>241</v>
      </c>
      <c r="C47" s="488" t="s">
        <v>280</v>
      </c>
      <c r="D47" s="489">
        <f t="shared" ref="D47:D69" si="7">F157</f>
        <v>-0.25</v>
      </c>
      <c r="E47" s="489"/>
      <c r="F47" s="701"/>
      <c r="G47" s="701"/>
      <c r="H47" s="701"/>
      <c r="I47" s="701"/>
      <c r="J47" s="701"/>
      <c r="K47" s="701"/>
      <c r="L47" s="701"/>
      <c r="M47" s="701"/>
      <c r="N47" s="701"/>
      <c r="O47" s="701"/>
      <c r="P47" s="701"/>
      <c r="Q47" s="701"/>
      <c r="R47" s="701"/>
      <c r="S47" s="701"/>
      <c r="T47" s="701"/>
      <c r="U47" s="701"/>
      <c r="V47" s="701"/>
      <c r="W47" s="701"/>
      <c r="X47" s="701"/>
      <c r="Y47" s="701"/>
      <c r="Z47" s="701"/>
      <c r="AA47" s="701"/>
      <c r="AB47" s="701"/>
      <c r="AC47" s="701"/>
      <c r="AD47" s="594">
        <f t="shared" si="4"/>
        <v>0</v>
      </c>
      <c r="AE47" s="492">
        <f t="shared" si="5"/>
        <v>0</v>
      </c>
      <c r="AF47" s="467" t="str">
        <f>IF(AD47&lt;0,"buy","sell")</f>
        <v>sell</v>
      </c>
    </row>
    <row r="48" spans="1:32" s="360" customFormat="1" hidden="1" x14ac:dyDescent="0.25">
      <c r="A48" s="639" t="s">
        <v>278</v>
      </c>
      <c r="B48" s="488" t="s">
        <v>241</v>
      </c>
      <c r="C48" s="488" t="s">
        <v>280</v>
      </c>
      <c r="D48" s="489">
        <f t="shared" si="7"/>
        <v>-0.25</v>
      </c>
      <c r="E48" s="489"/>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1"/>
      <c r="AD48" s="594">
        <f t="shared" si="4"/>
        <v>0</v>
      </c>
      <c r="AE48" s="492">
        <f t="shared" si="5"/>
        <v>0</v>
      </c>
      <c r="AF48" s="467" t="str">
        <f t="shared" ref="AF48:AF71" si="8">IF(AD48&lt;0,"buy","sell")</f>
        <v>sell</v>
      </c>
    </row>
    <row r="49" spans="1:32" s="360" customFormat="1" hidden="1" x14ac:dyDescent="0.25">
      <c r="A49" s="639" t="s">
        <v>278</v>
      </c>
      <c r="B49" s="488" t="s">
        <v>241</v>
      </c>
      <c r="C49" s="488" t="s">
        <v>280</v>
      </c>
      <c r="D49" s="489">
        <f t="shared" si="7"/>
        <v>-0.25</v>
      </c>
      <c r="E49" s="489"/>
      <c r="F49" s="701"/>
      <c r="G49" s="701"/>
      <c r="H49" s="701">
        <v>0</v>
      </c>
      <c r="I49" s="701"/>
      <c r="J49" s="701"/>
      <c r="K49" s="701"/>
      <c r="L49" s="701"/>
      <c r="M49" s="701"/>
      <c r="N49" s="701"/>
      <c r="O49" s="701"/>
      <c r="P49" s="701"/>
      <c r="Q49" s="701"/>
      <c r="R49" s="701"/>
      <c r="S49" s="701"/>
      <c r="T49" s="701"/>
      <c r="U49" s="701"/>
      <c r="V49" s="701"/>
      <c r="W49" s="701"/>
      <c r="X49" s="701"/>
      <c r="Y49" s="701"/>
      <c r="Z49" s="701"/>
      <c r="AA49" s="701"/>
      <c r="AB49" s="701"/>
      <c r="AC49" s="701"/>
      <c r="AD49" s="594">
        <f t="shared" si="4"/>
        <v>0</v>
      </c>
      <c r="AE49" s="492">
        <f t="shared" si="5"/>
        <v>0</v>
      </c>
      <c r="AF49" s="467" t="str">
        <f t="shared" si="8"/>
        <v>sell</v>
      </c>
    </row>
    <row r="50" spans="1:32" s="360" customFormat="1" hidden="1" x14ac:dyDescent="0.25">
      <c r="A50" s="639" t="s">
        <v>278</v>
      </c>
      <c r="B50" s="488" t="s">
        <v>241</v>
      </c>
      <c r="C50" s="488" t="s">
        <v>280</v>
      </c>
      <c r="D50" s="489">
        <f t="shared" si="7"/>
        <v>-0.25</v>
      </c>
      <c r="E50" s="489"/>
      <c r="F50" s="701"/>
      <c r="G50" s="701"/>
      <c r="H50" s="701"/>
      <c r="I50" s="701">
        <v>0</v>
      </c>
      <c r="J50" s="701"/>
      <c r="K50" s="701"/>
      <c r="L50" s="701"/>
      <c r="M50" s="701"/>
      <c r="N50" s="701"/>
      <c r="O50" s="701"/>
      <c r="P50" s="701"/>
      <c r="Q50" s="701"/>
      <c r="R50" s="701"/>
      <c r="S50" s="701"/>
      <c r="T50" s="701"/>
      <c r="U50" s="701"/>
      <c r="V50" s="701"/>
      <c r="W50" s="701"/>
      <c r="X50" s="701"/>
      <c r="Y50" s="701"/>
      <c r="Z50" s="701"/>
      <c r="AA50" s="701"/>
      <c r="AB50" s="701"/>
      <c r="AC50" s="701"/>
      <c r="AD50" s="594">
        <f t="shared" si="4"/>
        <v>0</v>
      </c>
      <c r="AE50" s="492">
        <f t="shared" si="5"/>
        <v>0</v>
      </c>
      <c r="AF50" s="467" t="str">
        <f t="shared" si="8"/>
        <v>sell</v>
      </c>
    </row>
    <row r="51" spans="1:32" s="360" customFormat="1" hidden="1" x14ac:dyDescent="0.25">
      <c r="A51" s="639" t="s">
        <v>278</v>
      </c>
      <c r="B51" s="488" t="s">
        <v>241</v>
      </c>
      <c r="C51" s="488" t="s">
        <v>280</v>
      </c>
      <c r="D51" s="489">
        <f t="shared" si="7"/>
        <v>-0.25</v>
      </c>
      <c r="E51" s="489"/>
      <c r="F51" s="701"/>
      <c r="G51" s="701"/>
      <c r="H51" s="701"/>
      <c r="I51" s="701"/>
      <c r="J51" s="701">
        <v>0</v>
      </c>
      <c r="K51" s="701"/>
      <c r="L51" s="701"/>
      <c r="M51" s="701"/>
      <c r="N51" s="701"/>
      <c r="O51" s="701"/>
      <c r="P51" s="701"/>
      <c r="Q51" s="701"/>
      <c r="R51" s="701"/>
      <c r="S51" s="701"/>
      <c r="T51" s="701"/>
      <c r="U51" s="701"/>
      <c r="V51" s="701"/>
      <c r="W51" s="701"/>
      <c r="X51" s="701"/>
      <c r="Y51" s="701"/>
      <c r="Z51" s="701"/>
      <c r="AA51" s="701"/>
      <c r="AB51" s="701"/>
      <c r="AC51" s="701"/>
      <c r="AD51" s="594">
        <f t="shared" si="4"/>
        <v>0</v>
      </c>
      <c r="AE51" s="492">
        <f t="shared" si="5"/>
        <v>0</v>
      </c>
      <c r="AF51" s="467" t="str">
        <f t="shared" si="8"/>
        <v>sell</v>
      </c>
    </row>
    <row r="52" spans="1:32" s="360" customFormat="1" hidden="1" x14ac:dyDescent="0.25">
      <c r="A52" s="639" t="s">
        <v>278</v>
      </c>
      <c r="B52" s="488" t="s">
        <v>241</v>
      </c>
      <c r="C52" s="488" t="s">
        <v>280</v>
      </c>
      <c r="D52" s="489">
        <f t="shared" si="7"/>
        <v>-0.25</v>
      </c>
      <c r="E52" s="489"/>
      <c r="F52" s="701"/>
      <c r="G52" s="701"/>
      <c r="H52" s="701"/>
      <c r="I52" s="701"/>
      <c r="J52" s="701"/>
      <c r="K52" s="701">
        <v>0</v>
      </c>
      <c r="L52" s="701"/>
      <c r="M52" s="701"/>
      <c r="N52" s="701"/>
      <c r="O52" s="701"/>
      <c r="P52" s="701"/>
      <c r="Q52" s="701"/>
      <c r="R52" s="701"/>
      <c r="S52" s="701"/>
      <c r="T52" s="701"/>
      <c r="U52" s="701"/>
      <c r="V52" s="701"/>
      <c r="W52" s="701"/>
      <c r="X52" s="701"/>
      <c r="Y52" s="701"/>
      <c r="Z52" s="701"/>
      <c r="AA52" s="701"/>
      <c r="AB52" s="701"/>
      <c r="AC52" s="701"/>
      <c r="AD52" s="594">
        <f t="shared" si="4"/>
        <v>0</v>
      </c>
      <c r="AE52" s="492">
        <f t="shared" si="5"/>
        <v>0</v>
      </c>
      <c r="AF52" s="467" t="str">
        <f t="shared" si="8"/>
        <v>sell</v>
      </c>
    </row>
    <row r="53" spans="1:32" s="360" customFormat="1" hidden="1" x14ac:dyDescent="0.25">
      <c r="A53" s="639" t="s">
        <v>278</v>
      </c>
      <c r="B53" s="488" t="s">
        <v>241</v>
      </c>
      <c r="C53" s="488" t="s">
        <v>280</v>
      </c>
      <c r="D53" s="489">
        <f t="shared" si="7"/>
        <v>-0.25</v>
      </c>
      <c r="E53" s="489"/>
      <c r="F53" s="701"/>
      <c r="G53" s="701"/>
      <c r="H53" s="701"/>
      <c r="I53" s="701"/>
      <c r="J53" s="701"/>
      <c r="K53" s="701"/>
      <c r="L53" s="701">
        <v>0</v>
      </c>
      <c r="M53" s="701"/>
      <c r="N53" s="701"/>
      <c r="O53" s="701"/>
      <c r="P53" s="701"/>
      <c r="Q53" s="701"/>
      <c r="R53" s="701"/>
      <c r="S53" s="701"/>
      <c r="T53" s="701"/>
      <c r="U53" s="701"/>
      <c r="V53" s="701"/>
      <c r="W53" s="701"/>
      <c r="X53" s="701"/>
      <c r="Y53" s="701"/>
      <c r="Z53" s="701"/>
      <c r="AA53" s="701"/>
      <c r="AB53" s="701"/>
      <c r="AC53" s="701"/>
      <c r="AD53" s="594">
        <f t="shared" si="4"/>
        <v>0</v>
      </c>
      <c r="AE53" s="492">
        <f t="shared" si="5"/>
        <v>0</v>
      </c>
      <c r="AF53" s="467" t="str">
        <f t="shared" si="8"/>
        <v>sell</v>
      </c>
    </row>
    <row r="54" spans="1:32" s="360" customFormat="1" hidden="1" x14ac:dyDescent="0.25">
      <c r="A54" s="639" t="s">
        <v>278</v>
      </c>
      <c r="B54" s="488" t="s">
        <v>241</v>
      </c>
      <c r="C54" s="488" t="s">
        <v>280</v>
      </c>
      <c r="D54" s="489">
        <f t="shared" si="7"/>
        <v>-0.25</v>
      </c>
      <c r="E54" s="489"/>
      <c r="F54" s="701"/>
      <c r="G54" s="701"/>
      <c r="H54" s="701"/>
      <c r="I54" s="701"/>
      <c r="J54" s="701"/>
      <c r="K54" s="701"/>
      <c r="L54" s="701"/>
      <c r="M54" s="701">
        <v>0</v>
      </c>
      <c r="N54" s="701"/>
      <c r="O54" s="701"/>
      <c r="P54" s="701"/>
      <c r="Q54" s="701"/>
      <c r="R54" s="701"/>
      <c r="S54" s="701"/>
      <c r="T54" s="701"/>
      <c r="U54" s="701"/>
      <c r="V54" s="701"/>
      <c r="W54" s="701"/>
      <c r="X54" s="701"/>
      <c r="Y54" s="701"/>
      <c r="Z54" s="701"/>
      <c r="AA54" s="701"/>
      <c r="AB54" s="701"/>
      <c r="AC54" s="701"/>
      <c r="AD54" s="594">
        <f t="shared" si="4"/>
        <v>0</v>
      </c>
      <c r="AE54" s="492">
        <f t="shared" si="5"/>
        <v>0</v>
      </c>
      <c r="AF54" s="467" t="str">
        <f t="shared" si="8"/>
        <v>sell</v>
      </c>
    </row>
    <row r="55" spans="1:32" s="360" customFormat="1" hidden="1" x14ac:dyDescent="0.25">
      <c r="A55" s="639" t="s">
        <v>278</v>
      </c>
      <c r="B55" s="488" t="s">
        <v>241</v>
      </c>
      <c r="C55" s="488" t="s">
        <v>280</v>
      </c>
      <c r="D55" s="489">
        <f t="shared" si="7"/>
        <v>-0.25</v>
      </c>
      <c r="E55" s="489"/>
      <c r="F55" s="701"/>
      <c r="G55" s="701"/>
      <c r="H55" s="701"/>
      <c r="I55" s="701"/>
      <c r="J55" s="701"/>
      <c r="K55" s="701"/>
      <c r="L55" s="701"/>
      <c r="M55" s="701"/>
      <c r="N55" s="701">
        <v>0</v>
      </c>
      <c r="O55" s="701"/>
      <c r="P55" s="701"/>
      <c r="Q55" s="701"/>
      <c r="R55" s="701"/>
      <c r="S55" s="701"/>
      <c r="T55" s="701"/>
      <c r="U55" s="701"/>
      <c r="V55" s="701"/>
      <c r="W55" s="701"/>
      <c r="X55" s="701"/>
      <c r="Y55" s="701"/>
      <c r="Z55" s="701"/>
      <c r="AA55" s="701"/>
      <c r="AB55" s="701"/>
      <c r="AC55" s="701"/>
      <c r="AD55" s="594">
        <f t="shared" si="4"/>
        <v>0</v>
      </c>
      <c r="AE55" s="492">
        <f t="shared" si="5"/>
        <v>0</v>
      </c>
      <c r="AF55" s="467" t="str">
        <f t="shared" si="8"/>
        <v>sell</v>
      </c>
    </row>
    <row r="56" spans="1:32" s="360" customFormat="1" hidden="1" x14ac:dyDescent="0.25">
      <c r="A56" s="639" t="s">
        <v>278</v>
      </c>
      <c r="B56" s="488" t="s">
        <v>241</v>
      </c>
      <c r="C56" s="488" t="s">
        <v>280</v>
      </c>
      <c r="D56" s="489">
        <f t="shared" si="7"/>
        <v>-0.25</v>
      </c>
      <c r="E56" s="489"/>
      <c r="F56" s="701"/>
      <c r="G56" s="701"/>
      <c r="H56" s="701"/>
      <c r="I56" s="701"/>
      <c r="J56" s="701"/>
      <c r="K56" s="701"/>
      <c r="L56" s="701"/>
      <c r="M56" s="701"/>
      <c r="N56" s="701"/>
      <c r="O56" s="701">
        <v>0</v>
      </c>
      <c r="P56" s="701"/>
      <c r="Q56" s="701"/>
      <c r="R56" s="701"/>
      <c r="S56" s="701"/>
      <c r="T56" s="701"/>
      <c r="U56" s="701"/>
      <c r="V56" s="701"/>
      <c r="W56" s="701"/>
      <c r="X56" s="701"/>
      <c r="Y56" s="701"/>
      <c r="Z56" s="701"/>
      <c r="AA56" s="701"/>
      <c r="AB56" s="701"/>
      <c r="AC56" s="701"/>
      <c r="AD56" s="594">
        <f t="shared" si="4"/>
        <v>0</v>
      </c>
      <c r="AE56" s="492">
        <f t="shared" si="5"/>
        <v>0</v>
      </c>
      <c r="AF56" s="467" t="str">
        <f t="shared" si="8"/>
        <v>sell</v>
      </c>
    </row>
    <row r="57" spans="1:32" s="360" customFormat="1" hidden="1" x14ac:dyDescent="0.25">
      <c r="A57" s="639" t="s">
        <v>278</v>
      </c>
      <c r="B57" s="488" t="s">
        <v>241</v>
      </c>
      <c r="C57" s="488" t="s">
        <v>280</v>
      </c>
      <c r="D57" s="489">
        <f t="shared" si="7"/>
        <v>-0.25</v>
      </c>
      <c r="E57" s="489"/>
      <c r="F57" s="701"/>
      <c r="G57" s="701"/>
      <c r="H57" s="701"/>
      <c r="I57" s="701"/>
      <c r="J57" s="701"/>
      <c r="K57" s="701"/>
      <c r="L57" s="701"/>
      <c r="M57" s="701"/>
      <c r="N57" s="701"/>
      <c r="O57" s="701"/>
      <c r="P57" s="701">
        <v>0</v>
      </c>
      <c r="Q57" s="701"/>
      <c r="R57" s="701"/>
      <c r="S57" s="701"/>
      <c r="T57" s="701"/>
      <c r="U57" s="701"/>
      <c r="V57" s="701"/>
      <c r="W57" s="701"/>
      <c r="X57" s="701"/>
      <c r="Y57" s="701"/>
      <c r="Z57" s="701"/>
      <c r="AA57" s="701"/>
      <c r="AB57" s="701"/>
      <c r="AC57" s="701"/>
      <c r="AD57" s="594">
        <f t="shared" si="4"/>
        <v>0</v>
      </c>
      <c r="AE57" s="492">
        <f t="shared" si="5"/>
        <v>0</v>
      </c>
      <c r="AF57" s="467" t="str">
        <f t="shared" si="8"/>
        <v>sell</v>
      </c>
    </row>
    <row r="58" spans="1:32" s="360" customFormat="1" hidden="1" x14ac:dyDescent="0.25">
      <c r="A58" s="639" t="s">
        <v>278</v>
      </c>
      <c r="B58" s="488" t="s">
        <v>241</v>
      </c>
      <c r="C58" s="488" t="s">
        <v>280</v>
      </c>
      <c r="D58" s="489">
        <f t="shared" si="7"/>
        <v>-0.25</v>
      </c>
      <c r="E58" s="489"/>
      <c r="F58" s="701"/>
      <c r="G58" s="701"/>
      <c r="H58" s="701"/>
      <c r="I58" s="701"/>
      <c r="J58" s="701"/>
      <c r="K58" s="701"/>
      <c r="L58" s="701"/>
      <c r="M58" s="701"/>
      <c r="N58" s="701"/>
      <c r="O58" s="701"/>
      <c r="P58" s="701"/>
      <c r="Q58" s="701">
        <v>0</v>
      </c>
      <c r="R58" s="701"/>
      <c r="S58" s="701"/>
      <c r="T58" s="701"/>
      <c r="U58" s="701"/>
      <c r="V58" s="701"/>
      <c r="W58" s="701"/>
      <c r="X58" s="701"/>
      <c r="Y58" s="701"/>
      <c r="Z58" s="701"/>
      <c r="AA58" s="701"/>
      <c r="AB58" s="701"/>
      <c r="AC58" s="701"/>
      <c r="AD58" s="594">
        <f t="shared" si="4"/>
        <v>0</v>
      </c>
      <c r="AE58" s="492">
        <f t="shared" si="5"/>
        <v>0</v>
      </c>
      <c r="AF58" s="467" t="str">
        <f t="shared" si="8"/>
        <v>sell</v>
      </c>
    </row>
    <row r="59" spans="1:32" s="360" customFormat="1" hidden="1" x14ac:dyDescent="0.25">
      <c r="A59" s="639" t="s">
        <v>278</v>
      </c>
      <c r="B59" s="488" t="s">
        <v>241</v>
      </c>
      <c r="C59" s="488" t="s">
        <v>280</v>
      </c>
      <c r="D59" s="489">
        <f t="shared" si="7"/>
        <v>-0.25</v>
      </c>
      <c r="E59" s="489"/>
      <c r="F59" s="701"/>
      <c r="G59" s="701"/>
      <c r="H59" s="701"/>
      <c r="I59" s="701"/>
      <c r="J59" s="701"/>
      <c r="K59" s="701"/>
      <c r="L59" s="701"/>
      <c r="M59" s="701"/>
      <c r="N59" s="701"/>
      <c r="O59" s="701"/>
      <c r="P59" s="701"/>
      <c r="Q59" s="701"/>
      <c r="R59" s="701">
        <v>0</v>
      </c>
      <c r="S59" s="701"/>
      <c r="T59" s="701"/>
      <c r="U59" s="701"/>
      <c r="V59" s="701"/>
      <c r="W59" s="701"/>
      <c r="X59" s="701"/>
      <c r="Y59" s="701"/>
      <c r="Z59" s="701"/>
      <c r="AA59" s="701"/>
      <c r="AB59" s="701"/>
      <c r="AC59" s="701"/>
      <c r="AD59" s="594">
        <f t="shared" si="4"/>
        <v>0</v>
      </c>
      <c r="AE59" s="492">
        <f t="shared" si="5"/>
        <v>0</v>
      </c>
      <c r="AF59" s="467" t="str">
        <f t="shared" si="8"/>
        <v>sell</v>
      </c>
    </row>
    <row r="60" spans="1:32" s="360" customFormat="1" hidden="1" x14ac:dyDescent="0.25">
      <c r="A60" s="639" t="s">
        <v>278</v>
      </c>
      <c r="B60" s="488" t="s">
        <v>241</v>
      </c>
      <c r="C60" s="488" t="s">
        <v>280</v>
      </c>
      <c r="D60" s="489">
        <f t="shared" si="7"/>
        <v>-0.25</v>
      </c>
      <c r="E60" s="489"/>
      <c r="F60" s="701"/>
      <c r="G60" s="701"/>
      <c r="H60" s="701"/>
      <c r="I60" s="701"/>
      <c r="J60" s="701"/>
      <c r="K60" s="701"/>
      <c r="L60" s="701"/>
      <c r="M60" s="701"/>
      <c r="N60" s="701"/>
      <c r="O60" s="701"/>
      <c r="P60" s="701"/>
      <c r="Q60" s="701"/>
      <c r="R60" s="701"/>
      <c r="S60" s="701">
        <v>0</v>
      </c>
      <c r="T60" s="701"/>
      <c r="U60" s="701"/>
      <c r="V60" s="701"/>
      <c r="W60" s="701"/>
      <c r="X60" s="701"/>
      <c r="Y60" s="701"/>
      <c r="Z60" s="701"/>
      <c r="AA60" s="701"/>
      <c r="AB60" s="701"/>
      <c r="AC60" s="701"/>
      <c r="AD60" s="594">
        <f t="shared" si="4"/>
        <v>0</v>
      </c>
      <c r="AE60" s="492">
        <f t="shared" si="5"/>
        <v>0</v>
      </c>
      <c r="AF60" s="467" t="str">
        <f t="shared" si="8"/>
        <v>sell</v>
      </c>
    </row>
    <row r="61" spans="1:32" s="360" customFormat="1" hidden="1" x14ac:dyDescent="0.25">
      <c r="A61" s="639" t="s">
        <v>278</v>
      </c>
      <c r="B61" s="488" t="s">
        <v>241</v>
      </c>
      <c r="C61" s="488" t="s">
        <v>280</v>
      </c>
      <c r="D61" s="489">
        <f t="shared" si="7"/>
        <v>-0.25</v>
      </c>
      <c r="E61" s="489"/>
      <c r="F61" s="701"/>
      <c r="G61" s="701"/>
      <c r="H61" s="701"/>
      <c r="I61" s="701"/>
      <c r="J61" s="701"/>
      <c r="K61" s="701"/>
      <c r="L61" s="701"/>
      <c r="M61" s="701"/>
      <c r="N61" s="701"/>
      <c r="O61" s="701"/>
      <c r="P61" s="701"/>
      <c r="Q61" s="701"/>
      <c r="R61" s="701"/>
      <c r="S61" s="701"/>
      <c r="T61" s="701">
        <v>0</v>
      </c>
      <c r="U61" s="701"/>
      <c r="V61" s="701"/>
      <c r="W61" s="701"/>
      <c r="X61" s="701"/>
      <c r="Y61" s="701"/>
      <c r="Z61" s="701"/>
      <c r="AA61" s="701"/>
      <c r="AB61" s="701"/>
      <c r="AC61" s="701"/>
      <c r="AD61" s="594">
        <f t="shared" si="4"/>
        <v>0</v>
      </c>
      <c r="AE61" s="492">
        <f t="shared" si="5"/>
        <v>0</v>
      </c>
      <c r="AF61" s="467" t="str">
        <f t="shared" si="8"/>
        <v>sell</v>
      </c>
    </row>
    <row r="62" spans="1:32" s="360" customFormat="1" hidden="1" x14ac:dyDescent="0.25">
      <c r="A62" s="639" t="s">
        <v>278</v>
      </c>
      <c r="B62" s="488" t="s">
        <v>241</v>
      </c>
      <c r="C62" s="488" t="s">
        <v>280</v>
      </c>
      <c r="D62" s="489">
        <f t="shared" si="7"/>
        <v>-0.25</v>
      </c>
      <c r="E62" s="489"/>
      <c r="F62" s="701"/>
      <c r="G62" s="701"/>
      <c r="H62" s="701"/>
      <c r="I62" s="701"/>
      <c r="J62" s="701"/>
      <c r="K62" s="701"/>
      <c r="L62" s="701"/>
      <c r="M62" s="701"/>
      <c r="N62" s="701"/>
      <c r="O62" s="701"/>
      <c r="P62" s="701"/>
      <c r="Q62" s="701"/>
      <c r="R62" s="701"/>
      <c r="S62" s="701"/>
      <c r="T62" s="701"/>
      <c r="U62" s="701">
        <v>0</v>
      </c>
      <c r="V62" s="701"/>
      <c r="W62" s="701"/>
      <c r="X62" s="701"/>
      <c r="Y62" s="701"/>
      <c r="Z62" s="701"/>
      <c r="AA62" s="701"/>
      <c r="AB62" s="701"/>
      <c r="AC62" s="701"/>
      <c r="AD62" s="594">
        <f t="shared" si="4"/>
        <v>0</v>
      </c>
      <c r="AE62" s="492">
        <f t="shared" si="5"/>
        <v>0</v>
      </c>
      <c r="AF62" s="467" t="str">
        <f t="shared" si="8"/>
        <v>sell</v>
      </c>
    </row>
    <row r="63" spans="1:32" s="360" customFormat="1" hidden="1" x14ac:dyDescent="0.25">
      <c r="A63" s="639" t="s">
        <v>278</v>
      </c>
      <c r="B63" s="488" t="s">
        <v>241</v>
      </c>
      <c r="C63" s="488" t="s">
        <v>280</v>
      </c>
      <c r="D63" s="489">
        <f t="shared" si="7"/>
        <v>-0.25</v>
      </c>
      <c r="E63" s="489"/>
      <c r="F63" s="701"/>
      <c r="G63" s="701"/>
      <c r="H63" s="701"/>
      <c r="I63" s="701"/>
      <c r="J63" s="701"/>
      <c r="K63" s="701"/>
      <c r="L63" s="701"/>
      <c r="M63" s="701"/>
      <c r="N63" s="701"/>
      <c r="O63" s="701"/>
      <c r="P63" s="701"/>
      <c r="Q63" s="701"/>
      <c r="R63" s="701"/>
      <c r="S63" s="701"/>
      <c r="T63" s="701"/>
      <c r="U63" s="701"/>
      <c r="V63" s="701">
        <v>0</v>
      </c>
      <c r="W63" s="701"/>
      <c r="X63" s="701"/>
      <c r="Y63" s="701"/>
      <c r="Z63" s="701"/>
      <c r="AA63" s="701"/>
      <c r="AB63" s="701"/>
      <c r="AC63" s="701"/>
      <c r="AD63" s="594">
        <f t="shared" si="4"/>
        <v>0</v>
      </c>
      <c r="AE63" s="492">
        <f t="shared" si="5"/>
        <v>0</v>
      </c>
      <c r="AF63" s="467" t="str">
        <f t="shared" si="8"/>
        <v>sell</v>
      </c>
    </row>
    <row r="64" spans="1:32" s="360" customFormat="1" hidden="1" x14ac:dyDescent="0.25">
      <c r="A64" s="639" t="s">
        <v>278</v>
      </c>
      <c r="B64" s="488" t="s">
        <v>241</v>
      </c>
      <c r="C64" s="488" t="s">
        <v>280</v>
      </c>
      <c r="D64" s="489">
        <f t="shared" si="7"/>
        <v>-0.25</v>
      </c>
      <c r="E64" s="489"/>
      <c r="F64" s="701"/>
      <c r="G64" s="701"/>
      <c r="H64" s="701"/>
      <c r="I64" s="701"/>
      <c r="J64" s="701"/>
      <c r="K64" s="701"/>
      <c r="L64" s="701"/>
      <c r="M64" s="701"/>
      <c r="N64" s="701"/>
      <c r="O64" s="701"/>
      <c r="P64" s="701"/>
      <c r="Q64" s="701"/>
      <c r="R64" s="701"/>
      <c r="S64" s="701"/>
      <c r="T64" s="701"/>
      <c r="U64" s="701"/>
      <c r="V64" s="701"/>
      <c r="W64" s="701">
        <v>0</v>
      </c>
      <c r="X64" s="701"/>
      <c r="Y64" s="701"/>
      <c r="Z64" s="701"/>
      <c r="AA64" s="701"/>
      <c r="AB64" s="701"/>
      <c r="AC64" s="701"/>
      <c r="AD64" s="594">
        <f t="shared" si="4"/>
        <v>0</v>
      </c>
      <c r="AE64" s="492">
        <f t="shared" si="5"/>
        <v>0</v>
      </c>
      <c r="AF64" s="467" t="str">
        <f t="shared" si="8"/>
        <v>sell</v>
      </c>
    </row>
    <row r="65" spans="1:32" s="360" customFormat="1" hidden="1" x14ac:dyDescent="0.25">
      <c r="A65" s="639" t="s">
        <v>278</v>
      </c>
      <c r="B65" s="488" t="s">
        <v>241</v>
      </c>
      <c r="C65" s="488" t="s">
        <v>280</v>
      </c>
      <c r="D65" s="489">
        <f t="shared" si="7"/>
        <v>-0.25</v>
      </c>
      <c r="E65" s="489"/>
      <c r="F65" s="701"/>
      <c r="G65" s="701"/>
      <c r="H65" s="701"/>
      <c r="I65" s="701"/>
      <c r="J65" s="701"/>
      <c r="K65" s="701"/>
      <c r="L65" s="701"/>
      <c r="M65" s="701"/>
      <c r="N65" s="701"/>
      <c r="O65" s="701"/>
      <c r="P65" s="701"/>
      <c r="Q65" s="701"/>
      <c r="R65" s="701"/>
      <c r="S65" s="701"/>
      <c r="T65" s="701"/>
      <c r="U65" s="701"/>
      <c r="V65" s="701"/>
      <c r="W65" s="701"/>
      <c r="X65" s="701">
        <v>0</v>
      </c>
      <c r="Y65" s="701"/>
      <c r="Z65" s="701"/>
      <c r="AA65" s="701"/>
      <c r="AB65" s="701"/>
      <c r="AC65" s="701"/>
      <c r="AD65" s="594">
        <f t="shared" si="4"/>
        <v>0</v>
      </c>
      <c r="AE65" s="492">
        <f t="shared" si="5"/>
        <v>0</v>
      </c>
      <c r="AF65" s="467" t="str">
        <f t="shared" si="8"/>
        <v>sell</v>
      </c>
    </row>
    <row r="66" spans="1:32" s="360" customFormat="1" hidden="1" x14ac:dyDescent="0.25">
      <c r="A66" s="639" t="s">
        <v>278</v>
      </c>
      <c r="B66" s="488" t="s">
        <v>241</v>
      </c>
      <c r="C66" s="488" t="s">
        <v>280</v>
      </c>
      <c r="D66" s="489">
        <f t="shared" si="7"/>
        <v>-0.25</v>
      </c>
      <c r="E66" s="489"/>
      <c r="F66" s="701"/>
      <c r="G66" s="701"/>
      <c r="H66" s="701"/>
      <c r="I66" s="701"/>
      <c r="J66" s="701"/>
      <c r="K66" s="701"/>
      <c r="L66" s="701"/>
      <c r="M66" s="701"/>
      <c r="N66" s="701"/>
      <c r="O66" s="701"/>
      <c r="P66" s="701"/>
      <c r="Q66" s="701"/>
      <c r="R66" s="701"/>
      <c r="S66" s="701"/>
      <c r="T66" s="701"/>
      <c r="U66" s="701"/>
      <c r="V66" s="701"/>
      <c r="W66" s="701"/>
      <c r="X66" s="701"/>
      <c r="Y66" s="701">
        <v>0</v>
      </c>
      <c r="Z66" s="701"/>
      <c r="AA66" s="701"/>
      <c r="AB66" s="701"/>
      <c r="AC66" s="701"/>
      <c r="AD66" s="594">
        <f t="shared" si="4"/>
        <v>0</v>
      </c>
      <c r="AE66" s="492">
        <f t="shared" si="5"/>
        <v>0</v>
      </c>
      <c r="AF66" s="467" t="str">
        <f t="shared" si="8"/>
        <v>sell</v>
      </c>
    </row>
    <row r="67" spans="1:32" s="360" customFormat="1" hidden="1" x14ac:dyDescent="0.25">
      <c r="A67" s="639" t="s">
        <v>278</v>
      </c>
      <c r="B67" s="488" t="s">
        <v>241</v>
      </c>
      <c r="C67" s="488" t="s">
        <v>280</v>
      </c>
      <c r="D67" s="489">
        <f t="shared" si="7"/>
        <v>-0.25</v>
      </c>
      <c r="E67" s="489"/>
      <c r="F67" s="701"/>
      <c r="G67" s="701"/>
      <c r="H67" s="701"/>
      <c r="I67" s="701"/>
      <c r="J67" s="701"/>
      <c r="K67" s="701"/>
      <c r="L67" s="701"/>
      <c r="M67" s="701"/>
      <c r="N67" s="701"/>
      <c r="O67" s="701"/>
      <c r="P67" s="701"/>
      <c r="Q67" s="701"/>
      <c r="R67" s="701"/>
      <c r="S67" s="701"/>
      <c r="T67" s="701"/>
      <c r="U67" s="701"/>
      <c r="V67" s="701"/>
      <c r="W67" s="701"/>
      <c r="X67" s="701"/>
      <c r="Y67" s="701"/>
      <c r="Z67" s="701">
        <v>0</v>
      </c>
      <c r="AA67" s="701"/>
      <c r="AB67" s="701"/>
      <c r="AC67" s="701"/>
      <c r="AD67" s="594">
        <f t="shared" si="4"/>
        <v>0</v>
      </c>
      <c r="AE67" s="492">
        <f t="shared" si="5"/>
        <v>0</v>
      </c>
      <c r="AF67" s="467" t="str">
        <f t="shared" si="8"/>
        <v>sell</v>
      </c>
    </row>
    <row r="68" spans="1:32" s="360" customFormat="1" hidden="1" x14ac:dyDescent="0.25">
      <c r="A68" s="639" t="s">
        <v>278</v>
      </c>
      <c r="B68" s="488" t="s">
        <v>241</v>
      </c>
      <c r="C68" s="488" t="s">
        <v>280</v>
      </c>
      <c r="D68" s="489">
        <f t="shared" si="7"/>
        <v>-0.25</v>
      </c>
      <c r="E68" s="489"/>
      <c r="F68" s="701"/>
      <c r="G68" s="701"/>
      <c r="H68" s="701"/>
      <c r="I68" s="701"/>
      <c r="J68" s="701"/>
      <c r="K68" s="701"/>
      <c r="L68" s="701"/>
      <c r="M68" s="701"/>
      <c r="N68" s="701"/>
      <c r="O68" s="701"/>
      <c r="P68" s="701"/>
      <c r="Q68" s="701"/>
      <c r="R68" s="701"/>
      <c r="S68" s="701"/>
      <c r="T68" s="701"/>
      <c r="U68" s="701"/>
      <c r="V68" s="701"/>
      <c r="W68" s="701"/>
      <c r="X68" s="701"/>
      <c r="Y68" s="701"/>
      <c r="Z68" s="701"/>
      <c r="AA68" s="701">
        <v>0</v>
      </c>
      <c r="AB68" s="701"/>
      <c r="AC68" s="701"/>
      <c r="AD68" s="594">
        <f t="shared" si="4"/>
        <v>0</v>
      </c>
      <c r="AE68" s="492">
        <f t="shared" si="5"/>
        <v>0</v>
      </c>
      <c r="AF68" s="467" t="str">
        <f t="shared" si="8"/>
        <v>sell</v>
      </c>
    </row>
    <row r="69" spans="1:32" s="360" customFormat="1" hidden="1" x14ac:dyDescent="0.25">
      <c r="A69" s="639" t="s">
        <v>278</v>
      </c>
      <c r="B69" s="488" t="s">
        <v>241</v>
      </c>
      <c r="C69" s="488" t="s">
        <v>280</v>
      </c>
      <c r="D69" s="489">
        <f t="shared" si="7"/>
        <v>-0.25</v>
      </c>
      <c r="E69" s="489"/>
      <c r="F69" s="701"/>
      <c r="G69" s="701"/>
      <c r="H69" s="701"/>
      <c r="I69" s="701"/>
      <c r="J69" s="701"/>
      <c r="K69" s="701"/>
      <c r="L69" s="701"/>
      <c r="M69" s="701"/>
      <c r="N69" s="701"/>
      <c r="O69" s="701"/>
      <c r="P69" s="701"/>
      <c r="Q69" s="701"/>
      <c r="R69" s="701"/>
      <c r="S69" s="701"/>
      <c r="T69" s="701"/>
      <c r="U69" s="701"/>
      <c r="V69" s="701"/>
      <c r="W69" s="701"/>
      <c r="X69" s="701"/>
      <c r="Y69" s="701"/>
      <c r="Z69" s="701"/>
      <c r="AA69" s="701"/>
      <c r="AB69" s="701">
        <v>0</v>
      </c>
      <c r="AC69" s="701"/>
      <c r="AD69" s="594">
        <f t="shared" si="4"/>
        <v>0</v>
      </c>
      <c r="AE69" s="492">
        <f t="shared" si="5"/>
        <v>0</v>
      </c>
      <c r="AF69" s="467" t="str">
        <f t="shared" si="8"/>
        <v>sell</v>
      </c>
    </row>
    <row r="70" spans="1:32" s="360" customFormat="1" hidden="1" x14ac:dyDescent="0.25">
      <c r="A70" s="639"/>
      <c r="B70" s="488"/>
      <c r="C70" s="488"/>
      <c r="D70" s="489"/>
      <c r="E70" s="489"/>
      <c r="F70" s="701"/>
      <c r="G70" s="700"/>
      <c r="H70" s="701"/>
      <c r="I70" s="701"/>
      <c r="J70" s="701"/>
      <c r="K70" s="701"/>
      <c r="L70" s="701"/>
      <c r="M70" s="701"/>
      <c r="N70" s="701"/>
      <c r="O70" s="701"/>
      <c r="P70" s="701"/>
      <c r="Q70" s="701"/>
      <c r="R70" s="701"/>
      <c r="S70" s="701"/>
      <c r="T70" s="701"/>
      <c r="U70" s="701"/>
      <c r="V70" s="701"/>
      <c r="W70" s="701"/>
      <c r="X70" s="701"/>
      <c r="Y70" s="701"/>
      <c r="Z70" s="701"/>
      <c r="AA70" s="701"/>
      <c r="AB70" s="701"/>
      <c r="AC70" s="701"/>
      <c r="AD70" s="595">
        <f t="shared" si="4"/>
        <v>0</v>
      </c>
      <c r="AE70" s="584">
        <f t="shared" si="5"/>
        <v>0</v>
      </c>
      <c r="AF70" s="539" t="str">
        <f t="shared" si="8"/>
        <v>sell</v>
      </c>
    </row>
    <row r="71" spans="1:32" s="360" customFormat="1" ht="12.75" customHeight="1" x14ac:dyDescent="0.25">
      <c r="A71" s="675"/>
      <c r="B71" s="676"/>
      <c r="C71" s="676"/>
      <c r="D71" s="677"/>
      <c r="E71" s="677" t="s">
        <v>15</v>
      </c>
      <c r="F71" s="699"/>
      <c r="G71" s="700"/>
      <c r="H71" s="701"/>
      <c r="I71" s="701"/>
      <c r="J71" s="701"/>
      <c r="K71" s="701"/>
      <c r="L71" s="701"/>
      <c r="M71" s="701"/>
      <c r="N71" s="701"/>
      <c r="O71" s="701"/>
      <c r="P71" s="701"/>
      <c r="Q71" s="701"/>
      <c r="R71" s="701"/>
      <c r="S71" s="701"/>
      <c r="T71" s="701"/>
      <c r="U71" s="701"/>
      <c r="V71" s="701"/>
      <c r="W71" s="701"/>
      <c r="X71" s="701"/>
      <c r="Y71" s="701"/>
      <c r="Z71" s="701"/>
      <c r="AA71" s="701"/>
      <c r="AB71" s="701"/>
      <c r="AC71" s="699"/>
      <c r="AD71" s="595">
        <f>SUM(F71:AC71)</f>
        <v>0</v>
      </c>
      <c r="AE71" s="584">
        <f t="shared" ref="AE71:AE86" si="9">AD71*D71</f>
        <v>0</v>
      </c>
      <c r="AF71" s="539" t="str">
        <f t="shared" si="8"/>
        <v>sell</v>
      </c>
    </row>
    <row r="72" spans="1:32" s="360" customFormat="1" ht="12.75" customHeight="1" x14ac:dyDescent="0.25">
      <c r="A72" s="639" t="s">
        <v>378</v>
      </c>
      <c r="B72" s="678" t="s">
        <v>241</v>
      </c>
      <c r="C72" s="678" t="s">
        <v>152</v>
      </c>
      <c r="D72" s="694">
        <v>70</v>
      </c>
      <c r="E72" s="679"/>
      <c r="F72" s="699">
        <v>25</v>
      </c>
      <c r="G72" s="703"/>
      <c r="H72" s="703"/>
      <c r="I72" s="703"/>
      <c r="J72" s="703"/>
      <c r="K72" s="703"/>
      <c r="L72" s="703"/>
      <c r="M72" s="703"/>
      <c r="N72" s="703"/>
      <c r="O72" s="703"/>
      <c r="P72" s="703"/>
      <c r="Q72" s="703"/>
      <c r="R72" s="703"/>
      <c r="S72" s="703"/>
      <c r="T72" s="703"/>
      <c r="U72" s="703"/>
      <c r="V72" s="703"/>
      <c r="W72" s="703"/>
      <c r="X72" s="703"/>
      <c r="Y72" s="703"/>
      <c r="Z72" s="703"/>
      <c r="AA72" s="703"/>
      <c r="AB72" s="703"/>
      <c r="AC72" s="704"/>
      <c r="AD72" s="595">
        <f>SUM(E72:AC72)</f>
        <v>25</v>
      </c>
      <c r="AE72" s="584">
        <f>AD72*D72</f>
        <v>1750</v>
      </c>
      <c r="AF72" s="539" t="str">
        <f>IF(AD72&lt;0,"buy","sell")</f>
        <v>sell</v>
      </c>
    </row>
    <row r="73" spans="1:32" s="360" customFormat="1" ht="12.75" customHeight="1" x14ac:dyDescent="0.25">
      <c r="A73" s="639" t="s">
        <v>373</v>
      </c>
      <c r="B73" s="678" t="s">
        <v>241</v>
      </c>
      <c r="C73" s="678" t="s">
        <v>152</v>
      </c>
      <c r="D73" s="687"/>
      <c r="E73" s="679"/>
      <c r="F73" s="699"/>
      <c r="G73" s="703"/>
      <c r="H73" s="703"/>
      <c r="I73" s="703"/>
      <c r="J73" s="703"/>
      <c r="K73" s="703"/>
      <c r="L73" s="703"/>
      <c r="M73" s="703"/>
      <c r="N73" s="703"/>
      <c r="O73" s="703"/>
      <c r="P73" s="703"/>
      <c r="Q73" s="703"/>
      <c r="R73" s="703"/>
      <c r="S73" s="703"/>
      <c r="T73" s="703"/>
      <c r="U73" s="703"/>
      <c r="V73" s="703"/>
      <c r="W73" s="703"/>
      <c r="X73" s="703"/>
      <c r="Y73" s="703"/>
      <c r="Z73" s="703"/>
      <c r="AA73" s="703"/>
      <c r="AB73" s="703"/>
      <c r="AC73" s="704"/>
      <c r="AD73" s="595">
        <f t="shared" ref="AD73:AD86" si="10">SUM(E73:AC73)</f>
        <v>0</v>
      </c>
      <c r="AE73" s="584">
        <f t="shared" si="9"/>
        <v>0</v>
      </c>
      <c r="AF73" s="539" t="str">
        <f t="shared" ref="AF73:AF86" si="11">IF(AD73&lt;0,"buy","sell")</f>
        <v>sell</v>
      </c>
    </row>
    <row r="74" spans="1:32" s="360" customFormat="1" ht="12.75" customHeight="1" x14ac:dyDescent="0.25">
      <c r="A74" s="639" t="s">
        <v>375</v>
      </c>
      <c r="B74" s="678" t="s">
        <v>241</v>
      </c>
      <c r="C74" s="678" t="s">
        <v>152</v>
      </c>
      <c r="D74" s="687"/>
      <c r="E74" s="679"/>
      <c r="F74" s="699"/>
      <c r="G74" s="703"/>
      <c r="H74" s="703"/>
      <c r="I74" s="703"/>
      <c r="J74" s="703"/>
      <c r="K74" s="703"/>
      <c r="L74" s="703"/>
      <c r="M74" s="703"/>
      <c r="N74" s="703"/>
      <c r="O74" s="703"/>
      <c r="P74" s="703"/>
      <c r="Q74" s="703"/>
      <c r="R74" s="703"/>
      <c r="S74" s="703"/>
      <c r="T74" s="703"/>
      <c r="U74" s="703"/>
      <c r="V74" s="703"/>
      <c r="W74" s="703"/>
      <c r="X74" s="703"/>
      <c r="Y74" s="703"/>
      <c r="Z74" s="703"/>
      <c r="AA74" s="703"/>
      <c r="AB74" s="703"/>
      <c r="AC74" s="704"/>
      <c r="AD74" s="595">
        <f t="shared" si="10"/>
        <v>0</v>
      </c>
      <c r="AE74" s="584">
        <f t="shared" si="9"/>
        <v>0</v>
      </c>
      <c r="AF74" s="539" t="str">
        <f t="shared" si="11"/>
        <v>sell</v>
      </c>
    </row>
    <row r="75" spans="1:32" s="360" customFormat="1" ht="12.75" customHeight="1" x14ac:dyDescent="0.25">
      <c r="A75" s="639" t="s">
        <v>376</v>
      </c>
      <c r="B75" s="678" t="s">
        <v>241</v>
      </c>
      <c r="C75" s="678" t="s">
        <v>152</v>
      </c>
      <c r="D75" s="687"/>
      <c r="E75" s="679"/>
      <c r="F75" s="699"/>
      <c r="G75" s="703"/>
      <c r="H75" s="703"/>
      <c r="I75" s="703"/>
      <c r="J75" s="703"/>
      <c r="K75" s="703"/>
      <c r="L75" s="703"/>
      <c r="M75" s="703"/>
      <c r="N75" s="703"/>
      <c r="O75" s="703"/>
      <c r="P75" s="703"/>
      <c r="Q75" s="703"/>
      <c r="R75" s="703"/>
      <c r="S75" s="703"/>
      <c r="T75" s="703"/>
      <c r="U75" s="703"/>
      <c r="V75" s="703"/>
      <c r="W75" s="703"/>
      <c r="X75" s="703"/>
      <c r="Y75" s="703"/>
      <c r="Z75" s="703"/>
      <c r="AA75" s="703"/>
      <c r="AB75" s="703"/>
      <c r="AC75" s="704"/>
      <c r="AD75" s="595">
        <f>SUM(E75:AC75)</f>
        <v>0</v>
      </c>
      <c r="AE75" s="584">
        <f>AD75*D75</f>
        <v>0</v>
      </c>
      <c r="AF75" s="539" t="str">
        <f>IF(AD75&lt;0,"buy","sell")</f>
        <v>sell</v>
      </c>
    </row>
    <row r="76" spans="1:32" s="360" customFormat="1" ht="12.75" customHeight="1" x14ac:dyDescent="0.25">
      <c r="A76" s="639" t="s">
        <v>225</v>
      </c>
      <c r="B76" s="678" t="s">
        <v>241</v>
      </c>
      <c r="C76" s="678" t="s">
        <v>152</v>
      </c>
      <c r="D76" s="687"/>
      <c r="E76" s="679"/>
      <c r="F76" s="699"/>
      <c r="G76" s="703"/>
      <c r="H76" s="703"/>
      <c r="I76" s="703"/>
      <c r="J76" s="703"/>
      <c r="K76" s="703"/>
      <c r="L76" s="703"/>
      <c r="M76" s="703"/>
      <c r="N76" s="703"/>
      <c r="O76" s="703"/>
      <c r="P76" s="703"/>
      <c r="Q76" s="703"/>
      <c r="R76" s="703"/>
      <c r="S76" s="703"/>
      <c r="T76" s="703"/>
      <c r="U76" s="703"/>
      <c r="V76" s="703"/>
      <c r="W76" s="703"/>
      <c r="X76" s="703"/>
      <c r="Y76" s="703"/>
      <c r="Z76" s="703"/>
      <c r="AA76" s="703"/>
      <c r="AB76" s="703"/>
      <c r="AC76" s="704"/>
      <c r="AD76" s="595">
        <f t="shared" si="10"/>
        <v>0</v>
      </c>
      <c r="AE76" s="584">
        <f t="shared" si="9"/>
        <v>0</v>
      </c>
      <c r="AF76" s="539" t="str">
        <f t="shared" si="11"/>
        <v>sell</v>
      </c>
    </row>
    <row r="77" spans="1:32" s="360" customFormat="1" ht="12.75" customHeight="1" x14ac:dyDescent="0.25">
      <c r="A77" s="639" t="s">
        <v>372</v>
      </c>
      <c r="B77" s="678" t="s">
        <v>370</v>
      </c>
      <c r="C77" s="678" t="s">
        <v>152</v>
      </c>
      <c r="D77" s="694">
        <v>61.75</v>
      </c>
      <c r="E77" s="679"/>
      <c r="F77" s="699"/>
      <c r="G77" s="703"/>
      <c r="H77" s="703"/>
      <c r="I77" s="703"/>
      <c r="J77" s="703"/>
      <c r="K77" s="703"/>
      <c r="L77" s="703"/>
      <c r="M77" s="703"/>
      <c r="N77" s="703"/>
      <c r="O77" s="703"/>
      <c r="P77" s="703"/>
      <c r="Q77" s="703"/>
      <c r="R77" s="703"/>
      <c r="S77" s="703"/>
      <c r="T77" s="703"/>
      <c r="U77" s="703"/>
      <c r="V77" s="703"/>
      <c r="W77" s="703"/>
      <c r="X77" s="703"/>
      <c r="Y77" s="703"/>
      <c r="Z77" s="703"/>
      <c r="AA77" s="703"/>
      <c r="AB77" s="703"/>
      <c r="AC77" s="704"/>
      <c r="AD77" s="595">
        <f>SUM(E77:AC77)</f>
        <v>0</v>
      </c>
      <c r="AE77" s="584">
        <f>AD77*D77</f>
        <v>0</v>
      </c>
      <c r="AF77" s="539" t="str">
        <f>IF(AD77&lt;0,"buy","sell")</f>
        <v>sell</v>
      </c>
    </row>
    <row r="78" spans="1:32" s="360" customFormat="1" ht="12.75" customHeight="1" x14ac:dyDescent="0.25">
      <c r="A78" s="639" t="s">
        <v>225</v>
      </c>
      <c r="B78" s="678" t="s">
        <v>241</v>
      </c>
      <c r="C78" s="678" t="s">
        <v>152</v>
      </c>
      <c r="D78" s="687"/>
      <c r="E78" s="679"/>
      <c r="F78" s="715"/>
      <c r="G78" s="685"/>
      <c r="H78" s="685"/>
      <c r="I78" s="685"/>
      <c r="J78" s="685"/>
      <c r="K78" s="685"/>
      <c r="L78" s="685"/>
      <c r="M78" s="685"/>
      <c r="N78" s="685"/>
      <c r="O78" s="685"/>
      <c r="P78" s="685"/>
      <c r="Q78" s="685"/>
      <c r="R78" s="685"/>
      <c r="S78" s="685"/>
      <c r="T78" s="685"/>
      <c r="U78" s="685"/>
      <c r="V78" s="685"/>
      <c r="W78" s="685"/>
      <c r="X78" s="685"/>
      <c r="Y78" s="685"/>
      <c r="Z78" s="685"/>
      <c r="AA78" s="685"/>
      <c r="AB78" s="685"/>
      <c r="AC78" s="716"/>
      <c r="AD78" s="595">
        <f>SUM(E78:AC78)</f>
        <v>0</v>
      </c>
      <c r="AE78" s="584">
        <f>AD78*D78</f>
        <v>0</v>
      </c>
      <c r="AF78" s="539" t="str">
        <f>IF(AD78&lt;0,"buy","sell")</f>
        <v>sell</v>
      </c>
    </row>
    <row r="79" spans="1:32" s="360" customFormat="1" ht="12.75" customHeight="1" x14ac:dyDescent="0.25">
      <c r="A79" s="639" t="s">
        <v>372</v>
      </c>
      <c r="B79" s="678" t="s">
        <v>241</v>
      </c>
      <c r="C79" s="678" t="s">
        <v>152</v>
      </c>
      <c r="D79" s="694">
        <v>61.75</v>
      </c>
      <c r="E79" s="679"/>
      <c r="F79" s="715"/>
      <c r="G79" s="685"/>
      <c r="H79" s="685"/>
      <c r="I79" s="685"/>
      <c r="J79" s="685"/>
      <c r="K79" s="685"/>
      <c r="L79" s="685"/>
      <c r="M79" s="685"/>
      <c r="N79" s="685"/>
      <c r="O79" s="685"/>
      <c r="P79" s="685"/>
      <c r="Q79" s="685"/>
      <c r="R79" s="685"/>
      <c r="S79" s="685"/>
      <c r="T79" s="685"/>
      <c r="U79" s="685"/>
      <c r="V79" s="685"/>
      <c r="W79" s="685"/>
      <c r="X79" s="685"/>
      <c r="Y79" s="685"/>
      <c r="Z79" s="685"/>
      <c r="AA79" s="685"/>
      <c r="AB79" s="685"/>
      <c r="AC79" s="716"/>
      <c r="AD79" s="595">
        <f>SUM(E79:AC79)</f>
        <v>0</v>
      </c>
      <c r="AE79" s="584">
        <f>AD79*D79</f>
        <v>0</v>
      </c>
      <c r="AF79" s="539" t="str">
        <f>IF(AD79&lt;0,"buy","sell")</f>
        <v>sell</v>
      </c>
    </row>
    <row r="80" spans="1:32" s="360" customFormat="1" ht="12.75" customHeight="1" x14ac:dyDescent="0.25">
      <c r="A80" s="639" t="s">
        <v>379</v>
      </c>
      <c r="B80" s="678" t="s">
        <v>241</v>
      </c>
      <c r="C80" s="678" t="s">
        <v>152</v>
      </c>
      <c r="D80" s="694">
        <v>70</v>
      </c>
      <c r="E80" s="679"/>
      <c r="F80" s="715">
        <v>50</v>
      </c>
      <c r="G80" s="685"/>
      <c r="H80" s="685"/>
      <c r="I80" s="685"/>
      <c r="J80" s="685"/>
      <c r="K80" s="685"/>
      <c r="L80" s="685"/>
      <c r="M80" s="685"/>
      <c r="N80" s="685"/>
      <c r="O80" s="685"/>
      <c r="P80" s="685"/>
      <c r="Q80" s="685"/>
      <c r="R80" s="685"/>
      <c r="S80" s="685"/>
      <c r="T80" s="685"/>
      <c r="U80" s="685"/>
      <c r="V80" s="685"/>
      <c r="W80" s="685"/>
      <c r="X80" s="685"/>
      <c r="Y80" s="685"/>
      <c r="Z80" s="685"/>
      <c r="AA80" s="685"/>
      <c r="AB80" s="685"/>
      <c r="AC80" s="716"/>
      <c r="AD80" s="595">
        <f>SUM(E80:AC80)</f>
        <v>50</v>
      </c>
      <c r="AE80" s="584">
        <f>AD80*D80</f>
        <v>3500</v>
      </c>
      <c r="AF80" s="539" t="str">
        <f>IF(AD80&lt;0,"buy","sell")</f>
        <v>sell</v>
      </c>
    </row>
    <row r="81" spans="1:32" s="360" customFormat="1" ht="12.75" customHeight="1" x14ac:dyDescent="0.25">
      <c r="A81" s="639" t="s">
        <v>380</v>
      </c>
      <c r="B81" s="678" t="s">
        <v>241</v>
      </c>
      <c r="C81" s="678" t="s">
        <v>152</v>
      </c>
      <c r="D81" s="687"/>
      <c r="E81" s="679"/>
      <c r="F81" s="715"/>
      <c r="G81" s="685"/>
      <c r="H81" s="685"/>
      <c r="I81" s="685"/>
      <c r="J81" s="685"/>
      <c r="K81" s="685"/>
      <c r="L81" s="685"/>
      <c r="M81" s="685"/>
      <c r="N81" s="685"/>
      <c r="O81" s="685"/>
      <c r="P81" s="685"/>
      <c r="Q81" s="685"/>
      <c r="R81" s="685"/>
      <c r="S81" s="685"/>
      <c r="T81" s="685"/>
      <c r="U81" s="685"/>
      <c r="V81" s="685"/>
      <c r="W81" s="685"/>
      <c r="X81" s="685"/>
      <c r="Y81" s="685"/>
      <c r="Z81" s="685"/>
      <c r="AA81" s="685"/>
      <c r="AB81" s="685"/>
      <c r="AC81" s="716"/>
      <c r="AD81" s="595">
        <f t="shared" si="10"/>
        <v>0</v>
      </c>
      <c r="AE81" s="584">
        <f t="shared" si="9"/>
        <v>0</v>
      </c>
      <c r="AF81" s="539" t="str">
        <f t="shared" si="11"/>
        <v>sell</v>
      </c>
    </row>
    <row r="82" spans="1:32" s="360" customFormat="1" ht="12.75" customHeight="1" x14ac:dyDescent="0.25">
      <c r="A82" s="639" t="s">
        <v>381</v>
      </c>
      <c r="B82" s="678" t="s">
        <v>241</v>
      </c>
      <c r="C82" s="678" t="s">
        <v>152</v>
      </c>
      <c r="D82" s="687"/>
      <c r="E82" s="679"/>
      <c r="F82" s="715"/>
      <c r="G82" s="685"/>
      <c r="H82" s="685"/>
      <c r="I82" s="685"/>
      <c r="J82" s="685"/>
      <c r="K82" s="685"/>
      <c r="L82" s="685"/>
      <c r="M82" s="685"/>
      <c r="N82" s="685"/>
      <c r="O82" s="685"/>
      <c r="P82" s="685"/>
      <c r="Q82" s="685"/>
      <c r="R82" s="685"/>
      <c r="S82" s="685"/>
      <c r="T82" s="685"/>
      <c r="U82" s="685"/>
      <c r="V82" s="685"/>
      <c r="W82" s="685"/>
      <c r="X82" s="685"/>
      <c r="Y82" s="685"/>
      <c r="Z82" s="685"/>
      <c r="AA82" s="685"/>
      <c r="AB82" s="685"/>
      <c r="AC82" s="716"/>
      <c r="AD82" s="595">
        <f>SUM(E82:AC82)</f>
        <v>0</v>
      </c>
      <c r="AE82" s="584">
        <f>AD82*D82</f>
        <v>0</v>
      </c>
      <c r="AF82" s="539" t="str">
        <f>IF(AD82&lt;0,"buy","sell")</f>
        <v>sell</v>
      </c>
    </row>
    <row r="83" spans="1:32" s="360" customFormat="1" ht="12.75" customHeight="1" x14ac:dyDescent="0.25">
      <c r="A83" s="639" t="s">
        <v>225</v>
      </c>
      <c r="B83" s="678" t="s">
        <v>241</v>
      </c>
      <c r="C83" s="678" t="s">
        <v>152</v>
      </c>
      <c r="D83" s="694">
        <v>150</v>
      </c>
      <c r="E83" s="679"/>
      <c r="F83" s="715"/>
      <c r="G83" s="685"/>
      <c r="H83" s="685"/>
      <c r="I83" s="685"/>
      <c r="J83" s="685"/>
      <c r="K83" s="685"/>
      <c r="L83" s="685"/>
      <c r="M83" s="685">
        <v>25</v>
      </c>
      <c r="N83" s="685">
        <v>25</v>
      </c>
      <c r="O83" s="685">
        <v>25</v>
      </c>
      <c r="P83" s="685">
        <v>25</v>
      </c>
      <c r="Q83" s="685">
        <v>25</v>
      </c>
      <c r="R83" s="685">
        <v>25</v>
      </c>
      <c r="S83" s="685">
        <v>25</v>
      </c>
      <c r="T83" s="685">
        <v>25</v>
      </c>
      <c r="U83" s="685">
        <v>25</v>
      </c>
      <c r="V83" s="685">
        <v>25</v>
      </c>
      <c r="W83" s="685">
        <v>25</v>
      </c>
      <c r="X83" s="685">
        <v>25</v>
      </c>
      <c r="Y83" s="685">
        <v>25</v>
      </c>
      <c r="Z83" s="685">
        <v>25</v>
      </c>
      <c r="AA83" s="685">
        <v>25</v>
      </c>
      <c r="AB83" s="685">
        <v>25</v>
      </c>
      <c r="AC83" s="716"/>
      <c r="AD83" s="595">
        <f>SUM(E83:AC83)</f>
        <v>400</v>
      </c>
      <c r="AE83" s="584">
        <f>AD83*D83</f>
        <v>60000</v>
      </c>
      <c r="AF83" s="539" t="str">
        <f>IF(AD83&lt;0,"buy","sell")</f>
        <v>sell</v>
      </c>
    </row>
    <row r="84" spans="1:32" s="360" customFormat="1" ht="12.75" customHeight="1" x14ac:dyDescent="0.25">
      <c r="A84" s="639" t="s">
        <v>367</v>
      </c>
      <c r="B84" s="678" t="s">
        <v>241</v>
      </c>
      <c r="C84" s="678" t="s">
        <v>152</v>
      </c>
      <c r="D84" s="694">
        <v>150</v>
      </c>
      <c r="E84" s="679"/>
      <c r="F84" s="715"/>
      <c r="G84" s="685"/>
      <c r="H84" s="685"/>
      <c r="I84" s="685"/>
      <c r="J84" s="685"/>
      <c r="K84" s="685"/>
      <c r="L84" s="685"/>
      <c r="M84" s="685">
        <v>25</v>
      </c>
      <c r="N84" s="685">
        <v>25</v>
      </c>
      <c r="O84" s="685">
        <v>25</v>
      </c>
      <c r="P84" s="685">
        <v>25</v>
      </c>
      <c r="Q84" s="685">
        <v>25</v>
      </c>
      <c r="R84" s="685">
        <v>25</v>
      </c>
      <c r="S84" s="685">
        <v>25</v>
      </c>
      <c r="T84" s="685">
        <v>25</v>
      </c>
      <c r="U84" s="685">
        <v>25</v>
      </c>
      <c r="V84" s="685">
        <v>25</v>
      </c>
      <c r="W84" s="685">
        <v>25</v>
      </c>
      <c r="X84" s="685">
        <v>25</v>
      </c>
      <c r="Y84" s="685">
        <v>25</v>
      </c>
      <c r="Z84" s="685">
        <v>25</v>
      </c>
      <c r="AA84" s="685">
        <v>25</v>
      </c>
      <c r="AB84" s="685">
        <v>25</v>
      </c>
      <c r="AC84" s="716"/>
      <c r="AD84" s="595">
        <f t="shared" si="10"/>
        <v>400</v>
      </c>
      <c r="AE84" s="584">
        <f t="shared" si="9"/>
        <v>60000</v>
      </c>
      <c r="AF84" s="539" t="str">
        <f t="shared" si="11"/>
        <v>sell</v>
      </c>
    </row>
    <row r="85" spans="1:32" s="360" customFormat="1" x14ac:dyDescent="0.25">
      <c r="A85" s="639"/>
      <c r="B85" s="678"/>
      <c r="C85" s="678"/>
      <c r="D85" s="488"/>
      <c r="E85" s="679"/>
      <c r="F85" s="684"/>
      <c r="G85" s="685"/>
      <c r="H85" s="685"/>
      <c r="I85" s="685"/>
      <c r="J85" s="685"/>
      <c r="K85" s="685"/>
      <c r="L85" s="685"/>
      <c r="M85" s="685"/>
      <c r="N85" s="685"/>
      <c r="O85" s="685"/>
      <c r="P85" s="685"/>
      <c r="Q85" s="685"/>
      <c r="R85" s="685"/>
      <c r="S85" s="685"/>
      <c r="T85" s="685"/>
      <c r="U85" s="685"/>
      <c r="V85" s="685"/>
      <c r="W85" s="685"/>
      <c r="X85" s="685"/>
      <c r="Y85" s="685"/>
      <c r="Z85" s="685"/>
      <c r="AA85" s="685"/>
      <c r="AB85" s="685"/>
      <c r="AC85" s="685"/>
      <c r="AD85" s="595">
        <f t="shared" si="10"/>
        <v>0</v>
      </c>
      <c r="AE85" s="584">
        <f t="shared" si="9"/>
        <v>0</v>
      </c>
      <c r="AF85" s="539" t="str">
        <f t="shared" si="11"/>
        <v>sell</v>
      </c>
    </row>
    <row r="86" spans="1:32" s="360" customFormat="1" x14ac:dyDescent="0.25">
      <c r="A86" s="640"/>
      <c r="B86" s="579"/>
      <c r="C86" s="579"/>
      <c r="D86" s="580"/>
      <c r="E86" s="562"/>
      <c r="F86" s="683"/>
      <c r="G86" s="642"/>
      <c r="H86" s="642"/>
      <c r="I86" s="642"/>
      <c r="J86" s="642"/>
      <c r="K86" s="642"/>
      <c r="L86" s="642"/>
      <c r="M86" s="642"/>
      <c r="N86" s="642"/>
      <c r="O86" s="642"/>
      <c r="P86" s="642"/>
      <c r="Q86" s="642"/>
      <c r="R86" s="642"/>
      <c r="S86" s="642"/>
      <c r="T86" s="642"/>
      <c r="U86" s="642"/>
      <c r="V86" s="642"/>
      <c r="W86" s="642"/>
      <c r="X86" s="642"/>
      <c r="Y86" s="642"/>
      <c r="Z86" s="642"/>
      <c r="AA86" s="642"/>
      <c r="AB86" s="642"/>
      <c r="AC86" s="642"/>
      <c r="AD86" s="681">
        <f t="shared" si="10"/>
        <v>0</v>
      </c>
      <c r="AE86" s="584">
        <f t="shared" si="9"/>
        <v>0</v>
      </c>
      <c r="AF86" s="539" t="str">
        <f t="shared" si="11"/>
        <v>sell</v>
      </c>
    </row>
    <row r="87" spans="1:32" s="360" customFormat="1" x14ac:dyDescent="0.25">
      <c r="A87" s="640" t="s">
        <v>68</v>
      </c>
      <c r="B87" s="579" t="s">
        <v>370</v>
      </c>
      <c r="C87" s="579" t="s">
        <v>152</v>
      </c>
      <c r="D87" s="580">
        <v>160</v>
      </c>
      <c r="E87" s="562"/>
      <c r="F87" s="683">
        <v>8</v>
      </c>
      <c r="G87" s="642"/>
      <c r="H87" s="642"/>
      <c r="I87" s="642"/>
      <c r="J87" s="642">
        <v>50</v>
      </c>
      <c r="K87" s="642">
        <v>50</v>
      </c>
      <c r="L87" s="642">
        <v>100</v>
      </c>
      <c r="M87" s="642">
        <v>100</v>
      </c>
      <c r="N87" s="642">
        <v>100</v>
      </c>
      <c r="O87" s="642">
        <v>70</v>
      </c>
      <c r="P87" s="642"/>
      <c r="Q87" s="642"/>
      <c r="R87" s="642"/>
      <c r="S87" s="642"/>
      <c r="T87" s="642"/>
      <c r="U87" s="642"/>
      <c r="V87" s="642"/>
      <c r="W87" s="642"/>
      <c r="X87" s="642"/>
      <c r="Y87" s="642"/>
      <c r="Z87" s="642"/>
      <c r="AA87" s="642"/>
      <c r="AB87" s="642"/>
      <c r="AC87" s="642"/>
      <c r="AD87" s="681">
        <f t="shared" ref="AD87:AD113" si="12">SUM(E87:AC87)</f>
        <v>478</v>
      </c>
      <c r="AE87" s="584">
        <f t="shared" ref="AE87:AE113" si="13">AD87*D87</f>
        <v>76480</v>
      </c>
      <c r="AF87" s="539" t="str">
        <f t="shared" ref="AF87:AF113" si="14">IF(AD87&lt;0,"buy","sell")</f>
        <v>sell</v>
      </c>
    </row>
    <row r="88" spans="1:32" s="360" customFormat="1" x14ac:dyDescent="0.25">
      <c r="A88" s="640" t="s">
        <v>384</v>
      </c>
      <c r="B88" s="579" t="s">
        <v>370</v>
      </c>
      <c r="C88" s="579" t="s">
        <v>280</v>
      </c>
      <c r="D88" s="580">
        <v>110</v>
      </c>
      <c r="E88" s="562"/>
      <c r="F88" s="683"/>
      <c r="G88" s="642">
        <v>29</v>
      </c>
      <c r="H88" s="642">
        <v>29</v>
      </c>
      <c r="I88" s="642">
        <v>29</v>
      </c>
      <c r="J88" s="642"/>
      <c r="K88" s="642"/>
      <c r="L88" s="642"/>
      <c r="M88" s="642"/>
      <c r="N88" s="642"/>
      <c r="O88" s="642"/>
      <c r="P88" s="642"/>
      <c r="Q88" s="642"/>
      <c r="R88" s="642"/>
      <c r="S88" s="642"/>
      <c r="T88" s="642"/>
      <c r="U88" s="642"/>
      <c r="V88" s="642"/>
      <c r="W88" s="642"/>
      <c r="X88" s="642"/>
      <c r="Y88" s="642"/>
      <c r="Z88" s="642"/>
      <c r="AA88" s="642"/>
      <c r="AB88" s="642"/>
      <c r="AC88" s="642"/>
      <c r="AD88" s="681">
        <f t="shared" si="12"/>
        <v>87</v>
      </c>
      <c r="AE88" s="584">
        <f t="shared" si="13"/>
        <v>9570</v>
      </c>
      <c r="AF88" s="539" t="str">
        <f t="shared" si="14"/>
        <v>sell</v>
      </c>
    </row>
    <row r="89" spans="1:32" s="360" customFormat="1" x14ac:dyDescent="0.25">
      <c r="A89" s="640" t="s">
        <v>384</v>
      </c>
      <c r="B89" s="579" t="s">
        <v>370</v>
      </c>
      <c r="C89" s="579" t="s">
        <v>280</v>
      </c>
      <c r="D89" s="580">
        <v>130</v>
      </c>
      <c r="E89" s="562"/>
      <c r="F89" s="683"/>
      <c r="G89" s="642"/>
      <c r="H89" s="642"/>
      <c r="I89" s="642"/>
      <c r="J89" s="642">
        <v>29</v>
      </c>
      <c r="K89" s="642">
        <v>29</v>
      </c>
      <c r="L89" s="642"/>
      <c r="M89" s="642"/>
      <c r="N89" s="642"/>
      <c r="O89" s="642"/>
      <c r="P89" s="642"/>
      <c r="Q89" s="642"/>
      <c r="R89" s="642"/>
      <c r="S89" s="642"/>
      <c r="T89" s="642"/>
      <c r="U89" s="642"/>
      <c r="V89" s="642"/>
      <c r="W89" s="642"/>
      <c r="X89" s="642"/>
      <c r="Y89" s="642"/>
      <c r="Z89" s="642"/>
      <c r="AA89" s="642"/>
      <c r="AB89" s="642"/>
      <c r="AC89" s="642"/>
      <c r="AD89" s="681">
        <f t="shared" si="12"/>
        <v>58</v>
      </c>
      <c r="AE89" s="584">
        <f t="shared" si="13"/>
        <v>7540</v>
      </c>
      <c r="AF89" s="539" t="str">
        <f t="shared" si="14"/>
        <v>sell</v>
      </c>
    </row>
    <row r="90" spans="1:32" s="360" customFormat="1" x14ac:dyDescent="0.25">
      <c r="A90" s="640" t="s">
        <v>384</v>
      </c>
      <c r="B90" s="579" t="s">
        <v>370</v>
      </c>
      <c r="C90" s="579" t="s">
        <v>280</v>
      </c>
      <c r="D90" s="580">
        <v>160</v>
      </c>
      <c r="E90" s="562"/>
      <c r="F90" s="683"/>
      <c r="G90" s="642"/>
      <c r="H90" s="642"/>
      <c r="I90" s="642"/>
      <c r="J90" s="642"/>
      <c r="K90" s="642"/>
      <c r="L90" s="642">
        <v>29</v>
      </c>
      <c r="M90" s="642"/>
      <c r="N90" s="642"/>
      <c r="O90" s="642"/>
      <c r="P90" s="642"/>
      <c r="Q90" s="642"/>
      <c r="R90" s="642"/>
      <c r="S90" s="642"/>
      <c r="T90" s="642"/>
      <c r="U90" s="642"/>
      <c r="V90" s="642"/>
      <c r="W90" s="642"/>
      <c r="X90" s="642"/>
      <c r="Y90" s="642"/>
      <c r="Z90" s="642"/>
      <c r="AA90" s="642"/>
      <c r="AB90" s="642"/>
      <c r="AC90" s="642"/>
      <c r="AD90" s="681">
        <f t="shared" si="12"/>
        <v>29</v>
      </c>
      <c r="AE90" s="584">
        <f t="shared" si="13"/>
        <v>4640</v>
      </c>
      <c r="AF90" s="539" t="str">
        <f t="shared" si="14"/>
        <v>sell</v>
      </c>
    </row>
    <row r="91" spans="1:32" s="360" customFormat="1" x14ac:dyDescent="0.25">
      <c r="A91" s="640" t="s">
        <v>392</v>
      </c>
      <c r="B91" s="579" t="s">
        <v>370</v>
      </c>
      <c r="C91" s="579" t="s">
        <v>152</v>
      </c>
      <c r="D91" s="580">
        <v>165</v>
      </c>
      <c r="E91" s="562"/>
      <c r="F91" s="683"/>
      <c r="G91" s="642"/>
      <c r="H91" s="642"/>
      <c r="I91" s="642"/>
      <c r="J91" s="642"/>
      <c r="K91" s="642"/>
      <c r="L91" s="642"/>
      <c r="M91" s="642"/>
      <c r="N91" s="642"/>
      <c r="O91" s="642"/>
      <c r="P91" s="642"/>
      <c r="Q91" s="642"/>
      <c r="R91" s="642"/>
      <c r="S91" s="642"/>
      <c r="T91" s="642"/>
      <c r="U91" s="642"/>
      <c r="V91" s="642"/>
      <c r="W91" s="642"/>
      <c r="X91" s="642"/>
      <c r="Y91" s="642"/>
      <c r="Z91" s="642"/>
      <c r="AA91" s="642"/>
      <c r="AB91" s="642">
        <v>1</v>
      </c>
      <c r="AC91" s="642">
        <v>29</v>
      </c>
      <c r="AD91" s="681">
        <f t="shared" si="12"/>
        <v>30</v>
      </c>
      <c r="AE91" s="584">
        <f t="shared" si="13"/>
        <v>4950</v>
      </c>
      <c r="AF91" s="539" t="str">
        <f t="shared" si="14"/>
        <v>sell</v>
      </c>
    </row>
    <row r="92" spans="1:32" s="360" customFormat="1" x14ac:dyDescent="0.25">
      <c r="A92" s="640" t="s">
        <v>384</v>
      </c>
      <c r="B92" s="579" t="s">
        <v>370</v>
      </c>
      <c r="C92" s="579" t="s">
        <v>280</v>
      </c>
      <c r="D92" s="580">
        <v>170</v>
      </c>
      <c r="E92" s="562"/>
      <c r="F92" s="683"/>
      <c r="G92" s="642"/>
      <c r="H92" s="642"/>
      <c r="I92" s="642"/>
      <c r="J92" s="642"/>
      <c r="K92" s="642"/>
      <c r="L92" s="642"/>
      <c r="M92" s="642"/>
      <c r="N92" s="642"/>
      <c r="O92" s="642"/>
      <c r="P92" s="642">
        <v>5</v>
      </c>
      <c r="Q92" s="642">
        <v>8</v>
      </c>
      <c r="R92" s="642"/>
      <c r="S92" s="642"/>
      <c r="T92" s="642"/>
      <c r="U92" s="642"/>
      <c r="V92" s="642"/>
      <c r="W92" s="642"/>
      <c r="X92" s="642"/>
      <c r="Y92" s="642"/>
      <c r="Z92" s="642"/>
      <c r="AA92" s="642"/>
      <c r="AB92" s="642"/>
      <c r="AC92" s="642"/>
      <c r="AD92" s="681">
        <f t="shared" si="12"/>
        <v>13</v>
      </c>
      <c r="AE92" s="584">
        <f t="shared" si="13"/>
        <v>2210</v>
      </c>
      <c r="AF92" s="539" t="str">
        <f t="shared" si="14"/>
        <v>sell</v>
      </c>
    </row>
    <row r="93" spans="1:32" s="360" customFormat="1" x14ac:dyDescent="0.25">
      <c r="A93" s="640" t="s">
        <v>384</v>
      </c>
      <c r="B93" s="579" t="s">
        <v>370</v>
      </c>
      <c r="C93" s="579" t="s">
        <v>280</v>
      </c>
      <c r="D93" s="580">
        <v>185</v>
      </c>
      <c r="E93" s="562"/>
      <c r="F93" s="683"/>
      <c r="G93" s="642"/>
      <c r="H93" s="642"/>
      <c r="I93" s="642"/>
      <c r="J93" s="642"/>
      <c r="K93" s="642"/>
      <c r="L93" s="642"/>
      <c r="M93" s="642"/>
      <c r="N93" s="642"/>
      <c r="O93" s="642"/>
      <c r="P93" s="642"/>
      <c r="Q93" s="642"/>
      <c r="R93" s="642">
        <v>10</v>
      </c>
      <c r="S93" s="642">
        <v>9</v>
      </c>
      <c r="T93" s="642">
        <v>9</v>
      </c>
      <c r="U93" s="642">
        <v>9</v>
      </c>
      <c r="V93" s="642"/>
      <c r="W93" s="642"/>
      <c r="X93" s="642"/>
      <c r="Y93" s="642"/>
      <c r="Z93" s="642"/>
      <c r="AA93" s="642"/>
      <c r="AB93" s="642"/>
      <c r="AC93" s="642"/>
      <c r="AD93" s="681">
        <f t="shared" si="12"/>
        <v>37</v>
      </c>
      <c r="AE93" s="584">
        <f t="shared" si="13"/>
        <v>6845</v>
      </c>
      <c r="AF93" s="539" t="str">
        <f t="shared" si="14"/>
        <v>sell</v>
      </c>
    </row>
    <row r="94" spans="1:32" s="360" customFormat="1" x14ac:dyDescent="0.25">
      <c r="A94" s="640" t="s">
        <v>384</v>
      </c>
      <c r="B94" s="579" t="s">
        <v>370</v>
      </c>
      <c r="C94" s="579" t="s">
        <v>280</v>
      </c>
      <c r="D94" s="580">
        <v>195</v>
      </c>
      <c r="E94" s="562"/>
      <c r="F94" s="683"/>
      <c r="G94" s="642"/>
      <c r="H94" s="642"/>
      <c r="I94" s="642"/>
      <c r="J94" s="642"/>
      <c r="K94" s="642"/>
      <c r="L94" s="642"/>
      <c r="M94" s="642"/>
      <c r="N94" s="642"/>
      <c r="O94" s="642"/>
      <c r="P94" s="642"/>
      <c r="Q94" s="642"/>
      <c r="R94" s="642"/>
      <c r="S94" s="642"/>
      <c r="T94" s="642"/>
      <c r="U94" s="642"/>
      <c r="V94" s="642">
        <v>8</v>
      </c>
      <c r="W94" s="642">
        <v>5</v>
      </c>
      <c r="X94" s="642">
        <v>7</v>
      </c>
      <c r="Y94" s="642"/>
      <c r="Z94" s="642"/>
      <c r="AA94" s="642">
        <v>5</v>
      </c>
      <c r="AB94" s="642"/>
      <c r="AC94" s="642"/>
      <c r="AD94" s="681">
        <f t="shared" si="12"/>
        <v>25</v>
      </c>
      <c r="AE94" s="584">
        <f t="shared" si="13"/>
        <v>4875</v>
      </c>
      <c r="AF94" s="539" t="str">
        <f t="shared" si="14"/>
        <v>sell</v>
      </c>
    </row>
    <row r="95" spans="1:32" s="360" customFormat="1" x14ac:dyDescent="0.25">
      <c r="A95" s="640" t="s">
        <v>384</v>
      </c>
      <c r="B95" s="579" t="s">
        <v>370</v>
      </c>
      <c r="C95" s="579" t="s">
        <v>280</v>
      </c>
      <c r="D95" s="580">
        <v>200</v>
      </c>
      <c r="E95" s="562"/>
      <c r="F95" s="683"/>
      <c r="G95" s="642"/>
      <c r="H95" s="642"/>
      <c r="I95" s="642"/>
      <c r="J95" s="642"/>
      <c r="K95" s="642"/>
      <c r="L95" s="642"/>
      <c r="M95" s="642"/>
      <c r="N95" s="642"/>
      <c r="O95" s="642"/>
      <c r="P95" s="642"/>
      <c r="Q95" s="642"/>
      <c r="R95" s="642"/>
      <c r="S95" s="642"/>
      <c r="T95" s="642"/>
      <c r="U95" s="642"/>
      <c r="V95" s="642"/>
      <c r="W95" s="642"/>
      <c r="X95" s="642"/>
      <c r="Y95" s="642">
        <v>11</v>
      </c>
      <c r="Z95" s="642">
        <v>10</v>
      </c>
      <c r="AA95" s="642"/>
      <c r="AB95" s="642"/>
      <c r="AC95" s="642"/>
      <c r="AD95" s="681">
        <f t="shared" si="12"/>
        <v>21</v>
      </c>
      <c r="AE95" s="584">
        <f t="shared" si="13"/>
        <v>4200</v>
      </c>
      <c r="AF95" s="539" t="str">
        <f t="shared" si="14"/>
        <v>sell</v>
      </c>
    </row>
    <row r="96" spans="1:32" s="360" customFormat="1" x14ac:dyDescent="0.25">
      <c r="A96" s="640" t="s">
        <v>384</v>
      </c>
      <c r="B96" s="579" t="s">
        <v>370</v>
      </c>
      <c r="C96" s="579" t="s">
        <v>280</v>
      </c>
      <c r="D96" s="580">
        <v>185</v>
      </c>
      <c r="E96" s="562"/>
      <c r="F96" s="683"/>
      <c r="G96" s="642"/>
      <c r="H96" s="642"/>
      <c r="I96" s="642"/>
      <c r="J96" s="642"/>
      <c r="K96" s="642"/>
      <c r="L96" s="642"/>
      <c r="M96" s="642"/>
      <c r="N96" s="642"/>
      <c r="O96" s="642"/>
      <c r="P96" s="642"/>
      <c r="Q96" s="642"/>
      <c r="R96" s="642"/>
      <c r="S96" s="642">
        <v>50</v>
      </c>
      <c r="T96" s="642">
        <v>25</v>
      </c>
      <c r="U96" s="642">
        <v>25</v>
      </c>
      <c r="V96" s="642"/>
      <c r="W96" s="642"/>
      <c r="X96" s="642"/>
      <c r="Y96" s="642"/>
      <c r="Z96" s="642"/>
      <c r="AA96" s="642"/>
      <c r="AB96" s="642"/>
      <c r="AC96" s="642"/>
      <c r="AD96" s="681">
        <f t="shared" si="12"/>
        <v>100</v>
      </c>
      <c r="AE96" s="584">
        <f t="shared" si="13"/>
        <v>18500</v>
      </c>
      <c r="AF96" s="539" t="str">
        <f t="shared" si="14"/>
        <v>sell</v>
      </c>
    </row>
    <row r="97" spans="1:32" s="360" customFormat="1" x14ac:dyDescent="0.25">
      <c r="A97" s="640" t="s">
        <v>384</v>
      </c>
      <c r="B97" s="579" t="s">
        <v>370</v>
      </c>
      <c r="C97" s="579" t="s">
        <v>152</v>
      </c>
      <c r="D97" s="580">
        <v>110</v>
      </c>
      <c r="E97" s="562"/>
      <c r="F97" s="683"/>
      <c r="G97" s="642">
        <v>40</v>
      </c>
      <c r="H97" s="642">
        <v>40</v>
      </c>
      <c r="I97" s="642">
        <v>40</v>
      </c>
      <c r="J97" s="642"/>
      <c r="K97" s="642"/>
      <c r="L97" s="642"/>
      <c r="M97" s="642"/>
      <c r="N97" s="642"/>
      <c r="O97" s="642"/>
      <c r="P97" s="642"/>
      <c r="Q97" s="642"/>
      <c r="R97" s="642"/>
      <c r="S97" s="642"/>
      <c r="T97" s="642"/>
      <c r="U97" s="642"/>
      <c r="V97" s="642"/>
      <c r="W97" s="642"/>
      <c r="X97" s="642"/>
      <c r="Y97" s="642"/>
      <c r="Z97" s="642"/>
      <c r="AA97" s="642"/>
      <c r="AB97" s="642"/>
      <c r="AC97" s="642"/>
      <c r="AD97" s="681">
        <f t="shared" si="12"/>
        <v>120</v>
      </c>
      <c r="AE97" s="584">
        <f t="shared" si="13"/>
        <v>13200</v>
      </c>
      <c r="AF97" s="539" t="str">
        <f t="shared" si="14"/>
        <v>sell</v>
      </c>
    </row>
    <row r="98" spans="1:32" s="360" customFormat="1" x14ac:dyDescent="0.25">
      <c r="A98" s="640" t="s">
        <v>384</v>
      </c>
      <c r="B98" s="579" t="s">
        <v>385</v>
      </c>
      <c r="C98" s="579" t="s">
        <v>152</v>
      </c>
      <c r="D98" s="580">
        <v>185</v>
      </c>
      <c r="E98" s="562"/>
      <c r="F98" s="683"/>
      <c r="G98" s="642"/>
      <c r="H98" s="642"/>
      <c r="I98" s="642"/>
      <c r="J98" s="642"/>
      <c r="K98" s="642"/>
      <c r="L98" s="642"/>
      <c r="M98" s="642"/>
      <c r="N98" s="642"/>
      <c r="O98" s="642"/>
      <c r="P98" s="642"/>
      <c r="Q98" s="642"/>
      <c r="R98" s="642"/>
      <c r="S98" s="642">
        <v>12</v>
      </c>
      <c r="T98" s="642">
        <v>12</v>
      </c>
      <c r="U98" s="642">
        <v>12</v>
      </c>
      <c r="V98" s="642">
        <v>12</v>
      </c>
      <c r="W98" s="642">
        <v>12</v>
      </c>
      <c r="X98" s="642"/>
      <c r="Y98" s="642"/>
      <c r="Z98" s="642"/>
      <c r="AA98" s="642"/>
      <c r="AB98" s="642"/>
      <c r="AC98" s="642"/>
      <c r="AD98" s="681">
        <f t="shared" si="12"/>
        <v>60</v>
      </c>
      <c r="AE98" s="584">
        <f t="shared" si="13"/>
        <v>11100</v>
      </c>
      <c r="AF98" s="539" t="str">
        <f t="shared" si="14"/>
        <v>sell</v>
      </c>
    </row>
    <row r="99" spans="1:32" s="360" customFormat="1" x14ac:dyDescent="0.25">
      <c r="A99" s="640" t="s">
        <v>384</v>
      </c>
      <c r="B99" s="579" t="s">
        <v>370</v>
      </c>
      <c r="C99" s="579" t="s">
        <v>152</v>
      </c>
      <c r="D99" s="580">
        <v>130</v>
      </c>
      <c r="E99" s="562"/>
      <c r="F99" s="683"/>
      <c r="G99" s="642"/>
      <c r="H99" s="642"/>
      <c r="I99" s="642"/>
      <c r="J99" s="642">
        <v>40</v>
      </c>
      <c r="K99" s="642">
        <v>40</v>
      </c>
      <c r="L99" s="642"/>
      <c r="M99" s="642"/>
      <c r="N99" s="642"/>
      <c r="O99" s="642"/>
      <c r="P99" s="642"/>
      <c r="Q99" s="642"/>
      <c r="R99" s="642"/>
      <c r="S99" s="642"/>
      <c r="T99" s="642"/>
      <c r="U99" s="642"/>
      <c r="V99" s="642"/>
      <c r="W99" s="642"/>
      <c r="X99" s="642"/>
      <c r="Y99" s="642"/>
      <c r="Z99" s="642"/>
      <c r="AA99" s="642"/>
      <c r="AB99" s="642"/>
      <c r="AC99" s="642"/>
      <c r="AD99" s="681">
        <f t="shared" si="12"/>
        <v>80</v>
      </c>
      <c r="AE99" s="584">
        <f t="shared" si="13"/>
        <v>10400</v>
      </c>
      <c r="AF99" s="539" t="str">
        <f t="shared" si="14"/>
        <v>sell</v>
      </c>
    </row>
    <row r="100" spans="1:32" s="360" customFormat="1" x14ac:dyDescent="0.25">
      <c r="A100" s="640" t="s">
        <v>383</v>
      </c>
      <c r="B100" s="579" t="s">
        <v>370</v>
      </c>
      <c r="C100" s="579" t="s">
        <v>280</v>
      </c>
      <c r="D100" s="580">
        <v>125</v>
      </c>
      <c r="E100" s="562"/>
      <c r="F100" s="683"/>
      <c r="G100" s="642"/>
      <c r="H100" s="642">
        <v>45</v>
      </c>
      <c r="I100" s="642">
        <v>45</v>
      </c>
      <c r="J100" s="642">
        <v>20</v>
      </c>
      <c r="K100" s="642"/>
      <c r="L100" s="642"/>
      <c r="M100" s="642"/>
      <c r="N100" s="642"/>
      <c r="O100" s="642"/>
      <c r="P100" s="642"/>
      <c r="Q100" s="642"/>
      <c r="R100" s="642"/>
      <c r="S100" s="642"/>
      <c r="T100" s="642"/>
      <c r="U100" s="642"/>
      <c r="V100" s="642"/>
      <c r="W100" s="642"/>
      <c r="X100" s="642"/>
      <c r="Y100" s="642"/>
      <c r="Z100" s="642"/>
      <c r="AA100" s="642"/>
      <c r="AB100" s="642"/>
      <c r="AC100" s="642"/>
      <c r="AD100" s="681">
        <f t="shared" si="12"/>
        <v>110</v>
      </c>
      <c r="AE100" s="584">
        <f t="shared" si="13"/>
        <v>13750</v>
      </c>
      <c r="AF100" s="539" t="str">
        <f t="shared" si="14"/>
        <v>sell</v>
      </c>
    </row>
    <row r="101" spans="1:32" s="360" customFormat="1" x14ac:dyDescent="0.25">
      <c r="A101" s="640" t="s">
        <v>383</v>
      </c>
      <c r="B101" s="579" t="s">
        <v>370</v>
      </c>
      <c r="C101" s="579" t="s">
        <v>280</v>
      </c>
      <c r="D101" s="580">
        <v>170</v>
      </c>
      <c r="E101" s="562"/>
      <c r="F101" s="683"/>
      <c r="G101" s="642"/>
      <c r="H101" s="642"/>
      <c r="I101" s="642"/>
      <c r="J101" s="642"/>
      <c r="K101" s="642"/>
      <c r="L101" s="642"/>
      <c r="M101" s="642"/>
      <c r="N101" s="642"/>
      <c r="O101" s="642"/>
      <c r="P101" s="642">
        <v>30</v>
      </c>
      <c r="Q101" s="642"/>
      <c r="R101" s="642"/>
      <c r="S101" s="642"/>
      <c r="T101" s="642"/>
      <c r="U101" s="642"/>
      <c r="V101" s="642"/>
      <c r="W101" s="642"/>
      <c r="X101" s="642"/>
      <c r="Y101" s="642"/>
      <c r="Z101" s="642"/>
      <c r="AA101" s="642"/>
      <c r="AB101" s="642"/>
      <c r="AC101" s="642"/>
      <c r="AD101" s="681">
        <f t="shared" si="12"/>
        <v>30</v>
      </c>
      <c r="AE101" s="584">
        <f t="shared" si="13"/>
        <v>5100</v>
      </c>
      <c r="AF101" s="539" t="str">
        <f t="shared" si="14"/>
        <v>sell</v>
      </c>
    </row>
    <row r="102" spans="1:32" s="360" customFormat="1" x14ac:dyDescent="0.25">
      <c r="A102" s="640" t="s">
        <v>64</v>
      </c>
      <c r="B102" s="579" t="s">
        <v>370</v>
      </c>
      <c r="C102" s="579" t="s">
        <v>152</v>
      </c>
      <c r="D102" s="580">
        <v>170</v>
      </c>
      <c r="E102" s="562"/>
      <c r="F102" s="683"/>
      <c r="G102" s="642"/>
      <c r="H102" s="642"/>
      <c r="I102" s="642"/>
      <c r="J102" s="642"/>
      <c r="K102" s="642">
        <v>20</v>
      </c>
      <c r="L102" s="642">
        <v>40</v>
      </c>
      <c r="M102" s="642"/>
      <c r="N102" s="642"/>
      <c r="O102" s="642"/>
      <c r="P102" s="642"/>
      <c r="Q102" s="642"/>
      <c r="R102" s="642"/>
      <c r="S102" s="642"/>
      <c r="T102" s="642"/>
      <c r="U102" s="642"/>
      <c r="V102" s="642"/>
      <c r="W102" s="642"/>
      <c r="X102" s="642"/>
      <c r="Y102" s="642"/>
      <c r="Z102" s="642"/>
      <c r="AA102" s="642"/>
      <c r="AB102" s="642"/>
      <c r="AC102" s="642"/>
      <c r="AD102" s="681">
        <f t="shared" si="12"/>
        <v>60</v>
      </c>
      <c r="AE102" s="584">
        <f t="shared" si="13"/>
        <v>10200</v>
      </c>
      <c r="AF102" s="539" t="str">
        <f t="shared" si="14"/>
        <v>sell</v>
      </c>
    </row>
    <row r="103" spans="1:32" s="360" customFormat="1" x14ac:dyDescent="0.25">
      <c r="A103" s="640" t="s">
        <v>64</v>
      </c>
      <c r="B103" s="579" t="s">
        <v>370</v>
      </c>
      <c r="C103" s="579" t="s">
        <v>152</v>
      </c>
      <c r="D103" s="580">
        <v>145</v>
      </c>
      <c r="E103" s="562"/>
      <c r="F103" s="683"/>
      <c r="G103" s="642"/>
      <c r="H103" s="642"/>
      <c r="I103" s="642"/>
      <c r="J103" s="642"/>
      <c r="K103" s="642"/>
      <c r="L103" s="642"/>
      <c r="M103" s="642"/>
      <c r="N103" s="642">
        <v>45</v>
      </c>
      <c r="O103" s="642"/>
      <c r="P103" s="642"/>
      <c r="Q103" s="642"/>
      <c r="R103" s="642"/>
      <c r="S103" s="642"/>
      <c r="T103" s="642"/>
      <c r="U103" s="642"/>
      <c r="V103" s="642"/>
      <c r="W103" s="642"/>
      <c r="X103" s="642"/>
      <c r="Y103" s="642"/>
      <c r="Z103" s="642"/>
      <c r="AA103" s="642"/>
      <c r="AB103" s="642"/>
      <c r="AC103" s="642"/>
      <c r="AD103" s="681">
        <f t="shared" si="12"/>
        <v>45</v>
      </c>
      <c r="AE103" s="584">
        <f t="shared" si="13"/>
        <v>6525</v>
      </c>
      <c r="AF103" s="539" t="str">
        <f t="shared" si="14"/>
        <v>sell</v>
      </c>
    </row>
    <row r="104" spans="1:32" s="360" customFormat="1" x14ac:dyDescent="0.25">
      <c r="A104" s="640" t="s">
        <v>64</v>
      </c>
      <c r="B104" s="579" t="s">
        <v>370</v>
      </c>
      <c r="C104" s="579" t="s">
        <v>152</v>
      </c>
      <c r="D104" s="580">
        <v>155</v>
      </c>
      <c r="E104" s="562"/>
      <c r="F104" s="683"/>
      <c r="G104" s="642"/>
      <c r="H104" s="642"/>
      <c r="I104" s="642"/>
      <c r="J104" s="642"/>
      <c r="K104" s="642"/>
      <c r="L104" s="642"/>
      <c r="M104" s="642"/>
      <c r="N104" s="642"/>
      <c r="O104" s="642">
        <v>45</v>
      </c>
      <c r="P104" s="642"/>
      <c r="Q104" s="642"/>
      <c r="R104" s="642"/>
      <c r="S104" s="642"/>
      <c r="T104" s="642"/>
      <c r="U104" s="642"/>
      <c r="V104" s="642"/>
      <c r="W104" s="642"/>
      <c r="X104" s="642"/>
      <c r="Y104" s="642"/>
      <c r="Z104" s="642"/>
      <c r="AA104" s="642"/>
      <c r="AB104" s="642"/>
      <c r="AC104" s="642"/>
      <c r="AD104" s="681">
        <f t="shared" si="12"/>
        <v>45</v>
      </c>
      <c r="AE104" s="584">
        <f t="shared" si="13"/>
        <v>6975</v>
      </c>
      <c r="AF104" s="539" t="str">
        <f t="shared" si="14"/>
        <v>sell</v>
      </c>
    </row>
    <row r="105" spans="1:32" s="360" customFormat="1" x14ac:dyDescent="0.25">
      <c r="A105" s="640" t="s">
        <v>64</v>
      </c>
      <c r="B105" s="579" t="s">
        <v>370</v>
      </c>
      <c r="C105" s="579" t="s">
        <v>152</v>
      </c>
      <c r="D105" s="580">
        <v>160</v>
      </c>
      <c r="E105" s="562"/>
      <c r="F105" s="683"/>
      <c r="G105" s="642"/>
      <c r="H105" s="642"/>
      <c r="I105" s="642"/>
      <c r="J105" s="642"/>
      <c r="K105" s="642"/>
      <c r="L105" s="642"/>
      <c r="M105" s="642"/>
      <c r="N105" s="642"/>
      <c r="O105" s="642"/>
      <c r="P105" s="642"/>
      <c r="Q105" s="642"/>
      <c r="R105" s="642"/>
      <c r="S105" s="642"/>
      <c r="T105" s="642"/>
      <c r="U105" s="642"/>
      <c r="V105" s="642"/>
      <c r="W105" s="642"/>
      <c r="X105" s="642"/>
      <c r="Y105" s="642"/>
      <c r="Z105" s="642"/>
      <c r="AA105" s="642"/>
      <c r="AB105" s="642">
        <v>25</v>
      </c>
      <c r="AC105" s="642">
        <v>25</v>
      </c>
      <c r="AD105" s="681">
        <f t="shared" si="12"/>
        <v>50</v>
      </c>
      <c r="AE105" s="584">
        <f t="shared" si="13"/>
        <v>8000</v>
      </c>
      <c r="AF105" s="539" t="str">
        <f t="shared" si="14"/>
        <v>sell</v>
      </c>
    </row>
    <row r="106" spans="1:32" s="360" customFormat="1" x14ac:dyDescent="0.25">
      <c r="A106" s="640" t="s">
        <v>64</v>
      </c>
      <c r="B106" s="579" t="s">
        <v>370</v>
      </c>
      <c r="C106" s="579" t="s">
        <v>152</v>
      </c>
      <c r="D106" s="580">
        <v>195</v>
      </c>
      <c r="E106" s="562"/>
      <c r="F106" s="683"/>
      <c r="G106" s="642"/>
      <c r="H106" s="642"/>
      <c r="I106" s="642"/>
      <c r="J106" s="642"/>
      <c r="K106" s="642"/>
      <c r="L106" s="642"/>
      <c r="M106" s="642"/>
      <c r="N106" s="642"/>
      <c r="O106" s="642"/>
      <c r="P106" s="642"/>
      <c r="Q106" s="642"/>
      <c r="R106" s="642"/>
      <c r="S106" s="642"/>
      <c r="T106" s="642"/>
      <c r="U106" s="642"/>
      <c r="V106" s="642">
        <v>10</v>
      </c>
      <c r="W106" s="642">
        <v>25</v>
      </c>
      <c r="X106" s="642"/>
      <c r="Y106" s="642"/>
      <c r="Z106" s="642"/>
      <c r="AA106" s="642"/>
      <c r="AB106" s="642"/>
      <c r="AC106" s="642"/>
      <c r="AD106" s="681">
        <f t="shared" si="12"/>
        <v>35</v>
      </c>
      <c r="AE106" s="584">
        <f t="shared" si="13"/>
        <v>6825</v>
      </c>
      <c r="AF106" s="539" t="str">
        <f t="shared" si="14"/>
        <v>sell</v>
      </c>
    </row>
    <row r="107" spans="1:32" s="360" customFormat="1" x14ac:dyDescent="0.25">
      <c r="A107" s="640" t="s">
        <v>66</v>
      </c>
      <c r="B107" s="579" t="s">
        <v>370</v>
      </c>
      <c r="C107" s="579" t="s">
        <v>152</v>
      </c>
      <c r="D107" s="580">
        <v>100</v>
      </c>
      <c r="E107" s="562"/>
      <c r="F107" s="683"/>
      <c r="G107" s="642"/>
      <c r="H107" s="642"/>
      <c r="I107" s="642"/>
      <c r="J107" s="642"/>
      <c r="K107" s="642"/>
      <c r="L107" s="642"/>
      <c r="M107" s="642">
        <v>50</v>
      </c>
      <c r="N107" s="642"/>
      <c r="O107" s="642"/>
      <c r="P107" s="642"/>
      <c r="Q107" s="642"/>
      <c r="R107" s="642"/>
      <c r="S107" s="642"/>
      <c r="T107" s="642"/>
      <c r="U107" s="642"/>
      <c r="V107" s="642"/>
      <c r="W107" s="642"/>
      <c r="X107" s="642"/>
      <c r="Y107" s="642"/>
      <c r="Z107" s="642"/>
      <c r="AA107" s="642"/>
      <c r="AB107" s="642"/>
      <c r="AC107" s="642"/>
      <c r="AD107" s="681">
        <f t="shared" si="12"/>
        <v>50</v>
      </c>
      <c r="AE107" s="584">
        <f t="shared" si="13"/>
        <v>5000</v>
      </c>
      <c r="AF107" s="539" t="str">
        <f t="shared" si="14"/>
        <v>sell</v>
      </c>
    </row>
    <row r="108" spans="1:32" s="360" customFormat="1" x14ac:dyDescent="0.25">
      <c r="A108" s="640" t="s">
        <v>66</v>
      </c>
      <c r="B108" s="579" t="s">
        <v>370</v>
      </c>
      <c r="C108" s="579" t="s">
        <v>152</v>
      </c>
      <c r="D108" s="580">
        <v>145</v>
      </c>
      <c r="E108" s="562"/>
      <c r="F108" s="683"/>
      <c r="G108" s="642"/>
      <c r="H108" s="642"/>
      <c r="I108" s="642"/>
      <c r="J108" s="642"/>
      <c r="K108" s="642"/>
      <c r="L108" s="642"/>
      <c r="M108" s="642"/>
      <c r="N108" s="642">
        <v>30</v>
      </c>
      <c r="O108" s="642"/>
      <c r="P108" s="642"/>
      <c r="Q108" s="642"/>
      <c r="R108" s="642"/>
      <c r="S108" s="642"/>
      <c r="T108" s="642"/>
      <c r="U108" s="642"/>
      <c r="V108" s="642"/>
      <c r="W108" s="642"/>
      <c r="X108" s="642"/>
      <c r="Y108" s="642"/>
      <c r="Z108" s="642"/>
      <c r="AA108" s="642"/>
      <c r="AB108" s="642"/>
      <c r="AC108" s="642"/>
      <c r="AD108" s="681">
        <f t="shared" si="12"/>
        <v>30</v>
      </c>
      <c r="AE108" s="584">
        <f t="shared" si="13"/>
        <v>4350</v>
      </c>
      <c r="AF108" s="539" t="str">
        <f t="shared" si="14"/>
        <v>sell</v>
      </c>
    </row>
    <row r="109" spans="1:32" s="360" customFormat="1" x14ac:dyDescent="0.25">
      <c r="A109" s="640" t="s">
        <v>65</v>
      </c>
      <c r="B109" s="579" t="s">
        <v>370</v>
      </c>
      <c r="C109" s="579" t="s">
        <v>280</v>
      </c>
      <c r="D109" s="580">
        <v>150</v>
      </c>
      <c r="E109" s="562"/>
      <c r="F109" s="683"/>
      <c r="G109" s="642"/>
      <c r="H109" s="642"/>
      <c r="I109" s="642"/>
      <c r="J109" s="642"/>
      <c r="K109" s="642"/>
      <c r="L109" s="642"/>
      <c r="M109" s="642"/>
      <c r="N109" s="642">
        <v>5</v>
      </c>
      <c r="O109" s="642"/>
      <c r="P109" s="642"/>
      <c r="Q109" s="642"/>
      <c r="R109" s="642"/>
      <c r="S109" s="642"/>
      <c r="T109" s="642"/>
      <c r="U109" s="642"/>
      <c r="V109" s="642"/>
      <c r="W109" s="642"/>
      <c r="X109" s="642"/>
      <c r="Y109" s="642"/>
      <c r="Z109" s="642"/>
      <c r="AA109" s="642"/>
      <c r="AB109" s="642"/>
      <c r="AC109" s="642"/>
      <c r="AD109" s="681">
        <f t="shared" si="12"/>
        <v>5</v>
      </c>
      <c r="AE109" s="584">
        <f t="shared" si="13"/>
        <v>750</v>
      </c>
      <c r="AF109" s="539" t="str">
        <f t="shared" si="14"/>
        <v>sell</v>
      </c>
    </row>
    <row r="110" spans="1:32" s="360" customFormat="1" x14ac:dyDescent="0.25">
      <c r="A110" s="640" t="s">
        <v>65</v>
      </c>
      <c r="B110" s="579" t="s">
        <v>370</v>
      </c>
      <c r="C110" s="579" t="s">
        <v>280</v>
      </c>
      <c r="D110" s="580">
        <v>160</v>
      </c>
      <c r="E110" s="562"/>
      <c r="F110" s="683"/>
      <c r="G110" s="642"/>
      <c r="H110" s="642"/>
      <c r="I110" s="642"/>
      <c r="J110" s="642"/>
      <c r="K110" s="642"/>
      <c r="L110" s="642"/>
      <c r="M110" s="642"/>
      <c r="N110" s="642"/>
      <c r="O110" s="642">
        <v>5</v>
      </c>
      <c r="P110" s="642">
        <v>5</v>
      </c>
      <c r="Q110" s="642"/>
      <c r="R110" s="642"/>
      <c r="S110" s="642"/>
      <c r="T110" s="642"/>
      <c r="U110" s="642"/>
      <c r="V110" s="642"/>
      <c r="W110" s="642"/>
      <c r="X110" s="642"/>
      <c r="Y110" s="642"/>
      <c r="Z110" s="642"/>
      <c r="AA110" s="642"/>
      <c r="AB110" s="642"/>
      <c r="AC110" s="642"/>
      <c r="AD110" s="681">
        <f t="shared" si="12"/>
        <v>10</v>
      </c>
      <c r="AE110" s="584">
        <f t="shared" si="13"/>
        <v>1600</v>
      </c>
      <c r="AF110" s="539" t="str">
        <f t="shared" si="14"/>
        <v>sell</v>
      </c>
    </row>
    <row r="111" spans="1:32" s="360" customFormat="1" x14ac:dyDescent="0.25">
      <c r="A111" s="640" t="s">
        <v>387</v>
      </c>
      <c r="B111" s="579" t="s">
        <v>370</v>
      </c>
      <c r="C111" s="579" t="s">
        <v>280</v>
      </c>
      <c r="D111" s="580">
        <v>170</v>
      </c>
      <c r="E111" s="562"/>
      <c r="F111" s="683"/>
      <c r="G111" s="642"/>
      <c r="H111" s="642"/>
      <c r="I111" s="642"/>
      <c r="J111" s="642"/>
      <c r="K111" s="642"/>
      <c r="L111" s="642"/>
      <c r="M111" s="642"/>
      <c r="N111" s="642"/>
      <c r="O111" s="642"/>
      <c r="P111" s="642">
        <v>70</v>
      </c>
      <c r="Q111" s="642">
        <v>70</v>
      </c>
      <c r="R111" s="642"/>
      <c r="S111" s="642"/>
      <c r="T111" s="642"/>
      <c r="U111" s="642"/>
      <c r="V111" s="642"/>
      <c r="W111" s="642"/>
      <c r="X111" s="642"/>
      <c r="Y111" s="642"/>
      <c r="Z111" s="642"/>
      <c r="AA111" s="642"/>
      <c r="AB111" s="642"/>
      <c r="AC111" s="642"/>
      <c r="AD111" s="681">
        <f t="shared" si="12"/>
        <v>140</v>
      </c>
      <c r="AE111" s="584">
        <f t="shared" si="13"/>
        <v>23800</v>
      </c>
      <c r="AF111" s="539" t="str">
        <f t="shared" si="14"/>
        <v>sell</v>
      </c>
    </row>
    <row r="112" spans="1:32" s="360" customFormat="1" x14ac:dyDescent="0.25">
      <c r="A112" s="640" t="s">
        <v>387</v>
      </c>
      <c r="B112" s="579" t="s">
        <v>370</v>
      </c>
      <c r="C112" s="579" t="s">
        <v>280</v>
      </c>
      <c r="D112" s="580">
        <v>185</v>
      </c>
      <c r="E112" s="562"/>
      <c r="F112" s="683"/>
      <c r="G112" s="642"/>
      <c r="H112" s="642"/>
      <c r="I112" s="642"/>
      <c r="J112" s="642"/>
      <c r="K112" s="642"/>
      <c r="L112" s="642"/>
      <c r="M112" s="642"/>
      <c r="N112" s="642"/>
      <c r="O112" s="642"/>
      <c r="P112" s="642"/>
      <c r="Q112" s="642"/>
      <c r="R112" s="642">
        <v>70</v>
      </c>
      <c r="S112" s="642"/>
      <c r="T112" s="642"/>
      <c r="U112" s="642"/>
      <c r="V112" s="642"/>
      <c r="W112" s="642"/>
      <c r="X112" s="642"/>
      <c r="Y112" s="642"/>
      <c r="Z112" s="642"/>
      <c r="AA112" s="642"/>
      <c r="AB112" s="642"/>
      <c r="AC112" s="642"/>
      <c r="AD112" s="681">
        <f t="shared" si="12"/>
        <v>70</v>
      </c>
      <c r="AE112" s="584">
        <f t="shared" si="13"/>
        <v>12950</v>
      </c>
      <c r="AF112" s="539" t="str">
        <f t="shared" si="14"/>
        <v>sell</v>
      </c>
    </row>
    <row r="113" spans="1:33" s="360" customFormat="1" x14ac:dyDescent="0.25">
      <c r="A113" s="640"/>
      <c r="B113" s="579"/>
      <c r="C113" s="579"/>
      <c r="D113" s="580"/>
      <c r="E113" s="562"/>
      <c r="F113" s="683"/>
      <c r="G113" s="642"/>
      <c r="H113" s="642"/>
      <c r="I113" s="642"/>
      <c r="J113" s="642"/>
      <c r="K113" s="642"/>
      <c r="L113" s="642"/>
      <c r="M113" s="642"/>
      <c r="N113" s="642"/>
      <c r="O113" s="642"/>
      <c r="P113" s="642"/>
      <c r="Q113" s="642"/>
      <c r="R113" s="642"/>
      <c r="S113" s="642"/>
      <c r="T113" s="642"/>
      <c r="U113" s="642"/>
      <c r="V113" s="642"/>
      <c r="W113" s="642"/>
      <c r="X113" s="642"/>
      <c r="Y113" s="642"/>
      <c r="Z113" s="642"/>
      <c r="AA113" s="642"/>
      <c r="AB113" s="642"/>
      <c r="AC113" s="642"/>
      <c r="AD113" s="681">
        <f t="shared" si="12"/>
        <v>0</v>
      </c>
      <c r="AE113" s="584">
        <f t="shared" si="13"/>
        <v>0</v>
      </c>
      <c r="AF113" s="539" t="str">
        <f t="shared" si="14"/>
        <v>sell</v>
      </c>
    </row>
    <row r="114" spans="1:33" s="360" customFormat="1" ht="12" customHeight="1" x14ac:dyDescent="0.25">
      <c r="A114" s="675"/>
      <c r="B114" s="676"/>
      <c r="C114" s="676"/>
      <c r="D114" s="677"/>
      <c r="E114" s="680"/>
      <c r="F114" s="701"/>
      <c r="G114" s="700"/>
      <c r="H114" s="701"/>
      <c r="I114" s="701"/>
      <c r="J114" s="701"/>
      <c r="K114" s="701"/>
      <c r="L114" s="701"/>
      <c r="M114" s="701"/>
      <c r="N114" s="701"/>
      <c r="O114" s="701"/>
      <c r="P114" s="701"/>
      <c r="Q114" s="701"/>
      <c r="R114" s="701"/>
      <c r="S114" s="701"/>
      <c r="T114" s="701"/>
      <c r="U114" s="701"/>
      <c r="V114" s="701"/>
      <c r="W114" s="701"/>
      <c r="X114" s="701"/>
      <c r="Y114" s="701"/>
      <c r="Z114" s="701"/>
      <c r="AA114" s="701"/>
      <c r="AB114" s="701"/>
      <c r="AC114" s="701"/>
      <c r="AD114" s="595">
        <f t="shared" si="4"/>
        <v>0</v>
      </c>
      <c r="AE114" s="584">
        <f t="shared" ref="AE114:AE121" si="15">AD114*D114</f>
        <v>0</v>
      </c>
      <c r="AF114" s="539" t="str">
        <f t="shared" ref="AF114:AF121" si="16">IF(AD114&lt;0,"buy","sell")</f>
        <v>sell</v>
      </c>
    </row>
    <row r="115" spans="1:33" s="360" customFormat="1" ht="12.75" customHeight="1" x14ac:dyDescent="0.25">
      <c r="A115" s="675"/>
      <c r="B115" s="676"/>
      <c r="C115" s="676"/>
      <c r="D115" s="677"/>
      <c r="E115" s="680"/>
      <c r="F115" s="707"/>
      <c r="G115" s="708"/>
      <c r="H115" s="701"/>
      <c r="I115" s="701"/>
      <c r="J115" s="701"/>
      <c r="K115" s="701"/>
      <c r="L115" s="701"/>
      <c r="M115" s="701"/>
      <c r="N115" s="701"/>
      <c r="O115" s="701"/>
      <c r="P115" s="701"/>
      <c r="Q115" s="701"/>
      <c r="R115" s="701"/>
      <c r="S115" s="701"/>
      <c r="T115" s="701"/>
      <c r="U115" s="701"/>
      <c r="V115" s="707"/>
      <c r="W115" s="707"/>
      <c r="X115" s="707"/>
      <c r="Y115" s="707"/>
      <c r="Z115" s="707"/>
      <c r="AA115" s="707"/>
      <c r="AB115" s="707"/>
      <c r="AC115" s="707"/>
      <c r="AD115" s="681">
        <f t="shared" si="4"/>
        <v>0</v>
      </c>
      <c r="AE115" s="584">
        <f t="shared" si="15"/>
        <v>0</v>
      </c>
      <c r="AF115" s="539" t="str">
        <f t="shared" si="16"/>
        <v>sell</v>
      </c>
    </row>
    <row r="116" spans="1:33" s="360" customFormat="1" ht="12" customHeight="1" x14ac:dyDescent="0.25">
      <c r="A116" s="640" t="s">
        <v>66</v>
      </c>
      <c r="B116" s="579" t="s">
        <v>385</v>
      </c>
      <c r="C116" s="579" t="s">
        <v>152</v>
      </c>
      <c r="D116" s="580">
        <v>225</v>
      </c>
      <c r="E116" s="562"/>
      <c r="F116" s="705"/>
      <c r="G116" s="706"/>
      <c r="H116" s="706"/>
      <c r="I116" s="706"/>
      <c r="J116" s="706"/>
      <c r="K116" s="706"/>
      <c r="L116" s="706"/>
      <c r="M116" s="706"/>
      <c r="N116" s="706"/>
      <c r="O116" s="706"/>
      <c r="P116" s="706"/>
      <c r="Q116" s="706"/>
      <c r="R116" s="706">
        <v>-12</v>
      </c>
      <c r="S116" s="706">
        <v>-25</v>
      </c>
      <c r="T116" s="706"/>
      <c r="U116" s="706"/>
      <c r="V116" s="706"/>
      <c r="W116" s="706"/>
      <c r="X116" s="706"/>
      <c r="Y116" s="706"/>
      <c r="Z116" s="706"/>
      <c r="AA116" s="706"/>
      <c r="AB116" s="706"/>
      <c r="AC116" s="706"/>
      <c r="AD116" s="681">
        <f>SUM(E116:AC116)</f>
        <v>-37</v>
      </c>
      <c r="AE116" s="584">
        <f t="shared" si="15"/>
        <v>-8325</v>
      </c>
      <c r="AF116" s="539" t="str">
        <f t="shared" si="16"/>
        <v>buy</v>
      </c>
    </row>
    <row r="117" spans="1:33" s="360" customFormat="1" x14ac:dyDescent="0.25">
      <c r="A117" s="640"/>
      <c r="B117" s="579"/>
      <c r="C117" s="579"/>
      <c r="D117" s="580"/>
      <c r="E117" s="562"/>
      <c r="F117" s="709"/>
      <c r="G117" s="706"/>
      <c r="H117" s="706"/>
      <c r="I117" s="706"/>
      <c r="J117" s="706"/>
      <c r="K117" s="706"/>
      <c r="L117" s="706"/>
      <c r="M117" s="706"/>
      <c r="N117" s="706"/>
      <c r="O117" s="706"/>
      <c r="P117" s="706"/>
      <c r="Q117" s="706"/>
      <c r="R117" s="706"/>
      <c r="S117" s="706"/>
      <c r="T117" s="706"/>
      <c r="U117" s="706"/>
      <c r="V117" s="706"/>
      <c r="W117" s="706"/>
      <c r="X117" s="706"/>
      <c r="Y117" s="706"/>
      <c r="Z117" s="706"/>
      <c r="AA117" s="706"/>
      <c r="AB117" s="706"/>
      <c r="AC117" s="706"/>
      <c r="AD117" s="681">
        <f>SUM(F117:AC117)</f>
        <v>0</v>
      </c>
      <c r="AE117" s="584">
        <f t="shared" si="15"/>
        <v>0</v>
      </c>
      <c r="AF117" s="539" t="str">
        <f t="shared" si="16"/>
        <v>sell</v>
      </c>
    </row>
    <row r="118" spans="1:33" s="360" customFormat="1" x14ac:dyDescent="0.25">
      <c r="A118" s="664" t="s">
        <v>281</v>
      </c>
      <c r="B118" s="665"/>
      <c r="C118" s="665"/>
      <c r="D118" s="557"/>
      <c r="E118" s="557"/>
      <c r="F118" s="710"/>
      <c r="G118" s="710"/>
      <c r="H118" s="710"/>
      <c r="I118" s="710"/>
      <c r="J118" s="710"/>
      <c r="K118" s="710"/>
      <c r="L118" s="710"/>
      <c r="M118" s="710"/>
      <c r="N118" s="710"/>
      <c r="O118" s="710"/>
      <c r="P118" s="710"/>
      <c r="Q118" s="710"/>
      <c r="R118" s="710"/>
      <c r="S118" s="710"/>
      <c r="T118" s="710"/>
      <c r="U118" s="710"/>
      <c r="V118" s="710"/>
      <c r="W118" s="710"/>
      <c r="X118" s="710"/>
      <c r="Y118" s="710"/>
      <c r="Z118" s="710"/>
      <c r="AA118" s="710"/>
      <c r="AB118" s="710"/>
      <c r="AC118" s="711"/>
      <c r="AD118" s="681">
        <f>SUM(F118:AC118)</f>
        <v>0</v>
      </c>
      <c r="AE118" s="584">
        <f t="shared" si="15"/>
        <v>0</v>
      </c>
      <c r="AF118" s="539" t="str">
        <f t="shared" si="16"/>
        <v>sell</v>
      </c>
    </row>
    <row r="119" spans="1:33" s="360" customFormat="1" x14ac:dyDescent="0.25">
      <c r="A119" s="664" t="s">
        <v>67</v>
      </c>
      <c r="B119" s="561" t="s">
        <v>385</v>
      </c>
      <c r="C119" s="561" t="s">
        <v>280</v>
      </c>
      <c r="D119" s="557">
        <v>10</v>
      </c>
      <c r="E119" s="557"/>
      <c r="F119" s="712">
        <v>-30</v>
      </c>
      <c r="G119" s="712">
        <v>-30</v>
      </c>
      <c r="H119" s="710"/>
      <c r="I119" s="710"/>
      <c r="J119" s="710"/>
      <c r="K119" s="710"/>
      <c r="L119" s="710"/>
      <c r="M119" s="710"/>
      <c r="N119" s="710"/>
      <c r="O119" s="710"/>
      <c r="P119" s="710">
        <v>-25</v>
      </c>
      <c r="Q119" s="710">
        <v>-25</v>
      </c>
      <c r="R119" s="710">
        <v>-25</v>
      </c>
      <c r="S119" s="710">
        <v>-25</v>
      </c>
      <c r="T119" s="710">
        <v>-25</v>
      </c>
      <c r="U119" s="710">
        <v>-25</v>
      </c>
      <c r="V119" s="710">
        <v>-25</v>
      </c>
      <c r="W119" s="710">
        <v>-25</v>
      </c>
      <c r="X119" s="710">
        <v>-25</v>
      </c>
      <c r="Y119" s="710">
        <v>-25</v>
      </c>
      <c r="Z119" s="710">
        <v>-25</v>
      </c>
      <c r="AA119" s="710">
        <v>-25</v>
      </c>
      <c r="AB119" s="710">
        <v>-25</v>
      </c>
      <c r="AC119" s="710">
        <v>-25</v>
      </c>
      <c r="AD119" s="681">
        <f>SUM(E119:AC119)</f>
        <v>-410</v>
      </c>
      <c r="AE119" s="584">
        <f>AD119*D119</f>
        <v>-4100</v>
      </c>
      <c r="AF119" s="539" t="str">
        <f>IF(AD119&lt;0,"buy","sell")</f>
        <v>buy</v>
      </c>
    </row>
    <row r="120" spans="1:33" s="360" customFormat="1" x14ac:dyDescent="0.25">
      <c r="A120" s="556" t="s">
        <v>68</v>
      </c>
      <c r="B120" s="561" t="s">
        <v>385</v>
      </c>
      <c r="C120" s="561" t="s">
        <v>152</v>
      </c>
      <c r="D120" s="557">
        <v>40</v>
      </c>
      <c r="E120" s="641"/>
      <c r="F120" s="712"/>
      <c r="G120" s="712"/>
      <c r="H120" s="710"/>
      <c r="I120" s="710"/>
      <c r="J120" s="710"/>
      <c r="K120" s="710"/>
      <c r="L120" s="710"/>
      <c r="M120" s="710"/>
      <c r="N120" s="710"/>
      <c r="O120" s="710"/>
      <c r="P120" s="710"/>
      <c r="Q120" s="710"/>
      <c r="R120" s="710">
        <v>-50</v>
      </c>
      <c r="S120" s="710">
        <v>-50</v>
      </c>
      <c r="T120" s="710">
        <v>-50</v>
      </c>
      <c r="U120" s="710">
        <v>-50</v>
      </c>
      <c r="V120" s="710">
        <v>-50</v>
      </c>
      <c r="W120" s="710">
        <v>-50</v>
      </c>
      <c r="X120" s="710">
        <v>-50</v>
      </c>
      <c r="Y120" s="710">
        <v>-50</v>
      </c>
      <c r="Z120" s="710">
        <v>-50</v>
      </c>
      <c r="AA120" s="710">
        <v>-25</v>
      </c>
      <c r="AB120" s="710"/>
      <c r="AC120" s="711"/>
      <c r="AD120" s="681">
        <f>SUM(E120:AC120)</f>
        <v>-475</v>
      </c>
      <c r="AE120" s="584">
        <f>AD120*D120</f>
        <v>-19000</v>
      </c>
      <c r="AF120" s="539" t="str">
        <f>IF(AD120&lt;0,"buy","sell")</f>
        <v>buy</v>
      </c>
    </row>
    <row r="121" spans="1:33" s="360" customFormat="1" x14ac:dyDescent="0.25">
      <c r="A121" s="556"/>
      <c r="B121" s="561"/>
      <c r="C121" s="561"/>
      <c r="D121" s="557"/>
      <c r="E121" s="641"/>
      <c r="F121" s="712"/>
      <c r="G121" s="712"/>
      <c r="H121" s="710"/>
      <c r="I121" s="710"/>
      <c r="J121" s="710"/>
      <c r="K121" s="710"/>
      <c r="L121" s="710"/>
      <c r="M121" s="710"/>
      <c r="N121" s="710"/>
      <c r="O121" s="710"/>
      <c r="P121" s="710"/>
      <c r="Q121" s="710"/>
      <c r="R121" s="710"/>
      <c r="S121" s="710"/>
      <c r="T121" s="710"/>
      <c r="U121" s="713"/>
      <c r="V121" s="710"/>
      <c r="W121" s="710"/>
      <c r="X121" s="710"/>
      <c r="Y121" s="710"/>
      <c r="Z121" s="710"/>
      <c r="AA121" s="710"/>
      <c r="AB121" s="710"/>
      <c r="AC121" s="711"/>
      <c r="AD121" s="681">
        <f>SUM(E121:AC121)</f>
        <v>0</v>
      </c>
      <c r="AE121" s="584">
        <f t="shared" si="15"/>
        <v>0</v>
      </c>
      <c r="AF121" s="539" t="str">
        <f t="shared" si="16"/>
        <v>sell</v>
      </c>
    </row>
    <row r="122" spans="1:33" s="360" customFormat="1" x14ac:dyDescent="0.25">
      <c r="A122" s="559" t="s">
        <v>207</v>
      </c>
      <c r="B122" s="495"/>
      <c r="C122" s="495"/>
      <c r="D122" s="495"/>
      <c r="E122" s="495"/>
      <c r="F122" s="627"/>
      <c r="G122" s="495"/>
      <c r="H122" s="495"/>
      <c r="I122" s="495"/>
      <c r="J122" s="495"/>
      <c r="K122" s="495"/>
      <c r="L122" s="495"/>
      <c r="M122" s="495"/>
      <c r="N122" s="495"/>
      <c r="O122" s="495"/>
      <c r="P122" s="495"/>
      <c r="Q122" s="495"/>
      <c r="R122" s="495"/>
      <c r="S122" s="495"/>
      <c r="T122" s="495"/>
      <c r="U122" s="495"/>
      <c r="V122" s="495"/>
      <c r="W122" s="495"/>
      <c r="X122" s="495"/>
      <c r="Y122" s="495"/>
      <c r="Z122" s="495"/>
      <c r="AA122" s="495"/>
      <c r="AB122" s="495"/>
      <c r="AC122" s="495"/>
      <c r="AD122" s="495"/>
      <c r="AE122" s="495"/>
      <c r="AF122" s="495"/>
    </row>
    <row r="123" spans="1:33" x14ac:dyDescent="0.25">
      <c r="A123" s="360"/>
      <c r="B123" s="371"/>
      <c r="C123" s="371"/>
      <c r="D123" s="372"/>
      <c r="E123" s="372"/>
      <c r="F123" s="444"/>
      <c r="G123" s="373"/>
      <c r="H123" s="373"/>
      <c r="I123" s="373"/>
      <c r="J123" s="373"/>
      <c r="K123" s="373"/>
      <c r="L123" s="373"/>
      <c r="M123" s="373"/>
      <c r="N123" s="373"/>
      <c r="O123" s="373"/>
      <c r="P123" s="373"/>
      <c r="Q123" s="373"/>
      <c r="R123" s="373"/>
      <c r="S123" s="373"/>
      <c r="T123" s="373"/>
      <c r="U123" s="373"/>
      <c r="V123" s="373"/>
      <c r="W123" s="373"/>
      <c r="X123" s="373"/>
      <c r="Y123" s="373"/>
      <c r="Z123" s="455"/>
      <c r="AA123" s="455"/>
      <c r="AB123" s="455"/>
      <c r="AC123" s="542"/>
      <c r="AD123" s="473"/>
      <c r="AE123" s="474"/>
      <c r="AF123" s="455"/>
      <c r="AG123" s="360"/>
    </row>
    <row r="124" spans="1:33" s="360" customFormat="1" ht="17.399999999999999" x14ac:dyDescent="0.3">
      <c r="A124" s="441" t="s">
        <v>242</v>
      </c>
      <c r="B124" s="442"/>
      <c r="C124" s="550"/>
      <c r="D124" s="443"/>
      <c r="E124" s="443"/>
      <c r="F124" s="445"/>
      <c r="G124" s="445"/>
      <c r="H124" s="377"/>
      <c r="I124" s="377"/>
      <c r="J124" s="377"/>
      <c r="K124" s="378"/>
      <c r="L124" s="377"/>
      <c r="M124" s="377"/>
      <c r="N124" s="377"/>
      <c r="O124" s="377"/>
      <c r="P124" s="377"/>
      <c r="Q124" s="377"/>
      <c r="R124" s="377"/>
      <c r="S124" s="377" t="s">
        <v>15</v>
      </c>
      <c r="T124" s="377"/>
      <c r="U124" s="377"/>
      <c r="V124" s="377"/>
      <c r="W124" s="377"/>
      <c r="X124" s="377"/>
      <c r="Y124" s="377"/>
      <c r="Z124" s="379"/>
      <c r="AA124" s="379"/>
      <c r="AB124" s="379"/>
      <c r="AC124" s="543"/>
      <c r="AD124" s="473"/>
      <c r="AE124" s="474"/>
      <c r="AF124" s="379"/>
    </row>
    <row r="125" spans="1:33" s="360" customFormat="1" ht="18" thickBot="1" x14ac:dyDescent="0.35">
      <c r="A125" s="446"/>
      <c r="B125" s="447"/>
      <c r="C125" s="447"/>
      <c r="D125" s="443"/>
      <c r="E125" s="443"/>
      <c r="F125" s="625" t="s">
        <v>272</v>
      </c>
      <c r="G125" s="445"/>
      <c r="H125" s="377"/>
      <c r="I125" s="377"/>
      <c r="J125" s="377"/>
      <c r="K125" s="380"/>
      <c r="L125" s="380"/>
      <c r="M125" s="377"/>
      <c r="N125" s="377"/>
      <c r="O125" s="377"/>
      <c r="P125" s="377"/>
      <c r="Q125" s="377"/>
      <c r="R125" s="377"/>
      <c r="S125" s="377"/>
      <c r="T125" s="377"/>
      <c r="U125" s="377"/>
      <c r="V125" s="377"/>
      <c r="W125" s="377"/>
      <c r="X125" s="377"/>
      <c r="Y125" s="377"/>
      <c r="Z125" s="379"/>
      <c r="AA125" s="379"/>
      <c r="AB125" s="379"/>
      <c r="AC125" s="543"/>
      <c r="AD125" s="473"/>
      <c r="AE125" s="474"/>
      <c r="AF125" s="379"/>
    </row>
    <row r="126" spans="1:33" s="360" customFormat="1" ht="18" thickBot="1" x14ac:dyDescent="0.35">
      <c r="A126" s="448" t="s">
        <v>7</v>
      </c>
      <c r="B126" s="449"/>
      <c r="C126" s="449" t="s">
        <v>266</v>
      </c>
      <c r="D126" s="450" t="s">
        <v>9</v>
      </c>
      <c r="E126" s="449"/>
      <c r="F126" s="626" t="s">
        <v>321</v>
      </c>
      <c r="G126" s="452"/>
      <c r="H126" s="377"/>
      <c r="I126" s="377"/>
      <c r="J126" s="377"/>
      <c r="K126" s="380"/>
      <c r="L126" s="378"/>
      <c r="M126" s="377"/>
      <c r="N126" s="377"/>
      <c r="O126" s="377"/>
      <c r="P126" s="377"/>
      <c r="Q126" s="377"/>
      <c r="R126" s="377"/>
      <c r="S126" s="377"/>
      <c r="T126" s="377"/>
      <c r="U126" s="377"/>
      <c r="V126" s="377"/>
      <c r="W126" s="377"/>
      <c r="X126" s="377"/>
      <c r="Y126" s="377"/>
      <c r="AA126" s="379"/>
      <c r="AB126" s="379"/>
      <c r="AC126" s="543"/>
      <c r="AD126" s="473"/>
      <c r="AE126" s="474"/>
      <c r="AF126" s="379"/>
    </row>
    <row r="127" spans="1:33" s="360" customFormat="1" ht="17.399999999999999" x14ac:dyDescent="0.3">
      <c r="A127" s="453" t="s">
        <v>244</v>
      </c>
      <c r="B127" s="454" t="s">
        <v>245</v>
      </c>
      <c r="C127" s="454"/>
      <c r="D127" s="582"/>
      <c r="E127" s="454"/>
      <c r="F127" s="592">
        <f>D128-0.25</f>
        <v>-0.25</v>
      </c>
      <c r="G127" s="445" t="s">
        <v>322</v>
      </c>
      <c r="H127" s="377"/>
      <c r="I127" s="377"/>
      <c r="J127" s="377"/>
      <c r="K127" s="380"/>
      <c r="L127" s="378"/>
      <c r="M127" s="377"/>
      <c r="N127" s="377"/>
      <c r="O127" s="377"/>
      <c r="P127" s="377"/>
      <c r="Q127" s="377"/>
      <c r="R127" s="377"/>
      <c r="S127" s="377"/>
      <c r="T127" s="377"/>
      <c r="U127" s="377"/>
      <c r="V127" s="377"/>
      <c r="W127" s="377"/>
      <c r="X127" s="377"/>
      <c r="Y127" s="377"/>
      <c r="Z127" s="379" t="s">
        <v>208</v>
      </c>
      <c r="AA127" s="379"/>
      <c r="AB127" s="379"/>
      <c r="AC127" s="544"/>
      <c r="AD127" s="469"/>
      <c r="AE127" s="470"/>
      <c r="AF127" s="379"/>
    </row>
    <row r="128" spans="1:33" s="360" customFormat="1" x14ac:dyDescent="0.25">
      <c r="A128" s="447">
        <v>24</v>
      </c>
      <c r="B128" s="447">
        <v>1</v>
      </c>
      <c r="C128" s="455">
        <v>1</v>
      </c>
      <c r="D128" s="585"/>
      <c r="E128" s="541"/>
      <c r="F128" s="592">
        <f t="shared" ref="F128:F151" si="17">D129-0.25</f>
        <v>-0.25</v>
      </c>
      <c r="G128" s="560">
        <f>D128+0.56</f>
        <v>0.56000000000000005</v>
      </c>
      <c r="H128" s="377"/>
      <c r="I128" s="377"/>
      <c r="J128" s="377"/>
      <c r="K128" s="380"/>
      <c r="L128" s="377"/>
      <c r="M128" s="377"/>
      <c r="N128" s="377"/>
      <c r="O128" s="377"/>
      <c r="P128" s="377"/>
      <c r="Q128" s="377"/>
      <c r="R128" s="377"/>
      <c r="S128" s="377"/>
      <c r="T128" s="377"/>
      <c r="U128" s="377"/>
      <c r="V128" s="377"/>
      <c r="W128" s="377"/>
      <c r="X128" s="377"/>
      <c r="Y128" s="377"/>
      <c r="Z128" s="379"/>
      <c r="AA128" s="545"/>
      <c r="AB128" s="545"/>
      <c r="AC128" s="544"/>
      <c r="AD128" s="410"/>
      <c r="AE128" s="410"/>
      <c r="AF128" s="545"/>
    </row>
    <row r="129" spans="1:33" s="360" customFormat="1" x14ac:dyDescent="0.25">
      <c r="A129" s="445">
        <v>1</v>
      </c>
      <c r="B129" s="445">
        <v>2</v>
      </c>
      <c r="C129" s="455">
        <v>1</v>
      </c>
      <c r="D129" s="585"/>
      <c r="E129" s="500"/>
      <c r="F129" s="592">
        <f t="shared" si="17"/>
        <v>-0.25</v>
      </c>
      <c r="G129" s="560">
        <f t="shared" ref="G129:G152" si="18">D129+0.56</f>
        <v>0.56000000000000005</v>
      </c>
      <c r="H129" s="377"/>
      <c r="I129" s="377"/>
      <c r="J129" s="377"/>
      <c r="K129" s="380"/>
      <c r="L129" s="377"/>
      <c r="M129" s="377"/>
      <c r="N129" s="377"/>
      <c r="O129" s="377"/>
      <c r="P129" s="377"/>
      <c r="Q129" s="377"/>
      <c r="R129" s="377"/>
      <c r="S129" s="377"/>
      <c r="T129" s="377"/>
      <c r="U129" s="377"/>
      <c r="V129" s="377"/>
      <c r="W129" s="377"/>
      <c r="X129" s="377"/>
      <c r="Y129" s="377"/>
      <c r="Z129" s="545" t="s">
        <v>267</v>
      </c>
      <c r="AA129" s="545"/>
      <c r="AB129" s="545"/>
      <c r="AC129" s="544"/>
      <c r="AD129" s="490">
        <f>SUM(AD21:AD114)</f>
        <v>2693</v>
      </c>
      <c r="AE129" s="490">
        <f>SUM(AE21:AE114)</f>
        <v>405585</v>
      </c>
      <c r="AF129" s="545"/>
    </row>
    <row r="130" spans="1:33" s="360" customFormat="1" x14ac:dyDescent="0.25">
      <c r="A130" s="447">
        <v>2</v>
      </c>
      <c r="B130" s="447">
        <v>3</v>
      </c>
      <c r="C130" s="455">
        <v>1</v>
      </c>
      <c r="D130" s="585"/>
      <c r="E130" s="500"/>
      <c r="F130" s="592">
        <f t="shared" si="17"/>
        <v>-0.25</v>
      </c>
      <c r="G130" s="560">
        <f t="shared" si="18"/>
        <v>0.56000000000000005</v>
      </c>
      <c r="H130" s="377"/>
      <c r="I130" s="377"/>
      <c r="J130" s="377"/>
      <c r="K130" s="380"/>
      <c r="L130" s="377"/>
      <c r="M130" s="377"/>
      <c r="N130" s="377"/>
      <c r="O130" s="377"/>
      <c r="P130" s="377"/>
      <c r="Q130" s="377"/>
      <c r="R130" s="377"/>
      <c r="S130" s="377"/>
      <c r="T130" s="377"/>
      <c r="U130" s="377"/>
      <c r="V130" s="377"/>
      <c r="W130" s="377"/>
      <c r="X130" s="377"/>
      <c r="Y130" s="377"/>
      <c r="Z130" s="545" t="s">
        <v>268</v>
      </c>
      <c r="AA130" s="545"/>
      <c r="AB130" s="545"/>
      <c r="AC130" s="546"/>
      <c r="AD130" s="477">
        <f>SUM(AD114:AD117)</f>
        <v>-37</v>
      </c>
      <c r="AE130" s="477">
        <f>SUM(AE114:AE117)</f>
        <v>-8325</v>
      </c>
      <c r="AF130" s="545"/>
    </row>
    <row r="131" spans="1:33" s="360" customFormat="1" x14ac:dyDescent="0.25">
      <c r="A131" s="445">
        <v>3</v>
      </c>
      <c r="B131" s="445">
        <v>4</v>
      </c>
      <c r="C131" s="455">
        <v>1</v>
      </c>
      <c r="D131" s="585"/>
      <c r="E131" s="500"/>
      <c r="F131" s="592">
        <f t="shared" si="17"/>
        <v>-0.25</v>
      </c>
      <c r="G131" s="560">
        <f t="shared" si="18"/>
        <v>0.56000000000000005</v>
      </c>
      <c r="H131" s="384"/>
      <c r="I131" s="384"/>
      <c r="J131" s="384"/>
      <c r="K131" s="385"/>
      <c r="L131" s="384"/>
      <c r="M131" s="377"/>
      <c r="N131" s="377"/>
      <c r="O131" s="384"/>
      <c r="P131" s="384"/>
      <c r="Q131" s="384"/>
      <c r="R131" s="384"/>
      <c r="S131" s="384"/>
      <c r="T131" s="384"/>
      <c r="U131" s="384"/>
      <c r="V131" s="384"/>
      <c r="W131" s="384"/>
      <c r="X131" s="384"/>
      <c r="Y131" s="384"/>
      <c r="Z131" s="391"/>
      <c r="AA131" s="391"/>
      <c r="AB131" s="391"/>
      <c r="AC131" s="483"/>
      <c r="AF131" s="391"/>
    </row>
    <row r="132" spans="1:33" s="410" customFormat="1" x14ac:dyDescent="0.25">
      <c r="A132" s="447">
        <v>4</v>
      </c>
      <c r="B132" s="447">
        <v>5</v>
      </c>
      <c r="C132" s="455">
        <v>1</v>
      </c>
      <c r="D132" s="585"/>
      <c r="E132" s="500"/>
      <c r="F132" s="592">
        <f t="shared" si="17"/>
        <v>-0.25</v>
      </c>
      <c r="G132" s="560">
        <f t="shared" si="18"/>
        <v>0.56000000000000005</v>
      </c>
      <c r="H132" s="384"/>
      <c r="I132" s="360"/>
      <c r="J132" s="360"/>
      <c r="K132" s="360"/>
      <c r="L132" s="360"/>
      <c r="M132" s="360"/>
      <c r="N132" s="360"/>
      <c r="O132" s="377"/>
      <c r="P132" s="377"/>
      <c r="Q132" s="388"/>
      <c r="R132" s="388"/>
      <c r="S132" s="388"/>
      <c r="T132" s="388"/>
      <c r="U132" s="388"/>
      <c r="V132" s="388"/>
      <c r="W132" s="388"/>
      <c r="X132" s="388"/>
      <c r="Y132" s="388"/>
      <c r="Z132" s="670" t="s">
        <v>282</v>
      </c>
      <c r="AA132" s="670"/>
      <c r="AB132" s="670"/>
      <c r="AC132" s="671"/>
      <c r="AD132" s="672"/>
      <c r="AE132" s="673"/>
      <c r="AG132" s="360"/>
    </row>
    <row r="133" spans="1:33" s="410" customFormat="1" x14ac:dyDescent="0.25">
      <c r="A133" s="445">
        <v>5</v>
      </c>
      <c r="B133" s="445">
        <v>6</v>
      </c>
      <c r="C133" s="455">
        <v>1</v>
      </c>
      <c r="D133" s="585"/>
      <c r="E133" s="500"/>
      <c r="F133" s="592">
        <f t="shared" si="17"/>
        <v>-0.25</v>
      </c>
      <c r="G133" s="560">
        <f t="shared" si="18"/>
        <v>0.56000000000000005</v>
      </c>
      <c r="H133" s="377"/>
      <c r="I133" s="360"/>
      <c r="J133" s="360"/>
      <c r="K133" s="360"/>
      <c r="L133" s="360"/>
      <c r="M133" s="360"/>
      <c r="N133" s="360"/>
      <c r="O133" s="377"/>
      <c r="P133" s="377"/>
      <c r="Q133" s="377"/>
      <c r="R133" s="377"/>
      <c r="S133" s="377"/>
      <c r="T133" s="377"/>
      <c r="U133" s="377"/>
      <c r="V133" s="377"/>
      <c r="W133" s="377"/>
      <c r="X133" s="377"/>
      <c r="Y133" s="377"/>
      <c r="Z133" s="670"/>
      <c r="AA133" s="670"/>
      <c r="AB133" s="670"/>
      <c r="AC133" s="671"/>
      <c r="AD133" s="672"/>
      <c r="AE133" s="673"/>
      <c r="AG133" s="377"/>
    </row>
    <row r="134" spans="1:33" s="410" customFormat="1" x14ac:dyDescent="0.25">
      <c r="A134" s="447">
        <v>6</v>
      </c>
      <c r="B134" s="447">
        <v>7</v>
      </c>
      <c r="C134" s="455">
        <v>1</v>
      </c>
      <c r="D134" s="585"/>
      <c r="E134" s="500"/>
      <c r="F134" s="592">
        <f t="shared" si="17"/>
        <v>-0.25</v>
      </c>
      <c r="G134" s="560">
        <f t="shared" si="18"/>
        <v>0.56000000000000005</v>
      </c>
      <c r="H134" s="389"/>
      <c r="I134" s="360"/>
      <c r="J134" s="360"/>
      <c r="K134" s="360"/>
      <c r="L134" s="360"/>
      <c r="M134" s="360"/>
      <c r="N134" s="360"/>
      <c r="O134" s="377"/>
      <c r="P134" s="377"/>
      <c r="Q134" s="389"/>
      <c r="R134" s="389"/>
      <c r="S134" s="389"/>
      <c r="T134" s="389"/>
      <c r="U134" s="389"/>
      <c r="V134" s="389"/>
      <c r="W134" s="389"/>
      <c r="X134" s="389"/>
      <c r="Y134" s="389"/>
      <c r="Z134" s="670" t="s">
        <v>268</v>
      </c>
      <c r="AA134" s="670"/>
      <c r="AB134" s="670"/>
      <c r="AC134" s="671"/>
      <c r="AD134" s="674">
        <f>SUM(AD118:AD121)</f>
        <v>-885</v>
      </c>
      <c r="AE134" s="674">
        <f>SUM(AE118:AE121)</f>
        <v>-23100</v>
      </c>
      <c r="AG134" s="360"/>
    </row>
    <row r="135" spans="1:33" s="410" customFormat="1" x14ac:dyDescent="0.25">
      <c r="A135" s="445">
        <v>7</v>
      </c>
      <c r="B135" s="445">
        <v>8</v>
      </c>
      <c r="C135" s="455">
        <v>1</v>
      </c>
      <c r="D135" s="585"/>
      <c r="E135" s="500"/>
      <c r="F135" s="592">
        <f t="shared" si="17"/>
        <v>-0.25</v>
      </c>
      <c r="G135" s="560">
        <f t="shared" si="18"/>
        <v>0.56000000000000005</v>
      </c>
      <c r="H135" s="389"/>
      <c r="I135" s="360"/>
      <c r="J135" s="360"/>
      <c r="K135" s="360"/>
      <c r="L135" s="360"/>
      <c r="M135" s="360"/>
      <c r="N135" s="360"/>
      <c r="O135" s="377"/>
      <c r="P135" s="377"/>
      <c r="Q135" s="389"/>
      <c r="R135" s="389"/>
      <c r="S135" s="389"/>
      <c r="T135" s="389"/>
      <c r="U135" s="389"/>
      <c r="V135" s="389"/>
      <c r="W135" s="389"/>
      <c r="X135" s="389"/>
      <c r="Y135" s="389"/>
      <c r="AC135" s="484"/>
      <c r="AG135" s="360"/>
    </row>
    <row r="136" spans="1:33" s="410" customFormat="1" x14ac:dyDescent="0.25">
      <c r="A136" s="447">
        <v>8</v>
      </c>
      <c r="B136" s="447">
        <v>9</v>
      </c>
      <c r="C136" s="455">
        <v>1</v>
      </c>
      <c r="D136" s="585"/>
      <c r="E136" s="500"/>
      <c r="F136" s="592">
        <f t="shared" si="17"/>
        <v>-0.25</v>
      </c>
      <c r="G136" s="560">
        <f t="shared" si="18"/>
        <v>0.56000000000000005</v>
      </c>
      <c r="H136" s="377"/>
      <c r="I136" s="360"/>
      <c r="J136" s="360"/>
      <c r="K136" s="360"/>
      <c r="L136" s="360"/>
      <c r="M136" s="360"/>
      <c r="N136" s="360"/>
      <c r="O136" s="377"/>
      <c r="P136" s="377"/>
      <c r="Q136" s="377"/>
      <c r="R136" s="377"/>
      <c r="S136" s="377"/>
      <c r="T136" s="377"/>
      <c r="U136" s="377"/>
      <c r="V136" s="377"/>
      <c r="W136" s="377"/>
      <c r="X136" s="377"/>
      <c r="Y136" s="377"/>
      <c r="AC136" s="484"/>
      <c r="AG136" s="360"/>
    </row>
    <row r="137" spans="1:33" s="410" customFormat="1" x14ac:dyDescent="0.25">
      <c r="A137" s="445">
        <v>9</v>
      </c>
      <c r="B137" s="445">
        <v>10</v>
      </c>
      <c r="C137" s="455">
        <v>1</v>
      </c>
      <c r="D137" s="585"/>
      <c r="E137" s="500"/>
      <c r="F137" s="592">
        <f t="shared" si="17"/>
        <v>-0.25</v>
      </c>
      <c r="G137" s="560">
        <f t="shared" si="18"/>
        <v>0.56000000000000005</v>
      </c>
      <c r="H137" s="377"/>
      <c r="I137" s="360"/>
      <c r="J137" s="360"/>
      <c r="K137" s="360"/>
      <c r="L137" s="360"/>
      <c r="M137" s="360"/>
      <c r="N137" s="360"/>
      <c r="O137" s="377"/>
      <c r="P137" s="377"/>
      <c r="Q137" s="377"/>
      <c r="R137" s="377"/>
      <c r="S137" s="377"/>
      <c r="T137" s="377"/>
      <c r="U137" s="377"/>
      <c r="V137" s="377"/>
      <c r="W137" s="377"/>
      <c r="X137" s="377"/>
      <c r="Y137" s="377"/>
      <c r="AC137" s="484"/>
      <c r="AG137" s="360"/>
    </row>
    <row r="138" spans="1:33" s="410" customFormat="1" x14ac:dyDescent="0.25">
      <c r="A138" s="447">
        <v>10</v>
      </c>
      <c r="B138" s="447">
        <v>11</v>
      </c>
      <c r="C138" s="455">
        <v>1</v>
      </c>
      <c r="D138" s="585"/>
      <c r="E138" s="500"/>
      <c r="F138" s="592">
        <f t="shared" si="17"/>
        <v>-0.25</v>
      </c>
      <c r="G138" s="560">
        <f t="shared" si="18"/>
        <v>0.56000000000000005</v>
      </c>
      <c r="H138" s="390"/>
      <c r="I138" s="412"/>
      <c r="J138" s="412"/>
      <c r="K138" s="412"/>
      <c r="L138" s="412"/>
      <c r="M138" s="412"/>
      <c r="N138" s="412"/>
      <c r="O138" s="390"/>
      <c r="P138" s="390"/>
      <c r="Q138" s="390"/>
      <c r="R138" s="390"/>
      <c r="S138" s="390"/>
      <c r="T138" s="390"/>
      <c r="U138" s="390"/>
      <c r="V138" s="390"/>
      <c r="W138" s="390"/>
      <c r="X138" s="390"/>
      <c r="Y138" s="390"/>
      <c r="AC138" s="484"/>
      <c r="AG138" s="360"/>
    </row>
    <row r="139" spans="1:33" s="410" customFormat="1" x14ac:dyDescent="0.25">
      <c r="A139" s="445">
        <v>11</v>
      </c>
      <c r="B139" s="445">
        <v>12</v>
      </c>
      <c r="C139" s="455">
        <v>1</v>
      </c>
      <c r="D139" s="585"/>
      <c r="E139" s="500"/>
      <c r="F139" s="592">
        <f t="shared" si="17"/>
        <v>-0.25</v>
      </c>
      <c r="G139" s="560">
        <f t="shared" si="18"/>
        <v>0.56000000000000005</v>
      </c>
      <c r="H139" s="391"/>
      <c r="I139" s="360"/>
      <c r="J139" s="360"/>
      <c r="K139" s="360"/>
      <c r="L139" s="360"/>
      <c r="M139" s="360"/>
      <c r="N139" s="360"/>
      <c r="O139" s="391"/>
      <c r="P139" s="391"/>
      <c r="Q139" s="391"/>
      <c r="R139" s="391"/>
      <c r="S139" s="391"/>
      <c r="T139" s="391"/>
      <c r="U139" s="391"/>
      <c r="V139" s="391"/>
      <c r="W139" s="391"/>
      <c r="X139" s="391"/>
      <c r="Y139" s="391"/>
      <c r="AC139" s="484"/>
      <c r="AG139" s="360"/>
    </row>
    <row r="140" spans="1:33" s="410" customFormat="1" x14ac:dyDescent="0.25">
      <c r="A140" s="447">
        <v>12</v>
      </c>
      <c r="B140" s="447">
        <v>13</v>
      </c>
      <c r="C140" s="455">
        <v>1</v>
      </c>
      <c r="D140" s="585"/>
      <c r="E140" s="500"/>
      <c r="F140" s="592">
        <f t="shared" si="17"/>
        <v>-0.25</v>
      </c>
      <c r="G140" s="560">
        <f t="shared" si="18"/>
        <v>0.56000000000000005</v>
      </c>
      <c r="H140" s="391"/>
      <c r="I140" s="360"/>
      <c r="J140" s="360"/>
      <c r="K140" s="360"/>
      <c r="L140" s="360"/>
      <c r="M140" s="360"/>
      <c r="N140" s="360"/>
      <c r="O140" s="391"/>
      <c r="P140" s="391"/>
      <c r="Q140" s="391"/>
      <c r="R140" s="391"/>
      <c r="S140" s="391"/>
      <c r="T140" s="391"/>
      <c r="U140" s="391"/>
      <c r="V140" s="391"/>
      <c r="W140" s="391"/>
      <c r="X140" s="391"/>
      <c r="Y140" s="391"/>
      <c r="Z140" s="391"/>
      <c r="AA140" s="391"/>
      <c r="AB140" s="391"/>
      <c r="AC140" s="483"/>
      <c r="AG140" s="360"/>
    </row>
    <row r="141" spans="1:33" s="410" customFormat="1" x14ac:dyDescent="0.25">
      <c r="A141" s="445">
        <v>13</v>
      </c>
      <c r="B141" s="445">
        <v>14</v>
      </c>
      <c r="C141" s="455">
        <v>1</v>
      </c>
      <c r="D141" s="585"/>
      <c r="E141" s="500"/>
      <c r="F141" s="592">
        <f t="shared" si="17"/>
        <v>-0.25</v>
      </c>
      <c r="G141" s="560">
        <f t="shared" si="18"/>
        <v>0.56000000000000005</v>
      </c>
      <c r="H141" s="391"/>
      <c r="I141" s="360"/>
      <c r="J141" s="360"/>
      <c r="K141" s="360"/>
      <c r="L141" s="360"/>
      <c r="M141" s="360"/>
      <c r="N141" s="360"/>
      <c r="O141" s="391"/>
      <c r="P141" s="391"/>
      <c r="Q141" s="391"/>
      <c r="R141" s="391"/>
      <c r="S141" s="391"/>
      <c r="T141" s="391"/>
      <c r="U141" s="391"/>
      <c r="V141" s="391"/>
      <c r="W141" s="391"/>
      <c r="X141" s="391"/>
      <c r="Y141" s="391"/>
      <c r="Z141" s="391"/>
      <c r="AA141" s="391"/>
      <c r="AB141" s="391"/>
      <c r="AC141" s="483"/>
      <c r="AD141" s="473"/>
      <c r="AE141" s="474"/>
      <c r="AF141" s="475"/>
      <c r="AG141" s="360"/>
    </row>
    <row r="142" spans="1:33" s="410" customFormat="1" x14ac:dyDescent="0.25">
      <c r="A142" s="447">
        <v>14</v>
      </c>
      <c r="B142" s="447">
        <v>15</v>
      </c>
      <c r="C142" s="455">
        <v>1</v>
      </c>
      <c r="D142" s="585"/>
      <c r="E142" s="500"/>
      <c r="F142" s="592">
        <f t="shared" si="17"/>
        <v>-0.25</v>
      </c>
      <c r="G142" s="560">
        <f t="shared" si="18"/>
        <v>0.56000000000000005</v>
      </c>
      <c r="H142" s="391"/>
      <c r="I142" s="360"/>
      <c r="J142" s="360"/>
      <c r="K142" s="360"/>
      <c r="L142" s="360"/>
      <c r="M142" s="360"/>
      <c r="N142" s="360"/>
      <c r="O142" s="391"/>
      <c r="P142" s="391"/>
      <c r="Q142" s="391"/>
      <c r="R142" s="391"/>
      <c r="S142" s="391"/>
      <c r="T142" s="391"/>
      <c r="U142" s="391"/>
      <c r="V142" s="391"/>
      <c r="W142" s="391"/>
      <c r="X142" s="391"/>
      <c r="Y142" s="391"/>
      <c r="Z142" s="391"/>
      <c r="AA142" s="391"/>
      <c r="AB142" s="391"/>
      <c r="AC142" s="483"/>
      <c r="AD142" s="473"/>
      <c r="AE142" s="474"/>
      <c r="AF142" s="475"/>
    </row>
    <row r="143" spans="1:33" s="476" customFormat="1" ht="13.8" thickBot="1" x14ac:dyDescent="0.3">
      <c r="A143" s="445">
        <v>15</v>
      </c>
      <c r="B143" s="445">
        <v>16</v>
      </c>
      <c r="C143" s="455">
        <v>1</v>
      </c>
      <c r="D143" s="585"/>
      <c r="E143" s="500"/>
      <c r="F143" s="592">
        <f t="shared" si="17"/>
        <v>-0.25</v>
      </c>
      <c r="G143" s="560">
        <f t="shared" si="18"/>
        <v>0.56000000000000005</v>
      </c>
      <c r="H143" s="391"/>
      <c r="I143" s="360"/>
      <c r="J143" s="360"/>
      <c r="K143" s="360"/>
      <c r="L143" s="360"/>
      <c r="M143" s="360"/>
      <c r="N143" s="360"/>
      <c r="O143" s="391"/>
      <c r="P143" s="391"/>
      <c r="Q143" s="391"/>
      <c r="R143" s="391"/>
      <c r="S143" s="391"/>
      <c r="T143" s="391"/>
      <c r="U143" s="391"/>
      <c r="V143" s="391"/>
      <c r="W143" s="391"/>
      <c r="X143" s="391"/>
      <c r="Y143" s="391"/>
      <c r="Z143" s="391"/>
      <c r="AA143" s="391"/>
      <c r="AB143" s="391"/>
      <c r="AC143" s="483"/>
      <c r="AD143" s="473"/>
      <c r="AE143" s="474"/>
      <c r="AF143" s="475"/>
      <c r="AG143" s="410"/>
    </row>
    <row r="144" spans="1:33" s="410" customFormat="1" x14ac:dyDescent="0.25">
      <c r="A144" s="447">
        <v>16</v>
      </c>
      <c r="B144" s="447">
        <v>17</v>
      </c>
      <c r="C144" s="455">
        <v>1</v>
      </c>
      <c r="D144" s="585"/>
      <c r="E144" s="500"/>
      <c r="F144" s="592">
        <f t="shared" si="17"/>
        <v>-0.25</v>
      </c>
      <c r="G144" s="560">
        <f t="shared" si="18"/>
        <v>0.56000000000000005</v>
      </c>
      <c r="H144" s="391"/>
      <c r="I144" s="360"/>
      <c r="J144" s="360"/>
      <c r="K144" s="360"/>
      <c r="L144" s="360"/>
      <c r="M144" s="360"/>
      <c r="N144" s="360"/>
      <c r="O144" s="391"/>
      <c r="P144" s="391"/>
      <c r="Q144" s="391"/>
      <c r="R144" s="391"/>
      <c r="S144" s="391"/>
      <c r="T144" s="391"/>
      <c r="U144" s="391"/>
      <c r="V144" s="391"/>
      <c r="W144" s="391"/>
      <c r="X144" s="391"/>
      <c r="Y144" s="391"/>
      <c r="Z144" s="391"/>
      <c r="AA144" s="391"/>
      <c r="AB144" s="391"/>
      <c r="AC144" s="483"/>
      <c r="AD144" s="473"/>
      <c r="AE144" s="474"/>
      <c r="AF144" s="475"/>
    </row>
    <row r="145" spans="1:33" s="360" customFormat="1" x14ac:dyDescent="0.25">
      <c r="A145" s="445">
        <v>17</v>
      </c>
      <c r="B145" s="445">
        <v>18</v>
      </c>
      <c r="C145" s="455">
        <v>1</v>
      </c>
      <c r="D145" s="585"/>
      <c r="E145" s="500"/>
      <c r="F145" s="592">
        <f t="shared" si="17"/>
        <v>-0.25</v>
      </c>
      <c r="G145" s="560">
        <f t="shared" si="18"/>
        <v>0.56000000000000005</v>
      </c>
      <c r="H145" s="391"/>
      <c r="O145" s="391"/>
      <c r="P145" s="391"/>
      <c r="Q145" s="391"/>
      <c r="R145" s="391"/>
      <c r="S145" s="391"/>
      <c r="T145" s="391"/>
      <c r="U145" s="391"/>
      <c r="V145" s="391"/>
      <c r="W145" s="391"/>
      <c r="X145" s="391"/>
      <c r="Y145" s="391"/>
      <c r="Z145" s="391"/>
      <c r="AA145" s="391"/>
      <c r="AB145" s="391"/>
      <c r="AC145" s="483"/>
      <c r="AD145" s="473"/>
      <c r="AE145" s="547"/>
      <c r="AF145" s="410"/>
      <c r="AG145" s="410"/>
    </row>
    <row r="146" spans="1:33" s="360" customFormat="1" x14ac:dyDescent="0.25">
      <c r="A146" s="447">
        <v>18</v>
      </c>
      <c r="B146" s="447">
        <v>19</v>
      </c>
      <c r="C146" s="455">
        <v>1</v>
      </c>
      <c r="D146" s="585"/>
      <c r="E146" s="500"/>
      <c r="F146" s="592">
        <f t="shared" si="17"/>
        <v>-0.25</v>
      </c>
      <c r="G146" s="560">
        <f t="shared" si="18"/>
        <v>0.56000000000000005</v>
      </c>
      <c r="H146" s="394"/>
      <c r="O146" s="393"/>
      <c r="P146" s="393"/>
      <c r="Q146" s="394"/>
      <c r="R146" s="394"/>
      <c r="S146" s="394"/>
      <c r="T146" s="394"/>
      <c r="U146" s="394"/>
      <c r="V146" s="394"/>
      <c r="W146" s="394"/>
      <c r="X146" s="394"/>
      <c r="Y146" s="394"/>
      <c r="Z146" s="394"/>
      <c r="AA146" s="394"/>
      <c r="AB146" s="394"/>
      <c r="AC146" s="485"/>
      <c r="AD146" s="410"/>
      <c r="AE146" s="410"/>
      <c r="AF146" s="410"/>
      <c r="AG146" s="410"/>
    </row>
    <row r="147" spans="1:33" s="360" customFormat="1" x14ac:dyDescent="0.25">
      <c r="A147" s="445">
        <v>19</v>
      </c>
      <c r="B147" s="445">
        <v>20</v>
      </c>
      <c r="C147" s="455">
        <v>1</v>
      </c>
      <c r="D147" s="585"/>
      <c r="E147" s="500"/>
      <c r="F147" s="592">
        <f t="shared" si="17"/>
        <v>-0.25</v>
      </c>
      <c r="G147" s="560">
        <f t="shared" si="18"/>
        <v>0.56000000000000005</v>
      </c>
      <c r="H147" s="395"/>
      <c r="O147" s="419"/>
      <c r="P147" s="419"/>
      <c r="Q147" s="395"/>
      <c r="R147" s="395"/>
      <c r="S147" s="395"/>
      <c r="T147" s="395"/>
      <c r="U147" s="395"/>
      <c r="V147" s="395"/>
      <c r="W147" s="395"/>
      <c r="X147" s="395"/>
      <c r="Y147" s="395"/>
      <c r="Z147" s="395"/>
      <c r="AA147" s="395"/>
      <c r="AB147" s="395"/>
      <c r="AC147" s="486"/>
      <c r="AD147" s="548"/>
      <c r="AE147" s="477"/>
      <c r="AF147" s="410"/>
      <c r="AG147" s="410"/>
    </row>
    <row r="148" spans="1:33" s="410" customFormat="1" x14ac:dyDescent="0.25">
      <c r="A148" s="447">
        <v>20</v>
      </c>
      <c r="B148" s="447">
        <v>21</v>
      </c>
      <c r="C148" s="455">
        <v>1</v>
      </c>
      <c r="D148" s="585"/>
      <c r="E148" s="500"/>
      <c r="F148" s="592">
        <f t="shared" si="17"/>
        <v>-0.25</v>
      </c>
      <c r="G148" s="560">
        <f t="shared" si="18"/>
        <v>0.56000000000000005</v>
      </c>
      <c r="H148" s="395"/>
      <c r="I148" s="360"/>
      <c r="J148" s="360"/>
      <c r="K148" s="360"/>
      <c r="L148" s="360"/>
      <c r="M148" s="360"/>
      <c r="N148" s="360"/>
      <c r="O148" s="419"/>
      <c r="P148" s="419"/>
      <c r="Q148" s="395"/>
      <c r="R148" s="395"/>
      <c r="S148" s="395"/>
      <c r="T148" s="395"/>
      <c r="U148" s="395"/>
      <c r="V148" s="395"/>
      <c r="W148" s="395"/>
      <c r="X148" s="395"/>
      <c r="Y148" s="395"/>
      <c r="Z148" s="395"/>
      <c r="AA148" s="395"/>
      <c r="AB148" s="395"/>
      <c r="AC148" s="486"/>
      <c r="AD148" s="477"/>
      <c r="AE148" s="477"/>
    </row>
    <row r="149" spans="1:33" s="410" customFormat="1" x14ac:dyDescent="0.25">
      <c r="A149" s="445">
        <v>21</v>
      </c>
      <c r="B149" s="445">
        <v>22</v>
      </c>
      <c r="C149" s="455">
        <v>1</v>
      </c>
      <c r="D149" s="585"/>
      <c r="E149" s="500"/>
      <c r="F149" s="592">
        <f t="shared" si="17"/>
        <v>-0.25</v>
      </c>
      <c r="G149" s="560">
        <f t="shared" si="18"/>
        <v>0.56000000000000005</v>
      </c>
      <c r="H149" s="395"/>
      <c r="I149" s="360"/>
      <c r="J149" s="438"/>
      <c r="K149" s="360"/>
      <c r="L149" s="360"/>
      <c r="M149" s="360"/>
      <c r="N149" s="360"/>
      <c r="O149" s="419"/>
      <c r="P149" s="419"/>
      <c r="Q149" s="395"/>
      <c r="R149" s="395"/>
      <c r="S149" s="395"/>
      <c r="T149" s="395"/>
      <c r="U149" s="395"/>
      <c r="V149" s="395"/>
      <c r="W149" s="395"/>
      <c r="X149" s="395"/>
      <c r="Y149" s="395"/>
      <c r="Z149" s="395"/>
      <c r="AA149" s="395"/>
      <c r="AB149" s="395"/>
      <c r="AC149" s="486"/>
      <c r="AD149" s="360"/>
      <c r="AE149" s="360"/>
    </row>
    <row r="150" spans="1:33" s="410" customFormat="1" x14ac:dyDescent="0.25">
      <c r="A150" s="447">
        <v>22</v>
      </c>
      <c r="B150" s="447">
        <v>23</v>
      </c>
      <c r="C150" s="455">
        <v>1</v>
      </c>
      <c r="D150" s="585"/>
      <c r="E150" s="500"/>
      <c r="F150" s="592">
        <f t="shared" si="17"/>
        <v>-0.25</v>
      </c>
      <c r="G150" s="560">
        <f t="shared" si="18"/>
        <v>0.56000000000000005</v>
      </c>
      <c r="H150" s="395"/>
      <c r="I150" s="360"/>
      <c r="J150" s="360"/>
      <c r="K150" s="360"/>
      <c r="L150" s="360"/>
      <c r="M150" s="360"/>
      <c r="N150" s="360"/>
      <c r="O150" s="419"/>
      <c r="P150" s="419"/>
      <c r="Q150" s="395"/>
      <c r="R150" s="395"/>
      <c r="S150" s="395"/>
      <c r="T150" s="395"/>
      <c r="U150" s="395"/>
      <c r="V150" s="395"/>
      <c r="W150" s="395"/>
      <c r="X150" s="395"/>
      <c r="Y150" s="395"/>
      <c r="Z150" s="395"/>
      <c r="AA150" s="395"/>
      <c r="AB150" s="395"/>
      <c r="AC150" s="486"/>
      <c r="AD150" s="473"/>
      <c r="AE150" s="547"/>
      <c r="AF150" s="549"/>
    </row>
    <row r="151" spans="1:33" s="410" customFormat="1" x14ac:dyDescent="0.25">
      <c r="A151" s="447">
        <v>23</v>
      </c>
      <c r="B151" s="445">
        <v>24</v>
      </c>
      <c r="C151" s="455">
        <v>1</v>
      </c>
      <c r="D151" s="585"/>
      <c r="E151" s="541"/>
      <c r="F151" s="592">
        <f t="shared" si="17"/>
        <v>-0.25</v>
      </c>
      <c r="G151" s="560">
        <f t="shared" si="18"/>
        <v>0.56000000000000005</v>
      </c>
      <c r="H151" s="398"/>
      <c r="I151" s="360"/>
      <c r="J151" s="360"/>
      <c r="K151" s="360"/>
      <c r="L151" s="360"/>
      <c r="M151" s="360"/>
      <c r="N151" s="360"/>
      <c r="O151" s="420"/>
      <c r="P151" s="420"/>
      <c r="Q151" s="398"/>
      <c r="R151" s="398"/>
      <c r="S151" s="398"/>
      <c r="T151" s="398"/>
      <c r="U151" s="398"/>
      <c r="V151" s="398"/>
      <c r="W151" s="398"/>
      <c r="X151" s="398"/>
      <c r="Y151" s="398"/>
      <c r="Z151" s="395"/>
      <c r="AA151" s="395"/>
      <c r="AB151" s="395"/>
      <c r="AC151" s="486"/>
      <c r="AD151" s="473"/>
      <c r="AE151" s="547"/>
      <c r="AF151" s="549"/>
    </row>
    <row r="152" spans="1:33" s="410" customFormat="1" x14ac:dyDescent="0.25">
      <c r="A152" s="581">
        <v>24</v>
      </c>
      <c r="B152" s="447">
        <v>1</v>
      </c>
      <c r="C152" s="455">
        <v>1</v>
      </c>
      <c r="D152" s="587"/>
      <c r="E152" s="496"/>
      <c r="F152" s="360"/>
      <c r="G152" s="560">
        <f t="shared" si="18"/>
        <v>0.56000000000000005</v>
      </c>
      <c r="H152" s="398"/>
      <c r="I152" s="360"/>
      <c r="J152" s="360"/>
      <c r="K152" s="360"/>
      <c r="L152" s="360"/>
      <c r="M152" s="360"/>
      <c r="N152" s="360"/>
      <c r="O152" s="420"/>
      <c r="P152" s="420"/>
      <c r="Q152" s="398"/>
      <c r="R152" s="398"/>
      <c r="S152" s="398"/>
      <c r="T152" s="398"/>
      <c r="U152" s="398"/>
      <c r="V152" s="398"/>
      <c r="W152" s="398"/>
      <c r="X152" s="398"/>
      <c r="Y152" s="398"/>
      <c r="Z152" s="395"/>
      <c r="AA152" s="395"/>
      <c r="AB152" s="395"/>
      <c r="AC152" s="486"/>
      <c r="AD152" s="477"/>
      <c r="AE152" s="477"/>
      <c r="AF152" s="549"/>
    </row>
    <row r="153" spans="1:33" s="410" customFormat="1" ht="13.8" thickBot="1" x14ac:dyDescent="0.3">
      <c r="A153" s="360"/>
      <c r="B153" s="360"/>
      <c r="C153" s="360"/>
      <c r="D153" s="585"/>
      <c r="E153" s="360"/>
      <c r="F153" s="458"/>
      <c r="G153" s="445"/>
      <c r="H153" s="398"/>
      <c r="I153" s="360"/>
      <c r="J153" s="360"/>
      <c r="K153" s="360"/>
      <c r="L153" s="360"/>
      <c r="M153" s="360"/>
      <c r="N153" s="360"/>
      <c r="O153" s="420"/>
      <c r="P153" s="420"/>
      <c r="Q153" s="398"/>
      <c r="R153" s="398"/>
      <c r="S153" s="398"/>
      <c r="T153" s="398"/>
      <c r="U153" s="398"/>
      <c r="V153" s="398"/>
      <c r="W153" s="398"/>
      <c r="X153" s="398"/>
      <c r="Y153" s="398"/>
      <c r="Z153" s="395"/>
      <c r="AA153" s="395"/>
      <c r="AB153" s="395"/>
      <c r="AC153" s="486"/>
      <c r="AF153" s="471"/>
      <c r="AG153" s="476"/>
    </row>
    <row r="154" spans="1:33" s="410" customFormat="1" ht="17.399999999999999" x14ac:dyDescent="0.3">
      <c r="A154" s="444"/>
      <c r="B154" s="457" t="s">
        <v>243</v>
      </c>
      <c r="C154" s="458"/>
      <c r="D154" s="588"/>
      <c r="E154" s="458"/>
      <c r="F154" s="668"/>
      <c r="G154" s="445"/>
      <c r="H154" s="445"/>
      <c r="I154" s="360"/>
      <c r="J154" s="360"/>
      <c r="K154" s="360"/>
      <c r="L154" s="360"/>
      <c r="M154" s="360"/>
      <c r="N154" s="360"/>
      <c r="O154" s="459"/>
      <c r="P154" s="459"/>
      <c r="Q154" s="445"/>
      <c r="R154" s="445"/>
      <c r="S154" s="445"/>
      <c r="T154" s="445"/>
      <c r="U154" s="445"/>
      <c r="V154" s="445"/>
      <c r="W154" s="445"/>
      <c r="X154" s="445"/>
      <c r="Y154" s="398"/>
      <c r="Z154" s="395"/>
      <c r="AA154" s="395"/>
      <c r="AB154" s="395"/>
      <c r="AC154" s="486"/>
      <c r="AF154" s="471"/>
    </row>
    <row r="155" spans="1:33" s="410" customFormat="1" ht="18" thickBot="1" x14ac:dyDescent="0.35">
      <c r="A155" s="445"/>
      <c r="B155" s="445"/>
      <c r="C155" s="445"/>
      <c r="D155" s="589"/>
      <c r="E155" s="445"/>
      <c r="F155" s="667" t="s">
        <v>272</v>
      </c>
      <c r="G155" s="445"/>
      <c r="H155" s="445"/>
      <c r="I155" s="360"/>
      <c r="J155" s="360"/>
      <c r="K155" s="360"/>
      <c r="L155" s="360"/>
      <c r="M155" s="360"/>
      <c r="N155" s="360"/>
      <c r="O155" s="459"/>
      <c r="P155" s="459"/>
      <c r="Q155" s="445"/>
      <c r="R155" s="445"/>
      <c r="S155" s="445"/>
      <c r="T155" s="445"/>
      <c r="U155" s="445"/>
      <c r="V155" s="445"/>
      <c r="W155" s="445"/>
      <c r="X155" s="445"/>
      <c r="Y155" s="398"/>
      <c r="Z155" s="395"/>
      <c r="AA155" s="395"/>
      <c r="AB155" s="395"/>
      <c r="AC155" s="486"/>
      <c r="AF155" s="360"/>
      <c r="AG155" s="360"/>
    </row>
    <row r="156" spans="1:33" s="410" customFormat="1" ht="18" thickBot="1" x14ac:dyDescent="0.35">
      <c r="A156" s="448" t="s">
        <v>7</v>
      </c>
      <c r="B156" s="449"/>
      <c r="C156" s="449" t="s">
        <v>266</v>
      </c>
      <c r="D156" s="586"/>
      <c r="E156" s="449"/>
      <c r="F156" s="666" t="s">
        <v>321</v>
      </c>
      <c r="G156" s="450"/>
      <c r="H156" s="445" t="s">
        <v>273</v>
      </c>
      <c r="I156" s="360"/>
      <c r="J156" s="360"/>
      <c r="K156" s="360"/>
      <c r="L156" s="360"/>
      <c r="M156" s="360"/>
      <c r="N156" s="360"/>
      <c r="O156" s="459"/>
      <c r="P156" s="459"/>
      <c r="Q156" s="445"/>
      <c r="R156" s="445"/>
      <c r="S156" s="445"/>
      <c r="T156" s="445"/>
      <c r="U156" s="445"/>
      <c r="V156" s="445"/>
      <c r="W156" s="445"/>
      <c r="X156" s="445"/>
      <c r="Y156" s="398"/>
      <c r="Z156" s="398"/>
      <c r="AA156" s="398"/>
      <c r="AB156" s="398"/>
      <c r="AC156" s="487"/>
      <c r="AF156" s="360"/>
      <c r="AG156" s="360"/>
    </row>
    <row r="157" spans="1:33" s="410" customFormat="1" ht="17.399999999999999" x14ac:dyDescent="0.3">
      <c r="A157" s="453" t="s">
        <v>244</v>
      </c>
      <c r="B157" s="454" t="s">
        <v>245</v>
      </c>
      <c r="C157" s="454"/>
      <c r="D157" s="590"/>
      <c r="E157" s="451"/>
      <c r="F157" s="592">
        <f t="shared" ref="F157:F181" si="19">D158-0.25</f>
        <v>-0.25</v>
      </c>
      <c r="G157" s="445" t="s">
        <v>322</v>
      </c>
      <c r="H157" s="460">
        <v>4.3999999999999997E-2</v>
      </c>
      <c r="I157" s="461" t="s">
        <v>275</v>
      </c>
      <c r="J157" s="360"/>
      <c r="K157" s="360"/>
      <c r="L157" s="360"/>
      <c r="M157" s="462" t="s">
        <v>276</v>
      </c>
      <c r="N157" s="463"/>
      <c r="O157" s="459"/>
      <c r="P157" s="459"/>
      <c r="Q157" s="445"/>
      <c r="R157" s="445"/>
      <c r="S157" s="445"/>
      <c r="T157" s="445"/>
      <c r="U157" s="445"/>
      <c r="V157" s="445"/>
      <c r="W157" s="445"/>
      <c r="X157" s="445"/>
      <c r="Y157" s="398"/>
      <c r="Z157" s="398"/>
      <c r="AA157" s="398"/>
      <c r="AB157" s="398"/>
      <c r="AC157" s="487"/>
      <c r="AF157" s="360"/>
      <c r="AG157" s="360"/>
    </row>
    <row r="158" spans="1:33" s="410" customFormat="1" x14ac:dyDescent="0.25">
      <c r="A158" s="447">
        <v>24</v>
      </c>
      <c r="B158" s="445">
        <v>1</v>
      </c>
      <c r="C158" s="455">
        <v>1</v>
      </c>
      <c r="D158" s="585"/>
      <c r="E158" s="541"/>
      <c r="F158" s="592">
        <f t="shared" si="19"/>
        <v>-0.25</v>
      </c>
      <c r="G158" s="560">
        <f>D158+0.56</f>
        <v>0.56000000000000005</v>
      </c>
      <c r="I158" s="464" t="s">
        <v>274</v>
      </c>
      <c r="J158" s="465"/>
      <c r="K158" s="360"/>
      <c r="L158" s="360"/>
      <c r="M158" s="360"/>
      <c r="N158" s="360"/>
      <c r="O158" s="459"/>
      <c r="P158" s="459"/>
      <c r="Q158" s="445"/>
      <c r="R158" s="445"/>
      <c r="S158" s="445"/>
      <c r="T158" s="445"/>
      <c r="U158" s="445"/>
      <c r="V158" s="445"/>
      <c r="W158" s="445"/>
      <c r="X158" s="445"/>
      <c r="Y158" s="398"/>
      <c r="Z158" s="398"/>
      <c r="AA158" s="468"/>
      <c r="AB158" s="398"/>
      <c r="AC158" s="487"/>
      <c r="AD158" s="360"/>
      <c r="AE158" s="360"/>
      <c r="AF158" s="360"/>
    </row>
    <row r="159" spans="1:33" s="410" customFormat="1" x14ac:dyDescent="0.25">
      <c r="A159" s="445">
        <v>1</v>
      </c>
      <c r="B159" s="445">
        <v>2</v>
      </c>
      <c r="C159" s="455">
        <v>1</v>
      </c>
      <c r="D159" s="591"/>
      <c r="E159" s="500"/>
      <c r="F159" s="592">
        <f t="shared" si="19"/>
        <v>-0.25</v>
      </c>
      <c r="G159" s="560">
        <f t="shared" ref="G159:G181" si="20">D159+0.56</f>
        <v>0.56000000000000005</v>
      </c>
      <c r="I159" s="464"/>
      <c r="J159" s="465"/>
      <c r="K159" s="360"/>
      <c r="L159" s="360"/>
      <c r="M159" s="360"/>
      <c r="N159" s="360"/>
      <c r="O159" s="459"/>
      <c r="P159" s="459"/>
      <c r="Q159" s="445"/>
      <c r="R159" s="445"/>
      <c r="S159" s="445"/>
      <c r="T159" s="445"/>
      <c r="U159" s="445"/>
      <c r="V159" s="445"/>
      <c r="W159" s="445"/>
      <c r="X159" s="445"/>
      <c r="Y159" s="398"/>
      <c r="Z159" s="398"/>
      <c r="AA159" s="468"/>
      <c r="AB159" s="398"/>
      <c r="AC159" s="487"/>
      <c r="AD159" s="411"/>
      <c r="AE159" s="360"/>
      <c r="AF159" s="360"/>
    </row>
    <row r="160" spans="1:33" s="410" customFormat="1" x14ac:dyDescent="0.25">
      <c r="A160" s="447">
        <v>2</v>
      </c>
      <c r="B160" s="445">
        <v>3</v>
      </c>
      <c r="C160" s="455">
        <v>1</v>
      </c>
      <c r="D160" s="587"/>
      <c r="E160" s="500"/>
      <c r="F160" s="592">
        <f t="shared" si="19"/>
        <v>-0.25</v>
      </c>
      <c r="G160" s="560">
        <f t="shared" si="20"/>
        <v>0.56000000000000005</v>
      </c>
      <c r="I160" s="464"/>
      <c r="J160" s="465"/>
      <c r="K160" s="383"/>
      <c r="L160" s="383"/>
      <c r="M160" s="383"/>
      <c r="N160" s="383"/>
      <c r="O160" s="459"/>
      <c r="P160" s="459"/>
      <c r="Q160" s="445"/>
      <c r="R160" s="445"/>
      <c r="S160" s="445"/>
      <c r="T160" s="445"/>
      <c r="U160" s="445"/>
      <c r="V160" s="445"/>
      <c r="W160" s="445"/>
      <c r="X160" s="445"/>
      <c r="Y160" s="398"/>
      <c r="Z160" s="398"/>
      <c r="AA160" s="468"/>
      <c r="AB160" s="398"/>
      <c r="AC160" s="487"/>
      <c r="AF160" s="360"/>
    </row>
    <row r="161" spans="1:32" s="410" customFormat="1" x14ac:dyDescent="0.25">
      <c r="A161" s="445">
        <v>3</v>
      </c>
      <c r="B161" s="445">
        <v>4</v>
      </c>
      <c r="C161" s="455">
        <v>1</v>
      </c>
      <c r="D161" s="587"/>
      <c r="E161" s="500"/>
      <c r="F161" s="592">
        <f t="shared" si="19"/>
        <v>-0.25</v>
      </c>
      <c r="G161" s="560">
        <f t="shared" si="20"/>
        <v>0.56000000000000005</v>
      </c>
      <c r="I161" s="466"/>
      <c r="J161" s="465"/>
      <c r="K161" s="445"/>
      <c r="L161" s="445"/>
      <c r="M161" s="459"/>
      <c r="N161" s="459"/>
      <c r="O161" s="445"/>
      <c r="P161" s="445"/>
      <c r="Q161" s="445"/>
      <c r="R161" s="445"/>
      <c r="S161" s="445"/>
      <c r="T161" s="445"/>
      <c r="U161" s="445"/>
      <c r="V161" s="445"/>
      <c r="W161" s="445"/>
      <c r="X161" s="445"/>
      <c r="Y161" s="398"/>
      <c r="Z161" s="398"/>
      <c r="AA161" s="468"/>
      <c r="AB161" s="398"/>
      <c r="AC161" s="487"/>
      <c r="AD161" s="439"/>
      <c r="AE161" s="440"/>
      <c r="AF161" s="360"/>
    </row>
    <row r="162" spans="1:32" s="410" customFormat="1" x14ac:dyDescent="0.25">
      <c r="A162" s="447">
        <v>4</v>
      </c>
      <c r="B162" s="445">
        <v>5</v>
      </c>
      <c r="C162" s="455">
        <v>1</v>
      </c>
      <c r="D162" s="587"/>
      <c r="E162" s="500"/>
      <c r="F162" s="592">
        <f t="shared" si="19"/>
        <v>-0.25</v>
      </c>
      <c r="G162" s="560">
        <f t="shared" si="20"/>
        <v>0.56000000000000005</v>
      </c>
      <c r="I162" s="466"/>
      <c r="J162" s="465"/>
      <c r="K162" s="445"/>
      <c r="L162" s="445"/>
      <c r="M162" s="459"/>
      <c r="N162" s="459"/>
      <c r="O162" s="445"/>
      <c r="P162" s="445"/>
      <c r="Q162" s="445"/>
      <c r="R162" s="445"/>
      <c r="S162" s="445"/>
      <c r="T162" s="445"/>
      <c r="U162" s="445"/>
      <c r="V162" s="445"/>
      <c r="W162" s="445"/>
      <c r="X162" s="445"/>
      <c r="Y162" s="398"/>
      <c r="Z162" s="398"/>
      <c r="AA162" s="468"/>
      <c r="AB162" s="398"/>
      <c r="AC162" s="487"/>
      <c r="AD162" s="411"/>
      <c r="AE162" s="360"/>
      <c r="AF162" s="360"/>
    </row>
    <row r="163" spans="1:32" s="410" customFormat="1" x14ac:dyDescent="0.25">
      <c r="A163" s="445">
        <v>5</v>
      </c>
      <c r="B163" s="445">
        <v>6</v>
      </c>
      <c r="C163" s="455">
        <v>1</v>
      </c>
      <c r="D163" s="587"/>
      <c r="E163" s="500"/>
      <c r="F163" s="592">
        <f t="shared" si="19"/>
        <v>-0.25</v>
      </c>
      <c r="G163" s="560">
        <f t="shared" si="20"/>
        <v>0.56000000000000005</v>
      </c>
      <c r="I163" s="466"/>
      <c r="J163" s="465"/>
      <c r="K163" s="445"/>
      <c r="L163" s="445"/>
      <c r="M163" s="459"/>
      <c r="N163" s="459"/>
      <c r="O163" s="445"/>
      <c r="P163" s="445"/>
      <c r="Q163" s="445"/>
      <c r="R163" s="445"/>
      <c r="S163" s="445"/>
      <c r="T163" s="445"/>
      <c r="U163" s="445"/>
      <c r="V163" s="445"/>
      <c r="W163" s="445"/>
      <c r="X163" s="445"/>
      <c r="Y163" s="398"/>
      <c r="Z163" s="398"/>
      <c r="AA163" s="468"/>
      <c r="AB163" s="398"/>
      <c r="AC163" s="487"/>
      <c r="AD163" s="411"/>
      <c r="AE163" s="360"/>
      <c r="AF163" s="360"/>
    </row>
    <row r="164" spans="1:32" s="410" customFormat="1" x14ac:dyDescent="0.25">
      <c r="A164" s="447">
        <v>6</v>
      </c>
      <c r="B164" s="445">
        <v>7</v>
      </c>
      <c r="C164" s="455">
        <v>1</v>
      </c>
      <c r="D164" s="587"/>
      <c r="E164" s="500"/>
      <c r="F164" s="592">
        <f t="shared" si="19"/>
        <v>-0.25</v>
      </c>
      <c r="G164" s="560">
        <f t="shared" si="20"/>
        <v>0.56000000000000005</v>
      </c>
      <c r="I164" s="466"/>
      <c r="J164" s="465"/>
      <c r="K164" s="445"/>
      <c r="L164" s="445"/>
      <c r="M164" s="459"/>
      <c r="N164" s="459"/>
      <c r="O164" s="445"/>
      <c r="P164" s="445"/>
      <c r="Q164" s="445"/>
      <c r="R164" s="445"/>
      <c r="S164" s="445"/>
      <c r="T164" s="445"/>
      <c r="U164" s="445"/>
      <c r="V164" s="445"/>
      <c r="W164" s="445"/>
      <c r="X164" s="445"/>
      <c r="Y164" s="398"/>
      <c r="Z164" s="377"/>
      <c r="AA164" s="468"/>
      <c r="AB164" s="377"/>
      <c r="AC164" s="482"/>
      <c r="AD164" s="411"/>
      <c r="AE164" s="360"/>
      <c r="AF164" s="360"/>
    </row>
    <row r="165" spans="1:32" s="410" customFormat="1" x14ac:dyDescent="0.25">
      <c r="A165" s="445">
        <v>7</v>
      </c>
      <c r="B165" s="445">
        <v>8</v>
      </c>
      <c r="C165" s="455">
        <v>1</v>
      </c>
      <c r="D165" s="587"/>
      <c r="E165" s="500"/>
      <c r="F165" s="592">
        <f t="shared" si="19"/>
        <v>-0.25</v>
      </c>
      <c r="G165" s="560">
        <f t="shared" si="20"/>
        <v>0.56000000000000005</v>
      </c>
      <c r="I165" s="466"/>
      <c r="J165" s="465"/>
      <c r="K165" s="445"/>
      <c r="L165" s="445"/>
      <c r="M165" s="459"/>
      <c r="N165" s="459"/>
      <c r="O165" s="445"/>
      <c r="P165" s="445"/>
      <c r="Q165" s="445"/>
      <c r="R165" s="445"/>
      <c r="S165" s="445"/>
      <c r="T165" s="445"/>
      <c r="U165" s="445"/>
      <c r="V165" s="445"/>
      <c r="W165" s="445"/>
      <c r="X165" s="445"/>
      <c r="Y165" s="398"/>
      <c r="Z165" s="377"/>
      <c r="AA165" s="468"/>
      <c r="AB165" s="377"/>
      <c r="AC165" s="482"/>
      <c r="AD165" s="411"/>
      <c r="AE165" s="360"/>
      <c r="AF165" s="360"/>
    </row>
    <row r="166" spans="1:32" s="410" customFormat="1" x14ac:dyDescent="0.25">
      <c r="A166" s="447">
        <v>8</v>
      </c>
      <c r="B166" s="445">
        <v>9</v>
      </c>
      <c r="C166" s="455">
        <v>1</v>
      </c>
      <c r="D166" s="587"/>
      <c r="E166" s="500"/>
      <c r="F166" s="592">
        <f t="shared" si="19"/>
        <v>-0.25</v>
      </c>
      <c r="G166" s="560">
        <f t="shared" si="20"/>
        <v>0.56000000000000005</v>
      </c>
      <c r="I166" s="466"/>
      <c r="J166" s="465"/>
      <c r="K166" s="445"/>
      <c r="L166" s="445"/>
      <c r="M166" s="459"/>
      <c r="N166" s="459"/>
      <c r="O166" s="445"/>
      <c r="P166" s="445"/>
      <c r="Q166" s="445"/>
      <c r="R166" s="445"/>
      <c r="S166" s="445"/>
      <c r="T166" s="445"/>
      <c r="U166" s="445"/>
      <c r="V166" s="445"/>
      <c r="W166" s="445"/>
      <c r="X166" s="445"/>
      <c r="Y166" s="398"/>
      <c r="Z166" s="377"/>
      <c r="AA166" s="468"/>
      <c r="AB166" s="377"/>
      <c r="AC166" s="482"/>
      <c r="AD166" s="403"/>
      <c r="AE166" s="404"/>
      <c r="AF166" s="411"/>
    </row>
    <row r="167" spans="1:32" s="410" customFormat="1" x14ac:dyDescent="0.25">
      <c r="A167" s="445">
        <v>9</v>
      </c>
      <c r="B167" s="445">
        <v>10</v>
      </c>
      <c r="C167" s="455">
        <v>1</v>
      </c>
      <c r="D167" s="587"/>
      <c r="E167" s="500"/>
      <c r="F167" s="592">
        <f t="shared" si="19"/>
        <v>-0.25</v>
      </c>
      <c r="G167" s="560">
        <f t="shared" si="20"/>
        <v>0.56000000000000005</v>
      </c>
      <c r="I167" s="466"/>
      <c r="J167" s="465"/>
      <c r="K167" s="445"/>
      <c r="L167" s="445"/>
      <c r="M167" s="459"/>
      <c r="N167" s="459"/>
      <c r="O167" s="445"/>
      <c r="P167" s="445"/>
      <c r="Q167" s="445"/>
      <c r="R167" s="445"/>
      <c r="S167" s="445"/>
      <c r="T167" s="445"/>
      <c r="U167" s="445"/>
      <c r="V167" s="445"/>
      <c r="W167" s="445"/>
      <c r="X167" s="445"/>
      <c r="Y167" s="398"/>
      <c r="Z167" s="377"/>
      <c r="AA167" s="468"/>
      <c r="AB167" s="377"/>
      <c r="AC167" s="482"/>
      <c r="AD167" s="405"/>
      <c r="AE167" s="405"/>
      <c r="AF167" s="411"/>
    </row>
    <row r="168" spans="1:32" s="410" customFormat="1" x14ac:dyDescent="0.25">
      <c r="A168" s="447">
        <v>10</v>
      </c>
      <c r="B168" s="445">
        <v>11</v>
      </c>
      <c r="C168" s="455">
        <v>1</v>
      </c>
      <c r="D168" s="587"/>
      <c r="E168" s="500"/>
      <c r="F168" s="592">
        <f t="shared" si="19"/>
        <v>-0.25</v>
      </c>
      <c r="G168" s="560">
        <f t="shared" si="20"/>
        <v>0.56000000000000005</v>
      </c>
      <c r="I168" s="466"/>
      <c r="J168" s="465"/>
      <c r="K168" s="445"/>
      <c r="L168" s="445"/>
      <c r="M168" s="459"/>
      <c r="N168" s="459"/>
      <c r="O168" s="445"/>
      <c r="P168" s="445"/>
      <c r="Q168" s="445"/>
      <c r="R168" s="445"/>
      <c r="S168" s="445"/>
      <c r="T168" s="445"/>
      <c r="U168" s="445"/>
      <c r="V168" s="445"/>
      <c r="W168" s="445"/>
      <c r="X168" s="445"/>
      <c r="Y168" s="398"/>
      <c r="Z168" s="377"/>
      <c r="AA168" s="468"/>
      <c r="AB168" s="377"/>
      <c r="AC168" s="482"/>
      <c r="AD168" s="403"/>
      <c r="AE168" s="404"/>
      <c r="AF168" s="411"/>
    </row>
    <row r="169" spans="1:32" s="410" customFormat="1" x14ac:dyDescent="0.25">
      <c r="A169" s="445">
        <v>11</v>
      </c>
      <c r="B169" s="445">
        <v>12</v>
      </c>
      <c r="C169" s="455">
        <v>1</v>
      </c>
      <c r="D169" s="587"/>
      <c r="E169" s="500"/>
      <c r="F169" s="592">
        <f t="shared" si="19"/>
        <v>-0.25</v>
      </c>
      <c r="G169" s="560">
        <f t="shared" si="20"/>
        <v>0.56000000000000005</v>
      </c>
      <c r="I169" s="466"/>
      <c r="J169" s="465"/>
      <c r="K169" s="445"/>
      <c r="L169" s="445"/>
      <c r="M169" s="459"/>
      <c r="N169" s="459"/>
      <c r="O169" s="445"/>
      <c r="P169" s="445"/>
      <c r="Q169" s="445"/>
      <c r="R169" s="445"/>
      <c r="S169" s="445"/>
      <c r="T169" s="445"/>
      <c r="U169" s="445"/>
      <c r="V169" s="445"/>
      <c r="W169" s="445"/>
      <c r="X169" s="445"/>
      <c r="Y169" s="398"/>
      <c r="Z169" s="377"/>
      <c r="AA169" s="468"/>
      <c r="AB169" s="377"/>
      <c r="AC169" s="482"/>
      <c r="AD169" s="408"/>
      <c r="AE169" s="406"/>
      <c r="AF169" s="411"/>
    </row>
    <row r="170" spans="1:32" s="410" customFormat="1" x14ac:dyDescent="0.25">
      <c r="A170" s="447">
        <v>12</v>
      </c>
      <c r="B170" s="445">
        <v>13</v>
      </c>
      <c r="C170" s="455">
        <v>1</v>
      </c>
      <c r="D170" s="587"/>
      <c r="E170" s="500"/>
      <c r="F170" s="592">
        <f t="shared" si="19"/>
        <v>-0.25</v>
      </c>
      <c r="G170" s="560">
        <f t="shared" si="20"/>
        <v>0.56000000000000005</v>
      </c>
      <c r="I170" s="466"/>
      <c r="J170" s="465"/>
      <c r="K170" s="445"/>
      <c r="L170" s="445"/>
      <c r="M170" s="459"/>
      <c r="N170" s="459"/>
      <c r="O170" s="445"/>
      <c r="P170" s="445"/>
      <c r="Q170" s="445"/>
      <c r="R170" s="445"/>
      <c r="S170" s="445"/>
      <c r="T170" s="445"/>
      <c r="U170" s="445"/>
      <c r="V170" s="445"/>
      <c r="W170" s="445"/>
      <c r="X170" s="445"/>
      <c r="Y170" s="398"/>
      <c r="Z170" s="377"/>
      <c r="AA170" s="468"/>
      <c r="AB170" s="377"/>
      <c r="AC170" s="482"/>
      <c r="AD170" s="408"/>
      <c r="AE170" s="406"/>
      <c r="AF170" s="411"/>
    </row>
    <row r="171" spans="1:32" s="410" customFormat="1" x14ac:dyDescent="0.25">
      <c r="A171" s="445">
        <v>13</v>
      </c>
      <c r="B171" s="445">
        <v>14</v>
      </c>
      <c r="C171" s="455">
        <v>1</v>
      </c>
      <c r="D171" s="587"/>
      <c r="E171" s="500"/>
      <c r="F171" s="592">
        <f t="shared" si="19"/>
        <v>-0.25</v>
      </c>
      <c r="G171" s="560">
        <f t="shared" si="20"/>
        <v>0.56000000000000005</v>
      </c>
      <c r="I171" s="466"/>
      <c r="J171" s="465"/>
      <c r="K171" s="445"/>
      <c r="L171" s="445"/>
      <c r="M171" s="459"/>
      <c r="N171" s="459"/>
      <c r="O171" s="445"/>
      <c r="P171" s="445"/>
      <c r="Q171" s="445"/>
      <c r="R171" s="445"/>
      <c r="S171" s="445"/>
      <c r="T171" s="445"/>
      <c r="U171" s="445"/>
      <c r="V171" s="445"/>
      <c r="W171" s="445"/>
      <c r="X171" s="445"/>
      <c r="Y171" s="398"/>
      <c r="Z171" s="377"/>
      <c r="AA171" s="468"/>
      <c r="AB171" s="377"/>
      <c r="AC171" s="482"/>
      <c r="AD171" s="408"/>
      <c r="AE171" s="421"/>
      <c r="AF171" s="411"/>
    </row>
    <row r="172" spans="1:32" s="410" customFormat="1" x14ac:dyDescent="0.25">
      <c r="A172" s="447">
        <v>14</v>
      </c>
      <c r="B172" s="445">
        <v>15</v>
      </c>
      <c r="C172" s="455">
        <v>1</v>
      </c>
      <c r="D172" s="587"/>
      <c r="E172" s="500"/>
      <c r="F172" s="592">
        <f t="shared" si="19"/>
        <v>-0.25</v>
      </c>
      <c r="G172" s="560">
        <f t="shared" si="20"/>
        <v>0.56000000000000005</v>
      </c>
      <c r="H172" s="410" t="s">
        <v>170</v>
      </c>
      <c r="I172" s="466"/>
      <c r="J172" s="465"/>
      <c r="K172" s="445"/>
      <c r="L172" s="445"/>
      <c r="M172" s="459"/>
      <c r="N172" s="459"/>
      <c r="O172" s="445"/>
      <c r="P172" s="445"/>
      <c r="Q172" s="445"/>
      <c r="R172" s="445"/>
      <c r="S172" s="445"/>
      <c r="T172" s="445"/>
      <c r="U172" s="445"/>
      <c r="V172" s="445"/>
      <c r="W172" s="445"/>
      <c r="X172" s="445"/>
      <c r="Y172" s="398"/>
      <c r="Z172" s="377"/>
      <c r="AA172" s="468"/>
      <c r="AB172" s="377"/>
      <c r="AC172" s="482"/>
      <c r="AD172" s="408"/>
      <c r="AE172" s="422"/>
      <c r="AF172" s="360"/>
    </row>
    <row r="173" spans="1:32" s="410" customFormat="1" x14ac:dyDescent="0.25">
      <c r="A173" s="445">
        <v>15</v>
      </c>
      <c r="B173" s="445">
        <v>16</v>
      </c>
      <c r="C173" s="455">
        <v>1</v>
      </c>
      <c r="D173" s="587"/>
      <c r="E173" s="500"/>
      <c r="F173" s="592">
        <f t="shared" si="19"/>
        <v>-0.25</v>
      </c>
      <c r="G173" s="560">
        <f t="shared" si="20"/>
        <v>0.56000000000000005</v>
      </c>
      <c r="I173" s="466"/>
      <c r="J173" s="465"/>
      <c r="K173" s="445"/>
      <c r="L173" s="445"/>
      <c r="M173" s="459"/>
      <c r="N173" s="459"/>
      <c r="O173" s="445"/>
      <c r="P173" s="445"/>
      <c r="Q173" s="445"/>
      <c r="R173" s="445"/>
      <c r="S173" s="445"/>
      <c r="T173" s="445"/>
      <c r="U173" s="445"/>
      <c r="V173" s="445"/>
      <c r="W173" s="445"/>
      <c r="X173" s="445"/>
      <c r="Y173" s="398"/>
      <c r="Z173" s="377"/>
      <c r="AA173" s="468"/>
      <c r="AB173" s="377"/>
      <c r="AC173" s="482"/>
      <c r="AD173" s="403"/>
      <c r="AE173" s="404"/>
      <c r="AF173" s="360"/>
    </row>
    <row r="174" spans="1:32" s="410" customFormat="1" x14ac:dyDescent="0.25">
      <c r="A174" s="447">
        <v>16</v>
      </c>
      <c r="B174" s="445">
        <v>17</v>
      </c>
      <c r="C174" s="455">
        <v>1</v>
      </c>
      <c r="D174" s="587"/>
      <c r="E174" s="500"/>
      <c r="F174" s="592">
        <f t="shared" si="19"/>
        <v>-0.25</v>
      </c>
      <c r="G174" s="560">
        <f t="shared" si="20"/>
        <v>0.56000000000000005</v>
      </c>
      <c r="I174" s="466"/>
      <c r="J174" s="465"/>
      <c r="K174" s="445"/>
      <c r="L174" s="445"/>
      <c r="M174" s="459"/>
      <c r="N174" s="459"/>
      <c r="O174" s="445"/>
      <c r="R174" s="445"/>
      <c r="S174" s="445"/>
      <c r="T174" s="445"/>
      <c r="U174" s="445"/>
      <c r="V174" s="445"/>
      <c r="W174" s="445"/>
      <c r="X174" s="445"/>
      <c r="Y174" s="398"/>
      <c r="Z174" s="377"/>
      <c r="AA174" s="468"/>
      <c r="AB174" s="377"/>
      <c r="AC174" s="482"/>
      <c r="AD174" s="403"/>
      <c r="AE174" s="404"/>
      <c r="AF174" s="405"/>
    </row>
    <row r="175" spans="1:32" s="410" customFormat="1" x14ac:dyDescent="0.25">
      <c r="A175" s="445">
        <v>17</v>
      </c>
      <c r="B175" s="445">
        <v>18</v>
      </c>
      <c r="C175" s="455">
        <v>1</v>
      </c>
      <c r="D175" s="587"/>
      <c r="E175" s="500"/>
      <c r="F175" s="592">
        <f t="shared" si="19"/>
        <v>-0.25</v>
      </c>
      <c r="G175" s="560">
        <f t="shared" si="20"/>
        <v>0.56000000000000005</v>
      </c>
      <c r="I175" s="466"/>
      <c r="J175" s="465"/>
      <c r="K175" s="445"/>
      <c r="L175" s="445"/>
      <c r="M175" s="459"/>
      <c r="N175" s="459"/>
      <c r="O175" s="445"/>
      <c r="R175" s="445"/>
      <c r="S175" s="445"/>
      <c r="T175" s="445"/>
      <c r="U175" s="445"/>
      <c r="V175" s="445"/>
      <c r="W175" s="445"/>
      <c r="X175" s="445"/>
      <c r="Y175" s="398"/>
      <c r="Z175" s="377"/>
      <c r="AA175" s="468"/>
      <c r="AB175" s="377"/>
      <c r="AC175" s="482"/>
      <c r="AD175" s="388"/>
      <c r="AE175" s="388"/>
      <c r="AF175" s="403"/>
    </row>
    <row r="176" spans="1:32" s="410" customFormat="1" x14ac:dyDescent="0.25">
      <c r="A176" s="447">
        <v>18</v>
      </c>
      <c r="B176" s="445">
        <v>19</v>
      </c>
      <c r="C176" s="455">
        <v>1</v>
      </c>
      <c r="D176" s="587"/>
      <c r="E176" s="500"/>
      <c r="F176" s="592">
        <f t="shared" si="19"/>
        <v>-0.25</v>
      </c>
      <c r="G176" s="560">
        <f t="shared" si="20"/>
        <v>0.56000000000000005</v>
      </c>
      <c r="I176" s="466"/>
      <c r="J176" s="465"/>
      <c r="K176" s="445"/>
      <c r="L176" s="445"/>
      <c r="M176" s="459"/>
      <c r="N176" s="459"/>
      <c r="O176" s="445"/>
      <c r="R176" s="445"/>
      <c r="S176" s="445"/>
      <c r="T176" s="445"/>
      <c r="U176" s="445"/>
      <c r="V176" s="445"/>
      <c r="W176" s="445"/>
      <c r="X176" s="445"/>
      <c r="Y176" s="398"/>
      <c r="Z176" s="377"/>
      <c r="AA176" s="468"/>
      <c r="AB176" s="377"/>
      <c r="AC176" s="482"/>
      <c r="AD176" s="377"/>
      <c r="AE176" s="377"/>
      <c r="AF176" s="403"/>
    </row>
    <row r="177" spans="1:32" s="410" customFormat="1" x14ac:dyDescent="0.25">
      <c r="A177" s="445">
        <v>19</v>
      </c>
      <c r="B177" s="445">
        <v>20</v>
      </c>
      <c r="C177" s="455">
        <v>1</v>
      </c>
      <c r="D177" s="587"/>
      <c r="E177" s="500"/>
      <c r="F177" s="592">
        <f t="shared" si="19"/>
        <v>-0.25</v>
      </c>
      <c r="G177" s="560">
        <f t="shared" si="20"/>
        <v>0.56000000000000005</v>
      </c>
      <c r="I177" s="466"/>
      <c r="J177" s="465"/>
      <c r="K177" s="445"/>
      <c r="L177" s="445"/>
      <c r="M177" s="459"/>
      <c r="N177" s="459"/>
      <c r="O177" s="445"/>
      <c r="R177" s="445"/>
      <c r="S177" s="445"/>
      <c r="T177" s="445"/>
      <c r="U177" s="445"/>
      <c r="V177" s="445"/>
      <c r="W177" s="445"/>
      <c r="X177" s="445"/>
      <c r="Y177" s="398"/>
      <c r="Z177" s="377"/>
      <c r="AA177" s="468"/>
      <c r="AB177" s="377"/>
      <c r="AC177" s="482"/>
      <c r="AD177" s="389"/>
      <c r="AE177" s="389"/>
      <c r="AF177" s="401"/>
    </row>
    <row r="178" spans="1:32" s="410" customFormat="1" x14ac:dyDescent="0.25">
      <c r="A178" s="447">
        <v>20</v>
      </c>
      <c r="B178" s="445">
        <v>21</v>
      </c>
      <c r="C178" s="455">
        <v>1</v>
      </c>
      <c r="D178" s="587"/>
      <c r="E178" s="500"/>
      <c r="F178" s="592">
        <f t="shared" si="19"/>
        <v>-0.25</v>
      </c>
      <c r="G178" s="560">
        <f t="shared" si="20"/>
        <v>0.56000000000000005</v>
      </c>
      <c r="I178" s="466"/>
      <c r="J178" s="465"/>
      <c r="K178" s="445"/>
      <c r="L178" s="445"/>
      <c r="M178" s="459"/>
      <c r="N178" s="459"/>
      <c r="O178" s="445"/>
      <c r="R178" s="445"/>
      <c r="S178" s="445"/>
      <c r="T178" s="445"/>
      <c r="U178" s="445"/>
      <c r="V178" s="445"/>
      <c r="W178" s="445"/>
      <c r="X178" s="445"/>
      <c r="Y178" s="398"/>
      <c r="Z178" s="377"/>
      <c r="AA178" s="468"/>
      <c r="AB178" s="377"/>
      <c r="AC178" s="482"/>
      <c r="AD178" s="389"/>
      <c r="AE178" s="389"/>
      <c r="AF178" s="374"/>
    </row>
    <row r="179" spans="1:32" s="410" customFormat="1" x14ac:dyDescent="0.25">
      <c r="A179" s="445">
        <v>21</v>
      </c>
      <c r="B179" s="445">
        <v>22</v>
      </c>
      <c r="C179" s="455">
        <v>1</v>
      </c>
      <c r="D179" s="587"/>
      <c r="E179" s="500"/>
      <c r="F179" s="592">
        <f t="shared" si="19"/>
        <v>-0.25</v>
      </c>
      <c r="G179" s="560">
        <f t="shared" si="20"/>
        <v>0.56000000000000005</v>
      </c>
      <c r="I179" s="466"/>
      <c r="J179" s="465"/>
      <c r="K179" s="445"/>
      <c r="L179" s="445"/>
      <c r="M179" s="459"/>
      <c r="N179" s="459"/>
      <c r="O179" s="445"/>
      <c r="R179" s="445"/>
      <c r="S179" s="445"/>
      <c r="T179" s="445"/>
      <c r="U179" s="445"/>
      <c r="V179" s="445"/>
      <c r="W179" s="445"/>
      <c r="X179" s="445"/>
      <c r="Y179" s="398"/>
      <c r="Z179" s="377"/>
      <c r="AA179" s="468"/>
      <c r="AB179" s="377"/>
      <c r="AC179" s="482"/>
      <c r="AD179" s="377"/>
      <c r="AE179" s="377"/>
      <c r="AF179" s="374"/>
    </row>
    <row r="180" spans="1:32" s="410" customFormat="1" x14ac:dyDescent="0.25">
      <c r="A180" s="447">
        <v>22</v>
      </c>
      <c r="B180" s="445">
        <v>23</v>
      </c>
      <c r="C180" s="455">
        <v>1</v>
      </c>
      <c r="D180" s="587"/>
      <c r="E180" s="500"/>
      <c r="F180" s="592">
        <f t="shared" si="19"/>
        <v>-0.25</v>
      </c>
      <c r="G180" s="560">
        <f t="shared" si="20"/>
        <v>0.56000000000000005</v>
      </c>
      <c r="I180" s="466"/>
      <c r="J180" s="465"/>
      <c r="K180" s="445"/>
      <c r="L180" s="445"/>
      <c r="M180" s="459"/>
      <c r="N180" s="459"/>
      <c r="O180" s="445"/>
      <c r="R180" s="445"/>
      <c r="S180" s="445"/>
      <c r="T180" s="445"/>
      <c r="U180" s="445"/>
      <c r="V180" s="445"/>
      <c r="W180" s="445"/>
      <c r="X180" s="445"/>
      <c r="Y180" s="398"/>
      <c r="Z180" s="377"/>
      <c r="AA180" s="468"/>
      <c r="AB180" s="377"/>
      <c r="AC180" s="482"/>
      <c r="AD180" s="377"/>
      <c r="AE180" s="377"/>
      <c r="AF180" s="374"/>
    </row>
    <row r="181" spans="1:32" s="410" customFormat="1" x14ac:dyDescent="0.25">
      <c r="A181" s="447">
        <v>23</v>
      </c>
      <c r="B181" s="445">
        <v>24</v>
      </c>
      <c r="C181" s="455">
        <v>1</v>
      </c>
      <c r="D181" s="587"/>
      <c r="E181" s="541"/>
      <c r="F181" s="592">
        <f t="shared" si="19"/>
        <v>-0.25</v>
      </c>
      <c r="G181" s="560">
        <f t="shared" si="20"/>
        <v>0.56000000000000005</v>
      </c>
      <c r="I181" s="466"/>
      <c r="J181" s="465"/>
      <c r="K181" s="445"/>
      <c r="L181" s="445"/>
      <c r="M181" s="459"/>
      <c r="N181" s="459"/>
      <c r="O181" s="445"/>
      <c r="R181" s="445"/>
      <c r="S181" s="445"/>
      <c r="T181" s="445"/>
      <c r="U181" s="445"/>
      <c r="V181" s="445"/>
      <c r="W181" s="445"/>
      <c r="X181" s="445"/>
      <c r="Y181" s="398"/>
      <c r="Z181" s="377"/>
      <c r="AA181" s="468"/>
      <c r="AB181" s="377"/>
      <c r="AC181" s="482"/>
      <c r="AD181" s="390"/>
      <c r="AE181" s="390"/>
      <c r="AF181" s="381"/>
    </row>
    <row r="182" spans="1:32" s="410" customFormat="1" x14ac:dyDescent="0.25">
      <c r="A182" s="377">
        <v>24</v>
      </c>
      <c r="B182" s="445">
        <v>1</v>
      </c>
      <c r="C182" s="455">
        <v>1</v>
      </c>
      <c r="D182" s="587"/>
      <c r="E182" s="496"/>
      <c r="F182" s="377"/>
      <c r="G182" s="560">
        <f>D182+0.56</f>
        <v>0.56000000000000005</v>
      </c>
      <c r="H182" s="456"/>
      <c r="I182" s="466"/>
      <c r="J182" s="465"/>
      <c r="K182" s="445"/>
      <c r="L182" s="445"/>
      <c r="M182" s="459"/>
      <c r="N182" s="459"/>
      <c r="O182" s="445"/>
      <c r="R182" s="445"/>
      <c r="S182" s="445"/>
      <c r="T182" s="445"/>
      <c r="U182" s="445"/>
      <c r="V182" s="445"/>
      <c r="W182" s="445"/>
      <c r="X182" s="445"/>
      <c r="Y182" s="377"/>
      <c r="Z182" s="377"/>
      <c r="AA182" s="377"/>
      <c r="AB182" s="377"/>
      <c r="AC182" s="482"/>
      <c r="AD182" s="391"/>
      <c r="AE182" s="391"/>
      <c r="AF182" s="381"/>
    </row>
    <row r="183" spans="1:32" s="410" customFormat="1" x14ac:dyDescent="0.25">
      <c r="A183" s="377"/>
      <c r="B183" s="377"/>
      <c r="C183" s="377"/>
      <c r="D183" s="583"/>
      <c r="E183" s="499"/>
      <c r="F183" s="377"/>
      <c r="G183" s="377"/>
      <c r="H183" s="400"/>
      <c r="I183" s="377"/>
      <c r="J183" s="377"/>
      <c r="K183" s="377"/>
      <c r="L183" s="377"/>
      <c r="M183" s="392"/>
      <c r="N183" s="392"/>
      <c r="O183" s="377"/>
      <c r="R183" s="377"/>
      <c r="S183" s="377"/>
      <c r="T183" s="377"/>
      <c r="U183" s="377"/>
      <c r="V183" s="377"/>
      <c r="W183" s="377"/>
      <c r="X183" s="377"/>
      <c r="Y183" s="377"/>
      <c r="Z183" s="377"/>
      <c r="AA183" s="377"/>
      <c r="AB183" s="377"/>
      <c r="AC183" s="482"/>
      <c r="AD183" s="391"/>
      <c r="AE183" s="391"/>
      <c r="AF183" s="381"/>
    </row>
    <row r="184" spans="1:32" s="410" customFormat="1" x14ac:dyDescent="0.25">
      <c r="A184" s="377"/>
      <c r="B184" s="377"/>
      <c r="C184" s="377"/>
      <c r="D184" s="377"/>
      <c r="E184" s="377"/>
      <c r="F184" s="377"/>
      <c r="G184" s="377"/>
      <c r="H184" s="377"/>
      <c r="I184" s="377"/>
      <c r="J184" s="377"/>
      <c r="K184" s="377"/>
      <c r="L184" s="377"/>
      <c r="M184" s="392"/>
      <c r="N184" s="392"/>
      <c r="O184" s="377"/>
      <c r="R184" s="377"/>
      <c r="S184" s="377"/>
      <c r="T184" s="377"/>
      <c r="U184" s="377"/>
      <c r="V184" s="377"/>
      <c r="W184" s="377"/>
      <c r="X184" s="377"/>
      <c r="Y184" s="377"/>
      <c r="Z184" s="377"/>
      <c r="AA184" s="377"/>
      <c r="AB184" s="377"/>
      <c r="AC184" s="482"/>
      <c r="AD184" s="391"/>
      <c r="AE184" s="391"/>
      <c r="AF184" s="386"/>
    </row>
    <row r="185" spans="1:32" s="410" customFormat="1" x14ac:dyDescent="0.25">
      <c r="A185" s="377"/>
      <c r="B185" s="377"/>
      <c r="C185" s="377"/>
      <c r="D185" s="377"/>
      <c r="E185" s="377"/>
      <c r="F185" s="377"/>
      <c r="G185" s="377"/>
      <c r="H185" s="377"/>
      <c r="I185" s="377"/>
      <c r="J185" s="377"/>
      <c r="K185" s="377"/>
      <c r="L185" s="377"/>
      <c r="M185" s="392"/>
      <c r="N185" s="392"/>
      <c r="O185" s="377"/>
      <c r="R185" s="377"/>
      <c r="S185" s="377"/>
      <c r="T185" s="377"/>
      <c r="U185" s="377"/>
      <c r="V185" s="377"/>
      <c r="W185" s="377"/>
      <c r="X185" s="377"/>
      <c r="Y185" s="377"/>
      <c r="Z185" s="377"/>
      <c r="AA185" s="377"/>
      <c r="AB185" s="377"/>
      <c r="AC185" s="482"/>
      <c r="AD185" s="391"/>
      <c r="AE185" s="391"/>
      <c r="AF185" s="388"/>
    </row>
    <row r="186" spans="1:32" s="410" customFormat="1" x14ac:dyDescent="0.25">
      <c r="A186" s="377"/>
      <c r="B186" s="377"/>
      <c r="C186" s="377"/>
      <c r="D186" s="377"/>
      <c r="E186" s="377"/>
      <c r="F186" s="377"/>
      <c r="G186" s="377"/>
      <c r="H186" s="377"/>
      <c r="I186" s="377"/>
      <c r="J186" s="377"/>
      <c r="K186" s="377"/>
      <c r="L186" s="377"/>
      <c r="M186" s="392"/>
      <c r="N186" s="392"/>
      <c r="O186" s="377"/>
      <c r="R186" s="377"/>
      <c r="S186" s="377"/>
      <c r="T186" s="377"/>
      <c r="U186" s="377"/>
      <c r="V186" s="377"/>
      <c r="W186" s="377"/>
      <c r="X186" s="377"/>
      <c r="Y186" s="377"/>
      <c r="Z186" s="377"/>
      <c r="AA186" s="377"/>
      <c r="AB186" s="377"/>
      <c r="AC186" s="482"/>
      <c r="AD186" s="391"/>
      <c r="AE186" s="391"/>
      <c r="AF186" s="377"/>
    </row>
    <row r="187" spans="1:32" s="410" customFormat="1" x14ac:dyDescent="0.25">
      <c r="A187" s="377"/>
      <c r="B187" s="377"/>
      <c r="C187" s="377"/>
      <c r="D187" s="377"/>
      <c r="E187" s="377"/>
      <c r="F187" s="377"/>
      <c r="G187" s="377"/>
      <c r="H187" s="377"/>
      <c r="I187" s="377"/>
      <c r="J187" s="377"/>
      <c r="K187" s="377"/>
      <c r="L187" s="377"/>
      <c r="M187" s="392"/>
      <c r="N187" s="392"/>
      <c r="O187" s="377"/>
      <c r="R187" s="377"/>
      <c r="S187" s="377"/>
      <c r="T187" s="377"/>
      <c r="U187" s="377"/>
      <c r="V187" s="377"/>
      <c r="W187" s="377"/>
      <c r="X187" s="377"/>
      <c r="Y187" s="377"/>
      <c r="Z187" s="377"/>
      <c r="AA187" s="377"/>
      <c r="AB187" s="377"/>
      <c r="AC187" s="482"/>
      <c r="AD187" s="391"/>
      <c r="AE187" s="391"/>
      <c r="AF187" s="389"/>
    </row>
    <row r="188" spans="1:32" s="410" customFormat="1" x14ac:dyDescent="0.25">
      <c r="A188" s="377"/>
      <c r="B188" s="377"/>
      <c r="C188" s="377"/>
      <c r="D188" s="377"/>
      <c r="E188" s="377"/>
      <c r="F188" s="377"/>
      <c r="G188" s="377"/>
      <c r="H188" s="377"/>
      <c r="I188" s="377"/>
      <c r="L188" s="377"/>
      <c r="M188" s="392"/>
      <c r="N188" s="392"/>
      <c r="O188" s="377"/>
      <c r="R188" s="377"/>
      <c r="S188" s="377"/>
      <c r="T188" s="377"/>
      <c r="U188" s="377"/>
      <c r="V188" s="377"/>
      <c r="W188" s="377"/>
      <c r="X188" s="377"/>
      <c r="Y188" s="377"/>
      <c r="Z188" s="377"/>
      <c r="AA188" s="377"/>
      <c r="AB188" s="377"/>
      <c r="AC188" s="482"/>
      <c r="AD188" s="391"/>
      <c r="AE188" s="391"/>
      <c r="AF188" s="389"/>
    </row>
    <row r="189" spans="1:32" s="410" customFormat="1" x14ac:dyDescent="0.25">
      <c r="A189" s="377"/>
      <c r="B189" s="377"/>
      <c r="C189" s="377"/>
      <c r="D189" s="377"/>
      <c r="E189" s="377"/>
      <c r="F189" s="377"/>
      <c r="G189" s="377"/>
      <c r="H189" s="377"/>
      <c r="I189" s="377"/>
      <c r="L189" s="377"/>
      <c r="M189" s="392"/>
      <c r="N189" s="392"/>
      <c r="O189" s="377"/>
      <c r="R189" s="377"/>
      <c r="S189" s="377"/>
      <c r="T189" s="377"/>
      <c r="U189" s="377"/>
      <c r="V189" s="377"/>
      <c r="W189" s="377"/>
      <c r="X189" s="377"/>
      <c r="Y189" s="377"/>
      <c r="Z189" s="377"/>
      <c r="AA189" s="377"/>
      <c r="AB189" s="377"/>
      <c r="AC189" s="482"/>
      <c r="AD189" s="394"/>
      <c r="AE189" s="394"/>
      <c r="AF189" s="377"/>
    </row>
    <row r="190" spans="1:32" s="410" customFormat="1" x14ac:dyDescent="0.25">
      <c r="A190" s="377"/>
      <c r="B190" s="377"/>
      <c r="C190" s="377"/>
      <c r="D190" s="377"/>
      <c r="E190" s="377"/>
      <c r="F190" s="377"/>
      <c r="G190" s="377"/>
      <c r="H190" s="377"/>
      <c r="I190" s="377"/>
      <c r="L190" s="377"/>
      <c r="M190" s="392"/>
      <c r="N190" s="392"/>
      <c r="O190" s="377"/>
      <c r="R190" s="377"/>
      <c r="S190" s="377"/>
      <c r="T190" s="377"/>
      <c r="U190" s="377"/>
      <c r="V190" s="377"/>
      <c r="W190" s="377"/>
      <c r="X190" s="377"/>
      <c r="Y190" s="377"/>
      <c r="Z190" s="377"/>
      <c r="AA190" s="377"/>
      <c r="AB190" s="377"/>
      <c r="AC190" s="482"/>
      <c r="AD190" s="395"/>
      <c r="AE190" s="395"/>
      <c r="AF190" s="390"/>
    </row>
    <row r="191" spans="1:32" s="410" customFormat="1" x14ac:dyDescent="0.25">
      <c r="A191" s="377"/>
      <c r="B191" s="377"/>
      <c r="C191" s="377"/>
      <c r="D191" s="377"/>
      <c r="E191" s="377"/>
      <c r="F191" s="377"/>
      <c r="G191" s="377"/>
      <c r="H191" s="377"/>
      <c r="I191" s="377"/>
      <c r="L191" s="377"/>
      <c r="M191" s="392"/>
      <c r="N191" s="392"/>
      <c r="O191" s="377"/>
      <c r="R191" s="377"/>
      <c r="S191" s="377"/>
      <c r="T191" s="377"/>
      <c r="U191" s="377"/>
      <c r="V191" s="377"/>
      <c r="W191" s="377"/>
      <c r="X191" s="377"/>
      <c r="Y191" s="377"/>
      <c r="Z191" s="377"/>
      <c r="AA191" s="377"/>
      <c r="AB191" s="377"/>
      <c r="AC191" s="482"/>
      <c r="AD191" s="395"/>
      <c r="AE191" s="395"/>
      <c r="AF191" s="391"/>
    </row>
    <row r="192" spans="1:32" s="410" customFormat="1" x14ac:dyDescent="0.25">
      <c r="A192" s="377"/>
      <c r="B192" s="377"/>
      <c r="C192" s="377"/>
      <c r="D192" s="377"/>
      <c r="E192" s="377"/>
      <c r="F192" s="377"/>
      <c r="G192" s="377"/>
      <c r="H192" s="377"/>
      <c r="I192" s="377"/>
      <c r="L192" s="377"/>
      <c r="M192" s="392"/>
      <c r="N192" s="392"/>
      <c r="O192" s="377"/>
      <c r="R192" s="377"/>
      <c r="S192" s="377"/>
      <c r="T192" s="377"/>
      <c r="U192" s="377"/>
      <c r="V192" s="377"/>
      <c r="W192" s="377"/>
      <c r="X192" s="377"/>
      <c r="Y192" s="377"/>
      <c r="Z192" s="377"/>
      <c r="AA192" s="377"/>
      <c r="AB192" s="377"/>
      <c r="AC192" s="482"/>
      <c r="AD192" s="395"/>
      <c r="AE192" s="395"/>
      <c r="AF192" s="391"/>
    </row>
    <row r="193" spans="1:32" s="410" customFormat="1" x14ac:dyDescent="0.25">
      <c r="A193" s="377"/>
      <c r="B193" s="377"/>
      <c r="C193" s="377"/>
      <c r="D193" s="377"/>
      <c r="E193" s="377"/>
      <c r="F193" s="377"/>
      <c r="G193" s="377"/>
      <c r="H193" s="377"/>
      <c r="I193" s="377"/>
      <c r="L193" s="377"/>
      <c r="M193" s="392"/>
      <c r="N193" s="392"/>
      <c r="O193" s="377"/>
      <c r="R193" s="377"/>
      <c r="S193" s="377"/>
      <c r="T193" s="377"/>
      <c r="U193" s="377"/>
      <c r="V193" s="377"/>
      <c r="W193" s="377"/>
      <c r="X193" s="377"/>
      <c r="Y193" s="377"/>
      <c r="Z193" s="377"/>
      <c r="AA193" s="377"/>
      <c r="AB193" s="377"/>
      <c r="AC193" s="482"/>
      <c r="AD193" s="395"/>
      <c r="AE193" s="395"/>
      <c r="AF193" s="391"/>
    </row>
    <row r="194" spans="1:32" s="410" customFormat="1" x14ac:dyDescent="0.25">
      <c r="A194" s="377"/>
      <c r="B194" s="377"/>
      <c r="C194" s="377"/>
      <c r="D194" s="377"/>
      <c r="E194" s="377"/>
      <c r="F194" s="377"/>
      <c r="G194" s="377"/>
      <c r="H194" s="377"/>
      <c r="I194" s="377"/>
      <c r="L194" s="377"/>
      <c r="M194" s="392"/>
      <c r="N194" s="392"/>
      <c r="O194" s="377"/>
      <c r="R194" s="377"/>
      <c r="S194" s="377"/>
      <c r="T194" s="377"/>
      <c r="U194" s="377"/>
      <c r="V194" s="377"/>
      <c r="W194" s="377"/>
      <c r="X194" s="377"/>
      <c r="Y194" s="377"/>
      <c r="Z194" s="377"/>
      <c r="AA194" s="377"/>
      <c r="AB194" s="377"/>
      <c r="AC194" s="482"/>
      <c r="AD194" s="395"/>
      <c r="AE194" s="398"/>
      <c r="AF194" s="391"/>
    </row>
    <row r="195" spans="1:32" s="410" customFormat="1" x14ac:dyDescent="0.25">
      <c r="A195" s="377"/>
      <c r="B195" s="377"/>
      <c r="C195" s="377"/>
      <c r="D195" s="377"/>
      <c r="E195" s="377"/>
      <c r="F195" s="377"/>
      <c r="G195" s="377"/>
      <c r="H195" s="377"/>
      <c r="I195" s="377"/>
      <c r="L195" s="377"/>
      <c r="M195" s="392"/>
      <c r="N195" s="392"/>
      <c r="O195" s="377"/>
      <c r="R195" s="377"/>
      <c r="S195" s="377"/>
      <c r="T195" s="377"/>
      <c r="U195" s="377"/>
      <c r="V195" s="377"/>
      <c r="W195" s="377"/>
      <c r="X195" s="377"/>
      <c r="Y195" s="377"/>
      <c r="Z195" s="377"/>
      <c r="AA195" s="377"/>
      <c r="AB195" s="377"/>
      <c r="AC195" s="482"/>
      <c r="AD195" s="395"/>
      <c r="AE195" s="398"/>
      <c r="AF195" s="391"/>
    </row>
    <row r="196" spans="1:32" s="410" customFormat="1" x14ac:dyDescent="0.25">
      <c r="A196" s="377"/>
      <c r="B196" s="377"/>
      <c r="C196" s="377"/>
      <c r="D196" s="377"/>
      <c r="E196" s="377"/>
      <c r="F196" s="377"/>
      <c r="G196" s="377"/>
      <c r="H196" s="377"/>
      <c r="I196" s="377"/>
      <c r="L196" s="377"/>
      <c r="M196" s="392"/>
      <c r="N196" s="392"/>
      <c r="O196" s="377"/>
      <c r="R196" s="377"/>
      <c r="S196" s="377"/>
      <c r="T196" s="377"/>
      <c r="U196" s="377"/>
      <c r="V196" s="377"/>
      <c r="W196" s="377"/>
      <c r="X196" s="377"/>
      <c r="Y196" s="377"/>
      <c r="Z196" s="377"/>
      <c r="AA196" s="377"/>
      <c r="AB196" s="377"/>
      <c r="AC196" s="482"/>
      <c r="AD196" s="395"/>
      <c r="AE196" s="398"/>
      <c r="AF196" s="391"/>
    </row>
    <row r="197" spans="1:32" s="410" customFormat="1" x14ac:dyDescent="0.25">
      <c r="A197" s="377"/>
      <c r="B197" s="377"/>
      <c r="C197" s="377"/>
      <c r="D197" s="377"/>
      <c r="E197" s="377"/>
      <c r="F197" s="377"/>
      <c r="G197" s="377"/>
      <c r="H197" s="377"/>
      <c r="I197" s="377"/>
      <c r="L197" s="377"/>
      <c r="M197" s="392"/>
      <c r="N197" s="392"/>
      <c r="O197" s="377"/>
      <c r="R197" s="377"/>
      <c r="S197" s="377"/>
      <c r="T197" s="377"/>
      <c r="U197" s="377"/>
      <c r="V197" s="377"/>
      <c r="W197" s="377"/>
      <c r="X197" s="377"/>
      <c r="Y197" s="377"/>
      <c r="Z197" s="377"/>
      <c r="AA197" s="377"/>
      <c r="AB197" s="377"/>
      <c r="AC197" s="482"/>
      <c r="AD197" s="395"/>
      <c r="AE197" s="398"/>
      <c r="AF197" s="391"/>
    </row>
    <row r="198" spans="1:32" s="410" customFormat="1" x14ac:dyDescent="0.25">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5"/>
      <c r="AE198" s="398"/>
      <c r="AF198" s="393"/>
    </row>
    <row r="199" spans="1:32" s="410" customFormat="1" x14ac:dyDescent="0.25">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8"/>
      <c r="AE199" s="398"/>
      <c r="AF199" s="395"/>
    </row>
    <row r="200" spans="1:32" s="410" customFormat="1" x14ac:dyDescent="0.25">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8"/>
      <c r="AE200" s="398"/>
      <c r="AF200" s="395"/>
    </row>
    <row r="201" spans="1:32" s="410" customFormat="1" x14ac:dyDescent="0.25">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8"/>
      <c r="AE201" s="398"/>
      <c r="AF201" s="395"/>
    </row>
    <row r="202" spans="1:32" s="410" customFormat="1" x14ac:dyDescent="0.25">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8"/>
      <c r="AE202" s="398"/>
      <c r="AF202" s="395"/>
    </row>
    <row r="203" spans="1:32" s="410" customFormat="1" x14ac:dyDescent="0.25">
      <c r="A203" s="377"/>
      <c r="B203" s="377"/>
      <c r="C203" s="377"/>
      <c r="D203" s="377"/>
      <c r="E203" s="377"/>
      <c r="F203" s="377"/>
      <c r="G203" s="377"/>
      <c r="H203" s="377"/>
      <c r="I203" s="377"/>
      <c r="L203" s="377"/>
      <c r="M203" s="392"/>
      <c r="N203" s="392"/>
      <c r="O203" s="377"/>
      <c r="P203" s="377"/>
      <c r="Q203" s="377"/>
      <c r="R203" s="377"/>
      <c r="S203" s="377"/>
      <c r="T203" s="377"/>
      <c r="U203" s="377"/>
      <c r="V203" s="377"/>
      <c r="W203" s="377"/>
      <c r="X203" s="377"/>
      <c r="Y203" s="377"/>
      <c r="Z203" s="377"/>
      <c r="AA203" s="377"/>
      <c r="AB203" s="377"/>
      <c r="AC203" s="482"/>
      <c r="AD203" s="398"/>
      <c r="AE203" s="398"/>
      <c r="AF203" s="396"/>
    </row>
    <row r="204" spans="1:32" s="410" customFormat="1" x14ac:dyDescent="0.25">
      <c r="A204" s="377"/>
      <c r="B204" s="377"/>
      <c r="C204" s="377"/>
      <c r="D204" s="377"/>
      <c r="E204" s="377"/>
      <c r="F204" s="377"/>
      <c r="G204" s="377"/>
      <c r="H204" s="377"/>
      <c r="I204" s="377"/>
      <c r="L204" s="377"/>
      <c r="M204" s="392"/>
      <c r="N204" s="392"/>
      <c r="O204" s="377"/>
      <c r="P204" s="377"/>
      <c r="Q204" s="377"/>
      <c r="R204" s="377"/>
      <c r="S204" s="377"/>
      <c r="T204" s="377"/>
      <c r="U204" s="377"/>
      <c r="V204" s="377"/>
      <c r="W204" s="377"/>
      <c r="X204" s="377"/>
      <c r="Y204" s="377"/>
      <c r="Z204" s="377"/>
      <c r="AA204" s="377"/>
      <c r="AB204" s="377"/>
      <c r="AC204" s="482"/>
      <c r="AD204" s="396"/>
      <c r="AE204" s="397"/>
      <c r="AF204" s="391"/>
    </row>
    <row r="205" spans="1:32" s="410" customFormat="1" x14ac:dyDescent="0.25">
      <c r="A205" s="377"/>
      <c r="B205" s="377"/>
      <c r="C205" s="377"/>
      <c r="D205" s="377"/>
      <c r="E205" s="377"/>
      <c r="F205" s="377"/>
      <c r="G205" s="377"/>
      <c r="H205" s="377"/>
      <c r="I205" s="377"/>
      <c r="L205" s="377"/>
      <c r="M205" s="392"/>
      <c r="N205" s="392"/>
      <c r="O205" s="377"/>
      <c r="P205" s="377"/>
      <c r="Q205" s="377"/>
      <c r="R205" s="377"/>
      <c r="S205" s="377"/>
      <c r="T205" s="377"/>
      <c r="U205" s="377"/>
      <c r="V205" s="377"/>
      <c r="W205" s="377"/>
      <c r="X205" s="377"/>
      <c r="Y205" s="377"/>
      <c r="Z205" s="377"/>
      <c r="AA205" s="377"/>
      <c r="AB205" s="377"/>
      <c r="AC205" s="482"/>
      <c r="AD205" s="396"/>
      <c r="AE205" s="396"/>
      <c r="AF205" s="393"/>
    </row>
    <row r="206" spans="1:32" s="410" customFormat="1" x14ac:dyDescent="0.25">
      <c r="A206" s="377"/>
      <c r="B206" s="377"/>
      <c r="C206" s="377"/>
      <c r="D206" s="377"/>
      <c r="E206" s="377"/>
      <c r="F206" s="377"/>
      <c r="G206" s="377"/>
      <c r="H206" s="377"/>
      <c r="I206" s="377"/>
      <c r="L206" s="377"/>
      <c r="M206" s="392"/>
      <c r="N206" s="392"/>
      <c r="O206" s="377"/>
      <c r="P206" s="377"/>
      <c r="Q206" s="377"/>
      <c r="R206" s="377"/>
      <c r="S206" s="377"/>
      <c r="T206" s="377"/>
      <c r="U206" s="377"/>
      <c r="V206" s="377"/>
      <c r="W206" s="377"/>
      <c r="X206" s="377"/>
      <c r="Y206" s="377"/>
      <c r="Z206" s="377"/>
      <c r="AA206" s="377"/>
      <c r="AB206" s="377"/>
      <c r="AC206" s="482"/>
      <c r="AD206" s="396"/>
      <c r="AE206" s="399"/>
      <c r="AF206" s="395"/>
    </row>
    <row r="207" spans="1:32" s="410" customFormat="1" x14ac:dyDescent="0.25">
      <c r="A207" s="377"/>
      <c r="B207" s="377"/>
      <c r="C207" s="377"/>
      <c r="D207" s="377"/>
      <c r="E207" s="377"/>
      <c r="F207" s="377"/>
      <c r="G207" s="377"/>
      <c r="H207" s="377"/>
      <c r="I207" s="377"/>
      <c r="L207" s="377"/>
      <c r="M207" s="392"/>
      <c r="N207" s="392"/>
      <c r="O207" s="377"/>
      <c r="P207" s="377"/>
      <c r="Q207" s="377"/>
      <c r="R207" s="377"/>
      <c r="S207" s="377"/>
      <c r="T207" s="377"/>
      <c r="U207" s="377"/>
      <c r="V207" s="377"/>
      <c r="W207" s="377"/>
      <c r="X207" s="377"/>
      <c r="Y207" s="377"/>
      <c r="Z207" s="377"/>
      <c r="AA207" s="377"/>
      <c r="AB207" s="377"/>
      <c r="AC207" s="482"/>
      <c r="AD207" s="396"/>
      <c r="AE207" s="397"/>
      <c r="AF207" s="395"/>
    </row>
    <row r="208" spans="1:32" s="410" customFormat="1" x14ac:dyDescent="0.25">
      <c r="A208" s="377"/>
      <c r="B208" s="377"/>
      <c r="C208" s="377"/>
      <c r="D208" s="377"/>
      <c r="E208" s="377"/>
      <c r="F208" s="377"/>
      <c r="G208" s="377"/>
      <c r="H208" s="377"/>
      <c r="I208" s="377"/>
      <c r="L208" s="377"/>
      <c r="M208" s="392"/>
      <c r="N208" s="392"/>
      <c r="O208" s="377"/>
      <c r="P208" s="377"/>
      <c r="Q208" s="377"/>
      <c r="R208" s="377"/>
      <c r="S208" s="377"/>
      <c r="T208" s="377"/>
      <c r="U208" s="377"/>
      <c r="V208" s="377"/>
      <c r="W208" s="377"/>
      <c r="X208" s="377"/>
      <c r="Y208" s="377"/>
      <c r="Z208" s="377"/>
      <c r="AA208" s="377"/>
      <c r="AB208" s="377"/>
      <c r="AC208" s="482"/>
      <c r="AD208" s="396"/>
      <c r="AE208" s="397"/>
      <c r="AF208" s="395"/>
    </row>
    <row r="209" spans="1:32" s="410" customFormat="1" x14ac:dyDescent="0.25">
      <c r="A209" s="377"/>
      <c r="B209" s="377"/>
      <c r="C209" s="377"/>
      <c r="D209" s="377"/>
      <c r="E209" s="377"/>
      <c r="F209" s="377"/>
      <c r="G209" s="377"/>
      <c r="H209" s="377"/>
      <c r="I209" s="377"/>
      <c r="L209" s="377"/>
      <c r="M209" s="392"/>
      <c r="N209" s="392"/>
      <c r="O209" s="377"/>
      <c r="P209" s="377"/>
      <c r="Q209" s="377"/>
      <c r="R209" s="377"/>
      <c r="S209" s="377"/>
      <c r="T209" s="377"/>
      <c r="U209" s="377"/>
      <c r="V209" s="377"/>
      <c r="W209" s="377"/>
      <c r="X209" s="377"/>
      <c r="Y209" s="377"/>
      <c r="Z209" s="377"/>
      <c r="AA209" s="377"/>
      <c r="AB209" s="377"/>
      <c r="AC209" s="482"/>
      <c r="AD209" s="396"/>
      <c r="AE209" s="397"/>
      <c r="AF209" s="395"/>
    </row>
    <row r="210" spans="1:32" s="410" customFormat="1" ht="12.75" customHeight="1" x14ac:dyDescent="0.25">
      <c r="A210" s="377"/>
      <c r="B210" s="377"/>
      <c r="C210" s="377"/>
      <c r="D210" s="377"/>
      <c r="E210" s="377"/>
      <c r="F210" s="377"/>
      <c r="G210" s="377"/>
      <c r="H210" s="377"/>
      <c r="I210" s="377"/>
      <c r="L210" s="377"/>
      <c r="M210" s="392"/>
      <c r="N210" s="392"/>
      <c r="O210" s="377"/>
      <c r="P210" s="377"/>
      <c r="Q210" s="377"/>
      <c r="R210" s="377"/>
      <c r="S210" s="377"/>
      <c r="T210" s="377"/>
      <c r="U210" s="377"/>
      <c r="V210" s="377"/>
      <c r="W210" s="377"/>
      <c r="X210" s="377"/>
      <c r="Y210" s="377"/>
      <c r="Z210" s="377"/>
      <c r="AA210" s="377"/>
      <c r="AB210" s="377"/>
      <c r="AC210" s="482"/>
      <c r="AD210" s="396"/>
      <c r="AE210" s="396"/>
      <c r="AF210" s="395"/>
    </row>
    <row r="211" spans="1:32" s="410" customFormat="1" x14ac:dyDescent="0.25">
      <c r="A211" s="377"/>
      <c r="B211" s="377"/>
      <c r="C211" s="377"/>
      <c r="D211" s="377"/>
      <c r="E211" s="377"/>
      <c r="F211" s="377"/>
      <c r="G211" s="377"/>
      <c r="H211" s="377"/>
      <c r="I211" s="377"/>
      <c r="L211" s="377"/>
      <c r="M211" s="392"/>
      <c r="N211" s="392"/>
      <c r="O211" s="377"/>
      <c r="P211" s="377"/>
      <c r="Q211" s="377"/>
      <c r="R211" s="377"/>
      <c r="S211" s="377"/>
      <c r="T211" s="377"/>
      <c r="U211" s="377"/>
      <c r="V211" s="377"/>
      <c r="W211" s="377"/>
      <c r="X211" s="377"/>
      <c r="Y211" s="377"/>
      <c r="Z211" s="377"/>
      <c r="AA211" s="377"/>
      <c r="AB211" s="377"/>
      <c r="AC211" s="482"/>
      <c r="AD211" s="396"/>
      <c r="AE211" s="399"/>
      <c r="AF211" s="395"/>
    </row>
    <row r="212" spans="1:32" s="410" customForma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96"/>
      <c r="AE212" s="397"/>
      <c r="AF212" s="395"/>
    </row>
    <row r="213" spans="1:32" s="410" customForma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98"/>
      <c r="AE213" s="396"/>
      <c r="AF213" s="395"/>
    </row>
    <row r="214" spans="1:32" s="410" customForma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98"/>
      <c r="AE214" s="396"/>
      <c r="AF214" s="395"/>
    </row>
    <row r="215" spans="1:32" s="410" customForma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98"/>
      <c r="AE215" s="396"/>
      <c r="AF215" s="398"/>
    </row>
    <row r="216" spans="1:32" s="410" customForma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98"/>
    </row>
    <row r="217" spans="1:32" s="410" customForma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98"/>
    </row>
    <row r="218" spans="1:32" s="410" customForma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98"/>
    </row>
    <row r="219" spans="1:32" s="410" customForma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98"/>
    </row>
    <row r="220" spans="1:32" s="410" customForma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98"/>
    </row>
    <row r="221" spans="1:32" s="410" customFormat="1" ht="12" customHeigh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98"/>
    </row>
    <row r="222" spans="1:32" s="410" customFormat="1" ht="12" customHeigh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98"/>
    </row>
    <row r="223" spans="1:32" s="410" customFormat="1" ht="12" customHeigh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410" customFormat="1" ht="12" customHeigh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410" customFormat="1" ht="12" customHeigh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410" customFormat="1" ht="12" customHeigh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410" customFormat="1" ht="12" customHeigh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410" customFormat="1" ht="12" customHeigh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410" customFormat="1" ht="12" customHeigh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410" customFormat="1" ht="12" customHeigh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410" customFormat="1" ht="12" customHeigh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410" customFormat="1" ht="12" customHeigh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410" customFormat="1" ht="12" customHeigh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410" customFormat="1" ht="12" customHeigh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c r="AG240" s="410"/>
    </row>
    <row r="241" spans="1:33"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c r="AG241" s="410"/>
    </row>
    <row r="242" spans="1:33"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c r="AG242" s="410"/>
    </row>
    <row r="243" spans="1:33"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c r="AG243" s="410"/>
    </row>
    <row r="244" spans="1:33"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c r="AG244" s="410"/>
    </row>
    <row r="245" spans="1:33"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G245" s="410"/>
    </row>
    <row r="246" spans="1:33"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0"/>
    </row>
    <row r="247" spans="1:33"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0"/>
    </row>
    <row r="248" spans="1:33"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0"/>
    </row>
    <row r="249" spans="1:33"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0"/>
    </row>
    <row r="250" spans="1:33"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3"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3"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3"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3"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3"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3"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row>
    <row r="264" spans="1:34" s="360" customForma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H267" s="405"/>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411"/>
      <c r="AH268" s="405"/>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411"/>
      <c r="AH269" s="407"/>
    </row>
    <row r="270" spans="1:34" s="360"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411"/>
      <c r="AH270" s="405"/>
    </row>
    <row r="271" spans="1:34" s="360" customFormat="1" ht="14.25" customHeigh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411"/>
      <c r="AH271" s="404"/>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H272" s="404"/>
    </row>
    <row r="273" spans="1:34" s="412" customFormat="1" ht="12" customHeigh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60"/>
      <c r="AH273" s="405"/>
    </row>
    <row r="274" spans="1:34" s="360" customForma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H274" s="405"/>
    </row>
    <row r="275" spans="1:34" s="360" customFormat="1" ht="17.25" customHeigh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H275" s="405"/>
    </row>
    <row r="276" spans="1:34" s="360" customForma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H276" s="395"/>
    </row>
    <row r="277" spans="1:34" s="360"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404"/>
      <c r="AH277" s="376"/>
    </row>
    <row r="278" spans="1:34" s="360" customForma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404"/>
      <c r="AH278" s="376"/>
    </row>
    <row r="279" spans="1:34" s="360" customFormat="1" ht="13.5" customHeigh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402"/>
      <c r="AH279" s="377"/>
    </row>
    <row r="280" spans="1:34" s="360"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75"/>
      <c r="AH280" s="377"/>
    </row>
    <row r="281" spans="1:34" s="360"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75"/>
      <c r="AH281" s="377"/>
    </row>
    <row r="282" spans="1:34" s="360" customForma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75"/>
      <c r="AH282" s="377"/>
    </row>
    <row r="283" spans="1:34" s="360" customForma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82"/>
      <c r="AH283" s="384"/>
    </row>
    <row r="284" spans="1:34" s="360" customFormat="1" ht="15.75" customHeigh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82"/>
      <c r="AH284" s="388"/>
    </row>
    <row r="285" spans="1:34" s="360" customFormat="1" ht="15.75" customHeight="1" x14ac:dyDescent="0.25">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82"/>
      <c r="AH285" s="377"/>
    </row>
    <row r="286" spans="1:34" s="360" customFormat="1" ht="12.75" customHeight="1" x14ac:dyDescent="0.25">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87"/>
      <c r="AH286" s="389"/>
    </row>
    <row r="287" spans="1:34" s="360" customFormat="1" x14ac:dyDescent="0.25">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88"/>
      <c r="AH287" s="389"/>
    </row>
    <row r="288" spans="1:34" s="360" customFormat="1" x14ac:dyDescent="0.25">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77"/>
      <c r="AH288" s="377"/>
    </row>
    <row r="289" spans="1:34" s="360" customFormat="1" x14ac:dyDescent="0.25">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89"/>
      <c r="AH289" s="390"/>
    </row>
    <row r="290" spans="1:34" s="360" customFormat="1" x14ac:dyDescent="0.25">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89"/>
      <c r="AH290" s="391"/>
    </row>
    <row r="291" spans="1:34" s="360" customFormat="1" x14ac:dyDescent="0.25">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77"/>
      <c r="AH291" s="391"/>
    </row>
    <row r="292" spans="1:34" s="360" customFormat="1" ht="14.25" customHeight="1" x14ac:dyDescent="0.25">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90"/>
      <c r="AH292" s="391"/>
    </row>
    <row r="293" spans="1:34" s="360" customForma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1"/>
      <c r="AH293" s="391"/>
    </row>
    <row r="294" spans="1:34" s="360"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1"/>
      <c r="AH294" s="391"/>
    </row>
    <row r="295" spans="1:34" s="383" customFormat="1" x14ac:dyDescent="0.25">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1"/>
      <c r="AH295" s="391"/>
    </row>
    <row r="296" spans="1:34" s="383" customFormat="1" ht="12" customHeigh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1"/>
    </row>
    <row r="297" spans="1:34" s="383" customForma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1"/>
    </row>
    <row r="298" spans="1:34" s="384" customFormat="1" ht="11.25" customHeight="1" x14ac:dyDescent="0.25">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1"/>
    </row>
    <row r="299" spans="1:34" s="388" customFormat="1" x14ac:dyDescent="0.25">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1"/>
    </row>
    <row r="300" spans="1:34" x14ac:dyDescent="0.25">
      <c r="AG300" s="393"/>
    </row>
    <row r="301" spans="1:34" s="389" customForma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5"/>
    </row>
    <row r="302" spans="1:34" s="389" customForma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5"/>
    </row>
    <row r="303" spans="1:34" x14ac:dyDescent="0.25">
      <c r="AG303" s="395"/>
    </row>
    <row r="304" spans="1:34" x14ac:dyDescent="0.25">
      <c r="AG304" s="395"/>
    </row>
    <row r="305" spans="1:33" s="392" customFormat="1" x14ac:dyDescent="0.25">
      <c r="A305" s="377"/>
      <c r="B305" s="377"/>
      <c r="C305" s="377"/>
      <c r="D305" s="377"/>
      <c r="E305" s="377"/>
      <c r="F305" s="377"/>
      <c r="G305" s="377"/>
      <c r="H305" s="377"/>
      <c r="I305" s="377"/>
      <c r="J305" s="377"/>
      <c r="K305" s="377"/>
      <c r="L305" s="377"/>
      <c r="O305" s="377"/>
      <c r="P305" s="377"/>
      <c r="Q305" s="377"/>
      <c r="R305" s="377"/>
      <c r="S305" s="377"/>
      <c r="T305" s="377"/>
      <c r="U305" s="377"/>
      <c r="V305" s="377"/>
      <c r="W305" s="377"/>
      <c r="X305" s="377"/>
      <c r="Y305" s="377"/>
      <c r="Z305" s="377"/>
      <c r="AA305" s="377"/>
      <c r="AB305" s="377"/>
      <c r="AC305" s="482"/>
      <c r="AD305" s="377"/>
      <c r="AE305" s="381"/>
      <c r="AF305" s="377"/>
      <c r="AG305" s="397"/>
    </row>
    <row r="306" spans="1:33" s="392" customFormat="1" x14ac:dyDescent="0.25">
      <c r="A306" s="377"/>
      <c r="B306" s="377"/>
      <c r="C306" s="377"/>
      <c r="D306" s="377"/>
      <c r="E306" s="377"/>
      <c r="F306" s="377"/>
      <c r="G306" s="377"/>
      <c r="H306" s="377"/>
      <c r="I306" s="377"/>
      <c r="J306" s="377"/>
      <c r="K306" s="377"/>
      <c r="L306" s="377"/>
      <c r="O306" s="377"/>
      <c r="P306" s="377"/>
      <c r="Q306" s="377"/>
      <c r="R306" s="377"/>
      <c r="S306" s="377"/>
      <c r="T306" s="377"/>
      <c r="U306" s="377"/>
      <c r="V306" s="377"/>
      <c r="W306" s="377"/>
      <c r="X306" s="377"/>
      <c r="Y306" s="377"/>
      <c r="Z306" s="377"/>
      <c r="AA306" s="377"/>
      <c r="AB306" s="377"/>
      <c r="AC306" s="482"/>
      <c r="AD306" s="377"/>
      <c r="AE306" s="381"/>
      <c r="AF306" s="377"/>
      <c r="AG306" s="383"/>
    </row>
    <row r="307" spans="1:33" s="392" customFormat="1" x14ac:dyDescent="0.25">
      <c r="A307" s="377"/>
      <c r="B307" s="377"/>
      <c r="C307" s="377"/>
      <c r="D307" s="377"/>
      <c r="E307" s="377"/>
      <c r="F307" s="377"/>
      <c r="G307" s="377"/>
      <c r="H307" s="377"/>
      <c r="I307" s="377"/>
      <c r="J307" s="377"/>
      <c r="K307" s="377"/>
      <c r="L307" s="377"/>
      <c r="O307" s="377"/>
      <c r="P307" s="377"/>
      <c r="Q307" s="377"/>
      <c r="R307" s="377"/>
      <c r="S307" s="377"/>
      <c r="T307" s="377"/>
      <c r="U307" s="377"/>
      <c r="V307" s="377"/>
      <c r="W307" s="377"/>
      <c r="X307" s="377"/>
      <c r="Y307" s="377"/>
      <c r="Z307" s="377"/>
      <c r="AA307" s="377"/>
      <c r="AB307" s="377"/>
      <c r="AC307" s="482"/>
      <c r="AD307" s="377"/>
      <c r="AE307" s="381"/>
      <c r="AF307" s="377"/>
      <c r="AG307" s="383"/>
    </row>
    <row r="308" spans="1:33" s="392" customFormat="1" x14ac:dyDescent="0.25">
      <c r="A308" s="377"/>
      <c r="B308" s="377"/>
      <c r="C308" s="377"/>
      <c r="D308" s="377"/>
      <c r="E308" s="377"/>
      <c r="F308" s="377"/>
      <c r="G308" s="377"/>
      <c r="H308" s="377"/>
      <c r="I308" s="377"/>
      <c r="J308" s="377"/>
      <c r="K308" s="377"/>
      <c r="L308" s="377"/>
      <c r="O308" s="377"/>
      <c r="P308" s="377"/>
      <c r="Q308" s="377"/>
      <c r="R308" s="377"/>
      <c r="S308" s="377"/>
      <c r="T308" s="377"/>
      <c r="U308" s="377"/>
      <c r="V308" s="377"/>
      <c r="W308" s="377"/>
      <c r="X308" s="377"/>
      <c r="Y308" s="377"/>
      <c r="Z308" s="377"/>
      <c r="AA308" s="377"/>
      <c r="AB308" s="377"/>
      <c r="AC308" s="482"/>
      <c r="AD308" s="377"/>
      <c r="AE308" s="381"/>
      <c r="AF308" s="377"/>
      <c r="AG308" s="384"/>
    </row>
    <row r="309" spans="1:33" s="392" customFormat="1" x14ac:dyDescent="0.25">
      <c r="A309" s="377"/>
      <c r="B309" s="377"/>
      <c r="C309" s="377"/>
      <c r="D309" s="377"/>
      <c r="E309" s="377"/>
      <c r="F309" s="377"/>
      <c r="G309" s="377"/>
      <c r="H309" s="377"/>
      <c r="I309" s="377"/>
      <c r="J309" s="377"/>
      <c r="K309" s="377"/>
      <c r="L309" s="377"/>
      <c r="O309" s="377"/>
      <c r="P309" s="377"/>
      <c r="Q309" s="377"/>
      <c r="R309" s="377"/>
      <c r="S309" s="377"/>
      <c r="T309" s="377"/>
      <c r="U309" s="377"/>
      <c r="V309" s="377"/>
      <c r="W309" s="377"/>
      <c r="X309" s="377"/>
      <c r="Y309" s="377"/>
      <c r="Z309" s="377"/>
      <c r="AA309" s="377"/>
      <c r="AB309" s="377"/>
      <c r="AC309" s="482"/>
      <c r="AD309" s="377"/>
      <c r="AE309" s="381"/>
      <c r="AF309" s="377"/>
      <c r="AG309" s="388"/>
    </row>
    <row r="310" spans="1:33" s="392" customFormat="1" x14ac:dyDescent="0.25">
      <c r="A310" s="377"/>
      <c r="B310" s="377"/>
      <c r="C310" s="377"/>
      <c r="D310" s="377"/>
      <c r="E310" s="377"/>
      <c r="F310" s="377"/>
      <c r="G310" s="377"/>
      <c r="H310" s="377"/>
      <c r="I310" s="377"/>
      <c r="J310" s="377"/>
      <c r="K310" s="377"/>
      <c r="L310" s="377"/>
      <c r="O310" s="377"/>
      <c r="P310" s="377"/>
      <c r="Q310" s="377"/>
      <c r="R310" s="377"/>
      <c r="S310" s="377"/>
      <c r="T310" s="377"/>
      <c r="U310" s="377"/>
      <c r="V310" s="377"/>
      <c r="W310" s="377"/>
      <c r="X310" s="377"/>
      <c r="Y310" s="377"/>
      <c r="Z310" s="377"/>
      <c r="AA310" s="377"/>
      <c r="AB310" s="377"/>
      <c r="AC310" s="482"/>
      <c r="AD310" s="377"/>
      <c r="AE310" s="381"/>
      <c r="AF310" s="377"/>
      <c r="AG310" s="377"/>
    </row>
    <row r="311" spans="1:33" s="392" customFormat="1" x14ac:dyDescent="0.25">
      <c r="A311" s="377"/>
      <c r="B311" s="377"/>
      <c r="C311" s="377"/>
      <c r="D311" s="377"/>
      <c r="E311" s="377"/>
      <c r="F311" s="377"/>
      <c r="G311" s="377"/>
      <c r="H311" s="377"/>
      <c r="I311" s="377"/>
      <c r="J311" s="377"/>
      <c r="K311" s="377"/>
      <c r="L311" s="377"/>
      <c r="O311" s="377"/>
      <c r="P311" s="377"/>
      <c r="Q311" s="377"/>
      <c r="R311" s="377"/>
      <c r="S311" s="377"/>
      <c r="T311" s="377"/>
      <c r="U311" s="377"/>
      <c r="V311" s="377"/>
      <c r="W311" s="377"/>
      <c r="X311" s="377"/>
      <c r="Y311" s="377"/>
      <c r="Z311" s="377"/>
      <c r="AA311" s="377"/>
      <c r="AB311" s="377"/>
      <c r="AC311" s="482"/>
      <c r="AD311" s="377"/>
      <c r="AE311" s="381"/>
      <c r="AF311" s="377"/>
      <c r="AG311" s="389"/>
    </row>
    <row r="312" spans="1:33" s="392" customFormat="1" x14ac:dyDescent="0.25">
      <c r="A312" s="377"/>
      <c r="B312" s="377"/>
      <c r="C312" s="377"/>
      <c r="D312" s="377"/>
      <c r="E312" s="377"/>
      <c r="F312" s="377"/>
      <c r="G312" s="377"/>
      <c r="H312" s="377"/>
      <c r="I312" s="377"/>
      <c r="J312" s="377"/>
      <c r="K312" s="377"/>
      <c r="L312" s="377"/>
      <c r="O312" s="377"/>
      <c r="P312" s="377"/>
      <c r="Q312" s="377"/>
      <c r="R312" s="377"/>
      <c r="S312" s="377"/>
      <c r="T312" s="377"/>
      <c r="U312" s="377"/>
      <c r="V312" s="377"/>
      <c r="W312" s="377"/>
      <c r="X312" s="377"/>
      <c r="Y312" s="377"/>
      <c r="Z312" s="377"/>
      <c r="AA312" s="377"/>
      <c r="AB312" s="377"/>
      <c r="AC312" s="482"/>
      <c r="AD312" s="377"/>
      <c r="AE312" s="381"/>
      <c r="AF312" s="377"/>
      <c r="AG312" s="389"/>
    </row>
    <row r="314" spans="1:33" s="390"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77"/>
    </row>
    <row r="315" spans="1:33" s="391" customForma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2"/>
    </row>
    <row r="316" spans="1:33" s="391" customForma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2"/>
    </row>
    <row r="317" spans="1:33" s="391" customForma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2"/>
    </row>
    <row r="318" spans="1:33" s="391" customForma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2"/>
    </row>
    <row r="319" spans="1:33" s="391" customForma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2"/>
    </row>
    <row r="320" spans="1:33" s="391" customForma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2"/>
    </row>
    <row r="321" spans="1:33" s="391" customForma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2"/>
    </row>
    <row r="322" spans="1:33" s="394" customFormat="1" x14ac:dyDescent="0.25">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2"/>
    </row>
    <row r="323" spans="1:33" s="395" customFormat="1" ht="12.75" customHeight="1" x14ac:dyDescent="0.25">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77"/>
    </row>
    <row r="324" spans="1:33" s="395" customFormat="1" ht="12.75" customHeight="1" x14ac:dyDescent="0.25">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0"/>
    </row>
    <row r="325" spans="1:33" s="395" customFormat="1" ht="12.75" customHeight="1" x14ac:dyDescent="0.25">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1"/>
    </row>
    <row r="326" spans="1:33" s="395" customFormat="1" ht="12.75" customHeight="1" x14ac:dyDescent="0.25">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1"/>
    </row>
    <row r="327" spans="1:33" s="395" customFormat="1" ht="12.75" customHeight="1" x14ac:dyDescent="0.25">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1"/>
    </row>
    <row r="328" spans="1:33" s="395" customFormat="1" ht="12.75" customHeight="1" x14ac:dyDescent="0.25">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1"/>
    </row>
    <row r="329" spans="1:33" s="395" customFormat="1" ht="12.75" customHeight="1" x14ac:dyDescent="0.25">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1"/>
    </row>
    <row r="330" spans="1:33" s="395" customFormat="1" ht="12.75" customHeight="1" x14ac:dyDescent="0.25">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1"/>
    </row>
    <row r="331" spans="1:33" s="395" customFormat="1" ht="12.75" customHeight="1" x14ac:dyDescent="0.25">
      <c r="A331" s="377"/>
      <c r="B331" s="377"/>
      <c r="C331" s="377"/>
      <c r="D331" s="377"/>
      <c r="E331" s="377"/>
      <c r="F331" s="377"/>
      <c r="G331" s="377"/>
      <c r="H331" s="377"/>
      <c r="I331" s="377"/>
      <c r="J331" s="377"/>
      <c r="K331" s="377"/>
      <c r="L331" s="377"/>
      <c r="M331" s="392"/>
      <c r="N331" s="392"/>
      <c r="O331" s="377"/>
      <c r="P331" s="377"/>
      <c r="Q331" s="377"/>
      <c r="R331" s="377"/>
      <c r="S331" s="377"/>
      <c r="T331" s="377"/>
      <c r="U331" s="377"/>
      <c r="V331" s="377"/>
      <c r="W331" s="377"/>
      <c r="X331" s="377"/>
      <c r="Y331" s="377"/>
      <c r="Z331" s="377"/>
      <c r="AA331" s="377"/>
      <c r="AB331" s="377"/>
      <c r="AC331" s="482"/>
      <c r="AD331" s="377"/>
      <c r="AE331" s="381"/>
      <c r="AF331" s="377"/>
      <c r="AG331" s="391"/>
    </row>
    <row r="332" spans="1:33" s="398" customFormat="1" x14ac:dyDescent="0.25">
      <c r="A332" s="377"/>
      <c r="B332" s="377"/>
      <c r="C332" s="377"/>
      <c r="D332" s="377"/>
      <c r="E332" s="377"/>
      <c r="F332" s="377"/>
      <c r="G332" s="377"/>
      <c r="H332" s="377"/>
      <c r="I332" s="377"/>
      <c r="J332" s="377"/>
      <c r="K332" s="377"/>
      <c r="L332" s="377"/>
      <c r="M332" s="392"/>
      <c r="N332" s="392"/>
      <c r="O332" s="377"/>
      <c r="P332" s="377"/>
      <c r="Q332" s="377"/>
      <c r="R332" s="377"/>
      <c r="S332" s="377"/>
      <c r="T332" s="377"/>
      <c r="U332" s="377"/>
      <c r="V332" s="377"/>
      <c r="W332" s="377"/>
      <c r="X332" s="377"/>
      <c r="Y332" s="377"/>
      <c r="Z332" s="377"/>
      <c r="AA332" s="377"/>
      <c r="AB332" s="377"/>
      <c r="AC332" s="482"/>
      <c r="AD332" s="377"/>
      <c r="AE332" s="381"/>
      <c r="AF332" s="377"/>
      <c r="AG332" s="394"/>
    </row>
    <row r="333" spans="1:33" s="398" customFormat="1" x14ac:dyDescent="0.25">
      <c r="A333" s="377"/>
      <c r="B333" s="377"/>
      <c r="C333" s="377"/>
      <c r="D333" s="377"/>
      <c r="E333" s="377"/>
      <c r="F333" s="377"/>
      <c r="G333" s="377"/>
      <c r="H333" s="377"/>
      <c r="I333" s="377"/>
      <c r="J333" s="377"/>
      <c r="K333" s="377"/>
      <c r="L333" s="377"/>
      <c r="M333" s="392"/>
      <c r="N333" s="392"/>
      <c r="O333" s="377"/>
      <c r="P333" s="377"/>
      <c r="Q333" s="377"/>
      <c r="R333" s="377"/>
      <c r="S333" s="377"/>
      <c r="T333" s="377"/>
      <c r="U333" s="377"/>
      <c r="V333" s="377"/>
      <c r="W333" s="377"/>
      <c r="X333" s="377"/>
      <c r="Y333" s="377"/>
      <c r="Z333" s="377"/>
      <c r="AA333" s="377"/>
      <c r="AB333" s="377"/>
      <c r="AC333" s="482"/>
      <c r="AD333" s="377"/>
      <c r="AE333" s="381"/>
      <c r="AF333" s="377"/>
      <c r="AG333" s="395"/>
    </row>
    <row r="334" spans="1:33" s="398" customFormat="1" x14ac:dyDescent="0.25">
      <c r="A334" s="377"/>
      <c r="B334" s="377"/>
      <c r="C334" s="377"/>
      <c r="D334" s="377"/>
      <c r="E334" s="377"/>
      <c r="F334" s="377"/>
      <c r="G334" s="377"/>
      <c r="H334" s="377"/>
      <c r="I334" s="377"/>
      <c r="J334" s="377"/>
      <c r="K334" s="377"/>
      <c r="L334" s="377"/>
      <c r="M334" s="392"/>
      <c r="N334" s="392"/>
      <c r="O334" s="377"/>
      <c r="P334" s="377"/>
      <c r="Q334" s="377"/>
      <c r="R334" s="377"/>
      <c r="S334" s="377"/>
      <c r="T334" s="377"/>
      <c r="U334" s="377"/>
      <c r="V334" s="377"/>
      <c r="W334" s="377"/>
      <c r="X334" s="377"/>
      <c r="Y334" s="377"/>
      <c r="Z334" s="377"/>
      <c r="AA334" s="377"/>
      <c r="AB334" s="377"/>
      <c r="AC334" s="482"/>
      <c r="AD334" s="377"/>
      <c r="AE334" s="381"/>
      <c r="AF334" s="377"/>
      <c r="AG334" s="395"/>
    </row>
    <row r="335" spans="1:33" s="398" customFormat="1" x14ac:dyDescent="0.25">
      <c r="A335" s="377"/>
      <c r="B335" s="377"/>
      <c r="C335" s="377"/>
      <c r="D335" s="377"/>
      <c r="E335" s="377"/>
      <c r="F335" s="377"/>
      <c r="G335" s="377"/>
      <c r="H335" s="377"/>
      <c r="I335" s="377"/>
      <c r="J335" s="377"/>
      <c r="K335" s="377"/>
      <c r="L335" s="377"/>
      <c r="M335" s="392"/>
      <c r="N335" s="392"/>
      <c r="O335" s="377"/>
      <c r="P335" s="377"/>
      <c r="Q335" s="377"/>
      <c r="R335" s="377"/>
      <c r="S335" s="377"/>
      <c r="T335" s="377"/>
      <c r="U335" s="377"/>
      <c r="V335" s="377"/>
      <c r="W335" s="377"/>
      <c r="X335" s="377"/>
      <c r="Y335" s="377"/>
      <c r="Z335" s="377"/>
      <c r="AA335" s="377"/>
      <c r="AB335" s="377"/>
      <c r="AC335" s="482"/>
      <c r="AD335" s="377"/>
      <c r="AE335" s="381"/>
      <c r="AF335" s="377"/>
      <c r="AG335" s="395"/>
    </row>
    <row r="336" spans="1:33" s="398" customFormat="1" x14ac:dyDescent="0.25">
      <c r="A336" s="377"/>
      <c r="B336" s="377"/>
      <c r="C336" s="377"/>
      <c r="D336" s="377"/>
      <c r="E336" s="377"/>
      <c r="F336" s="377"/>
      <c r="G336" s="377"/>
      <c r="H336" s="377"/>
      <c r="I336" s="377"/>
      <c r="J336" s="377"/>
      <c r="K336" s="377"/>
      <c r="L336" s="377"/>
      <c r="M336" s="392"/>
      <c r="N336" s="392"/>
      <c r="O336" s="377"/>
      <c r="P336" s="377"/>
      <c r="Q336" s="377"/>
      <c r="R336" s="377"/>
      <c r="S336" s="377"/>
      <c r="T336" s="377"/>
      <c r="U336" s="377"/>
      <c r="V336" s="377"/>
      <c r="W336" s="377"/>
      <c r="X336" s="377"/>
      <c r="Y336" s="377"/>
      <c r="Z336" s="377"/>
      <c r="AA336" s="377"/>
      <c r="AB336" s="377"/>
      <c r="AC336" s="482"/>
      <c r="AD336" s="377"/>
      <c r="AE336" s="381"/>
      <c r="AF336" s="377"/>
      <c r="AG336" s="395"/>
    </row>
    <row r="337" spans="1:33" s="398" customFormat="1" x14ac:dyDescent="0.25">
      <c r="A337" s="377"/>
      <c r="B337" s="377"/>
      <c r="C337" s="377"/>
      <c r="D337" s="377"/>
      <c r="E337" s="377"/>
      <c r="F337" s="377"/>
      <c r="G337" s="377"/>
      <c r="H337" s="377"/>
      <c r="I337" s="377"/>
      <c r="J337" s="377"/>
      <c r="K337" s="377"/>
      <c r="L337" s="377"/>
      <c r="M337" s="392"/>
      <c r="N337" s="392"/>
      <c r="O337" s="377"/>
      <c r="P337" s="377"/>
      <c r="Q337" s="377"/>
      <c r="R337" s="377"/>
      <c r="S337" s="377"/>
      <c r="T337" s="377"/>
      <c r="U337" s="377"/>
      <c r="V337" s="377"/>
      <c r="W337" s="377"/>
      <c r="X337" s="377"/>
      <c r="Y337" s="377"/>
      <c r="Z337" s="377"/>
      <c r="AA337" s="377"/>
      <c r="AB337" s="377"/>
      <c r="AC337" s="482"/>
      <c r="AD337" s="377"/>
      <c r="AE337" s="381"/>
      <c r="AF337" s="377"/>
      <c r="AG337" s="395"/>
    </row>
    <row r="338" spans="1:33" s="398" customFormat="1" x14ac:dyDescent="0.25">
      <c r="A338" s="377"/>
      <c r="B338" s="377"/>
      <c r="C338" s="377"/>
      <c r="D338" s="377"/>
      <c r="E338" s="377"/>
      <c r="F338" s="377"/>
      <c r="G338" s="377"/>
      <c r="H338" s="377"/>
      <c r="I338" s="377"/>
      <c r="J338" s="377"/>
      <c r="K338" s="377"/>
      <c r="L338" s="377"/>
      <c r="M338" s="392"/>
      <c r="N338" s="392"/>
      <c r="O338" s="377"/>
      <c r="P338" s="377"/>
      <c r="Q338" s="377"/>
      <c r="R338" s="377"/>
      <c r="S338" s="377"/>
      <c r="T338" s="377"/>
      <c r="U338" s="377"/>
      <c r="V338" s="377"/>
      <c r="W338" s="377"/>
      <c r="X338" s="377"/>
      <c r="Y338" s="377"/>
      <c r="Z338" s="377"/>
      <c r="AA338" s="377"/>
      <c r="AB338" s="377"/>
      <c r="AC338" s="482"/>
      <c r="AD338" s="377"/>
      <c r="AE338" s="381"/>
      <c r="AF338" s="377"/>
      <c r="AG338" s="395"/>
    </row>
    <row r="339" spans="1:33" s="398" customFormat="1" x14ac:dyDescent="0.25">
      <c r="A339" s="377"/>
      <c r="B339" s="377"/>
      <c r="C339" s="377"/>
      <c r="D339" s="377"/>
      <c r="E339" s="377"/>
      <c r="F339" s="377"/>
      <c r="G339" s="377"/>
      <c r="H339" s="377"/>
      <c r="I339" s="377"/>
      <c r="J339" s="377"/>
      <c r="K339" s="377"/>
      <c r="L339" s="377"/>
      <c r="M339" s="392"/>
      <c r="N339" s="392"/>
      <c r="O339" s="377"/>
      <c r="P339" s="377"/>
      <c r="Q339" s="377"/>
      <c r="R339" s="377"/>
      <c r="S339" s="377"/>
      <c r="T339" s="377"/>
      <c r="U339" s="377"/>
      <c r="V339" s="377"/>
      <c r="W339" s="377"/>
      <c r="X339" s="377"/>
      <c r="Y339" s="377"/>
      <c r="Z339" s="377"/>
      <c r="AA339" s="377"/>
      <c r="AB339" s="377"/>
      <c r="AC339" s="482"/>
      <c r="AD339" s="377"/>
      <c r="AE339" s="381"/>
      <c r="AF339" s="377"/>
      <c r="AG339" s="395"/>
    </row>
    <row r="340" spans="1:33" x14ac:dyDescent="0.25">
      <c r="AG340" s="395"/>
    </row>
    <row r="341" spans="1:33" x14ac:dyDescent="0.25">
      <c r="AG341" s="395"/>
    </row>
    <row r="342" spans="1:33" x14ac:dyDescent="0.25">
      <c r="AG342" s="398"/>
    </row>
    <row r="343" spans="1:33" x14ac:dyDescent="0.25">
      <c r="AG343" s="398"/>
    </row>
    <row r="344" spans="1:33" x14ac:dyDescent="0.25">
      <c r="AG344" s="398"/>
    </row>
    <row r="345" spans="1:33" x14ac:dyDescent="0.25">
      <c r="AG345" s="398"/>
    </row>
    <row r="346" spans="1:33" x14ac:dyDescent="0.25">
      <c r="AG346" s="398"/>
    </row>
    <row r="347" spans="1:33" x14ac:dyDescent="0.25">
      <c r="AG347" s="398"/>
    </row>
    <row r="348" spans="1:33" x14ac:dyDescent="0.25">
      <c r="AG348" s="398"/>
    </row>
    <row r="349" spans="1:33" x14ac:dyDescent="0.25">
      <c r="AG349"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123</xdr:row>
                    <xdr:rowOff>167640</xdr:rowOff>
                  </from>
                  <to>
                    <xdr:col>12</xdr:col>
                    <xdr:colOff>99060</xdr:colOff>
                    <xdr:row>124</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8231.5593226674646</v>
      </c>
      <c r="F13" s="33">
        <f>(D13*$C$6)+(C13*$C$7)</f>
        <v>2.09</v>
      </c>
      <c r="G13" s="32">
        <f ca="1">E13*F13</f>
        <v>17203.958984375</v>
      </c>
      <c r="H13" s="33"/>
    </row>
    <row r="14" spans="1:8" x14ac:dyDescent="0.25">
      <c r="B14" s="238" t="s">
        <v>55</v>
      </c>
      <c r="C14" s="239">
        <v>1</v>
      </c>
      <c r="D14" s="239">
        <v>0</v>
      </c>
      <c r="E14" s="32">
        <f ca="1">-INDEX(Economics!$A$34:$D$45,MATCH(Fuel!B14,Economics!$A$34:$A$45,0),4)/Fuel!F14</f>
        <v>11227.636251495216</v>
      </c>
      <c r="F14" s="33">
        <f>(D14*$C$6)+(C14*$C$7)</f>
        <v>2.09</v>
      </c>
      <c r="G14" s="32">
        <f ca="1">E14*F14</f>
        <v>23465.759765625</v>
      </c>
      <c r="H14" s="33"/>
    </row>
    <row r="15" spans="1:8" x14ac:dyDescent="0.25">
      <c r="B15" s="240" t="s">
        <v>18</v>
      </c>
      <c r="E15" s="34">
        <f ca="1">SUM(E12:E14)</f>
        <v>19459.195574162681</v>
      </c>
      <c r="F15" s="35"/>
      <c r="G15" s="34">
        <f ca="1">SUM(G12:G14)</f>
        <v>40669.71875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13365.924944196429</v>
      </c>
      <c r="F18" s="35">
        <f>C18*G7+D18*G6</f>
        <v>1.96</v>
      </c>
      <c r="G18" s="34">
        <f ca="1">F18*E18</f>
        <v>26197.212890625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21907.531489158162</v>
      </c>
      <c r="F23" s="33">
        <f t="shared" ref="F23:F29" si="1">IF($I$22=1,C23*$C$8,C23*$G$7)+IF($J$22=1,D23*$C$6,D23*$G$6)</f>
        <v>1.96</v>
      </c>
      <c r="G23" s="32">
        <f t="shared" ca="1" si="0"/>
        <v>42938.76171875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17118.180006377552</v>
      </c>
      <c r="F25" s="33">
        <f t="shared" si="1"/>
        <v>1.96</v>
      </c>
      <c r="G25" s="32">
        <f t="shared" ca="1" si="0"/>
        <v>33551.6328125</v>
      </c>
      <c r="I25" s="31"/>
      <c r="J25" s="31"/>
      <c r="K25" s="31"/>
    </row>
    <row r="26" spans="1:12" x14ac:dyDescent="0.25">
      <c r="B26" s="238" t="s">
        <v>47</v>
      </c>
      <c r="C26" s="239">
        <v>1</v>
      </c>
      <c r="D26" s="239">
        <v>0</v>
      </c>
      <c r="E26" s="32">
        <f ca="1">-INDEX(Economics!$A$34:$D$45,MATCH(Fuel!B26,Economics!$A$34:$A$45,0),4)/Fuel!F26</f>
        <v>15535.942482461734</v>
      </c>
      <c r="F26" s="33">
        <f t="shared" si="1"/>
        <v>1.96</v>
      </c>
      <c r="G26" s="32">
        <f t="shared" ca="1" si="0"/>
        <v>30450.447265625</v>
      </c>
      <c r="I26" s="31"/>
      <c r="J26" s="31"/>
      <c r="K26" s="31"/>
    </row>
    <row r="27" spans="1:12" x14ac:dyDescent="0.25">
      <c r="B27" s="250" t="s">
        <v>46</v>
      </c>
      <c r="C27" s="239">
        <v>1</v>
      </c>
      <c r="D27" s="239">
        <v>0</v>
      </c>
      <c r="E27" s="32">
        <f ca="1">-INDEX(Economics!$A$34:$D$45,MATCH(Fuel!B27,Economics!$A$34:$A$45,0),4)/Fuel!F27</f>
        <v>19863.936941964286</v>
      </c>
      <c r="F27" s="33">
        <f t="shared" si="1"/>
        <v>1.96</v>
      </c>
      <c r="G27" s="32">
        <f t="shared" ca="1" si="0"/>
        <v>38933.31640625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74425.590919961731</v>
      </c>
      <c r="F30" s="35"/>
      <c r="G30" s="34">
        <f ca="1">SUM(G22:G29)</f>
        <v>145874.158203125</v>
      </c>
      <c r="I30" s="31"/>
      <c r="J30" s="31"/>
      <c r="K30" s="31"/>
    </row>
    <row r="31" spans="1:12" x14ac:dyDescent="0.25">
      <c r="B31" s="240"/>
      <c r="I31" s="31"/>
      <c r="J31" s="31"/>
      <c r="K31" s="31"/>
    </row>
    <row r="32" spans="1:12" ht="13.8" thickBot="1" x14ac:dyDescent="0.3">
      <c r="B32" s="240" t="s">
        <v>18</v>
      </c>
      <c r="E32" s="7">
        <f ca="1">E15+E18+E30</f>
        <v>107250.71143832084</v>
      </c>
      <c r="F32" s="8"/>
      <c r="G32" s="7">
        <f ca="1">G15+G18+G30</f>
        <v>212741.08984375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507605.39999999997</v>
      </c>
      <c r="C3" s="117">
        <f ca="1">6.8*0.75*E3</f>
        <v>125062.2</v>
      </c>
      <c r="D3" s="117">
        <f ca="1">C3+B3</f>
        <v>632667.6</v>
      </c>
      <c r="E3" s="118">
        <f ca="1">SUM(Preschedule!B59:Y59)</f>
        <v>24522</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-410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-512</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735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875</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1083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-16265.150720000003</v>
      </c>
      <c r="C28" s="120"/>
      <c r="D28" s="120">
        <f ca="1">C28+B28</f>
        <v>-16265.150720000003</v>
      </c>
      <c r="E28" s="114">
        <f>SUM(Preschedule!B56:Y56)</f>
        <v>1244</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-19056.096000000001</v>
      </c>
      <c r="C30" s="120"/>
      <c r="D30" s="120">
        <f>C30+B30</f>
        <v>-19056.096000000001</v>
      </c>
      <c r="E30" s="114">
        <f>SUM(Preschedule!B53:Y53)</f>
        <v>3126</v>
      </c>
      <c r="F30" s="120">
        <f>H30*I30</f>
        <v>6.0960000000000001</v>
      </c>
      <c r="G30" s="79">
        <f>-IF(E30=0,0,D30/E30)</f>
        <v>6.0960000000000001</v>
      </c>
      <c r="H30" s="134">
        <v>10.16</v>
      </c>
      <c r="I30" s="135">
        <v>0.6</v>
      </c>
    </row>
    <row r="31" spans="1:9" ht="12" x14ac:dyDescent="0.25">
      <c r="A31" s="83" t="s">
        <v>44</v>
      </c>
      <c r="B31" s="120">
        <f>-F31*E31</f>
        <v>-19056.096000000001</v>
      </c>
      <c r="C31" s="120"/>
      <c r="D31" s="120">
        <f>C31+B31</f>
        <v>-19056.096000000001</v>
      </c>
      <c r="E31" s="114">
        <f>SUM(Preschedule!B54:Y54)</f>
        <v>3126</v>
      </c>
      <c r="F31" s="120">
        <f>H31*I31</f>
        <v>6.0960000000000001</v>
      </c>
      <c r="G31" s="79">
        <f>-IF(E31=0,0,D31/E31)</f>
        <v>6.0960000000000001</v>
      </c>
      <c r="H31" s="134">
        <v>10.16</v>
      </c>
      <c r="I31" s="135">
        <v>0.6</v>
      </c>
    </row>
    <row r="32" spans="1:9" ht="12" x14ac:dyDescent="0.25">
      <c r="A32" s="83" t="s">
        <v>45</v>
      </c>
      <c r="B32" s="120">
        <f>-F32*E32</f>
        <v>-19050</v>
      </c>
      <c r="C32" s="120"/>
      <c r="D32" s="120">
        <f>C32+B32</f>
        <v>-19050</v>
      </c>
      <c r="E32" s="114">
        <f>SUM(Preschedule!B55:Y55)</f>
        <v>3125</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-38933.31640625</v>
      </c>
      <c r="C34" s="120"/>
      <c r="D34" s="120">
        <f ca="1">IF(ISTEXT(B34),0,C34+B34)</f>
        <v>-38933.31640625</v>
      </c>
      <c r="E34" s="114">
        <f>SUM(Preschedule!B41:Y41)</f>
        <v>1754</v>
      </c>
      <c r="F34" s="120">
        <f ca="1">-IF(OR(ISTEXT(B34),E34=0),0,B34/E34)</f>
        <v>22.196873663768528</v>
      </c>
      <c r="G34" s="79">
        <f t="shared" ref="G34:G45" ca="1" si="6">-IF(E34=0,0,D34/E34)</f>
        <v>22.196873663768528</v>
      </c>
      <c r="H34" s="136"/>
      <c r="I34" s="135">
        <f>INDEX(FuelPriceTable,MATCH(A34,FuelNames,0),5)</f>
        <v>1.96</v>
      </c>
    </row>
    <row r="35" spans="1:9" ht="12" x14ac:dyDescent="0.25">
      <c r="A35" s="83" t="s">
        <v>47</v>
      </c>
      <c r="B35" s="120">
        <f ca="1">Gencost(Preschedule!B42:Y42,OFFSET(HeatRateStart,1,MATCH(A35,HeatRateNames,0)-1,250,1),I35)</f>
        <v>-30450.447265625</v>
      </c>
      <c r="C35" s="120"/>
      <c r="D35" s="120">
        <f t="shared" ref="D35:D45" ca="1" si="7">IF(ISTEXT(B35),0,C35+B35)</f>
        <v>-30450.447265625</v>
      </c>
      <c r="E35" s="114">
        <f>SUM(Preschedule!B42:Y42)</f>
        <v>1490</v>
      </c>
      <c r="F35" s="120">
        <f t="shared" ref="F35:F45" ca="1" si="8">-IF(OR(ISTEXT(B35),E35=0),0,B35/E35)</f>
        <v>20.436541789010068</v>
      </c>
      <c r="G35" s="79">
        <f t="shared" ca="1" si="6"/>
        <v>20.436541789010068</v>
      </c>
      <c r="H35" s="136"/>
      <c r="I35" s="135">
        <f t="shared" ref="I35:I45" si="9">INDEX(FuelPriceTable,MATCH(A35,FuelNames,0),5)</f>
        <v>1.96</v>
      </c>
    </row>
    <row r="36" spans="1:9" ht="12" x14ac:dyDescent="0.25">
      <c r="A36" s="83" t="s">
        <v>48</v>
      </c>
      <c r="B36" s="120">
        <f ca="1">Gencost(Preschedule!B43:Y43,OFFSET(HeatRateStart,1,MATCH(A36,HeatRateNames,0)-1,250,1),I36)</f>
        <v>-33551.6328125</v>
      </c>
      <c r="C36" s="120"/>
      <c r="D36" s="120">
        <f t="shared" ca="1" si="7"/>
        <v>-33551.6328125</v>
      </c>
      <c r="E36" s="114">
        <f>SUM(Preschedule!B43:Y43)</f>
        <v>1681</v>
      </c>
      <c r="F36" s="120">
        <f t="shared" ca="1" si="8"/>
        <v>19.959329454193931</v>
      </c>
      <c r="G36" s="79">
        <f t="shared" ca="1" si="6"/>
        <v>19.959329454193931</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-42938.76171875</v>
      </c>
      <c r="C39" s="120"/>
      <c r="D39" s="120">
        <f t="shared" ca="1" si="7"/>
        <v>-42938.76171875</v>
      </c>
      <c r="E39" s="114">
        <f>SUM(Preschedule!B46:Y46)</f>
        <v>2349</v>
      </c>
      <c r="F39" s="120">
        <f t="shared" ca="1" si="8"/>
        <v>18.279592047147723</v>
      </c>
      <c r="G39" s="79">
        <f t="shared" ca="1" si="6"/>
        <v>18.279592047147723</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-26197.212890625</v>
      </c>
      <c r="C42" s="120"/>
      <c r="D42" s="120">
        <f t="shared" ca="1" si="7"/>
        <v>-26197.212890625</v>
      </c>
      <c r="E42" s="114">
        <f>SUM(Preschedule!B49:Y49)</f>
        <v>977</v>
      </c>
      <c r="F42" s="120">
        <f t="shared" ca="1" si="8"/>
        <v>26.813933357855682</v>
      </c>
      <c r="G42" s="79">
        <f t="shared" ca="1" si="6"/>
        <v>26.813933357855682</v>
      </c>
      <c r="H42" s="136"/>
      <c r="I42" s="135">
        <f t="shared" si="9"/>
        <v>1.96</v>
      </c>
    </row>
    <row r="43" spans="1:9" ht="12" x14ac:dyDescent="0.25">
      <c r="A43" s="83" t="s">
        <v>55</v>
      </c>
      <c r="B43" s="120">
        <f ca="1">Gencost(Preschedule!B50:Y50,OFFSET(HeatRateStart,1,MATCH(A43,HeatRateNames,0)-1,250,1),I43)</f>
        <v>-23465.759765625</v>
      </c>
      <c r="C43" s="120"/>
      <c r="D43" s="120">
        <f t="shared" ca="1" si="7"/>
        <v>-23465.759765625</v>
      </c>
      <c r="E43" s="114">
        <f>SUM(Preschedule!B50:Y50)</f>
        <v>922</v>
      </c>
      <c r="F43" s="120">
        <f t="shared" ca="1" si="8"/>
        <v>25.450932500677876</v>
      </c>
      <c r="G43" s="79">
        <f t="shared" ca="1" si="6"/>
        <v>25.450932500677876</v>
      </c>
      <c r="H43" s="136"/>
      <c r="I43" s="135">
        <f t="shared" si="9"/>
        <v>2.09</v>
      </c>
    </row>
    <row r="44" spans="1:9" ht="12" x14ac:dyDescent="0.25">
      <c r="A44" s="83" t="s">
        <v>56</v>
      </c>
      <c r="B44" s="120">
        <f ca="1">Gencost(Preschedule!B51:Y51,OFFSET(HeatRateStart,1,MATCH(A44,HeatRateNames,0)-1,250,1),I44)</f>
        <v>-17203.958984375</v>
      </c>
      <c r="C44" s="120"/>
      <c r="D44" s="120">
        <f t="shared" ca="1" si="7"/>
        <v>-17203.958984375</v>
      </c>
      <c r="E44" s="114">
        <f>SUM(Preschedule!B51:Y51)</f>
        <v>774</v>
      </c>
      <c r="F44" s="120">
        <f t="shared" ca="1" si="8"/>
        <v>22.227337189114987</v>
      </c>
      <c r="G44" s="79">
        <f t="shared" ca="1" si="6"/>
        <v>22.227337189114987</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284</v>
      </c>
      <c r="C6" s="417" t="s">
        <v>283</v>
      </c>
      <c r="D6" s="417" t="s">
        <v>286</v>
      </c>
    </row>
    <row r="7" spans="1:4" x14ac:dyDescent="0.25">
      <c r="A7" s="418"/>
      <c r="B7" s="416" t="s">
        <v>285</v>
      </c>
      <c r="C7" s="417"/>
      <c r="D7" s="417" t="s">
        <v>287</v>
      </c>
    </row>
    <row r="8" spans="1:4" x14ac:dyDescent="0.25">
      <c r="A8" s="493"/>
      <c r="B8" s="416"/>
      <c r="C8" s="417"/>
      <c r="D8" s="417" t="s">
        <v>288</v>
      </c>
    </row>
    <row r="9" spans="1:4" x14ac:dyDescent="0.25">
      <c r="A9" s="418"/>
      <c r="B9" s="416"/>
      <c r="C9" s="417"/>
      <c r="D9" s="417"/>
    </row>
    <row r="10" spans="1:4" x14ac:dyDescent="0.25">
      <c r="A10" s="415">
        <v>36603</v>
      </c>
      <c r="B10" s="416" t="s">
        <v>289</v>
      </c>
      <c r="C10" s="417" t="s">
        <v>291</v>
      </c>
      <c r="D10" s="417" t="s">
        <v>297</v>
      </c>
    </row>
    <row r="11" spans="1:4" x14ac:dyDescent="0.25">
      <c r="A11" s="418"/>
      <c r="B11" s="416" t="s">
        <v>290</v>
      </c>
      <c r="C11" s="417"/>
      <c r="D11" s="417" t="s">
        <v>294</v>
      </c>
    </row>
    <row r="12" spans="1:4" x14ac:dyDescent="0.25">
      <c r="A12" s="418"/>
      <c r="B12" s="416"/>
      <c r="C12" s="417"/>
      <c r="D12" s="417" t="s">
        <v>292</v>
      </c>
    </row>
    <row r="13" spans="1:4" x14ac:dyDescent="0.25">
      <c r="A13" s="418"/>
      <c r="B13" s="416"/>
      <c r="C13" s="417"/>
      <c r="D13" s="417" t="s">
        <v>293</v>
      </c>
    </row>
    <row r="14" spans="1:4" x14ac:dyDescent="0.25">
      <c r="A14" s="418"/>
      <c r="B14" s="416"/>
      <c r="C14" s="417"/>
      <c r="D14" s="417"/>
    </row>
    <row r="15" spans="1:4" x14ac:dyDescent="0.25">
      <c r="A15" s="415">
        <v>36603</v>
      </c>
      <c r="B15" s="416" t="s">
        <v>295</v>
      </c>
      <c r="C15" s="417" t="s">
        <v>291</v>
      </c>
      <c r="D15" s="417" t="s">
        <v>298</v>
      </c>
    </row>
    <row r="16" spans="1:4" x14ac:dyDescent="0.25">
      <c r="A16" s="418"/>
      <c r="B16" s="416" t="s">
        <v>296</v>
      </c>
      <c r="C16" s="417"/>
      <c r="D16" s="417" t="s">
        <v>299</v>
      </c>
    </row>
    <row r="17" spans="1:4" x14ac:dyDescent="0.25">
      <c r="A17" s="493"/>
      <c r="B17" s="416"/>
      <c r="C17" s="417"/>
      <c r="D17" s="417" t="s">
        <v>301</v>
      </c>
    </row>
    <row r="18" spans="1:4" x14ac:dyDescent="0.25">
      <c r="A18" s="418"/>
      <c r="B18" s="416"/>
      <c r="C18" s="417"/>
      <c r="D18" s="417" t="s">
        <v>302</v>
      </c>
    </row>
    <row r="19" spans="1:4" x14ac:dyDescent="0.25">
      <c r="A19" s="418"/>
      <c r="B19" s="416"/>
      <c r="C19" s="417"/>
      <c r="D19" s="417" t="s">
        <v>300</v>
      </c>
    </row>
    <row r="20" spans="1:4" x14ac:dyDescent="0.25">
      <c r="A20" s="415">
        <v>36644</v>
      </c>
      <c r="B20" s="416" t="s">
        <v>305</v>
      </c>
      <c r="C20" s="417" t="s">
        <v>304</v>
      </c>
      <c r="D20" s="417" t="s">
        <v>303</v>
      </c>
    </row>
    <row r="21" spans="1:4" x14ac:dyDescent="0.25">
      <c r="A21" s="415"/>
      <c r="B21" s="416"/>
      <c r="C21" s="417"/>
      <c r="D21" s="417"/>
    </row>
    <row r="22" spans="1:4" x14ac:dyDescent="0.25">
      <c r="A22" s="415">
        <v>36730</v>
      </c>
      <c r="B22" s="416" t="s">
        <v>309</v>
      </c>
      <c r="C22" s="417" t="s">
        <v>310</v>
      </c>
      <c r="D22" s="417" t="s">
        <v>311</v>
      </c>
    </row>
    <row r="23" spans="1:4" x14ac:dyDescent="0.25">
      <c r="A23" s="418"/>
      <c r="B23" s="416"/>
      <c r="C23" s="417"/>
      <c r="D23" s="417"/>
    </row>
    <row r="24" spans="1:4" x14ac:dyDescent="0.25">
      <c r="A24" s="415">
        <v>36733</v>
      </c>
      <c r="B24" s="416" t="s">
        <v>312</v>
      </c>
      <c r="C24" s="417" t="s">
        <v>313</v>
      </c>
      <c r="D24" s="417" t="s">
        <v>314</v>
      </c>
    </row>
    <row r="25" spans="1:4" x14ac:dyDescent="0.25">
      <c r="A25" s="418"/>
      <c r="B25" s="416"/>
      <c r="C25" s="417"/>
      <c r="D25" s="417"/>
    </row>
    <row r="26" spans="1:4" x14ac:dyDescent="0.25">
      <c r="A26" s="415">
        <v>36733</v>
      </c>
      <c r="B26" s="416" t="s">
        <v>316</v>
      </c>
      <c r="C26" s="417" t="s">
        <v>313</v>
      </c>
      <c r="D26" s="417" t="s">
        <v>315</v>
      </c>
    </row>
    <row r="27" spans="1:4" x14ac:dyDescent="0.25">
      <c r="A27" s="418"/>
      <c r="B27" s="416"/>
      <c r="C27" s="417"/>
      <c r="D27" s="417"/>
    </row>
    <row r="28" spans="1:4" x14ac:dyDescent="0.25">
      <c r="A28" s="415">
        <v>36734</v>
      </c>
      <c r="B28" s="416" t="s">
        <v>318</v>
      </c>
      <c r="C28" s="417" t="s">
        <v>313</v>
      </c>
      <c r="D28" s="417" t="s">
        <v>317</v>
      </c>
    </row>
    <row r="29" spans="1:4" x14ac:dyDescent="0.25">
      <c r="A29" s="418"/>
      <c r="B29" s="416"/>
      <c r="C29" s="417"/>
      <c r="D29" s="417"/>
    </row>
    <row r="30" spans="1:4" x14ac:dyDescent="0.25">
      <c r="A30" s="415">
        <v>36734</v>
      </c>
      <c r="B30" s="416" t="s">
        <v>319</v>
      </c>
      <c r="C30" s="417"/>
      <c r="D30" s="417" t="s">
        <v>320</v>
      </c>
    </row>
    <row r="31" spans="1:4" x14ac:dyDescent="0.25">
      <c r="A31" s="418"/>
      <c r="B31" s="416"/>
      <c r="C31" s="417"/>
      <c r="D31" s="417"/>
    </row>
    <row r="32" spans="1:4" x14ac:dyDescent="0.25">
      <c r="A32" s="415">
        <v>36778</v>
      </c>
      <c r="B32" s="416" t="s">
        <v>323</v>
      </c>
      <c r="C32" s="417" t="s">
        <v>326</v>
      </c>
      <c r="D32" s="417" t="s">
        <v>325</v>
      </c>
    </row>
    <row r="33" spans="1:4" x14ac:dyDescent="0.25">
      <c r="A33" s="418"/>
      <c r="B33" s="416"/>
      <c r="C33" s="417"/>
      <c r="D33" s="417"/>
    </row>
    <row r="34" spans="1:4" x14ac:dyDescent="0.25">
      <c r="A34" s="415">
        <v>36778</v>
      </c>
      <c r="B34" s="416" t="s">
        <v>327</v>
      </c>
      <c r="C34" s="417" t="s">
        <v>324</v>
      </c>
      <c r="D34" s="417" t="s">
        <v>328</v>
      </c>
    </row>
    <row r="35" spans="1:4" x14ac:dyDescent="0.25">
      <c r="A35" s="418"/>
      <c r="B35" s="416"/>
      <c r="C35" s="417"/>
      <c r="D35" s="417"/>
    </row>
    <row r="36" spans="1:4" x14ac:dyDescent="0.25">
      <c r="A36" s="415">
        <v>36779</v>
      </c>
      <c r="B36" s="416" t="s">
        <v>329</v>
      </c>
      <c r="C36" s="417" t="s">
        <v>331</v>
      </c>
      <c r="D36" s="417" t="s">
        <v>330</v>
      </c>
    </row>
    <row r="37" spans="1:4" x14ac:dyDescent="0.25">
      <c r="A37" s="418"/>
      <c r="B37" s="416"/>
      <c r="C37" s="417"/>
      <c r="D37" s="417"/>
    </row>
    <row r="38" spans="1:4" x14ac:dyDescent="0.25">
      <c r="A38" s="415">
        <v>36779</v>
      </c>
      <c r="B38" s="416" t="s">
        <v>332</v>
      </c>
      <c r="C38" s="417" t="s">
        <v>331</v>
      </c>
      <c r="D38" s="417" t="s">
        <v>333</v>
      </c>
    </row>
    <row r="39" spans="1:4" x14ac:dyDescent="0.25">
      <c r="A39" s="418"/>
      <c r="B39" s="416"/>
      <c r="C39" s="417"/>
      <c r="D39" s="417"/>
    </row>
    <row r="40" spans="1:4" x14ac:dyDescent="0.25">
      <c r="A40" s="415">
        <v>36803</v>
      </c>
      <c r="B40" s="416" t="s">
        <v>334</v>
      </c>
      <c r="C40" s="417" t="s">
        <v>335</v>
      </c>
      <c r="D40" s="417" t="s">
        <v>336</v>
      </c>
    </row>
    <row r="41" spans="1:4" x14ac:dyDescent="0.25">
      <c r="A41" s="418"/>
      <c r="B41" s="416"/>
      <c r="C41" s="417"/>
      <c r="D41" s="417"/>
    </row>
    <row r="42" spans="1:4" x14ac:dyDescent="0.25">
      <c r="A42" s="415">
        <v>36839</v>
      </c>
      <c r="B42" s="416" t="s">
        <v>338</v>
      </c>
      <c r="C42" s="417"/>
      <c r="D42" s="417" t="s">
        <v>339</v>
      </c>
    </row>
    <row r="43" spans="1:4" x14ac:dyDescent="0.25">
      <c r="A43" s="418"/>
      <c r="B43" s="416"/>
      <c r="C43" s="417"/>
      <c r="D43" s="417"/>
    </row>
    <row r="44" spans="1:4" x14ac:dyDescent="0.25">
      <c r="A44" s="415">
        <v>36847</v>
      </c>
      <c r="B44" s="416" t="s">
        <v>340</v>
      </c>
      <c r="C44" s="417" t="s">
        <v>341</v>
      </c>
      <c r="D44" s="417" t="s">
        <v>342</v>
      </c>
    </row>
    <row r="45" spans="1:4" x14ac:dyDescent="0.25">
      <c r="A45" s="418"/>
      <c r="B45" s="416"/>
      <c r="C45" s="417"/>
      <c r="D45" s="417"/>
    </row>
    <row r="46" spans="1:4" x14ac:dyDescent="0.25">
      <c r="A46" s="415">
        <v>36886</v>
      </c>
      <c r="B46" s="416" t="s">
        <v>345</v>
      </c>
      <c r="C46" s="417" t="s">
        <v>346</v>
      </c>
      <c r="D46" s="417" t="s">
        <v>347</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37078.027777777781</v>
      </c>
    </row>
    <row r="32" spans="2:2" x14ac:dyDescent="0.25">
      <c r="B32" t="s">
        <v>389</v>
      </c>
    </row>
    <row r="33" spans="2:2" x14ac:dyDescent="0.25">
      <c r="B33" t="s">
        <v>393</v>
      </c>
    </row>
    <row r="34" spans="2:2" x14ac:dyDescent="0.25">
      <c r="B34" t="s">
        <v>394</v>
      </c>
    </row>
    <row r="35" spans="2:2" x14ac:dyDescent="0.25">
      <c r="B35" t="s">
        <v>364</v>
      </c>
    </row>
    <row r="36" spans="2:2" x14ac:dyDescent="0.25">
      <c r="B36" t="s">
        <v>365</v>
      </c>
    </row>
    <row r="37" spans="2:2" x14ac:dyDescent="0.25">
      <c r="B37" t="s">
        <v>395</v>
      </c>
    </row>
    <row r="38" spans="2:2" x14ac:dyDescent="0.25">
      <c r="B38" t="s">
        <v>363</v>
      </c>
    </row>
    <row r="39" spans="2:2" x14ac:dyDescent="0.25">
      <c r="B39" t="s">
        <v>369</v>
      </c>
    </row>
    <row r="40" spans="2:2" x14ac:dyDescent="0.25">
      <c r="B40" t="s">
        <v>396</v>
      </c>
    </row>
    <row r="41" spans="2:2" x14ac:dyDescent="0.25">
      <c r="B41" t="s">
        <v>397</v>
      </c>
    </row>
    <row r="42" spans="2:2" x14ac:dyDescent="0.25">
      <c r="B42" t="s">
        <v>388</v>
      </c>
    </row>
    <row r="43" spans="2:2" x14ac:dyDescent="0.25">
      <c r="B43" t="s">
        <v>374</v>
      </c>
    </row>
    <row r="44" spans="2:2" x14ac:dyDescent="0.25">
      <c r="B44" t="s">
        <v>344</v>
      </c>
    </row>
    <row r="45" spans="2:2" x14ac:dyDescent="0.25">
      <c r="B45" t="s">
        <v>390</v>
      </c>
    </row>
    <row r="46" spans="2:2" x14ac:dyDescent="0.25">
      <c r="B46" t="s">
        <v>391</v>
      </c>
    </row>
    <row r="47" spans="2:2" x14ac:dyDescent="0.25">
      <c r="B47" t="s">
        <v>386</v>
      </c>
    </row>
    <row r="48" spans="2:2" x14ac:dyDescent="0.25">
      <c r="B48" t="s">
        <v>398</v>
      </c>
    </row>
    <row r="49" spans="2:2" x14ac:dyDescent="0.25">
      <c r="B49" t="s">
        <v>348</v>
      </c>
    </row>
    <row r="50" spans="2:2" x14ac:dyDescent="0.25">
      <c r="B50" t="s">
        <v>352</v>
      </c>
    </row>
    <row r="51" spans="2:2" x14ac:dyDescent="0.25">
      <c r="B51" t="s">
        <v>349</v>
      </c>
    </row>
    <row r="52" spans="2:2" x14ac:dyDescent="0.25">
      <c r="B52" t="s">
        <v>353</v>
      </c>
    </row>
    <row r="53" spans="2:2" x14ac:dyDescent="0.25">
      <c r="B53" t="s">
        <v>354</v>
      </c>
    </row>
    <row r="54" spans="2:2" x14ac:dyDescent="0.25">
      <c r="B54" t="s">
        <v>355</v>
      </c>
    </row>
    <row r="55" spans="2:2" x14ac:dyDescent="0.25">
      <c r="B55" t="s">
        <v>356</v>
      </c>
    </row>
    <row r="56" spans="2:2" x14ac:dyDescent="0.25">
      <c r="B56" t="s">
        <v>357</v>
      </c>
    </row>
    <row r="57" spans="2:2" x14ac:dyDescent="0.25">
      <c r="B57" t="s">
        <v>358</v>
      </c>
    </row>
    <row r="58" spans="2:2" x14ac:dyDescent="0.25">
      <c r="B58" t="s">
        <v>350</v>
      </c>
    </row>
    <row r="59" spans="2:2" x14ac:dyDescent="0.25">
      <c r="B59" t="s">
        <v>359</v>
      </c>
    </row>
    <row r="60" spans="2:2" x14ac:dyDescent="0.25">
      <c r="B60" t="s">
        <v>360</v>
      </c>
    </row>
    <row r="61" spans="2:2" x14ac:dyDescent="0.25">
      <c r="B61" t="s">
        <v>351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30">
        <v>613</v>
      </c>
      <c r="B7" s="530">
        <v>599</v>
      </c>
      <c r="C7" s="530">
        <v>587</v>
      </c>
      <c r="D7" s="530">
        <v>573</v>
      </c>
      <c r="E7" s="530">
        <v>595</v>
      </c>
      <c r="F7" s="530">
        <v>637</v>
      </c>
      <c r="G7" s="530">
        <v>745</v>
      </c>
      <c r="H7" s="530">
        <v>776</v>
      </c>
      <c r="I7" s="530">
        <v>763</v>
      </c>
      <c r="J7" s="530">
        <v>797</v>
      </c>
      <c r="K7" s="530">
        <v>815</v>
      </c>
      <c r="L7" s="530">
        <v>811</v>
      </c>
      <c r="M7" s="530">
        <v>800</v>
      </c>
      <c r="N7" s="530">
        <v>798</v>
      </c>
      <c r="O7" s="530">
        <v>778</v>
      </c>
      <c r="P7" s="530">
        <v>762</v>
      </c>
      <c r="Q7" s="530">
        <v>770</v>
      </c>
      <c r="R7" s="530">
        <v>801</v>
      </c>
      <c r="S7" s="530">
        <v>857</v>
      </c>
      <c r="T7" s="530">
        <v>849</v>
      </c>
      <c r="U7" s="530">
        <v>838</v>
      </c>
      <c r="V7" s="530">
        <v>798</v>
      </c>
      <c r="W7" s="531">
        <v>741</v>
      </c>
      <c r="X7" s="531">
        <v>659</v>
      </c>
    </row>
    <row r="8" spans="1:24" ht="13.8" thickBot="1" x14ac:dyDescent="0.3"/>
    <row r="9" spans="1:24" x14ac:dyDescent="0.25">
      <c r="A9" s="530">
        <v>611</v>
      </c>
      <c r="B9" s="530">
        <v>584</v>
      </c>
      <c r="C9" s="530">
        <v>570</v>
      </c>
      <c r="D9" s="530">
        <v>573</v>
      </c>
      <c r="E9" s="530">
        <v>576</v>
      </c>
      <c r="F9" s="530">
        <v>662</v>
      </c>
      <c r="G9" s="530">
        <v>738</v>
      </c>
      <c r="H9" s="530">
        <v>758</v>
      </c>
      <c r="I9" s="530">
        <v>789</v>
      </c>
      <c r="J9" s="530">
        <v>790</v>
      </c>
      <c r="K9" s="530">
        <v>801</v>
      </c>
      <c r="L9" s="530">
        <v>801</v>
      </c>
      <c r="M9" s="530">
        <v>804</v>
      </c>
      <c r="N9" s="530">
        <v>801</v>
      </c>
      <c r="O9" s="530">
        <v>799</v>
      </c>
      <c r="P9" s="530">
        <v>787</v>
      </c>
      <c r="Q9" s="530">
        <v>784</v>
      </c>
      <c r="R9" s="530">
        <v>782</v>
      </c>
      <c r="S9" s="53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2001-04-01T07:27:50Z</cp:lastPrinted>
  <dcterms:created xsi:type="dcterms:W3CDTF">1998-02-07T06:53:21Z</dcterms:created>
  <dcterms:modified xsi:type="dcterms:W3CDTF">2023-09-10T11:09:11Z</dcterms:modified>
</cp:coreProperties>
</file>