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12" i="1" l="1"/>
  <c r="G12" i="1"/>
  <c r="J12" i="1"/>
  <c r="L12" i="1"/>
  <c r="P12" i="1"/>
  <c r="Q12" i="1"/>
  <c r="R12" i="1"/>
  <c r="Y12" i="1"/>
  <c r="F13" i="1"/>
  <c r="G13" i="1"/>
  <c r="J13" i="1"/>
  <c r="Q13" i="1"/>
  <c r="Y13" i="1"/>
  <c r="E14" i="1"/>
  <c r="F14" i="1"/>
  <c r="G14" i="1"/>
  <c r="J14" i="1"/>
  <c r="L14" i="1"/>
  <c r="M14" i="1"/>
  <c r="Q14" i="1"/>
  <c r="Y14" i="1"/>
  <c r="G15" i="1"/>
  <c r="J15" i="1"/>
  <c r="Q15" i="1"/>
  <c r="F16" i="1"/>
  <c r="G16" i="1"/>
  <c r="J16" i="1"/>
  <c r="L16" i="1"/>
  <c r="Q16" i="1"/>
  <c r="R16" i="1"/>
  <c r="V16" i="1"/>
  <c r="Y16" i="1"/>
  <c r="F17" i="1"/>
  <c r="G17" i="1"/>
  <c r="J17" i="1"/>
  <c r="L17" i="1"/>
  <c r="Q17" i="1"/>
  <c r="R17" i="1"/>
  <c r="V17" i="1"/>
  <c r="Y17" i="1"/>
  <c r="F18" i="1"/>
  <c r="G18" i="1"/>
  <c r="J18" i="1"/>
  <c r="L18" i="1"/>
  <c r="Q18" i="1"/>
  <c r="R18" i="1"/>
  <c r="V18" i="1"/>
  <c r="Y18" i="1"/>
  <c r="F19" i="1"/>
  <c r="G19" i="1"/>
  <c r="J19" i="1"/>
  <c r="L19" i="1"/>
  <c r="Q19" i="1"/>
  <c r="R19" i="1"/>
  <c r="V19" i="1"/>
  <c r="Y19" i="1"/>
  <c r="F20" i="1"/>
  <c r="G20" i="1"/>
  <c r="J20" i="1"/>
  <c r="L20" i="1"/>
  <c r="Q20" i="1"/>
  <c r="R20" i="1"/>
  <c r="V20" i="1"/>
  <c r="Y20" i="1"/>
  <c r="G22" i="1"/>
  <c r="J22" i="1"/>
</calcChain>
</file>

<file path=xl/sharedStrings.xml><?xml version="1.0" encoding="utf-8"?>
<sst xmlns="http://schemas.openxmlformats.org/spreadsheetml/2006/main" count="120" uniqueCount="61">
  <si>
    <t>November 2000</t>
  </si>
  <si>
    <t>December 2000</t>
  </si>
  <si>
    <t>January 2001</t>
  </si>
  <si>
    <t>February 2001</t>
  </si>
  <si>
    <t>March 2001</t>
  </si>
  <si>
    <t>October 1-16, 2000</t>
  </si>
  <si>
    <t>October 17-31, 2000</t>
  </si>
  <si>
    <t xml:space="preserve">     October 2000 Total</t>
  </si>
  <si>
    <t>Daily Field</t>
  </si>
  <si>
    <t>Sale Under</t>
  </si>
  <si>
    <t>GSA</t>
  </si>
  <si>
    <t>Ambient</t>
  </si>
  <si>
    <t>Adjustment to</t>
  </si>
  <si>
    <t>Maintenance</t>
  </si>
  <si>
    <t>Adjusted</t>
  </si>
  <si>
    <t>(MMBtu/d)</t>
  </si>
  <si>
    <t>Field</t>
  </si>
  <si>
    <t>(MMBtu)</t>
  </si>
  <si>
    <t>ANR-LA</t>
  </si>
  <si>
    <t>Volume</t>
  </si>
  <si>
    <t>Sold to ENA</t>
  </si>
  <si>
    <t>ANR-OK</t>
  </si>
  <si>
    <t>Total</t>
  </si>
  <si>
    <t>Total Monthly</t>
  </si>
  <si>
    <t xml:space="preserve">Plant </t>
  </si>
  <si>
    <t>Deliverability</t>
  </si>
  <si>
    <t>Before MW</t>
  </si>
  <si>
    <t>Turndown</t>
  </si>
  <si>
    <t>Plant Burn</t>
  </si>
  <si>
    <t>Estimated</t>
  </si>
  <si>
    <t>Heat</t>
  </si>
  <si>
    <t>Rate of</t>
  </si>
  <si>
    <t>Output</t>
  </si>
  <si>
    <t>Remaining</t>
  </si>
  <si>
    <t>After MW</t>
  </si>
  <si>
    <t>MWh</t>
  </si>
  <si>
    <t>Monthly</t>
  </si>
  <si>
    <t>GSA Field Sales and Resale Volumes Calculations</t>
  </si>
  <si>
    <t>Notes:       1)</t>
  </si>
  <si>
    <t xml:space="preserve">2) </t>
  </si>
  <si>
    <t xml:space="preserve">3) </t>
  </si>
  <si>
    <t>September Ambient Adjustment Based On Plant Nominations/Burns For The Week Of September 11th.</t>
  </si>
  <si>
    <t xml:space="preserve">4) </t>
  </si>
  <si>
    <t>Decrease to</t>
  </si>
  <si>
    <t>Transaction Letter's For The Months Of September, November, December, January, February,and March Will Have Identical Language With Different Prices &amp; Volumes.</t>
  </si>
  <si>
    <t xml:space="preserve">5) </t>
  </si>
  <si>
    <t xml:space="preserve">6) </t>
  </si>
  <si>
    <t>Transaction Letter For October Will Be Split Out Into Two Periods, October 1-16 and October 17-31 With Different Prices &amp; Volumes For Each Period.</t>
  </si>
  <si>
    <t>October Ambient Adjustment Based On Historical Information.</t>
  </si>
  <si>
    <t>November through March Calculations Based on Estimated Fuel Rates Sourced From Winter 1999-2000.</t>
  </si>
  <si>
    <t>Empire</t>
  </si>
  <si>
    <t>Payback</t>
  </si>
  <si>
    <t>Planned</t>
  </si>
  <si>
    <t>Volumes</t>
  </si>
  <si>
    <t xml:space="preserve"> </t>
  </si>
  <si>
    <t>Adjusted for</t>
  </si>
  <si>
    <t>Empire Payback</t>
  </si>
  <si>
    <t>October Calculations Based On October Posted Fuel Rates.</t>
  </si>
  <si>
    <t>September 29-30, 2000</t>
  </si>
  <si>
    <t xml:space="preserve">7) </t>
  </si>
  <si>
    <t>Estimated Plant Deliverability After MW Turndown Is Before Any Empire Imbalance Payback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</si>
</sst>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quotePrefix="1" applyNumberFormat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5" fontId="0" fillId="2" borderId="0" xfId="1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0" borderId="0" xfId="1" applyNumberFormat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2"/>
  <sheetViews>
    <sheetView tabSelected="1" topLeftCell="C5" workbookViewId="0">
      <selection activeCell="D12" sqref="D12"/>
    </sheetView>
  </sheetViews>
  <sheetFormatPr defaultRowHeight="13.2" x14ac:dyDescent="0.25"/>
  <cols>
    <col min="1" max="1" width="12.44140625" customWidth="1"/>
    <col min="3" max="3" width="12" customWidth="1"/>
    <col min="4" max="4" width="13.33203125" customWidth="1"/>
    <col min="5" max="5" width="13.44140625" customWidth="1"/>
    <col min="6" max="6" width="14.5546875" customWidth="1"/>
    <col min="7" max="7" width="12.88671875" bestFit="1" customWidth="1"/>
    <col min="8" max="8" width="2" customWidth="1"/>
    <col min="9" max="9" width="12" customWidth="1"/>
    <col min="10" max="10" width="12.33203125" customWidth="1"/>
    <col min="11" max="11" width="1.6640625" customWidth="1"/>
    <col min="12" max="12" width="12.33203125" customWidth="1"/>
    <col min="13" max="13" width="12.44140625" customWidth="1"/>
    <col min="14" max="14" width="1.88671875" customWidth="1"/>
    <col min="15" max="15" width="11.33203125" customWidth="1"/>
    <col min="16" max="16" width="13.6640625" customWidth="1"/>
    <col min="17" max="17" width="13.33203125" customWidth="1"/>
    <col min="18" max="18" width="13" customWidth="1"/>
    <col min="19" max="19" width="1.6640625" customWidth="1"/>
    <col min="20" max="20" width="10.6640625" customWidth="1"/>
    <col min="21" max="21" width="10.88671875" customWidth="1"/>
    <col min="22" max="22" width="12.5546875" customWidth="1"/>
    <col min="23" max="23" width="2.109375" customWidth="1"/>
    <col min="24" max="24" width="13" customWidth="1"/>
    <col min="25" max="25" width="15.5546875" customWidth="1"/>
  </cols>
  <sheetData>
    <row r="1" spans="1:25" ht="41.25" customHeight="1" x14ac:dyDescent="0.3">
      <c r="A1" s="6" t="s">
        <v>37</v>
      </c>
    </row>
    <row r="2" spans="1:25" x14ac:dyDescent="0.25">
      <c r="Y2" s="5" t="s">
        <v>29</v>
      </c>
    </row>
    <row r="3" spans="1:25" x14ac:dyDescent="0.25">
      <c r="Y3" s="5" t="s">
        <v>24</v>
      </c>
    </row>
    <row r="4" spans="1:25" x14ac:dyDescent="0.25">
      <c r="D4" s="5" t="s">
        <v>11</v>
      </c>
      <c r="E4" s="5" t="s">
        <v>13</v>
      </c>
      <c r="G4" s="5" t="s">
        <v>36</v>
      </c>
      <c r="O4" s="5" t="s">
        <v>29</v>
      </c>
      <c r="P4" s="5" t="s">
        <v>29</v>
      </c>
      <c r="Q4" s="5" t="s">
        <v>29</v>
      </c>
      <c r="R4" s="5" t="s">
        <v>29</v>
      </c>
      <c r="T4" s="5"/>
      <c r="Y4" s="5" t="s">
        <v>25</v>
      </c>
    </row>
    <row r="5" spans="1:25" x14ac:dyDescent="0.25">
      <c r="D5" s="5" t="s">
        <v>43</v>
      </c>
      <c r="E5" s="5" t="s">
        <v>43</v>
      </c>
      <c r="F5" s="5" t="s">
        <v>14</v>
      </c>
      <c r="G5" s="5" t="s">
        <v>14</v>
      </c>
      <c r="O5" s="5" t="s">
        <v>24</v>
      </c>
      <c r="P5" s="5" t="s">
        <v>11</v>
      </c>
      <c r="Q5" s="5" t="s">
        <v>24</v>
      </c>
      <c r="R5" s="5" t="s">
        <v>24</v>
      </c>
      <c r="T5" s="5" t="s">
        <v>33</v>
      </c>
      <c r="V5" s="5" t="s">
        <v>29</v>
      </c>
      <c r="X5" s="5" t="s">
        <v>52</v>
      </c>
      <c r="Y5" s="5" t="s">
        <v>34</v>
      </c>
    </row>
    <row r="6" spans="1:25" x14ac:dyDescent="0.25">
      <c r="C6" s="5" t="s">
        <v>8</v>
      </c>
      <c r="D6" s="5" t="s">
        <v>8</v>
      </c>
      <c r="E6" s="5" t="s">
        <v>8</v>
      </c>
      <c r="F6" s="5" t="s">
        <v>8</v>
      </c>
      <c r="G6" s="5" t="s">
        <v>16</v>
      </c>
      <c r="I6" s="5" t="s">
        <v>22</v>
      </c>
      <c r="J6" s="5" t="s">
        <v>23</v>
      </c>
      <c r="L6" s="5" t="s">
        <v>18</v>
      </c>
      <c r="M6" s="5" t="s">
        <v>21</v>
      </c>
      <c r="O6" s="5" t="s">
        <v>25</v>
      </c>
      <c r="P6" s="5" t="s">
        <v>12</v>
      </c>
      <c r="Q6" s="5" t="s">
        <v>25</v>
      </c>
      <c r="R6" s="5" t="s">
        <v>25</v>
      </c>
      <c r="T6" s="5" t="s">
        <v>32</v>
      </c>
      <c r="U6" s="5" t="s">
        <v>30</v>
      </c>
      <c r="V6" s="5" t="s">
        <v>28</v>
      </c>
      <c r="X6" s="5" t="s">
        <v>50</v>
      </c>
      <c r="Y6" s="5" t="s">
        <v>27</v>
      </c>
    </row>
    <row r="7" spans="1:25" x14ac:dyDescent="0.25"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I7" s="5" t="s">
        <v>19</v>
      </c>
      <c r="J7" s="5" t="s">
        <v>19</v>
      </c>
      <c r="L7" s="5" t="s">
        <v>19</v>
      </c>
      <c r="M7" s="5" t="s">
        <v>19</v>
      </c>
      <c r="O7" s="5" t="s">
        <v>26</v>
      </c>
      <c r="P7" s="5" t="s">
        <v>24</v>
      </c>
      <c r="Q7" s="5" t="s">
        <v>26</v>
      </c>
      <c r="R7" s="5" t="s">
        <v>34</v>
      </c>
      <c r="T7" s="5" t="s">
        <v>34</v>
      </c>
      <c r="U7" s="5" t="s">
        <v>31</v>
      </c>
      <c r="V7" s="5" t="s">
        <v>34</v>
      </c>
      <c r="X7" s="5" t="s">
        <v>51</v>
      </c>
      <c r="Y7" s="5" t="s">
        <v>55</v>
      </c>
    </row>
    <row r="8" spans="1:25" x14ac:dyDescent="0.25"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I8" s="5" t="s">
        <v>20</v>
      </c>
      <c r="J8" s="5" t="s">
        <v>20</v>
      </c>
      <c r="L8" s="5" t="s">
        <v>20</v>
      </c>
      <c r="M8" s="5" t="s">
        <v>20</v>
      </c>
      <c r="O8" s="5" t="s">
        <v>27</v>
      </c>
      <c r="P8" s="5" t="s">
        <v>25</v>
      </c>
      <c r="Q8" s="5" t="s">
        <v>27</v>
      </c>
      <c r="R8" s="5" t="s">
        <v>27</v>
      </c>
      <c r="T8" s="5" t="s">
        <v>27</v>
      </c>
      <c r="U8" s="5" t="s">
        <v>33</v>
      </c>
      <c r="V8" s="5" t="s">
        <v>27</v>
      </c>
      <c r="X8" s="5" t="s">
        <v>53</v>
      </c>
      <c r="Y8" s="5" t="s">
        <v>56</v>
      </c>
    </row>
    <row r="9" spans="1:25" x14ac:dyDescent="0.25">
      <c r="C9" s="5" t="s">
        <v>15</v>
      </c>
      <c r="D9" s="5" t="s">
        <v>15</v>
      </c>
      <c r="E9" s="5" t="s">
        <v>15</v>
      </c>
      <c r="F9" s="5" t="s">
        <v>15</v>
      </c>
      <c r="G9" s="5" t="s">
        <v>17</v>
      </c>
      <c r="I9" s="5" t="s">
        <v>15</v>
      </c>
      <c r="J9" s="5" t="s">
        <v>17</v>
      </c>
      <c r="L9" s="5" t="s">
        <v>15</v>
      </c>
      <c r="M9" s="5" t="s">
        <v>15</v>
      </c>
      <c r="O9" s="5" t="s">
        <v>15</v>
      </c>
      <c r="P9" s="5" t="s">
        <v>15</v>
      </c>
      <c r="Q9" s="5" t="s">
        <v>15</v>
      </c>
      <c r="R9" s="5" t="s">
        <v>15</v>
      </c>
      <c r="T9" s="5" t="s">
        <v>35</v>
      </c>
      <c r="U9" s="5" t="s">
        <v>32</v>
      </c>
      <c r="V9" s="5" t="s">
        <v>15</v>
      </c>
      <c r="X9" s="5" t="s">
        <v>15</v>
      </c>
      <c r="Y9" s="5" t="s">
        <v>15</v>
      </c>
    </row>
    <row r="10" spans="1:25" x14ac:dyDescent="0.25">
      <c r="C10" s="5"/>
      <c r="D10" s="5"/>
      <c r="E10" s="5"/>
      <c r="F10" s="5"/>
    </row>
    <row r="12" spans="1:25" x14ac:dyDescent="0.25">
      <c r="A12" s="2" t="s">
        <v>58</v>
      </c>
      <c r="C12" s="11">
        <v>192026</v>
      </c>
      <c r="D12" s="11">
        <v>3360</v>
      </c>
      <c r="E12" s="3">
        <v>0</v>
      </c>
      <c r="F12" s="8">
        <f>C12-D12-E12</f>
        <v>188666</v>
      </c>
      <c r="G12" s="3">
        <f>(C12-D12-E12)*2</f>
        <v>377332</v>
      </c>
      <c r="I12" s="8">
        <v>106000</v>
      </c>
      <c r="J12" s="4">
        <f>I12*2</f>
        <v>212000</v>
      </c>
      <c r="L12" s="8">
        <f>I12-M12</f>
        <v>79000</v>
      </c>
      <c r="M12" s="8">
        <v>27000</v>
      </c>
      <c r="O12" s="3">
        <v>181157</v>
      </c>
      <c r="P12" s="4">
        <f>O12-178000</f>
        <v>3157</v>
      </c>
      <c r="Q12" s="3">
        <f>O12-P12</f>
        <v>178000</v>
      </c>
      <c r="R12" s="8">
        <f>T12*U12/1000*24</f>
        <v>80249.135999999999</v>
      </c>
      <c r="T12">
        <v>451</v>
      </c>
      <c r="U12">
        <v>7414</v>
      </c>
      <c r="V12" s="3">
        <v>80301</v>
      </c>
      <c r="X12" s="8">
        <v>2079</v>
      </c>
      <c r="Y12" s="4">
        <f>R12+X12</f>
        <v>82328.135999999999</v>
      </c>
    </row>
    <row r="13" spans="1:25" x14ac:dyDescent="0.25">
      <c r="A13" s="2" t="s">
        <v>5</v>
      </c>
      <c r="C13" s="11">
        <v>192053</v>
      </c>
      <c r="D13" s="11">
        <v>2149</v>
      </c>
      <c r="E13" s="3">
        <v>0</v>
      </c>
      <c r="F13" s="8">
        <f t="shared" ref="F13:F20" si="0">C13-D13-E13</f>
        <v>189904</v>
      </c>
      <c r="G13" s="3">
        <f>(C13-D13-E13)*16</f>
        <v>3038464</v>
      </c>
      <c r="I13" s="8">
        <v>106000</v>
      </c>
      <c r="J13" s="4">
        <f>I13*16</f>
        <v>1696000</v>
      </c>
      <c r="L13" s="8">
        <v>81900</v>
      </c>
      <c r="M13" s="8">
        <v>24100</v>
      </c>
      <c r="O13" s="3">
        <v>181221</v>
      </c>
      <c r="P13" s="3">
        <v>2000</v>
      </c>
      <c r="Q13" s="3">
        <f>O13-P13</f>
        <v>179221</v>
      </c>
      <c r="R13" s="8">
        <v>80525</v>
      </c>
      <c r="T13">
        <v>449</v>
      </c>
      <c r="U13">
        <v>7455</v>
      </c>
      <c r="V13" s="3">
        <v>80301</v>
      </c>
      <c r="X13" s="8">
        <v>2000</v>
      </c>
      <c r="Y13" s="4">
        <f t="shared" ref="Y13:Y20" si="1">R13+X13</f>
        <v>82525</v>
      </c>
    </row>
    <row r="14" spans="1:25" x14ac:dyDescent="0.25">
      <c r="A14" s="2" t="s">
        <v>6</v>
      </c>
      <c r="C14" s="11">
        <v>192053</v>
      </c>
      <c r="D14" s="11">
        <v>2149</v>
      </c>
      <c r="E14" s="11">
        <f>ROUND(192291/2-D14/2,0)</f>
        <v>95071</v>
      </c>
      <c r="F14" s="8">
        <f t="shared" si="0"/>
        <v>94833</v>
      </c>
      <c r="G14" s="3">
        <f>(C14-D14-E14)*15</f>
        <v>1422495</v>
      </c>
      <c r="I14" s="8">
        <v>10929</v>
      </c>
      <c r="J14" s="4">
        <f>I14*15</f>
        <v>163935</v>
      </c>
      <c r="L14" s="8">
        <f t="shared" ref="L14:L20" si="2">I14-M14</f>
        <v>0</v>
      </c>
      <c r="M14" s="10">
        <f>IF(I14&lt;=25000,I14,25000)</f>
        <v>10929</v>
      </c>
      <c r="O14" s="3">
        <v>181221</v>
      </c>
      <c r="P14" s="3">
        <v>2000</v>
      </c>
      <c r="Q14" s="3">
        <f t="shared" ref="Q14:Q20" si="3">O14-P14</f>
        <v>179221</v>
      </c>
      <c r="R14" s="8">
        <v>80525</v>
      </c>
      <c r="T14">
        <v>449</v>
      </c>
      <c r="U14">
        <v>7455</v>
      </c>
      <c r="V14" s="3">
        <v>80301</v>
      </c>
      <c r="X14" s="8">
        <v>2000</v>
      </c>
      <c r="Y14" s="4">
        <f t="shared" si="1"/>
        <v>82525</v>
      </c>
    </row>
    <row r="15" spans="1:25" x14ac:dyDescent="0.25">
      <c r="A15" t="s">
        <v>7</v>
      </c>
      <c r="C15" s="12"/>
      <c r="F15" s="8"/>
      <c r="G15" s="3">
        <f>G13+G14</f>
        <v>4460959</v>
      </c>
      <c r="I15" s="9"/>
      <c r="J15" s="3">
        <f>J13+J14</f>
        <v>1859935</v>
      </c>
      <c r="L15" s="8"/>
      <c r="M15" s="9"/>
      <c r="Q15" s="3">
        <f t="shared" si="3"/>
        <v>0</v>
      </c>
      <c r="R15" s="9"/>
      <c r="X15" s="8" t="s">
        <v>54</v>
      </c>
      <c r="Y15" s="4"/>
    </row>
    <row r="16" spans="1:25" x14ac:dyDescent="0.25">
      <c r="A16" s="1" t="s">
        <v>0</v>
      </c>
      <c r="C16" s="11">
        <v>192291</v>
      </c>
      <c r="D16" s="3">
        <v>0</v>
      </c>
      <c r="E16" s="3">
        <v>0</v>
      </c>
      <c r="F16" s="8">
        <f t="shared" si="0"/>
        <v>192291</v>
      </c>
      <c r="G16" s="3">
        <f>(C16-D16-E16)*30</f>
        <v>5768730</v>
      </c>
      <c r="I16" s="8">
        <v>106000</v>
      </c>
      <c r="J16" s="4">
        <f>I16*30</f>
        <v>3180000</v>
      </c>
      <c r="L16" s="8">
        <f t="shared" si="2"/>
        <v>83000</v>
      </c>
      <c r="M16" s="8">
        <v>23000</v>
      </c>
      <c r="O16" s="3">
        <v>180100</v>
      </c>
      <c r="P16" s="3">
        <v>0</v>
      </c>
      <c r="Q16" s="3">
        <f t="shared" si="3"/>
        <v>180100</v>
      </c>
      <c r="R16" s="8">
        <f>T16*U16/1000*24</f>
        <v>80898.047999999995</v>
      </c>
      <c r="T16">
        <v>448</v>
      </c>
      <c r="U16">
        <v>7524</v>
      </c>
      <c r="V16" s="3">
        <f>ROUND(T16*U16/1000*24,0)</f>
        <v>80898</v>
      </c>
      <c r="X16" s="8">
        <v>0</v>
      </c>
      <c r="Y16" s="4">
        <f t="shared" si="1"/>
        <v>80898.047999999995</v>
      </c>
    </row>
    <row r="17" spans="1:25" x14ac:dyDescent="0.25">
      <c r="A17" s="2" t="s">
        <v>1</v>
      </c>
      <c r="C17" s="11">
        <v>192291</v>
      </c>
      <c r="D17" s="3">
        <v>0</v>
      </c>
      <c r="E17" s="3">
        <v>0</v>
      </c>
      <c r="F17" s="8">
        <f t="shared" si="0"/>
        <v>192291</v>
      </c>
      <c r="G17" s="3">
        <f>(C17-D17-E17)*31</f>
        <v>5961021</v>
      </c>
      <c r="I17" s="8">
        <v>106000</v>
      </c>
      <c r="J17" s="4">
        <f>I17*31</f>
        <v>3286000</v>
      </c>
      <c r="L17" s="8">
        <f t="shared" si="2"/>
        <v>83000</v>
      </c>
      <c r="M17" s="8">
        <v>23000</v>
      </c>
      <c r="O17" s="3">
        <v>180100</v>
      </c>
      <c r="P17" s="3">
        <v>0</v>
      </c>
      <c r="Q17" s="3">
        <f t="shared" si="3"/>
        <v>180100</v>
      </c>
      <c r="R17" s="8">
        <f>T17*U17/1000*24</f>
        <v>80772.84</v>
      </c>
      <c r="T17">
        <v>445</v>
      </c>
      <c r="U17">
        <v>7563</v>
      </c>
      <c r="V17" s="3">
        <f>ROUND(T17*U17/1000*24,0)</f>
        <v>80773</v>
      </c>
      <c r="X17" s="8">
        <v>0</v>
      </c>
      <c r="Y17" s="4">
        <f t="shared" si="1"/>
        <v>80772.84</v>
      </c>
    </row>
    <row r="18" spans="1:25" x14ac:dyDescent="0.25">
      <c r="A18" s="2" t="s">
        <v>2</v>
      </c>
      <c r="C18" s="11">
        <v>192291</v>
      </c>
      <c r="D18" s="3">
        <v>0</v>
      </c>
      <c r="E18" s="3">
        <v>0</v>
      </c>
      <c r="F18" s="8">
        <f t="shared" si="0"/>
        <v>192291</v>
      </c>
      <c r="G18" s="3">
        <f>(C18-D18-E18)*31</f>
        <v>5961021</v>
      </c>
      <c r="I18" s="8">
        <v>106000</v>
      </c>
      <c r="J18" s="4">
        <f>I18*31</f>
        <v>3286000</v>
      </c>
      <c r="L18" s="8">
        <f t="shared" si="2"/>
        <v>83000</v>
      </c>
      <c r="M18" s="8">
        <v>23000</v>
      </c>
      <c r="O18" s="3">
        <v>180100</v>
      </c>
      <c r="P18" s="3">
        <v>0</v>
      </c>
      <c r="Q18" s="3">
        <f t="shared" si="3"/>
        <v>180100</v>
      </c>
      <c r="R18" s="8">
        <f>T18*U18/1000*24</f>
        <v>80900.351999999999</v>
      </c>
      <c r="T18">
        <v>444</v>
      </c>
      <c r="U18">
        <v>7592</v>
      </c>
      <c r="V18" s="3">
        <f>ROUND(T18*U18/1000*24,0)</f>
        <v>80900</v>
      </c>
      <c r="X18" s="8">
        <v>0</v>
      </c>
      <c r="Y18" s="4">
        <f t="shared" si="1"/>
        <v>80900.351999999999</v>
      </c>
    </row>
    <row r="19" spans="1:25" x14ac:dyDescent="0.25">
      <c r="A19" s="2" t="s">
        <v>3</v>
      </c>
      <c r="C19" s="11">
        <v>192291</v>
      </c>
      <c r="D19" s="3">
        <v>0</v>
      </c>
      <c r="E19" s="3">
        <v>0</v>
      </c>
      <c r="F19" s="8">
        <f t="shared" si="0"/>
        <v>192291</v>
      </c>
      <c r="G19" s="3">
        <f>(C19-D19-E19)*28</f>
        <v>5384148</v>
      </c>
      <c r="I19" s="8">
        <v>106000</v>
      </c>
      <c r="J19" s="4">
        <f>I19*28</f>
        <v>2968000</v>
      </c>
      <c r="L19" s="8">
        <f t="shared" si="2"/>
        <v>83000</v>
      </c>
      <c r="M19" s="8">
        <v>23000</v>
      </c>
      <c r="O19" s="3">
        <v>180100</v>
      </c>
      <c r="P19" s="3">
        <v>0</v>
      </c>
      <c r="Q19" s="3">
        <f t="shared" si="3"/>
        <v>180100</v>
      </c>
      <c r="R19" s="8">
        <f>T19*U19/1000*24</f>
        <v>80836.92</v>
      </c>
      <c r="T19">
        <v>445</v>
      </c>
      <c r="U19">
        <v>7569</v>
      </c>
      <c r="V19" s="3">
        <f>ROUND(T19*U19/1000*24,0)</f>
        <v>80837</v>
      </c>
      <c r="X19" s="8">
        <v>0</v>
      </c>
      <c r="Y19" s="4">
        <f t="shared" si="1"/>
        <v>80836.92</v>
      </c>
    </row>
    <row r="20" spans="1:25" x14ac:dyDescent="0.25">
      <c r="A20" s="2" t="s">
        <v>4</v>
      </c>
      <c r="C20" s="11">
        <v>192291</v>
      </c>
      <c r="D20" s="3">
        <v>0</v>
      </c>
      <c r="E20" s="3">
        <v>0</v>
      </c>
      <c r="F20" s="8">
        <f t="shared" si="0"/>
        <v>192291</v>
      </c>
      <c r="G20" s="3">
        <f>(C20-D20-E20)*31</f>
        <v>5961021</v>
      </c>
      <c r="I20" s="8">
        <v>106000</v>
      </c>
      <c r="J20" s="4">
        <f>I20*31</f>
        <v>3286000</v>
      </c>
      <c r="L20" s="8">
        <f t="shared" si="2"/>
        <v>83000</v>
      </c>
      <c r="M20" s="8">
        <v>23000</v>
      </c>
      <c r="O20" s="3">
        <v>180100</v>
      </c>
      <c r="P20" s="3">
        <v>0</v>
      </c>
      <c r="Q20" s="3">
        <f t="shared" si="3"/>
        <v>180100</v>
      </c>
      <c r="R20" s="8">
        <f>T20*U20/1000*24</f>
        <v>80867.66399999999</v>
      </c>
      <c r="T20">
        <v>447</v>
      </c>
      <c r="U20">
        <v>7538</v>
      </c>
      <c r="V20" s="3">
        <f>ROUND(T20*U20/1000*24,0)</f>
        <v>80868</v>
      </c>
      <c r="X20" s="8">
        <v>0</v>
      </c>
      <c r="Y20" s="4">
        <f t="shared" si="1"/>
        <v>80867.66399999999</v>
      </c>
    </row>
    <row r="22" spans="1:25" x14ac:dyDescent="0.25">
      <c r="A22" t="s">
        <v>22</v>
      </c>
      <c r="G22" s="4">
        <f>G12+G13+G14+G16+G17+G18+G19+G20</f>
        <v>33874232</v>
      </c>
      <c r="J22" s="4">
        <f>J12+J13+J14+J16+J17+J18+J19+J20</f>
        <v>18077935</v>
      </c>
    </row>
    <row r="26" spans="1:25" x14ac:dyDescent="0.25">
      <c r="A26" t="s">
        <v>38</v>
      </c>
      <c r="B26" t="s">
        <v>57</v>
      </c>
    </row>
    <row r="27" spans="1:25" x14ac:dyDescent="0.25">
      <c r="A27" s="7" t="s">
        <v>39</v>
      </c>
      <c r="B27" t="s">
        <v>49</v>
      </c>
    </row>
    <row r="28" spans="1:25" x14ac:dyDescent="0.25">
      <c r="A28" s="7" t="s">
        <v>40</v>
      </c>
      <c r="B28" t="s">
        <v>41</v>
      </c>
    </row>
    <row r="29" spans="1:25" x14ac:dyDescent="0.25">
      <c r="A29" s="7" t="s">
        <v>42</v>
      </c>
      <c r="B29" t="s">
        <v>44</v>
      </c>
    </row>
    <row r="30" spans="1:25" x14ac:dyDescent="0.25">
      <c r="A30" s="7" t="s">
        <v>45</v>
      </c>
      <c r="B30" t="s">
        <v>48</v>
      </c>
    </row>
    <row r="31" spans="1:25" x14ac:dyDescent="0.25">
      <c r="A31" s="7" t="s">
        <v>46</v>
      </c>
      <c r="B31" t="s">
        <v>47</v>
      </c>
    </row>
    <row r="32" spans="1:25" x14ac:dyDescent="0.25">
      <c r="A32" s="7" t="s">
        <v>59</v>
      </c>
      <c r="B32" t="s">
        <v>60</v>
      </c>
    </row>
  </sheetData>
  <pageMargins left="0.5" right="0.5" top="1" bottom="1" header="0.5" footer="0.5"/>
  <pageSetup scale="5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rconcan</dc:creator>
  <cp:lastModifiedBy>Havlíček Jan</cp:lastModifiedBy>
  <cp:lastPrinted>2000-09-27T16:00:36Z</cp:lastPrinted>
  <dcterms:created xsi:type="dcterms:W3CDTF">2000-09-22T03:36:33Z</dcterms:created>
  <dcterms:modified xsi:type="dcterms:W3CDTF">2023-09-10T11:10:36Z</dcterms:modified>
</cp:coreProperties>
</file>