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1" i="9"/>
  <c r="D31" i="9"/>
  <c r="E31" i="9"/>
  <c r="F31" i="9"/>
  <c r="G31" i="9"/>
  <c r="H31" i="9"/>
  <c r="I31" i="9"/>
  <c r="J31" i="9"/>
  <c r="K31" i="9"/>
  <c r="C33" i="9"/>
  <c r="D33" i="9"/>
  <c r="F33" i="9"/>
  <c r="H33" i="9"/>
  <c r="J33" i="9"/>
  <c r="K33" i="9"/>
  <c r="C35" i="9"/>
  <c r="D35" i="9"/>
  <c r="E35" i="9"/>
  <c r="F35" i="9"/>
  <c r="G35" i="9"/>
  <c r="H35" i="9"/>
  <c r="I35" i="9"/>
  <c r="J35" i="9"/>
  <c r="K35" i="9"/>
  <c r="B4" i="2"/>
  <c r="D10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I34" i="2"/>
  <c r="L34" i="2"/>
  <c r="N34" i="2"/>
  <c r="D36" i="2"/>
  <c r="E36" i="2"/>
  <c r="F36" i="2"/>
  <c r="G36" i="2"/>
  <c r="H36" i="2"/>
  <c r="I36" i="2"/>
  <c r="J36" i="2"/>
  <c r="K36" i="2"/>
  <c r="L36" i="2"/>
  <c r="M36" i="2"/>
  <c r="N36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E27" i="1"/>
  <c r="J27" i="1"/>
  <c r="O27" i="1"/>
  <c r="Q27" i="1"/>
  <c r="V27" i="1"/>
  <c r="E28" i="1"/>
  <c r="J28" i="1"/>
  <c r="O28" i="1"/>
  <c r="Q28" i="1"/>
  <c r="T28" i="1"/>
  <c r="V28" i="1"/>
  <c r="D29" i="1"/>
  <c r="E29" i="1"/>
  <c r="J29" i="1"/>
  <c r="L29" i="1"/>
  <c r="M29" i="1"/>
  <c r="O29" i="1"/>
  <c r="Q29" i="1"/>
  <c r="T29" i="1"/>
  <c r="V29" i="1"/>
  <c r="D30" i="1"/>
  <c r="E30" i="1"/>
  <c r="J30" i="1"/>
  <c r="N30" i="1"/>
  <c r="O30" i="1"/>
  <c r="Q30" i="1"/>
  <c r="U30" i="1"/>
  <c r="V30" i="1"/>
  <c r="C31" i="1"/>
  <c r="D31" i="1"/>
  <c r="E31" i="1"/>
  <c r="G31" i="1"/>
  <c r="H31" i="1"/>
  <c r="I31" i="1"/>
  <c r="J31" i="1"/>
  <c r="M31" i="1"/>
  <c r="O31" i="1"/>
  <c r="Q31" i="1"/>
  <c r="T31" i="1"/>
  <c r="V31" i="1"/>
  <c r="D32" i="1"/>
  <c r="E32" i="1"/>
  <c r="J32" i="1"/>
  <c r="L32" i="1"/>
  <c r="O32" i="1"/>
  <c r="Q32" i="1"/>
  <c r="S32" i="1"/>
  <c r="V32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E36" i="1"/>
  <c r="G36" i="1"/>
  <c r="H36" i="1"/>
  <c r="I36" i="1"/>
  <c r="J36" i="1"/>
  <c r="O36" i="1"/>
  <c r="Q36" i="1"/>
  <c r="T36" i="1"/>
  <c r="V36" i="1"/>
  <c r="C38" i="1"/>
  <c r="D38" i="1"/>
  <c r="E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I27" i="37"/>
  <c r="K27" i="37"/>
  <c r="L27" i="37"/>
  <c r="M27" i="37"/>
  <c r="P27" i="37"/>
  <c r="Q27" i="37"/>
  <c r="C28" i="37"/>
  <c r="E28" i="37"/>
  <c r="G28" i="37"/>
  <c r="I28" i="37"/>
  <c r="K28" i="37"/>
  <c r="L28" i="37"/>
  <c r="M28" i="37"/>
  <c r="O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M4" i="38"/>
  <c r="C9" i="38"/>
  <c r="D9" i="38"/>
  <c r="E9" i="38"/>
  <c r="G9" i="38"/>
  <c r="H9" i="38"/>
  <c r="I9" i="38"/>
  <c r="K9" i="38"/>
  <c r="L9" i="38"/>
  <c r="M9" i="38"/>
  <c r="C10" i="38"/>
  <c r="D10" i="38"/>
  <c r="E10" i="38"/>
  <c r="G10" i="38"/>
  <c r="H10" i="38"/>
  <c r="I10" i="38"/>
  <c r="K10" i="38"/>
  <c r="L10" i="38"/>
  <c r="M10" i="38"/>
  <c r="C11" i="38"/>
  <c r="D11" i="38"/>
  <c r="E11" i="38"/>
  <c r="G11" i="38"/>
  <c r="H11" i="38"/>
  <c r="I11" i="38"/>
  <c r="K11" i="38"/>
  <c r="L11" i="38"/>
  <c r="M11" i="38"/>
  <c r="C12" i="38"/>
  <c r="D12" i="38"/>
  <c r="E12" i="38"/>
  <c r="G12" i="38"/>
  <c r="H12" i="38"/>
  <c r="I12" i="38"/>
  <c r="K12" i="38"/>
  <c r="L12" i="38"/>
  <c r="M12" i="38"/>
  <c r="C13" i="38"/>
  <c r="D13" i="38"/>
  <c r="E13" i="38"/>
  <c r="G13" i="38"/>
  <c r="H13" i="38"/>
  <c r="I13" i="38"/>
  <c r="K13" i="38"/>
  <c r="L13" i="38"/>
  <c r="M13" i="38"/>
  <c r="C14" i="38"/>
  <c r="D14" i="38"/>
  <c r="E14" i="38"/>
  <c r="G14" i="38"/>
  <c r="H14" i="38"/>
  <c r="I14" i="38"/>
  <c r="K14" i="38"/>
  <c r="L14" i="38"/>
  <c r="M14" i="38"/>
  <c r="C15" i="38"/>
  <c r="D15" i="38"/>
  <c r="E15" i="38"/>
  <c r="G15" i="38"/>
  <c r="H15" i="38"/>
  <c r="I15" i="38"/>
  <c r="K15" i="38"/>
  <c r="L15" i="38"/>
  <c r="M15" i="38"/>
  <c r="C16" i="38"/>
  <c r="D16" i="38"/>
  <c r="E16" i="38"/>
  <c r="G16" i="38"/>
  <c r="H16" i="38"/>
  <c r="I16" i="38"/>
  <c r="K16" i="38"/>
  <c r="L16" i="38"/>
  <c r="M16" i="38"/>
  <c r="C17" i="38"/>
  <c r="D17" i="38"/>
  <c r="E17" i="38"/>
  <c r="G17" i="38"/>
  <c r="H17" i="38"/>
  <c r="I17" i="38"/>
  <c r="K17" i="38"/>
  <c r="L17" i="38"/>
  <c r="M17" i="38"/>
  <c r="C18" i="38"/>
  <c r="D18" i="38"/>
  <c r="E18" i="38"/>
  <c r="G18" i="38"/>
  <c r="H18" i="38"/>
  <c r="I18" i="38"/>
  <c r="K18" i="38"/>
  <c r="L18" i="38"/>
  <c r="M18" i="38"/>
  <c r="C19" i="38"/>
  <c r="D19" i="38"/>
  <c r="E19" i="38"/>
  <c r="G19" i="38"/>
  <c r="H19" i="38"/>
  <c r="I19" i="38"/>
  <c r="K19" i="38"/>
  <c r="L19" i="38"/>
  <c r="M19" i="38"/>
  <c r="C20" i="38"/>
  <c r="D20" i="38"/>
  <c r="E20" i="38"/>
  <c r="G20" i="38"/>
  <c r="H20" i="38"/>
  <c r="I20" i="38"/>
  <c r="K20" i="38"/>
  <c r="L20" i="38"/>
  <c r="M20" i="38"/>
  <c r="C21" i="38"/>
  <c r="D21" i="38"/>
  <c r="E21" i="38"/>
  <c r="G21" i="38"/>
  <c r="H21" i="38"/>
  <c r="I21" i="38"/>
  <c r="K21" i="38"/>
  <c r="L21" i="38"/>
  <c r="M21" i="38"/>
  <c r="C22" i="38"/>
  <c r="D22" i="38"/>
  <c r="E22" i="38"/>
  <c r="G22" i="38"/>
  <c r="H22" i="38"/>
  <c r="I22" i="38"/>
  <c r="K22" i="38"/>
  <c r="L22" i="38"/>
  <c r="M22" i="38"/>
  <c r="C23" i="38"/>
  <c r="D23" i="38"/>
  <c r="E23" i="38"/>
  <c r="G23" i="38"/>
  <c r="H23" i="38"/>
  <c r="I23" i="38"/>
  <c r="K23" i="38"/>
  <c r="L23" i="38"/>
  <c r="M23" i="38"/>
  <c r="C24" i="38"/>
  <c r="D24" i="38"/>
  <c r="E24" i="38"/>
  <c r="G24" i="38"/>
  <c r="H24" i="38"/>
  <c r="I24" i="38"/>
  <c r="K24" i="38"/>
  <c r="L24" i="38"/>
  <c r="M24" i="38"/>
  <c r="C26" i="38"/>
  <c r="D26" i="38"/>
  <c r="E26" i="38"/>
  <c r="G26" i="38"/>
  <c r="H26" i="38"/>
  <c r="I26" i="38"/>
  <c r="K26" i="38"/>
  <c r="L26" i="38"/>
  <c r="M26" i="38"/>
  <c r="C28" i="38"/>
  <c r="D28" i="38"/>
  <c r="E28" i="38"/>
  <c r="G28" i="38"/>
  <c r="H28" i="38"/>
  <c r="I28" i="38"/>
  <c r="K28" i="38"/>
  <c r="L28" i="38"/>
  <c r="M28" i="38"/>
  <c r="C29" i="38"/>
  <c r="D29" i="38"/>
  <c r="E29" i="38"/>
  <c r="G29" i="38"/>
  <c r="H29" i="38"/>
  <c r="I29" i="38"/>
  <c r="K29" i="38"/>
  <c r="L29" i="38"/>
  <c r="M29" i="38"/>
  <c r="C30" i="38"/>
  <c r="D30" i="38"/>
  <c r="E30" i="38"/>
  <c r="G30" i="38"/>
  <c r="H30" i="38"/>
  <c r="I30" i="38"/>
  <c r="K30" i="38"/>
  <c r="L30" i="38"/>
  <c r="M30" i="38"/>
  <c r="C31" i="38"/>
  <c r="D31" i="38"/>
  <c r="E31" i="38"/>
  <c r="G31" i="38"/>
  <c r="H31" i="38"/>
  <c r="I31" i="38"/>
  <c r="K31" i="38"/>
  <c r="L31" i="38"/>
  <c r="M31" i="38"/>
  <c r="C32" i="38"/>
  <c r="D32" i="38"/>
  <c r="E32" i="38"/>
  <c r="G32" i="38"/>
  <c r="H32" i="38"/>
  <c r="I32" i="38"/>
  <c r="K32" i="38"/>
  <c r="L32" i="38"/>
  <c r="M32" i="38"/>
  <c r="C33" i="38"/>
  <c r="D33" i="38"/>
  <c r="E33" i="38"/>
  <c r="G33" i="38"/>
  <c r="H33" i="38"/>
  <c r="I33" i="38"/>
  <c r="K33" i="38"/>
  <c r="L33" i="38"/>
  <c r="M33" i="38"/>
  <c r="C35" i="38"/>
  <c r="D35" i="38"/>
  <c r="E35" i="38"/>
  <c r="G35" i="38"/>
  <c r="H35" i="38"/>
  <c r="I35" i="38"/>
  <c r="K35" i="38"/>
  <c r="L35" i="38"/>
  <c r="M35" i="38"/>
  <c r="C37" i="38"/>
  <c r="D37" i="38"/>
  <c r="E37" i="38"/>
  <c r="G37" i="38"/>
  <c r="H37" i="38"/>
  <c r="I37" i="38"/>
  <c r="K37" i="38"/>
  <c r="L37" i="38"/>
  <c r="M37" i="38"/>
  <c r="C39" i="38"/>
  <c r="D39" i="38"/>
  <c r="E39" i="38"/>
  <c r="G39" i="38"/>
  <c r="H39" i="38"/>
  <c r="I39" i="38"/>
  <c r="K39" i="38"/>
  <c r="L39" i="38"/>
  <c r="M39" i="38"/>
  <c r="E45" i="38"/>
  <c r="I45" i="38"/>
  <c r="E46" i="38"/>
  <c r="I46" i="38"/>
  <c r="E47" i="38"/>
  <c r="I47" i="38"/>
  <c r="E49" i="38"/>
  <c r="I49" i="38"/>
  <c r="E52" i="38"/>
  <c r="I52" i="38"/>
  <c r="E53" i="38"/>
  <c r="I53" i="38"/>
  <c r="E55" i="38"/>
  <c r="I55" i="38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1" i="36"/>
  <c r="D21" i="36"/>
  <c r="E21" i="36"/>
  <c r="G21" i="36"/>
  <c r="I21" i="36"/>
  <c r="J21" i="36"/>
  <c r="M21" i="36"/>
  <c r="N21" i="36"/>
  <c r="O21" i="36"/>
  <c r="Q21" i="36"/>
  <c r="T21" i="36"/>
  <c r="U21" i="36"/>
  <c r="V21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J28" i="36"/>
  <c r="M28" i="36"/>
  <c r="N28" i="36"/>
  <c r="O28" i="36"/>
  <c r="Q28" i="36"/>
  <c r="R28" i="36"/>
  <c r="S28" i="36"/>
  <c r="T28" i="36"/>
  <c r="U28" i="36"/>
  <c r="V28" i="36"/>
  <c r="C29" i="36"/>
  <c r="D29" i="36"/>
  <c r="E29" i="36"/>
  <c r="G29" i="36"/>
  <c r="J29" i="36"/>
  <c r="M29" i="36"/>
  <c r="N29" i="36"/>
  <c r="O29" i="36"/>
  <c r="Q29" i="36"/>
  <c r="R29" i="36"/>
  <c r="S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R30" i="36"/>
  <c r="S30" i="36"/>
  <c r="T30" i="36"/>
  <c r="U30" i="36"/>
  <c r="V30" i="36"/>
  <c r="C31" i="36"/>
  <c r="D31" i="36"/>
  <c r="E31" i="36"/>
  <c r="G31" i="36"/>
  <c r="H31" i="36"/>
  <c r="I31" i="36"/>
  <c r="J31" i="36"/>
  <c r="M31" i="36"/>
  <c r="N31" i="36"/>
  <c r="O31" i="36"/>
  <c r="Q31" i="36"/>
  <c r="R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C36" i="36"/>
  <c r="D36" i="36"/>
  <c r="E36" i="36"/>
  <c r="G36" i="36"/>
  <c r="H36" i="36"/>
  <c r="I36" i="36"/>
  <c r="J36" i="36"/>
  <c r="M36" i="36"/>
  <c r="N36" i="36"/>
  <c r="O36" i="36"/>
  <c r="Q36" i="36"/>
  <c r="T36" i="36"/>
  <c r="U36" i="36"/>
  <c r="V36" i="36"/>
  <c r="C38" i="36"/>
  <c r="D38" i="36"/>
  <c r="E38" i="36"/>
  <c r="G38" i="36"/>
  <c r="H38" i="36"/>
  <c r="I38" i="36"/>
  <c r="J38" i="36"/>
  <c r="K38" i="36"/>
  <c r="L38" i="36"/>
  <c r="M38" i="36"/>
  <c r="N38" i="36"/>
  <c r="O38" i="36"/>
  <c r="Q38" i="36"/>
  <c r="R38" i="36"/>
  <c r="S38" i="36"/>
  <c r="T38" i="36"/>
  <c r="U38" i="36"/>
  <c r="V38" i="36"/>
  <c r="G40" i="36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<sst xmlns="http://schemas.openxmlformats.org/spreadsheetml/2006/main" count="491" uniqueCount="141">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</sst>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57345" name="Text Box 1"/>
        <xdr:cNvSpPr txBox="1">
          <a:spLocks noChangeArrowheads="1"/>
        </xdr:cNvSpPr>
      </xdr:nvSpPr>
      <xdr:spPr bwMode="auto">
        <a:xfrm>
          <a:off x="7863840" y="0"/>
          <a:ext cx="15468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7346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281940</xdr:colOff>
      <xdr:row>4</xdr:row>
      <xdr:rowOff>83820</xdr:rowOff>
    </xdr:from>
    <xdr:to>
      <xdr:col>13</xdr:col>
      <xdr:colOff>0</xdr:colOff>
      <xdr:row>4</xdr:row>
      <xdr:rowOff>106680</xdr:rowOff>
    </xdr:to>
    <xdr:sp macro="" textlink="">
      <xdr:nvSpPr>
        <xdr:cNvPr id="57347" name="Line 3"/>
        <xdr:cNvSpPr>
          <a:spLocks noChangeShapeType="1"/>
        </xdr:cNvSpPr>
      </xdr:nvSpPr>
      <xdr:spPr bwMode="auto">
        <a:xfrm flipH="1">
          <a:off x="3048000" y="967740"/>
          <a:ext cx="4754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57348" name="Text Box 4"/>
        <xdr:cNvSpPr txBox="1">
          <a:spLocks noChangeArrowheads="1"/>
        </xdr:cNvSpPr>
      </xdr:nvSpPr>
      <xdr:spPr bwMode="auto">
        <a:xfrm>
          <a:off x="7863840" y="0"/>
          <a:ext cx="15468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7349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901940" y="76200"/>
          <a:ext cx="163830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457200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62800" y="76200"/>
          <a:ext cx="237744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312420</xdr:colOff>
      <xdr:row>4</xdr:row>
      <xdr:rowOff>76200</xdr:rowOff>
    </xdr:from>
    <xdr:to>
      <xdr:col>17</xdr:col>
      <xdr:colOff>22860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3078480" y="96012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873240" y="76200"/>
          <a:ext cx="211836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76200</xdr:rowOff>
    </xdr:from>
    <xdr:to>
      <xdr:col>13</xdr:col>
      <xdr:colOff>525780</xdr:colOff>
      <xdr:row>3</xdr:row>
      <xdr:rowOff>22860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02680" y="236220"/>
          <a:ext cx="15697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1</xdr:row>
      <xdr:rowOff>83820</xdr:rowOff>
    </xdr:from>
    <xdr:to>
      <xdr:col>15</xdr:col>
      <xdr:colOff>952500</xdr:colOff>
      <xdr:row>3</xdr:row>
      <xdr:rowOff>68580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608320" y="8382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401-Global-11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-40961.425000000003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3029</v>
          </cell>
          <cell r="E11">
            <v>111.345</v>
          </cell>
          <cell r="G11">
            <v>0</v>
          </cell>
          <cell r="K11">
            <v>0</v>
          </cell>
        </row>
        <row r="12">
          <cell r="D12">
            <v>2465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-3597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11.188000000000001</v>
          </cell>
          <cell r="G15">
            <v>0</v>
          </cell>
          <cell r="K15">
            <v>0</v>
          </cell>
        </row>
        <row r="16">
          <cell r="D16">
            <v>-829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1728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1942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-125</v>
          </cell>
          <cell r="E23">
            <v>50.927999999999997</v>
          </cell>
          <cell r="G23">
            <v>0</v>
          </cell>
          <cell r="K23">
            <v>0</v>
          </cell>
        </row>
        <row r="24">
          <cell r="D24">
            <v>1556</v>
          </cell>
          <cell r="E24">
            <v>1000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1.425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7.6640625" style="14" customWidth="1"/>
    <col min="16" max="17" width="8.6640625" style="14" customWidth="1"/>
    <col min="18" max="18" width="0.88671875" style="14" customWidth="1"/>
    <col min="19" max="16384" width="9.109375" style="14"/>
  </cols>
  <sheetData>
    <row r="1" spans="1:18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16,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76673.782000000007</v>
      </c>
      <c r="D9" s="222">
        <f>+'YTD Mgmt Summary'!C9</f>
        <v>150000</v>
      </c>
      <c r="E9" s="223">
        <f t="shared" ref="E9:E24" si="0">-D9+C9</f>
        <v>-73326.217999999993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14073.559500000003</v>
      </c>
      <c r="L9" s="222">
        <f t="shared" ref="L9:L24" si="2">D9-H9</f>
        <v>82485.807000000001</v>
      </c>
      <c r="M9" s="223">
        <f t="shared" ref="M9:M24" si="3">K9-L9</f>
        <v>-68412.247499999998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66296.339519999994</v>
      </c>
      <c r="D10" s="222">
        <f>+'YTD Mgmt Summary'!C10</f>
        <v>65000</v>
      </c>
      <c r="E10" s="223">
        <f t="shared" si="0"/>
        <v>1296.3395199999941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31757.127519999995</v>
      </c>
      <c r="L10" s="222">
        <f t="shared" si="2"/>
        <v>29731.281999999999</v>
      </c>
      <c r="M10" s="223">
        <f t="shared" si="3"/>
        <v>2025.8455199999953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13852.699000000001</v>
      </c>
      <c r="D11" s="222">
        <f>+'YTD Mgmt Summary'!C11</f>
        <v>10000</v>
      </c>
      <c r="E11" s="223">
        <f t="shared" si="0"/>
        <v>3852.6990000000005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11819.415000000001</v>
      </c>
      <c r="L11" s="222">
        <f t="shared" si="2"/>
        <v>7106.4160000000002</v>
      </c>
      <c r="M11" s="223">
        <f t="shared" si="3"/>
        <v>4712.9990000000007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21619.923000000003</v>
      </c>
      <c r="D13" s="222">
        <f>+'YTD Mgmt Summary'!C13</f>
        <v>33000.002</v>
      </c>
      <c r="E13" s="223">
        <f t="shared" si="0"/>
        <v>-11380.078999999998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9121.8260000000028</v>
      </c>
      <c r="L13" s="222">
        <f t="shared" si="2"/>
        <v>19236.451000000001</v>
      </c>
      <c r="M13" s="223">
        <f t="shared" si="3"/>
        <v>-10114.624999999998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38015.206999999995</v>
      </c>
      <c r="D15" s="222">
        <f>+'YTD Mgmt Summary'!C15</f>
        <v>100493</v>
      </c>
      <c r="E15" s="223">
        <f t="shared" si="0"/>
        <v>-62477.793000000005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22771.759999999995</v>
      </c>
      <c r="L15" s="222">
        <f t="shared" si="2"/>
        <v>80141.45</v>
      </c>
      <c r="M15" s="223">
        <f t="shared" si="3"/>
        <v>-57369.69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2863.1719999999996</v>
      </c>
      <c r="D16" s="222">
        <f>+'YTD Mgmt Summary'!C16</f>
        <v>20821.5</v>
      </c>
      <c r="E16" s="223">
        <f t="shared" si="0"/>
        <v>-17958.328000000001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-18624.739000000001</v>
      </c>
      <c r="L16" s="222">
        <f t="shared" si="2"/>
        <v>-78.383999999998196</v>
      </c>
      <c r="M16" s="223">
        <f t="shared" si="3"/>
        <v>-18546.355000000003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6243.5590000000002</v>
      </c>
      <c r="D17" s="222">
        <f>+'YTD Mgmt Summary'!C17</f>
        <v>60000</v>
      </c>
      <c r="E17" s="223">
        <f t="shared" si="0"/>
        <v>-53756.440999999999</v>
      </c>
      <c r="F17" s="224"/>
      <c r="G17" s="221">
        <f>+'YTD Mgmt Summary'!M17+'YTD Mgmt Summary'!N17</f>
        <v>22286.444</v>
      </c>
      <c r="H17" s="222">
        <f>+'YTD Mgmt Summary'!D17</f>
        <v>10483.641</v>
      </c>
      <c r="I17" s="223">
        <f t="shared" si="1"/>
        <v>-11802.803</v>
      </c>
      <c r="J17" s="224"/>
      <c r="K17" s="221">
        <f t="shared" si="4"/>
        <v>-16042.884999999998</v>
      </c>
      <c r="L17" s="222">
        <f t="shared" si="2"/>
        <v>49516.358999999997</v>
      </c>
      <c r="M17" s="223">
        <f t="shared" si="3"/>
        <v>-65559.243999999992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2.2640000000000002</v>
      </c>
      <c r="D20" s="222">
        <f>+'YTD Mgmt Summary'!C20</f>
        <v>7500</v>
      </c>
      <c r="E20" s="223">
        <f t="shared" si="0"/>
        <v>-7497.7359999999999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-5895.8730000000005</v>
      </c>
      <c r="L20" s="255">
        <f t="shared" si="2"/>
        <v>767.24399999999969</v>
      </c>
      <c r="M20" s="256">
        <f t="shared" si="3"/>
        <v>-6663.1170000000002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3.8">
      <c r="A26" s="225" t="s">
        <v>3</v>
      </c>
      <c r="B26" s="215"/>
      <c r="C26" s="230">
        <f>SUM(C9:C25)</f>
        <v>238972.94279999996</v>
      </c>
      <c r="D26" s="231">
        <f>SUM(D9:D25)</f>
        <v>508026.86700000003</v>
      </c>
      <c r="E26" s="232">
        <f>SUM(E9:E25)</f>
        <v>-269053.92420000001</v>
      </c>
      <c r="F26" s="233"/>
      <c r="G26" s="230">
        <f>SUM(G9:G25)</f>
        <v>196390.76349999997</v>
      </c>
      <c r="H26" s="231">
        <f>SUM(H9:H25)</f>
        <v>201785.01000000004</v>
      </c>
      <c r="I26" s="232">
        <f>SUM(I9:I25)</f>
        <v>5394.2464999999956</v>
      </c>
      <c r="J26" s="233"/>
      <c r="K26" s="230">
        <f>SUM(K9:K25)</f>
        <v>42582.179299999989</v>
      </c>
      <c r="L26" s="231">
        <f>SUM(L9:L25)</f>
        <v>306241.85700000008</v>
      </c>
      <c r="M26" s="232">
        <f>SUM(M9:M25)</f>
        <v>-263659.6777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8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8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3.8">
      <c r="A35" s="225" t="s">
        <v>72</v>
      </c>
      <c r="B35" s="215"/>
      <c r="C35" s="230">
        <f>SUM(C26:C33)</f>
        <v>157471.94279999996</v>
      </c>
      <c r="D35" s="231">
        <f>SUM(D26:D33)</f>
        <v>508026.86700000003</v>
      </c>
      <c r="E35" s="232">
        <f>SUM(E26:E33)</f>
        <v>-350554.92420000001</v>
      </c>
      <c r="F35" s="233"/>
      <c r="G35" s="230">
        <f>SUM(G26:G33)</f>
        <v>251329.84100000001</v>
      </c>
      <c r="H35" s="231">
        <f>SUM(H26:H33)</f>
        <v>239087.32200000004</v>
      </c>
      <c r="I35" s="232">
        <f>SUM(I26:I33)</f>
        <v>-12242.519000000029</v>
      </c>
      <c r="J35" s="233"/>
      <c r="K35" s="230">
        <f>SUM(K26:K33)</f>
        <v>-93857.898200000011</v>
      </c>
      <c r="L35" s="231">
        <f>SUM(L26:L33)</f>
        <v>268939.5450000001</v>
      </c>
      <c r="M35" s="232">
        <f>SUM(M26:M33)</f>
        <v>-362797.44320000004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4.4" thickBot="1">
      <c r="A39" s="226" t="s">
        <v>73</v>
      </c>
      <c r="B39" s="218"/>
      <c r="C39" s="235">
        <f>+C35-C37</f>
        <v>157471.94279999996</v>
      </c>
      <c r="D39" s="236">
        <f>+D35-D37</f>
        <v>508026.86700000003</v>
      </c>
      <c r="E39" s="260">
        <f>+E35-E37</f>
        <v>-350554.92420000001</v>
      </c>
      <c r="F39" s="237"/>
      <c r="G39" s="235">
        <f>SUM(G35:G37)</f>
        <v>280731.84100000001</v>
      </c>
      <c r="H39" s="236">
        <f>SUM(H35:H37)</f>
        <v>265987.32200000004</v>
      </c>
      <c r="I39" s="260">
        <f>SUM(I35:I37)</f>
        <v>-14744.519000000029</v>
      </c>
      <c r="J39" s="237"/>
      <c r="K39" s="235">
        <f>SUM(K35:K37)</f>
        <v>-123259.89820000001</v>
      </c>
      <c r="L39" s="236">
        <f>SUM(L35:L37)</f>
        <v>242039.5450000001</v>
      </c>
      <c r="M39" s="260">
        <f>SUM(M35:M37)</f>
        <v>-365299.44320000004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8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8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8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280731.84100000001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8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225563.37300000002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3.8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>_xll.HPVAL($A10,$A$18,$A$2,$A$5,$A$6,$A$7)</f>
        <v>#VALUE!</v>
      </c>
      <c r="E10" s="159" t="e">
        <f>_xll.HPVAL($A10,$A$18,$A$3,$A$5,$A$6,$A$7)</f>
        <v>#VALUE!</v>
      </c>
      <c r="F10" s="160" t="e">
        <f t="shared" si="0"/>
        <v>#VALUE!</v>
      </c>
      <c r="G10" s="52"/>
      <c r="H10" s="158" t="e">
        <f>_xll.HPVAL($A10,$A$1,$A$2,$A$5,$A$6,$A$7)</f>
        <v>#VALUE!</v>
      </c>
      <c r="I10" s="159" t="e">
        <f>_xll.HPVAL($A10,$A$1,$A$3,$A$5,$A$6,$A$7)</f>
        <v>#VALUE!</v>
      </c>
      <c r="J10" s="160" t="e">
        <f t="shared" si="1"/>
        <v>#VALUE!</v>
      </c>
      <c r="K10" s="50"/>
      <c r="L10" s="158" t="e">
        <f t="shared" si="2"/>
        <v>#VALUE!</v>
      </c>
      <c r="M10" s="159" t="e">
        <f t="shared" si="3"/>
        <v>#VALUE!</v>
      </c>
      <c r="N10" s="160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>_xll.HPVAL($A11,$A$18,$A$2,$A$5,$A$6,$A$7)</f>
        <v>#VALUE!</v>
      </c>
      <c r="E11" s="159" t="e">
        <f>_xll.HPVAL($A11,$A$18,$A$3,$A$5,$A$6,$A$7)</f>
        <v>#VALUE!</v>
      </c>
      <c r="F11" s="160" t="e">
        <f t="shared" si="0"/>
        <v>#VALUE!</v>
      </c>
      <c r="G11" s="52"/>
      <c r="H11" s="158" t="e">
        <f>_xll.HPVAL($A11,$A$1,$A$2,$A$5,$A$6,$A$7)</f>
        <v>#VALUE!</v>
      </c>
      <c r="I11" s="159" t="e">
        <f>_xll.HPVAL($A11,$A$1,$A$3,$A$5,$A$6,$A$7)</f>
        <v>#VALUE!</v>
      </c>
      <c r="J11" s="160" t="e">
        <f t="shared" si="1"/>
        <v>#VALUE!</v>
      </c>
      <c r="K11" s="50"/>
      <c r="L11" s="158" t="e">
        <f t="shared" si="2"/>
        <v>#VALUE!</v>
      </c>
      <c r="M11" s="159" t="e">
        <f t="shared" si="3"/>
        <v>#VALUE!</v>
      </c>
      <c r="N11" s="160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>_xll.HPVAL($A12,$A$18,$A$2,$A$5,$A$6,$A$7)</f>
        <v>#VALUE!</v>
      </c>
      <c r="E12" s="159" t="e">
        <f>_xll.HPVAL($A12,$A$18,$A$3,$A$5,$A$6,$A$7)</f>
        <v>#VALUE!</v>
      </c>
      <c r="F12" s="160" t="e">
        <f t="shared" si="0"/>
        <v>#VALUE!</v>
      </c>
      <c r="G12" s="52"/>
      <c r="H12" s="158" t="e">
        <f>_xll.HPVAL($A12,$A$1,$A$2,$A$5,$A$6,$A$7)</f>
        <v>#VALUE!</v>
      </c>
      <c r="I12" s="159" t="e">
        <f>_xll.HPVAL($A12,$A$1,$A$3,$A$5,$A$6,$A$7)</f>
        <v>#VALUE!</v>
      </c>
      <c r="J12" s="160" t="e">
        <f t="shared" si="1"/>
        <v>#VALUE!</v>
      </c>
      <c r="K12" s="50"/>
      <c r="L12" s="158" t="e">
        <f t="shared" si="2"/>
        <v>#VALUE!</v>
      </c>
      <c r="M12" s="159" t="e">
        <f t="shared" si="3"/>
        <v>#VALUE!</v>
      </c>
      <c r="N12" s="160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>_xll.HPVAL($A13,$A$18,$A$2,$A$5,$A$6,$A$7)</f>
        <v>#VALUE!</v>
      </c>
      <c r="E13" s="159" t="e">
        <f>_xll.HPVAL($A13,$A$18,$A$3,$A$5,$A$6,$A$7)</f>
        <v>#VALUE!</v>
      </c>
      <c r="F13" s="160" t="e">
        <f t="shared" si="0"/>
        <v>#VALUE!</v>
      </c>
      <c r="G13" s="52"/>
      <c r="H13" s="158" t="e">
        <f>_xll.HPVAL($A13,$A$1,$A$2,$A$5,$A$6,$A$7)</f>
        <v>#VALUE!</v>
      </c>
      <c r="I13" s="159" t="e">
        <f>_xll.HPVAL($A13,$A$1,$A$3,$A$5,$A$6,$A$7)</f>
        <v>#VALUE!</v>
      </c>
      <c r="J13" s="160" t="e">
        <f t="shared" si="1"/>
        <v>#VALUE!</v>
      </c>
      <c r="K13" s="50"/>
      <c r="L13" s="158" t="e">
        <f t="shared" si="2"/>
        <v>#VALUE!</v>
      </c>
      <c r="M13" s="159" t="e">
        <f t="shared" si="3"/>
        <v>#VALUE!</v>
      </c>
      <c r="N13" s="160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>_xll.HPVAL($A14,$A$18,$A$2,$A$5,$A$6,$A$7)</f>
        <v>#VALUE!</v>
      </c>
      <c r="E14" s="159" t="e">
        <f>_xll.HPVAL($A14,$A$18,$A$3,$A$5,$A$6,$A$7)</f>
        <v>#VALUE!</v>
      </c>
      <c r="F14" s="160" t="e">
        <f t="shared" si="0"/>
        <v>#VALUE!</v>
      </c>
      <c r="G14" s="52"/>
      <c r="H14" s="158" t="e">
        <f>_xll.HPVAL($A14,$A$1,$A$2,$A$5,$A$6,$A$7)</f>
        <v>#VALUE!</v>
      </c>
      <c r="I14" s="159" t="e">
        <f>_xll.HPVAL($A14,$A$1,$A$3,$A$5,$A$6,$A$7)</f>
        <v>#VALUE!</v>
      </c>
      <c r="J14" s="160" t="e">
        <f t="shared" si="1"/>
        <v>#VALUE!</v>
      </c>
      <c r="K14" s="50"/>
      <c r="L14" s="158" t="e">
        <f t="shared" si="2"/>
        <v>#VALUE!</v>
      </c>
      <c r="M14" s="159" t="e">
        <f t="shared" si="3"/>
        <v>#VALUE!</v>
      </c>
      <c r="N14" s="160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0.441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3" width="9.109375" style="14" bestFit="1"/>
    <col min="14" max="14" width="8.88671875" style="14" bestFit="1" customWidth="1"/>
    <col min="15" max="15" width="9.554687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3.8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4.4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76673.782000000007</v>
      </c>
      <c r="H9" s="36">
        <f>GrossMargin!J10</f>
        <v>0</v>
      </c>
      <c r="I9" s="36">
        <f>+'Mgmt Summary'!I9+'[6]YTD Mgmt Summary'!I9</f>
        <v>0</v>
      </c>
      <c r="J9" s="134">
        <f>SUM(G9:I9)</f>
        <v>76673.782000000007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14073.559500000003</v>
      </c>
      <c r="P9" s="37"/>
      <c r="Q9" s="132">
        <f>+'Mgmt Summary'!Q9+'[6]YTD Mgmt Summary'!Q9</f>
        <v>-73326.218000000008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-68412.247500000012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66296.339519999994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66296.339519999994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31757.127519999991</v>
      </c>
      <c r="P10" s="37"/>
      <c r="Q10" s="132">
        <f>+'Mgmt Summary'!Q10+'[6]YTD Mgmt Summary'!Q10</f>
        <v>1296.3395199999995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2748.5375199999989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13852.699000000001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13852.699000000001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11819.415000000001</v>
      </c>
      <c r="P11" s="37"/>
      <c r="Q11" s="132">
        <f>+'Mgmt Summary'!Q11+'[6]YTD Mgmt Summary'!Q11</f>
        <v>3852.6990000000001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3990.748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21619.923000000003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21619.923000000003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9121.8260000000028</v>
      </c>
      <c r="P13" s="37"/>
      <c r="Q13" s="132">
        <f>+'Mgmt Summary'!Q13+'[6]YTD Mgmt Summary'!Q13</f>
        <v>-11380.078999999998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-10115.000999999997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38015.206999999995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38015.206999999995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22771.759999999995</v>
      </c>
      <c r="P15" s="37"/>
      <c r="Q15" s="132">
        <f>+'Mgmt Summary'!Q15+'[6]YTD Mgmt Summary'!Q15</f>
        <v>-66399.793000000005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-61291.675000000003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2863.1719999999996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2863.1719999999996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-18624.739000000001</v>
      </c>
      <c r="P16" s="37"/>
      <c r="Q16" s="132">
        <f>+'Mgmt Summary'!Q16+'[6]YTD Mgmt Summary'!Q16</f>
        <v>-17958.328000000001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-18546.355000000003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6243.5590000000002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6243.5590000000002</v>
      </c>
      <c r="K17" s="135"/>
      <c r="L17" s="137"/>
      <c r="M17" s="138">
        <f>+'Mgmt Summary'!M17+'[6]YTD Mgmt Summary'!M17</f>
        <v>17754.319</v>
      </c>
      <c r="N17" s="138">
        <f>+'Mgmt Summary'!N17+'[6]YTD Mgmt Summary'!N17</f>
        <v>4532.125</v>
      </c>
      <c r="O17" s="134">
        <f t="shared" si="3"/>
        <v>-16042.884999999998</v>
      </c>
      <c r="P17" s="37"/>
      <c r="Q17" s="132">
        <f>+'Mgmt Summary'!Q17+'[6]YTD Mgmt Summary'!Q17</f>
        <v>-53756.440999999999</v>
      </c>
      <c r="R17" s="36"/>
      <c r="S17" s="36"/>
      <c r="T17" s="36">
        <f>+'Mgmt Summary'!T17+'[6]YTD Mgmt Summary'!T17</f>
        <v>-12033.319</v>
      </c>
      <c r="U17" s="36">
        <f>+'Mgmt Summary'!U17+'[6]YTD Mgmt Summary'!U17</f>
        <v>230.51600000000008</v>
      </c>
      <c r="V17" s="133">
        <f t="shared" si="0"/>
        <v>-65559.243999999992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2.2640000000000002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2.2640000000000002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-5895.8730000000005</v>
      </c>
      <c r="P20" s="37"/>
      <c r="Q20" s="132">
        <f>+'Mgmt Summary'!Q19+'[6]YTD Mgmt Summary'!Q20</f>
        <v>-7497.7359999999999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-6663.1169999999993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238972.94279999996</v>
      </c>
      <c r="H26" s="44">
        <f t="shared" si="4"/>
        <v>0</v>
      </c>
      <c r="I26" s="44">
        <f t="shared" si="4"/>
        <v>0</v>
      </c>
      <c r="J26" s="46">
        <f t="shared" si="4"/>
        <v>238972.94279999996</v>
      </c>
      <c r="K26" s="44">
        <f t="shared" si="4"/>
        <v>0</v>
      </c>
      <c r="L26" s="43">
        <f t="shared" si="4"/>
        <v>0</v>
      </c>
      <c r="M26" s="44">
        <f t="shared" si="4"/>
        <v>116087.77499999999</v>
      </c>
      <c r="N26" s="44">
        <f t="shared" si="4"/>
        <v>80302.988500000021</v>
      </c>
      <c r="O26" s="46">
        <f t="shared" si="4"/>
        <v>42582.179299999989</v>
      </c>
      <c r="P26" s="37"/>
      <c r="Q26" s="43">
        <f t="shared" ref="Q26:V26" si="5">SUM(Q9:Q25)</f>
        <v>-269053.75420000002</v>
      </c>
      <c r="R26" s="44">
        <f t="shared" si="5"/>
        <v>0</v>
      </c>
      <c r="S26" s="44">
        <f t="shared" si="5"/>
        <v>0</v>
      </c>
      <c r="T26" s="44">
        <f t="shared" si="5"/>
        <v>-5692.6399999999985</v>
      </c>
      <c r="U26" s="44">
        <f t="shared" si="5"/>
        <v>11087.0455</v>
      </c>
      <c r="V26" s="45">
        <f t="shared" si="5"/>
        <v>-263659.34869999997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8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8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157471.94279999996</v>
      </c>
      <c r="H34" s="44">
        <f t="shared" si="6"/>
        <v>0</v>
      </c>
      <c r="I34" s="44">
        <f t="shared" si="6"/>
        <v>0</v>
      </c>
      <c r="J34" s="46">
        <f t="shared" si="6"/>
        <v>157471.94279999996</v>
      </c>
      <c r="K34" s="44">
        <f t="shared" si="6"/>
        <v>0</v>
      </c>
      <c r="L34" s="43">
        <f t="shared" si="6"/>
        <v>0</v>
      </c>
      <c r="M34" s="44">
        <f t="shared" si="6"/>
        <v>251329.43</v>
      </c>
      <c r="N34" s="44">
        <f t="shared" si="6"/>
        <v>0.41100000002188608</v>
      </c>
      <c r="O34" s="46">
        <f>J34-K34-M34-N34-L34</f>
        <v>-93857.898200000054</v>
      </c>
      <c r="P34" s="37"/>
      <c r="Q34" s="43">
        <f t="shared" ref="Q34:V34" si="7">SUM(Q26:Q33)</f>
        <v>-350554.75420000002</v>
      </c>
      <c r="R34" s="44">
        <f t="shared" si="7"/>
        <v>0</v>
      </c>
      <c r="S34" s="44">
        <f t="shared" si="7"/>
        <v>0</v>
      </c>
      <c r="T34" s="44">
        <f t="shared" si="7"/>
        <v>-12241.833999999999</v>
      </c>
      <c r="U34" s="44">
        <f t="shared" si="7"/>
        <v>-0.21900000000096043</v>
      </c>
      <c r="V34" s="45">
        <f t="shared" si="7"/>
        <v>-362796.80719999998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157471.94279999996</v>
      </c>
      <c r="H38" s="299">
        <f t="shared" si="8"/>
        <v>0</v>
      </c>
      <c r="I38" s="299">
        <f t="shared" si="8"/>
        <v>0</v>
      </c>
      <c r="J38" s="301">
        <f t="shared" si="8"/>
        <v>157471.94279999996</v>
      </c>
      <c r="K38" s="299">
        <f t="shared" si="8"/>
        <v>0</v>
      </c>
      <c r="L38" s="298">
        <f t="shared" si="8"/>
        <v>0</v>
      </c>
      <c r="M38" s="299">
        <f t="shared" si="8"/>
        <v>280731.43</v>
      </c>
      <c r="N38" s="299">
        <f t="shared" si="8"/>
        <v>0.41100000002188608</v>
      </c>
      <c r="O38" s="301">
        <f>J38-K38-M38-N38-L38</f>
        <v>-123259.89820000005</v>
      </c>
      <c r="P38" s="37"/>
      <c r="Q38" s="39">
        <f t="shared" si="8"/>
        <v>-350554.75420000002</v>
      </c>
      <c r="R38" s="40">
        <f t="shared" si="8"/>
        <v>0</v>
      </c>
      <c r="S38" s="40">
        <f t="shared" si="8"/>
        <v>0</v>
      </c>
      <c r="T38" s="40">
        <f t="shared" si="8"/>
        <v>-14743.833999999999</v>
      </c>
      <c r="U38" s="40">
        <f t="shared" si="8"/>
        <v>-0.21900000000096043</v>
      </c>
      <c r="V38" s="41">
        <f t="shared" si="8"/>
        <v>-365298.80719999998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8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41" sqref="G41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16,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-46958.415000000001</v>
      </c>
      <c r="D9" s="222">
        <f>+'Mgmt Summary'!C9</f>
        <v>45000</v>
      </c>
      <c r="E9" s="223">
        <f t="shared" ref="E9:E15" si="0">-D9+C9</f>
        <v>-91958.415000000008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-63880.157999999996</v>
      </c>
      <c r="L9" s="222">
        <f t="shared" ref="K9:L15" si="2">D9-H9</f>
        <v>28078.257000000001</v>
      </c>
      <c r="M9" s="223">
        <f t="shared" ref="M9:M15" si="3">K9-L9</f>
        <v>-91958.414999999994</v>
      </c>
      <c r="N9" s="267"/>
      <c r="O9" s="221">
        <f>+'GM-WeeklyChnge'!K9</f>
        <v>-5996.989999999998</v>
      </c>
      <c r="P9" s="222">
        <f>-G9+'[7]QTD Mgmt Summary'!G9</f>
        <v>0</v>
      </c>
      <c r="Q9" s="223">
        <f>+O9+P9</f>
        <v>-5996.989999999998</v>
      </c>
    </row>
    <row r="10" spans="1:22" s="32" customFormat="1" ht="13.5" customHeight="1">
      <c r="A10" s="219" t="s">
        <v>116</v>
      </c>
      <c r="B10" s="220"/>
      <c r="C10" s="221">
        <f>+'Mgmt Summary'!J10</f>
        <v>4028.6859999999997</v>
      </c>
      <c r="D10" s="222">
        <f>+'Mgmt Summary'!C10</f>
        <v>16250</v>
      </c>
      <c r="E10" s="223">
        <f t="shared" si="0"/>
        <v>-12221.314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-4870.8010000000013</v>
      </c>
      <c r="L10" s="222">
        <f t="shared" si="2"/>
        <v>7350.512999999999</v>
      </c>
      <c r="M10" s="223">
        <f t="shared" si="3"/>
        <v>-12221.314</v>
      </c>
      <c r="N10" s="267"/>
      <c r="O10" s="221">
        <f>+'GM-WeeklyChnge'!K10</f>
        <v>888.34100000000001</v>
      </c>
      <c r="P10" s="222">
        <f>-G10+'[7]QTD Mgmt Summary'!G10</f>
        <v>0</v>
      </c>
      <c r="Q10" s="223">
        <f t="shared" ref="Q10:Q23" si="4">+O10+P10</f>
        <v>888.34100000000001</v>
      </c>
    </row>
    <row r="11" spans="1:22" s="32" customFormat="1" ht="13.5" customHeight="1">
      <c r="A11" s="219" t="s">
        <v>108</v>
      </c>
      <c r="B11" s="220"/>
      <c r="C11" s="221">
        <f>+'Mgmt Summary'!J11</f>
        <v>3387</v>
      </c>
      <c r="D11" s="222">
        <f>+'Mgmt Summary'!C11</f>
        <v>2500</v>
      </c>
      <c r="E11" s="223">
        <f>-D11+C11</f>
        <v>887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2663.7260000000001</v>
      </c>
      <c r="L11" s="222">
        <f>D11-H11</f>
        <v>1776.7260000000001</v>
      </c>
      <c r="M11" s="223">
        <f>K11-L11</f>
        <v>887</v>
      </c>
      <c r="N11" s="267"/>
      <c r="O11" s="221">
        <f>+'GM-WeeklyChnge'!K11</f>
        <v>922</v>
      </c>
      <c r="P11" s="222">
        <f>-G11+'[7]QTD Mgmt Summary'!G11</f>
        <v>0</v>
      </c>
      <c r="Q11" s="223">
        <f t="shared" si="4"/>
        <v>922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-4892</v>
      </c>
      <c r="D13" s="222">
        <f>+'Mgmt Summary'!C13</f>
        <v>8752.58</v>
      </c>
      <c r="E13" s="223">
        <f t="shared" si="0"/>
        <v>-13644.58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-8528.8330000000005</v>
      </c>
      <c r="L13" s="222">
        <f t="shared" si="2"/>
        <v>5415.7469999999994</v>
      </c>
      <c r="M13" s="223">
        <f t="shared" si="3"/>
        <v>-13944.58</v>
      </c>
      <c r="N13" s="267"/>
      <c r="O13" s="221">
        <f>+'GM-WeeklyChnge'!K13</f>
        <v>-1295</v>
      </c>
      <c r="P13" s="222">
        <f>-G13+'[7]QTD Mgmt Summary'!G13</f>
        <v>0</v>
      </c>
      <c r="Q13" s="223">
        <f t="shared" si="4"/>
        <v>-1295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704.23900000000003</v>
      </c>
      <c r="P14" s="222">
        <f>-G14+'[7]QTD Mgmt Summary'!G14</f>
        <v>0</v>
      </c>
      <c r="Q14" s="223">
        <f t="shared" si="4"/>
        <v>704.23900000000003</v>
      </c>
    </row>
    <row r="15" spans="1:22" s="32" customFormat="1" ht="13.5" customHeight="1">
      <c r="A15" s="219" t="s">
        <v>49</v>
      </c>
      <c r="B15" s="220"/>
      <c r="C15" s="221">
        <f>+'Mgmt Summary'!J15</f>
        <v>1836</v>
      </c>
      <c r="D15" s="222">
        <f>+'Mgmt Summary'!C15</f>
        <v>29545</v>
      </c>
      <c r="E15" s="223">
        <f t="shared" si="0"/>
        <v>-27709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-1294.5470000000005</v>
      </c>
      <c r="L15" s="222">
        <f t="shared" si="2"/>
        <v>26414.453000000001</v>
      </c>
      <c r="M15" s="223">
        <f t="shared" si="3"/>
        <v>-27709</v>
      </c>
      <c r="N15" s="267"/>
      <c r="O15" s="221">
        <f>+'GM-WeeklyChnge'!K21</f>
        <v>-997</v>
      </c>
      <c r="P15" s="222">
        <f>-G15+'[7]QTD Mgmt Summary'!G15</f>
        <v>0</v>
      </c>
      <c r="Q15" s="223">
        <f t="shared" si="4"/>
        <v>-997</v>
      </c>
    </row>
    <row r="16" spans="1:22" s="32" customFormat="1" ht="13.5" customHeight="1">
      <c r="A16" s="219" t="s">
        <v>105</v>
      </c>
      <c r="B16" s="220"/>
      <c r="C16" s="221">
        <f>+'Mgmt Summary'!J16</f>
        <v>-92.724000000000004</v>
      </c>
      <c r="D16" s="222">
        <f>+'Mgmt Summary'!C16</f>
        <v>13305.5</v>
      </c>
      <c r="E16" s="223">
        <f t="shared" ref="E16:E23" si="5">-D16+C16</f>
        <v>-13398.224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-8855.9339999999993</v>
      </c>
      <c r="L16" s="222">
        <f t="shared" si="6"/>
        <v>4542.2900000000009</v>
      </c>
      <c r="M16" s="223">
        <f t="shared" ref="M16:M23" si="7">K16-L16</f>
        <v>-13398.224</v>
      </c>
      <c r="N16" s="267"/>
      <c r="O16" s="221">
        <f>+'GM-WeeklyChnge'!K22</f>
        <v>-18.652000000000001</v>
      </c>
      <c r="P16" s="222">
        <f>-G16+'[7]QTD Mgmt Summary'!G16</f>
        <v>0</v>
      </c>
      <c r="Q16" s="223">
        <f t="shared" si="4"/>
        <v>-18.652000000000001</v>
      </c>
    </row>
    <row r="17" spans="1:19" s="32" customFormat="1" ht="13.5" customHeight="1">
      <c r="A17" s="219" t="s">
        <v>85</v>
      </c>
      <c r="B17" s="220"/>
      <c r="C17" s="221">
        <f>+'Mgmt Summary'!J17</f>
        <v>2224</v>
      </c>
      <c r="D17" s="222">
        <f>+'Mgmt Summary'!C17</f>
        <v>44000</v>
      </c>
      <c r="E17" s="223">
        <f t="shared" si="5"/>
        <v>-41776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3" si="8">+H17-G17</f>
        <v>-1840</v>
      </c>
      <c r="J17" s="224"/>
      <c r="K17" s="221">
        <f t="shared" si="6"/>
        <v>-2235.4279999999999</v>
      </c>
      <c r="L17" s="222">
        <f t="shared" si="6"/>
        <v>41380.572</v>
      </c>
      <c r="M17" s="223">
        <f t="shared" si="7"/>
        <v>-43616</v>
      </c>
      <c r="N17" s="267"/>
      <c r="O17" s="221">
        <f>+'GM-WeeklyChnge'!K23</f>
        <v>-332</v>
      </c>
      <c r="P17" s="222">
        <f>-G17+'[7]QTD Mgmt Summary'!G17</f>
        <v>0</v>
      </c>
      <c r="Q17" s="223">
        <f t="shared" si="4"/>
        <v>-332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1.415</v>
      </c>
      <c r="D19" s="255">
        <f>+'Mgmt Summary'!C19</f>
        <v>3750</v>
      </c>
      <c r="E19" s="256">
        <f>-D19+C19</f>
        <v>-3748.585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-3364.9630000000002</v>
      </c>
      <c r="L19" s="255">
        <f>D19-H19</f>
        <v>383.62199999999984</v>
      </c>
      <c r="M19" s="256">
        <f>K19-L19</f>
        <v>-3748.585</v>
      </c>
      <c r="N19" s="267"/>
      <c r="O19" s="221">
        <f>+'GM-WeeklyChnge'!K25</f>
        <v>-1.0000000000000009E-2</v>
      </c>
      <c r="P19" s="222">
        <f>-G19+'[7]QTD Mgmt Summary'!G19</f>
        <v>0</v>
      </c>
      <c r="Q19" s="223">
        <f>+O19+P19</f>
        <v>-1.0000000000000009E-2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Summary'!G24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3.8">
      <c r="A25" s="225" t="s">
        <v>90</v>
      </c>
      <c r="B25" s="215"/>
      <c r="C25" s="230">
        <f>SUM(C9:C24)</f>
        <v>-38460.610999999997</v>
      </c>
      <c r="D25" s="231">
        <f>SUM(D9:D24)</f>
        <v>175311.47200000001</v>
      </c>
      <c r="E25" s="232">
        <f>SUM(E9:E24)</f>
        <v>-213772.08299999998</v>
      </c>
      <c r="F25" s="233"/>
      <c r="G25" s="230">
        <f>SUM(G9:G24)</f>
        <v>55286.674999999996</v>
      </c>
      <c r="H25" s="231">
        <f>SUM(H9:H24)</f>
        <v>53146.674999999996</v>
      </c>
      <c r="I25" s="232">
        <f>SUM(I9:I24)</f>
        <v>-2140</v>
      </c>
      <c r="J25" s="233"/>
      <c r="K25" s="230">
        <f>SUM(K9:K24)</f>
        <v>-93747.286000000007</v>
      </c>
      <c r="L25" s="231">
        <f>SUM(L9:L24)</f>
        <v>122164.79700000002</v>
      </c>
      <c r="M25" s="232">
        <f>SUM(M9:M24)</f>
        <v>-215912.08299999996</v>
      </c>
      <c r="N25" s="268"/>
      <c r="O25" s="230">
        <f>SUM(O9:O24)</f>
        <v>-6125.0719999999983</v>
      </c>
      <c r="P25" s="231">
        <f>SUM(P9:P24)</f>
        <v>0</v>
      </c>
      <c r="Q25" s="232">
        <f>SUM(Q9:Q24)</f>
        <v>-6125.0719999999983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8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8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3.8">
      <c r="A34" s="225" t="s">
        <v>72</v>
      </c>
      <c r="B34" s="215"/>
      <c r="C34" s="230">
        <f>SUM(C25:C32)</f>
        <v>-68460.611000000004</v>
      </c>
      <c r="D34" s="231">
        <f>SUM(D25:D32)</f>
        <v>175311.47200000001</v>
      </c>
      <c r="E34" s="232">
        <f>SUM(E25:E32)</f>
        <v>-243772.08299999998</v>
      </c>
      <c r="F34" s="233"/>
      <c r="G34" s="230">
        <f>SUM(G25:G32)</f>
        <v>74736.562000000005</v>
      </c>
      <c r="H34" s="231">
        <f>SUM(H25:H32)</f>
        <v>72596.562000000005</v>
      </c>
      <c r="I34" s="232">
        <f>SUM(I25:I32)</f>
        <v>-2140</v>
      </c>
      <c r="J34" s="233"/>
      <c r="K34" s="230">
        <f>SUM(K25:K32)</f>
        <v>-143197.17300000001</v>
      </c>
      <c r="L34" s="231">
        <f>SUM(L25:L32)</f>
        <v>102714.91000000002</v>
      </c>
      <c r="M34" s="232">
        <f>SUM(M25:M32)</f>
        <v>-245912.08299999996</v>
      </c>
      <c r="N34" s="268"/>
      <c r="O34" s="230">
        <f>SUM(O25:O32)</f>
        <v>-6125.0719999999983</v>
      </c>
      <c r="P34" s="231">
        <f>SUM(P25:P32)</f>
        <v>0</v>
      </c>
      <c r="Q34" s="232">
        <f>SUM(Q25:Q32)</f>
        <v>-6125.0719999999983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4.4" thickBot="1">
      <c r="A38" s="226" t="s">
        <v>73</v>
      </c>
      <c r="B38" s="218"/>
      <c r="C38" s="235">
        <f>+C34-C36</f>
        <v>-68460.611000000004</v>
      </c>
      <c r="D38" s="236">
        <f>+D34-D36</f>
        <v>175311.47200000001</v>
      </c>
      <c r="E38" s="260">
        <f>+E34-E36</f>
        <v>-243772.08299999998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-149597.17300000001</v>
      </c>
      <c r="L38" s="236">
        <f>SUM(L34:L36)</f>
        <v>96314.910000000018</v>
      </c>
      <c r="M38" s="260">
        <f>SUM(M34:M36)</f>
        <v>-245912.08299999996</v>
      </c>
      <c r="N38" s="237"/>
      <c r="O38" s="235">
        <f>SUM(O34:O36)</f>
        <v>-6125.0719999999983</v>
      </c>
      <c r="P38" s="236">
        <f>SUM(P34:P36)</f>
        <v>0</v>
      </c>
      <c r="Q38" s="260">
        <f>SUM(Q34:Q36)</f>
        <v>-6125.0719999999983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N41" sqref="N41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9" width="7.6640625" style="14" hidden="1" customWidth="1"/>
    <col min="10" max="10" width="8.44140625" style="14" bestFit="1" customWidth="1"/>
    <col min="11" max="12" width="7.6640625" style="14" hidden="1" customWidth="1"/>
    <col min="13" max="13" width="8.44140625" style="14" bestFit="1" customWidth="1"/>
    <col min="14" max="15" width="8.88671875" style="14" bestFit="1" customWidth="1"/>
    <col min="16" max="16" width="0.88671875" style="14" customWidth="1"/>
    <col min="17" max="17" width="9.109375" style="14" bestFit="1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3.8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8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-46958.415000000001</v>
      </c>
      <c r="H9" s="36">
        <f>GrossMargin!J10</f>
        <v>0</v>
      </c>
      <c r="I9" s="36">
        <f>GrossMargin!K10</f>
        <v>0</v>
      </c>
      <c r="J9" s="134">
        <f t="shared" ref="J9:J16" si="1">SUM(G9:I9)</f>
        <v>-46958.415000000001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-63880.157999999996</v>
      </c>
      <c r="P9" s="37"/>
      <c r="Q9" s="132">
        <f t="shared" ref="Q9:Q16" si="3">+J9-C9</f>
        <v>-91958.415000000008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-91958.415000000008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4028.6859999999997</v>
      </c>
      <c r="H10" s="36">
        <f>GrossMargin!J11</f>
        <v>0</v>
      </c>
      <c r="I10" s="36">
        <f>GrossMargin!K11</f>
        <v>0</v>
      </c>
      <c r="J10" s="134">
        <f t="shared" si="1"/>
        <v>4028.6859999999997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-4870.8010000000013</v>
      </c>
      <c r="P10" s="37"/>
      <c r="Q10" s="132">
        <f t="shared" si="3"/>
        <v>-12221.314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-12221.314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3387</v>
      </c>
      <c r="H11" s="36">
        <f>GrossMargin!J12</f>
        <v>0</v>
      </c>
      <c r="I11" s="36">
        <f>GrossMargin!K12</f>
        <v>0</v>
      </c>
      <c r="J11" s="134">
        <f>SUM(G11:I11)</f>
        <v>3387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2663.7260000000001</v>
      </c>
      <c r="P11" s="37"/>
      <c r="Q11" s="132">
        <f>+J11-C11</f>
        <v>887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887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-4892</v>
      </c>
      <c r="H13" s="36">
        <f>GrossMargin!J14</f>
        <v>0</v>
      </c>
      <c r="I13" s="36">
        <f>GrossMargin!K14</f>
        <v>0</v>
      </c>
      <c r="J13" s="134">
        <f t="shared" si="1"/>
        <v>-4892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-8528.8330000000005</v>
      </c>
      <c r="P13" s="37"/>
      <c r="Q13" s="132">
        <f t="shared" si="3"/>
        <v>-13644.58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-13944.58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1836</v>
      </c>
      <c r="H15" s="138">
        <f>GrossMargin!J16</f>
        <v>0</v>
      </c>
      <c r="I15" s="138">
        <f>+GrossMargin!K22</f>
        <v>0</v>
      </c>
      <c r="J15" s="295">
        <f t="shared" si="1"/>
        <v>1836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-1294.5470000000003</v>
      </c>
      <c r="P15" s="177"/>
      <c r="Q15" s="137">
        <f t="shared" si="3"/>
        <v>-27709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-27709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-92.724000000000004</v>
      </c>
      <c r="H16" s="138">
        <f>GrossMargin!J18</f>
        <v>0</v>
      </c>
      <c r="I16" s="138">
        <f>+GrossMargin!K23</f>
        <v>0</v>
      </c>
      <c r="J16" s="295">
        <f t="shared" si="1"/>
        <v>-92.724000000000004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-8855.9339999999993</v>
      </c>
      <c r="P16" s="177"/>
      <c r="Q16" s="137">
        <f t="shared" si="3"/>
        <v>-13398.224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-13398.224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2224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2224</v>
      </c>
      <c r="K17" s="296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295">
        <f t="shared" ref="O17:O23" si="7">J17-K17-M17-N17-L17</f>
        <v>-2235.4279999999999</v>
      </c>
      <c r="P17" s="177"/>
      <c r="Q17" s="137">
        <f t="shared" ref="Q17:Q23" si="8">+J17-C17</f>
        <v>-41776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-43616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1.415</v>
      </c>
      <c r="H19" s="138">
        <f>GrossMargin!J22</f>
        <v>0</v>
      </c>
      <c r="I19" s="138">
        <f>+GrossMargin!K26</f>
        <v>0</v>
      </c>
      <c r="J19" s="295">
        <f t="shared" si="6"/>
        <v>1.415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-3364.9630000000002</v>
      </c>
      <c r="P19" s="177"/>
      <c r="Q19" s="137">
        <f t="shared" si="8"/>
        <v>-3748.585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-3748.585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-38460.610999999997</v>
      </c>
      <c r="H25" s="44">
        <f t="shared" si="9"/>
        <v>0</v>
      </c>
      <c r="I25" s="44">
        <f t="shared" si="9"/>
        <v>0</v>
      </c>
      <c r="J25" s="46">
        <f t="shared" si="9"/>
        <v>-38460.610999999997</v>
      </c>
      <c r="K25" s="44">
        <f t="shared" si="9"/>
        <v>0</v>
      </c>
      <c r="L25" s="43">
        <f t="shared" si="9"/>
        <v>0</v>
      </c>
      <c r="M25" s="44">
        <f t="shared" si="9"/>
        <v>32094.577000000001</v>
      </c>
      <c r="N25" s="44">
        <f t="shared" si="9"/>
        <v>23192.098000000002</v>
      </c>
      <c r="O25" s="46">
        <f t="shared" si="9"/>
        <v>-93747.286000000007</v>
      </c>
      <c r="P25" s="37"/>
      <c r="Q25" s="43">
        <f t="shared" ref="Q25:V25" si="10">SUM(Q9:Q24)</f>
        <v>-213772.08299999998</v>
      </c>
      <c r="R25" s="44">
        <f t="shared" si="10"/>
        <v>0</v>
      </c>
      <c r="S25" s="44">
        <f t="shared" si="10"/>
        <v>0</v>
      </c>
      <c r="T25" s="44">
        <f t="shared" si="10"/>
        <v>-2140</v>
      </c>
      <c r="U25" s="44">
        <f t="shared" si="10"/>
        <v>0</v>
      </c>
      <c r="V25" s="45">
        <f t="shared" si="10"/>
        <v>-215912.08299999998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8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8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-68460.611000000004</v>
      </c>
      <c r="H34" s="44">
        <f t="shared" si="15"/>
        <v>0</v>
      </c>
      <c r="I34" s="44">
        <f t="shared" si="15"/>
        <v>0</v>
      </c>
      <c r="J34" s="46">
        <f t="shared" si="15"/>
        <v>-68460.611000000004</v>
      </c>
      <c r="K34" s="44">
        <f t="shared" si="15"/>
        <v>0</v>
      </c>
      <c r="L34" s="43">
        <f t="shared" si="15"/>
        <v>0</v>
      </c>
      <c r="M34" s="44">
        <f t="shared" si="15"/>
        <v>74736.562000000005</v>
      </c>
      <c r="N34" s="44">
        <f t="shared" si="15"/>
        <v>0</v>
      </c>
      <c r="O34" s="46">
        <f>J34-K34-M34-N34-L34</f>
        <v>-143197.17300000001</v>
      </c>
      <c r="P34" s="37"/>
      <c r="Q34" s="43">
        <f t="shared" ref="Q34:V34" si="16">SUM(Q25:Q33)</f>
        <v>-243772.08299999998</v>
      </c>
      <c r="R34" s="44">
        <f t="shared" si="16"/>
        <v>0</v>
      </c>
      <c r="S34" s="44">
        <f t="shared" si="16"/>
        <v>0</v>
      </c>
      <c r="T34" s="44">
        <f t="shared" si="16"/>
        <v>-2140</v>
      </c>
      <c r="U34" s="44">
        <f t="shared" si="16"/>
        <v>0</v>
      </c>
      <c r="V34" s="45">
        <f t="shared" si="16"/>
        <v>-245912.08299999998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-68460.611000000004</v>
      </c>
      <c r="H38" s="299">
        <f t="shared" si="17"/>
        <v>0</v>
      </c>
      <c r="I38" s="299">
        <f t="shared" si="17"/>
        <v>0</v>
      </c>
      <c r="J38" s="301">
        <f t="shared" si="17"/>
        <v>-68460.611000000004</v>
      </c>
      <c r="K38" s="299">
        <f t="shared" si="17"/>
        <v>0</v>
      </c>
      <c r="L38" s="298">
        <f t="shared" si="17"/>
        <v>0</v>
      </c>
      <c r="M38" s="299">
        <f t="shared" si="17"/>
        <v>81136.562000000005</v>
      </c>
      <c r="N38" s="299">
        <f t="shared" si="17"/>
        <v>0</v>
      </c>
      <c r="O38" s="301">
        <f>J38-K38-M38-N38-L38</f>
        <v>-149597.17300000001</v>
      </c>
      <c r="P38" s="37"/>
      <c r="Q38" s="39">
        <f t="shared" si="17"/>
        <v>-243772.08299999998</v>
      </c>
      <c r="R38" s="40">
        <f t="shared" si="17"/>
        <v>0</v>
      </c>
      <c r="S38" s="40">
        <f t="shared" si="17"/>
        <v>0</v>
      </c>
      <c r="T38" s="40">
        <f t="shared" si="17"/>
        <v>-2140</v>
      </c>
      <c r="U38" s="40">
        <f t="shared" si="17"/>
        <v>0</v>
      </c>
      <c r="V38" s="41">
        <f t="shared" si="17"/>
        <v>-245912.08299999998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8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C41" sqref="C41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3.8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8">
      <c r="A3" s="182" t="str">
        <f>+'Mgmt Summary'!A3</f>
        <v>Results based on activity through November 16,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-5996.989999999998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-5996.989999999998</v>
      </c>
      <c r="I9" s="132">
        <v>0</v>
      </c>
      <c r="J9" s="138">
        <f>+GrossMargin!K10-[7]GrossMargin!K10</f>
        <v>0</v>
      </c>
      <c r="K9" s="133">
        <f t="shared" ref="K9:K20" si="1">SUM(H9:J9)</f>
        <v>-5996.989999999998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924</v>
      </c>
      <c r="D10" s="138">
        <f>+GrossMargin!E11-[7]GrossMargin!E11</f>
        <v>0</v>
      </c>
      <c r="E10" s="36"/>
      <c r="F10" s="138">
        <f>+GrossMargin!G11-[7]GrossMargin!G11</f>
        <v>-35.658999999999999</v>
      </c>
      <c r="G10" s="136">
        <v>0</v>
      </c>
      <c r="H10" s="134">
        <f t="shared" si="0"/>
        <v>888.34100000000001</v>
      </c>
      <c r="I10" s="132">
        <v>0</v>
      </c>
      <c r="J10" s="138">
        <f>+GrossMargin!K11-[7]GrossMargin!K11</f>
        <v>0</v>
      </c>
      <c r="K10" s="133">
        <f t="shared" si="1"/>
        <v>888.34100000000001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922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922</v>
      </c>
      <c r="I11" s="132">
        <v>0</v>
      </c>
      <c r="J11" s="138">
        <f>+GrossMargin!K12-[7]GrossMargin!K12</f>
        <v>0</v>
      </c>
      <c r="K11" s="133">
        <f t="shared" si="1"/>
        <v>922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-1295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-1295</v>
      </c>
      <c r="I13" s="132">
        <v>0</v>
      </c>
      <c r="J13" s="138">
        <f>+GrossMargin!K14-[7]GrossMargin!K14</f>
        <v>0</v>
      </c>
      <c r="K13" s="133">
        <f t="shared" si="1"/>
        <v>-1295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704.23900000000003</v>
      </c>
      <c r="E14" s="36"/>
      <c r="F14" s="138">
        <f>+GrossMargin!G15-[7]GrossMargin!G15</f>
        <v>0</v>
      </c>
      <c r="G14" s="136">
        <v>0</v>
      </c>
      <c r="H14" s="134">
        <f t="shared" si="0"/>
        <v>704.23900000000003</v>
      </c>
      <c r="I14" s="132">
        <v>0</v>
      </c>
      <c r="J14" s="138">
        <f>+GrossMargin!K15-[7]GrossMargin!K15</f>
        <v>0</v>
      </c>
      <c r="K14" s="133">
        <f t="shared" si="1"/>
        <v>704.23900000000003</v>
      </c>
    </row>
    <row r="15" spans="1:11" ht="13.5" hidden="1" customHeight="1">
      <c r="A15" s="285" t="s">
        <v>77</v>
      </c>
      <c r="B15" s="245"/>
      <c r="C15" s="137">
        <f>+GrossMargin!D16-[7]GrossMargin!D16</f>
        <v>135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135</v>
      </c>
      <c r="I15" s="271">
        <v>0</v>
      </c>
      <c r="J15" s="138">
        <f>+GrossMargin!K16-[7]GrossMargin!K16</f>
        <v>0</v>
      </c>
      <c r="K15" s="272">
        <f t="shared" si="1"/>
        <v>135</v>
      </c>
    </row>
    <row r="16" spans="1:11" ht="13.5" hidden="1" customHeight="1">
      <c r="A16" s="285" t="s">
        <v>93</v>
      </c>
      <c r="B16" s="245"/>
      <c r="C16" s="137">
        <f>+GrossMargin!D17-[7]GrossMargin!D17</f>
        <v>1173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1173</v>
      </c>
      <c r="I16" s="271">
        <v>0</v>
      </c>
      <c r="J16" s="138">
        <f>+GrossMargin!K17-[7]GrossMargin!K17</f>
        <v>0</v>
      </c>
      <c r="K16" s="272">
        <f t="shared" si="1"/>
        <v>1173</v>
      </c>
    </row>
    <row r="17" spans="1:11" ht="13.5" hidden="1" customHeight="1">
      <c r="A17" s="285" t="s">
        <v>80</v>
      </c>
      <c r="B17" s="245"/>
      <c r="C17" s="137">
        <f>+GrossMargin!D18-[7]GrossMargin!D18</f>
        <v>-2305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-2305</v>
      </c>
      <c r="I17" s="271">
        <v>0</v>
      </c>
      <c r="J17" s="138">
        <f>+GrossMargin!K18-[7]GrossMargin!K18</f>
        <v>0</v>
      </c>
      <c r="K17" s="272">
        <f t="shared" si="1"/>
        <v>-2305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-997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-997</v>
      </c>
      <c r="I21" s="132">
        <f t="shared" si="2"/>
        <v>0</v>
      </c>
      <c r="J21" s="36">
        <f t="shared" si="2"/>
        <v>0</v>
      </c>
      <c r="K21" s="133">
        <f t="shared" si="2"/>
        <v>-997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-56</v>
      </c>
      <c r="D22" s="138">
        <f>+GrossMargin!E23-[7]GrossMargin!E23</f>
        <v>37.347999999999999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-18.652000000000001</v>
      </c>
      <c r="I22" s="132">
        <v>0</v>
      </c>
      <c r="J22" s="138">
        <f>+GrossMargin!K23-[7]GrossMargin!K23</f>
        <v>0</v>
      </c>
      <c r="K22" s="133">
        <f t="shared" ref="K22:K29" si="4">SUM(H22:J22)</f>
        <v>-18.652000000000001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-369</v>
      </c>
      <c r="D23" s="138">
        <f>+GrossMargin!E24-[7]GrossMargin!E24</f>
        <v>0</v>
      </c>
      <c r="E23" s="36"/>
      <c r="F23" s="138">
        <f>+GrossMargin!G24-[7]GrossMargin!G24</f>
        <v>37</v>
      </c>
      <c r="G23" s="136">
        <v>0</v>
      </c>
      <c r="H23" s="134">
        <f t="shared" si="3"/>
        <v>-332</v>
      </c>
      <c r="I23" s="132">
        <v>0</v>
      </c>
      <c r="J23" s="138">
        <f>+GrossMargin!K24-[7]GrossMargin!K24</f>
        <v>0</v>
      </c>
      <c r="K23" s="133">
        <f t="shared" si="4"/>
        <v>-332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-1.0000000000000009E-2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-1.0000000000000009E-2</v>
      </c>
      <c r="I25" s="132"/>
      <c r="J25" s="138">
        <f>+GrossMargin!K26-[7]GrossMargin!K26</f>
        <v>0</v>
      </c>
      <c r="K25" s="133">
        <f t="shared" si="4"/>
        <v>-1.0000000000000009E-2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-6867.9999999999982</v>
      </c>
      <c r="D31" s="44">
        <f>SUM(D9:D14)+SUM(D21:D29)</f>
        <v>741.58699999999999</v>
      </c>
      <c r="E31" s="44">
        <f>SUM(E9:E14)+SUM(E21:E29)</f>
        <v>0</v>
      </c>
      <c r="F31" s="45">
        <f>SUM(F9:F14)+SUM(F21:F29)</f>
        <v>1.3410000000000011</v>
      </c>
      <c r="G31" s="44">
        <f>SUM(G9:G14)+SUM(G21:G29)</f>
        <v>0</v>
      </c>
      <c r="H31" s="46">
        <f>SUM(H9:H14)+SUM(H21:H29)</f>
        <v>-6125.0719999999983</v>
      </c>
      <c r="I31" s="44" t="e">
        <f>+#REF!+#REF!</f>
        <v>#REF!</v>
      </c>
      <c r="J31" s="44">
        <f>SUM(J9:J14)+SUM(J21:J29)</f>
        <v>0</v>
      </c>
      <c r="K31" s="45">
        <f>SUM(K9:K14)+SUM(K21:K29)</f>
        <v>-6125.0719999999983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-6867.9999999999982</v>
      </c>
      <c r="D35" s="40">
        <f t="shared" si="5"/>
        <v>741.58699999999999</v>
      </c>
      <c r="E35" s="40">
        <f t="shared" si="5"/>
        <v>0</v>
      </c>
      <c r="F35" s="40">
        <f t="shared" si="5"/>
        <v>1.3410000000000011</v>
      </c>
      <c r="G35" s="40">
        <f t="shared" si="5"/>
        <v>0</v>
      </c>
      <c r="H35" s="42">
        <f t="shared" si="5"/>
        <v>-6125.0719999999983</v>
      </c>
      <c r="I35" s="40">
        <f t="shared" si="5"/>
        <v>0</v>
      </c>
      <c r="J35" s="40">
        <f t="shared" si="5"/>
        <v>0</v>
      </c>
      <c r="K35" s="41">
        <f t="shared" si="5"/>
        <v>-6125.0719999999983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8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6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D42" sqref="D42"/>
    </sheetView>
  </sheetViews>
  <sheetFormatPr defaultColWidth="9.109375" defaultRowHeight="10.199999999999999"/>
  <cols>
    <col min="1" max="1" width="16.88671875" style="12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3.8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8">
      <c r="A4" s="12" t="s">
        <v>21</v>
      </c>
      <c r="B4" s="182" t="str">
        <f>'Mgmt Summary'!A3</f>
        <v>Results based on activity through November 16,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-46957-1.415</f>
        <v>-46958.415000000001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-46958.415000000001</v>
      </c>
      <c r="J10" s="135"/>
      <c r="K10" s="36">
        <v>0</v>
      </c>
      <c r="L10" s="36">
        <f>+I10+K10</f>
        <v>-46958.415000000001</v>
      </c>
      <c r="M10" s="249">
        <v>45000</v>
      </c>
      <c r="N10" s="133">
        <f t="shared" ref="N10:N23" si="1">L10-M10</f>
        <v>-91958.415000000008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3953</v>
      </c>
      <c r="E11" s="138">
        <v>111.345</v>
      </c>
      <c r="F11" s="138">
        <v>0</v>
      </c>
      <c r="G11" s="138">
        <v>-35.658999999999999</v>
      </c>
      <c r="H11" s="136">
        <v>0</v>
      </c>
      <c r="I11" s="134">
        <f t="shared" si="0"/>
        <v>4028.6859999999997</v>
      </c>
      <c r="J11" s="135"/>
      <c r="K11" s="36">
        <v>0</v>
      </c>
      <c r="L11" s="36">
        <f t="shared" ref="L11:L23" si="2">+I11+K11</f>
        <v>4028.6859999999997</v>
      </c>
      <c r="M11" s="249">
        <f>13750-M12+1875+3125</f>
        <v>16250</v>
      </c>
      <c r="N11" s="133">
        <f t="shared" si="1"/>
        <v>-12221.314</v>
      </c>
    </row>
    <row r="12" spans="1:16" s="186" customFormat="1" ht="13.5" customHeight="1">
      <c r="A12" s="12"/>
      <c r="B12" s="106" t="s">
        <v>108</v>
      </c>
      <c r="C12" s="185"/>
      <c r="D12" s="137">
        <v>3387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3387</v>
      </c>
      <c r="J12" s="135"/>
      <c r="K12" s="36">
        <v>0</v>
      </c>
      <c r="L12" s="36">
        <f>+I12+K12</f>
        <v>3387</v>
      </c>
      <c r="M12" s="249">
        <v>2500</v>
      </c>
      <c r="N12" s="133">
        <f>L12-M12</f>
        <v>887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-4892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-4892</v>
      </c>
      <c r="J14" s="135"/>
      <c r="K14" s="36">
        <v>0</v>
      </c>
      <c r="L14" s="36">
        <f t="shared" si="2"/>
        <v>-4892</v>
      </c>
      <c r="M14" s="249">
        <f>10252.58-1500</f>
        <v>8752.58</v>
      </c>
      <c r="N14" s="133">
        <f t="shared" si="1"/>
        <v>-13644.58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-694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-694</v>
      </c>
      <c r="J16" s="242"/>
      <c r="K16" s="242">
        <v>0</v>
      </c>
      <c r="L16" s="36">
        <f t="shared" si="2"/>
        <v>-694</v>
      </c>
      <c r="M16" s="251">
        <v>0</v>
      </c>
      <c r="N16" s="243">
        <f>L16-M16</f>
        <v>-694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2901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2901</v>
      </c>
      <c r="J17" s="242"/>
      <c r="K17" s="242">
        <v>0</v>
      </c>
      <c r="L17" s="36">
        <f>+I17+K17</f>
        <v>2901</v>
      </c>
      <c r="M17" s="251">
        <v>0</v>
      </c>
      <c r="N17" s="243">
        <f>L17-M17</f>
        <v>2901</v>
      </c>
    </row>
    <row r="18" spans="1:16" ht="13.5" hidden="1" customHeight="1">
      <c r="B18" s="238" t="s">
        <v>80</v>
      </c>
      <c r="C18" s="239"/>
      <c r="D18" s="240">
        <v>-363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-363</v>
      </c>
      <c r="J18" s="242"/>
      <c r="K18" s="242">
        <v>0</v>
      </c>
      <c r="L18" s="36">
        <f t="shared" si="2"/>
        <v>-363</v>
      </c>
      <c r="M18" s="251">
        <v>0</v>
      </c>
      <c r="N18" s="243">
        <f>L18-M18</f>
        <v>-363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1836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1836</v>
      </c>
      <c r="J22" s="135"/>
      <c r="K22" s="36">
        <f>SUM(K16:K21)</f>
        <v>0</v>
      </c>
      <c r="L22" s="36">
        <f t="shared" si="2"/>
        <v>1836</v>
      </c>
      <c r="M22" s="249">
        <f>32500-2955</f>
        <v>29545</v>
      </c>
      <c r="N22" s="133">
        <f>L22-M22</f>
        <v>-27709</v>
      </c>
    </row>
    <row r="23" spans="1:16" s="186" customFormat="1" ht="13.5" customHeight="1">
      <c r="A23" s="12"/>
      <c r="B23" s="106" t="s">
        <v>105</v>
      </c>
      <c r="C23" s="185"/>
      <c r="D23" s="137">
        <v>-181</v>
      </c>
      <c r="E23" s="138">
        <v>88.275999999999996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-92.724000000000004</v>
      </c>
      <c r="J23" s="135"/>
      <c r="K23" s="36">
        <v>0</v>
      </c>
      <c r="L23" s="36">
        <f t="shared" si="2"/>
        <v>-92.724000000000004</v>
      </c>
      <c r="M23" s="136">
        <f>5000+8305.5</f>
        <v>13305.5</v>
      </c>
      <c r="N23" s="133">
        <f t="shared" si="1"/>
        <v>-13398.224</v>
      </c>
    </row>
    <row r="24" spans="1:16" s="186" customFormat="1" ht="13.5" customHeight="1">
      <c r="A24" s="12"/>
      <c r="B24" s="106" t="s">
        <v>85</v>
      </c>
      <c r="C24" s="185"/>
      <c r="D24" s="137">
        <v>1187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2224</v>
      </c>
      <c r="J24" s="135"/>
      <c r="K24" s="36">
        <v>0</v>
      </c>
      <c r="L24" s="36">
        <f t="shared" ref="L24:L30" si="5">+I24+K24</f>
        <v>2224</v>
      </c>
      <c r="M24" s="249">
        <v>44000</v>
      </c>
      <c r="N24" s="133">
        <f t="shared" ref="N24:N30" si="6">L24-M24</f>
        <v>-41776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1.415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1.415</v>
      </c>
      <c r="J26" s="135"/>
      <c r="K26" s="36">
        <v>0</v>
      </c>
      <c r="L26" s="36">
        <f t="shared" si="5"/>
        <v>1.415</v>
      </c>
      <c r="M26" s="249">
        <v>3750</v>
      </c>
      <c r="N26" s="133">
        <f t="shared" si="6"/>
        <v>-3748.585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-40377</v>
      </c>
      <c r="E32" s="44">
        <f t="shared" si="7"/>
        <v>1915.0480000000002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-38460.610999999997</v>
      </c>
      <c r="J32" s="44">
        <f t="shared" si="7"/>
        <v>0</v>
      </c>
      <c r="K32" s="44">
        <f t="shared" si="7"/>
        <v>0</v>
      </c>
      <c r="L32" s="44">
        <f t="shared" si="7"/>
        <v>-38460.610999999997</v>
      </c>
      <c r="M32" s="45">
        <f t="shared" si="7"/>
        <v>175311.47200000001</v>
      </c>
      <c r="N32" s="46">
        <f t="shared" si="7"/>
        <v>-213772.08300000004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-40377</v>
      </c>
      <c r="E36" s="40">
        <f t="shared" si="8"/>
        <v>1915.0480000000002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-38460.610999999997</v>
      </c>
      <c r="J36" s="40">
        <f t="shared" si="8"/>
        <v>0</v>
      </c>
      <c r="K36" s="40">
        <f t="shared" si="8"/>
        <v>0</v>
      </c>
      <c r="L36" s="40">
        <f t="shared" si="8"/>
        <v>-38460.610999999997</v>
      </c>
      <c r="M36" s="40">
        <f t="shared" si="8"/>
        <v>175311.47200000001</v>
      </c>
      <c r="N36" s="42">
        <f t="shared" si="8"/>
        <v>-213772.08300000004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28" sqref="D28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3.8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</f>
        <v>3270.25</v>
      </c>
      <c r="E17" s="171">
        <v>1430.25</v>
      </c>
      <c r="F17" s="175">
        <f t="shared" ref="F17:F22" si="1">E17-D17</f>
        <v>-1840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3.8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16,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0.33203125" customWidth="1"/>
    <col min="11" max="13" width="8.6640625" customWidth="1"/>
    <col min="14" max="16" width="14.88671875" customWidth="1"/>
  </cols>
  <sheetData>
    <row r="1" spans="1:16" hidden="1">
      <c r="A1" s="10" t="s">
        <v>42</v>
      </c>
    </row>
    <row r="2" spans="1:16" ht="15.6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3.8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2001-11-19T13:38:21Z</cp:lastPrinted>
  <dcterms:created xsi:type="dcterms:W3CDTF">1999-10-18T12:36:30Z</dcterms:created>
  <dcterms:modified xsi:type="dcterms:W3CDTF">2023-09-10T11:11:20Z</dcterms:modified>
</cp:coreProperties>
</file>