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0" windowWidth="8448" windowHeight="9096" tabRatio="611"/>
  </bookViews>
  <sheets>
    <sheet name="UNLNK" sheetId="2" r:id="rId1"/>
    <sheet name="LNK" sheetId="1" r:id="rId2"/>
    <sheet name="REF" sheetId="3" r:id="rId3"/>
  </sheets>
  <externalReferences>
    <externalReference r:id="rId4"/>
    <externalReference r:id="rId5"/>
    <externalReference r:id="rId6"/>
    <externalReference r:id="rId7"/>
  </externalReferences>
  <definedNames>
    <definedName name="BLPH1" hidden="1">LNK!$W$27</definedName>
    <definedName name="BLPH2" hidden="1">LNK!$W$25</definedName>
    <definedName name="BLPH3" hidden="1">LNK!$O$24</definedName>
    <definedName name="_xlnm.Print_Area" localSheetId="1">LNK!$A$1:$U$69</definedName>
    <definedName name="_xlnm.Print_Area" localSheetId="0">UNLNK!$B$1:$T$70</definedName>
  </definedNames>
  <calcPr calcId="92512"/>
</workbook>
</file>

<file path=xl/calcChain.xml><?xml version="1.0" encoding="utf-8"?>
<calcChain xmlns="http://schemas.openxmlformats.org/spreadsheetml/2006/main">
  <c r="D3" i="1" l="1"/>
  <c r="E3" i="1"/>
  <c r="K3" i="1"/>
  <c r="L3" i="1"/>
  <c r="D5" i="1"/>
  <c r="E5" i="1"/>
  <c r="F5" i="1"/>
  <c r="L5" i="1"/>
  <c r="M5" i="1"/>
  <c r="D6" i="1"/>
  <c r="E6" i="1"/>
  <c r="F6" i="1"/>
  <c r="L6" i="1"/>
  <c r="M6" i="1"/>
  <c r="D7" i="1"/>
  <c r="E7" i="1"/>
  <c r="F7" i="1"/>
  <c r="L7" i="1"/>
  <c r="M7" i="1"/>
  <c r="D8" i="1"/>
  <c r="E8" i="1"/>
  <c r="F8" i="1"/>
  <c r="L8" i="1"/>
  <c r="M8" i="1"/>
  <c r="D9" i="1"/>
  <c r="E9" i="1"/>
  <c r="F9" i="1"/>
  <c r="L9" i="1"/>
  <c r="M9" i="1"/>
  <c r="D10" i="1"/>
  <c r="E10" i="1"/>
  <c r="F10" i="1"/>
  <c r="L10" i="1"/>
  <c r="M10" i="1"/>
  <c r="D11" i="1"/>
  <c r="E11" i="1"/>
  <c r="F11" i="1"/>
  <c r="L11" i="1"/>
  <c r="M11" i="1"/>
  <c r="D12" i="1"/>
  <c r="E12" i="1"/>
  <c r="F12" i="1"/>
  <c r="D13" i="1"/>
  <c r="E13" i="1"/>
  <c r="F13" i="1"/>
  <c r="K13" i="1"/>
  <c r="L13" i="1"/>
  <c r="M13" i="1"/>
  <c r="D14" i="1"/>
  <c r="E14" i="1"/>
  <c r="F14" i="1"/>
  <c r="K14" i="1"/>
  <c r="L14" i="1"/>
  <c r="M14" i="1"/>
  <c r="D15" i="1"/>
  <c r="E15" i="1"/>
  <c r="F15" i="1"/>
  <c r="K15" i="1"/>
  <c r="L15" i="1"/>
  <c r="M15" i="1"/>
  <c r="K16" i="1"/>
  <c r="L16" i="1"/>
  <c r="M16" i="1"/>
  <c r="D17" i="1"/>
  <c r="E17" i="1"/>
  <c r="F17" i="1"/>
  <c r="K17" i="1"/>
  <c r="L17" i="1"/>
  <c r="M17" i="1"/>
  <c r="D18" i="1"/>
  <c r="E18" i="1"/>
  <c r="F18" i="1"/>
  <c r="K18" i="1"/>
  <c r="L18" i="1"/>
  <c r="M18" i="1"/>
  <c r="D19" i="1"/>
  <c r="E19" i="1"/>
  <c r="F19" i="1"/>
  <c r="K19" i="1"/>
  <c r="L19" i="1"/>
  <c r="M19" i="1"/>
  <c r="D20" i="1"/>
  <c r="E20" i="1"/>
  <c r="F20" i="1"/>
  <c r="D21" i="1"/>
  <c r="E21" i="1"/>
  <c r="F21" i="1"/>
  <c r="D22" i="1"/>
  <c r="E22" i="1"/>
  <c r="F22" i="1"/>
  <c r="L22" i="1"/>
  <c r="D23" i="1"/>
  <c r="D23" i="1" a="1"/>
  <c r="E23" i="1"/>
  <c r="E23" i="1" a="1"/>
  <c r="F23" i="1"/>
  <c r="K23" i="1"/>
  <c r="K23" i="1" a="1"/>
  <c r="L23" i="1"/>
  <c r="L23" i="1" a="1"/>
  <c r="M23" i="1"/>
  <c r="D24" i="1"/>
  <c r="D24" i="1" a="1"/>
  <c r="E24" i="1"/>
  <c r="F24" i="1"/>
  <c r="K24" i="1"/>
  <c r="K24" i="1" a="1"/>
  <c r="L24" i="1"/>
  <c r="L24" i="1" a="1"/>
  <c r="M24" i="1"/>
  <c r="D25" i="1"/>
  <c r="D25" i="1" a="1"/>
  <c r="E25" i="1"/>
  <c r="E25" i="1" a="1"/>
  <c r="F25" i="1"/>
  <c r="K25" i="1"/>
  <c r="K25" i="1" a="1"/>
  <c r="L25" i="1"/>
  <c r="L25" i="1" a="1"/>
  <c r="M25" i="1"/>
  <c r="W25" i="1"/>
  <c r="X25" i="1"/>
  <c r="X25" i="1" a="1"/>
  <c r="D26" i="1"/>
  <c r="E26" i="1"/>
  <c r="F26" i="1"/>
  <c r="K26" i="1"/>
  <c r="K26" i="1" a="1"/>
  <c r="L26" i="1"/>
  <c r="L26" i="1" a="1"/>
  <c r="M26" i="1"/>
  <c r="W26" i="1"/>
  <c r="X26" i="1"/>
  <c r="X26" i="1" a="1"/>
  <c r="D27" i="1"/>
  <c r="E27" i="1"/>
  <c r="F27" i="1"/>
  <c r="K27" i="1"/>
  <c r="K27" i="1" a="1"/>
  <c r="L27" i="1"/>
  <c r="L27" i="1" a="1"/>
  <c r="M27" i="1"/>
  <c r="W27" i="1"/>
  <c r="X27" i="1"/>
  <c r="X27" i="1" a="1"/>
  <c r="D28" i="1"/>
  <c r="D28" i="1" a="1"/>
  <c r="E28" i="1"/>
  <c r="F28" i="1"/>
  <c r="K28" i="1"/>
  <c r="K28" i="1" a="1"/>
  <c r="L28" i="1"/>
  <c r="L28" i="1" a="1"/>
  <c r="M28" i="1"/>
  <c r="W28" i="1"/>
  <c r="X28" i="1"/>
  <c r="X28" i="1" a="1"/>
  <c r="D29" i="1"/>
  <c r="E29" i="1"/>
  <c r="F29" i="1"/>
  <c r="W29" i="1"/>
  <c r="X29" i="1"/>
  <c r="X29" i="1" a="1"/>
  <c r="D30" i="1"/>
  <c r="E30" i="1"/>
  <c r="F30" i="1"/>
  <c r="K30" i="1"/>
  <c r="K30" i="1" a="1"/>
  <c r="L30" i="1"/>
  <c r="L30" i="1" a="1"/>
  <c r="M30" i="1"/>
  <c r="D31" i="1"/>
  <c r="E31" i="1"/>
  <c r="F31" i="1"/>
  <c r="K31" i="1"/>
  <c r="K31" i="1" a="1"/>
  <c r="L31" i="1"/>
  <c r="L31" i="1" a="1"/>
  <c r="M31" i="1"/>
  <c r="D32" i="1"/>
  <c r="E32" i="1"/>
  <c r="F32" i="1"/>
  <c r="K32" i="1"/>
  <c r="K32" i="1" a="1"/>
  <c r="L32" i="1"/>
  <c r="L32" i="1" a="1"/>
  <c r="M32" i="1"/>
  <c r="D33" i="1"/>
  <c r="D33" i="1" a="1"/>
  <c r="E33" i="1"/>
  <c r="E33" i="1" a="1"/>
  <c r="F33" i="1"/>
  <c r="D34" i="1"/>
  <c r="D34" i="1" a="1"/>
  <c r="E34" i="1"/>
  <c r="E34" i="1" a="1"/>
  <c r="F34" i="1"/>
  <c r="K34" i="1"/>
  <c r="L34" i="1"/>
  <c r="M34" i="1"/>
  <c r="D35" i="1"/>
  <c r="D35" i="1" a="1"/>
  <c r="E35" i="1"/>
  <c r="E35" i="1" a="1"/>
  <c r="F35" i="1"/>
  <c r="D36" i="1"/>
  <c r="E36" i="1"/>
  <c r="F36" i="1"/>
  <c r="D37" i="1"/>
  <c r="D37" i="1" a="1"/>
  <c r="E37" i="1"/>
  <c r="E37" i="1" a="1"/>
  <c r="F37" i="1"/>
  <c r="K37" i="1"/>
  <c r="L37" i="1"/>
  <c r="M37" i="1"/>
  <c r="D38" i="1"/>
  <c r="D38" i="1" a="1"/>
  <c r="E38" i="1"/>
  <c r="E38" i="1" a="1"/>
  <c r="F38" i="1"/>
  <c r="K38" i="1"/>
  <c r="L38" i="1"/>
  <c r="M38" i="1"/>
  <c r="K39" i="1"/>
  <c r="L39" i="1"/>
  <c r="M39" i="1"/>
  <c r="D40" i="1"/>
  <c r="E40" i="1"/>
  <c r="F40" i="1"/>
  <c r="K40" i="1"/>
  <c r="L40" i="1"/>
  <c r="M40" i="1"/>
  <c r="D41" i="1"/>
  <c r="E41" i="1"/>
  <c r="F41" i="1"/>
  <c r="K41" i="1"/>
  <c r="K41" i="1" a="1"/>
  <c r="L41" i="1"/>
  <c r="L41" i="1" a="1"/>
  <c r="M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M46" i="1"/>
  <c r="D47" i="1"/>
  <c r="D47" i="1" a="1"/>
  <c r="E47" i="1"/>
  <c r="E47" i="1" a="1"/>
  <c r="F47" i="1"/>
  <c r="M47" i="1"/>
  <c r="G56" i="1"/>
  <c r="N56" i="1"/>
  <c r="G66" i="1"/>
  <c r="N66" i="1"/>
</calcChain>
</file>

<file path=xl/comments1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<sst xmlns="http://schemas.openxmlformats.org/spreadsheetml/2006/main" count="438" uniqueCount="192">
  <si>
    <t>Dow Jones Industrial Average</t>
  </si>
  <si>
    <t>NASDAQ Composite</t>
  </si>
  <si>
    <t>NASDAQ 100</t>
  </si>
  <si>
    <t>S&amp;P 500</t>
  </si>
  <si>
    <t>LIBOR</t>
  </si>
  <si>
    <t>3 Month</t>
  </si>
  <si>
    <t>6 Month</t>
  </si>
  <si>
    <t>1 Year</t>
  </si>
  <si>
    <t>2 Year</t>
  </si>
  <si>
    <t>5 Year</t>
  </si>
  <si>
    <t>10 Year</t>
  </si>
  <si>
    <t>30 Year</t>
  </si>
  <si>
    <t>% Change</t>
  </si>
  <si>
    <t>US Treasuries</t>
  </si>
  <si>
    <t>$/Euro</t>
  </si>
  <si>
    <t>$/Pound</t>
  </si>
  <si>
    <t>bp change</t>
  </si>
  <si>
    <t>Russell 2000</t>
  </si>
  <si>
    <t>Economic Data</t>
  </si>
  <si>
    <t>FTSE</t>
  </si>
  <si>
    <t>Nikkei</t>
  </si>
  <si>
    <t>DAX</t>
  </si>
  <si>
    <t>CAC 40</t>
  </si>
  <si>
    <t>Equity Market Indices</t>
  </si>
  <si>
    <t>BB Spread</t>
  </si>
  <si>
    <t>B Spread</t>
  </si>
  <si>
    <t>Industry Data</t>
  </si>
  <si>
    <t xml:space="preserve">Previous Week's News  </t>
  </si>
  <si>
    <t>Equity/Commodity Markets</t>
  </si>
  <si>
    <t>Electricity COB ($/MWh)</t>
  </si>
  <si>
    <t>Nymex Crude Oil ($/Bbl)</t>
  </si>
  <si>
    <t>Merrill Lynch High Yield Index</t>
  </si>
  <si>
    <t xml:space="preserve">This Week's News  </t>
  </si>
  <si>
    <t>Wilshire 5000</t>
  </si>
  <si>
    <t>TSE 300</t>
  </si>
  <si>
    <t>US</t>
  </si>
  <si>
    <t>Canada</t>
  </si>
  <si>
    <t>Japan</t>
  </si>
  <si>
    <t>Prime Rate (Current)</t>
  </si>
  <si>
    <t>Europe</t>
  </si>
  <si>
    <t>Australia</t>
  </si>
  <si>
    <t>IPE Brent Crude ( $/Bbl)</t>
  </si>
  <si>
    <t>NYMEX HO (cents/Gal)</t>
  </si>
  <si>
    <t>Enron Related Securities</t>
  </si>
  <si>
    <t>Enron (ENE)</t>
  </si>
  <si>
    <t>EOG Resources (EOG)</t>
  </si>
  <si>
    <t>The New Power Company (NPW)</t>
  </si>
  <si>
    <t>Northern Border Partners (NBP)</t>
  </si>
  <si>
    <t>Nymex Gas Henry Hub ($/MMBtu)</t>
  </si>
  <si>
    <t>INDU Index</t>
  </si>
  <si>
    <t>CCMP Index</t>
  </si>
  <si>
    <t>NDQ Index</t>
  </si>
  <si>
    <t>SPX Index</t>
  </si>
  <si>
    <t>RTY Index</t>
  </si>
  <si>
    <t>TMW Index</t>
  </si>
  <si>
    <t>TS300 Index</t>
  </si>
  <si>
    <t>UKX Index</t>
  </si>
  <si>
    <t>NKY Index</t>
  </si>
  <si>
    <t>DAX Index</t>
  </si>
  <si>
    <t>CAC Index</t>
  </si>
  <si>
    <t>OW1  Comdty</t>
  </si>
  <si>
    <t>CL1 Comdty</t>
  </si>
  <si>
    <t>CO1 Comdty</t>
  </si>
  <si>
    <t>HU1 Comdty</t>
  </si>
  <si>
    <t>NG1 Comdty</t>
  </si>
  <si>
    <t>HO1 Comdty</t>
  </si>
  <si>
    <t>ELEASO21 Index</t>
  </si>
  <si>
    <t>ELEANOX4 Index</t>
  </si>
  <si>
    <t>GC1 Comdty</t>
  </si>
  <si>
    <t>PL1 Comdty</t>
  </si>
  <si>
    <t>LB1 Comdty</t>
  </si>
  <si>
    <t>PX_Last</t>
  </si>
  <si>
    <t>CUSIP</t>
  </si>
  <si>
    <t>PX_Close_5D</t>
  </si>
  <si>
    <t>PX_Settle</t>
  </si>
  <si>
    <t>CHG_NET_5D</t>
  </si>
  <si>
    <t>ENE US Equity</t>
  </si>
  <si>
    <t>EOG US Equity</t>
  </si>
  <si>
    <t>NBP US Equity</t>
  </si>
  <si>
    <t>NPW US Equity</t>
  </si>
  <si>
    <t>CB03 Govt CUSIP</t>
  </si>
  <si>
    <t>CB06 Govt CUSIP</t>
  </si>
  <si>
    <t>CB12 Govt CUSIP</t>
  </si>
  <si>
    <t>CT02 Govt CUSIP</t>
  </si>
  <si>
    <t>CT05 Govt CUSIP</t>
  </si>
  <si>
    <t>CT10 Govt CUSIP</t>
  </si>
  <si>
    <t>CT30 Govt CUSIP</t>
  </si>
  <si>
    <t>YLD_YTM_MID</t>
  </si>
  <si>
    <t>US0003M Index</t>
  </si>
  <si>
    <t>US0006M Index</t>
  </si>
  <si>
    <t>EUR Curncy</t>
  </si>
  <si>
    <t>CAD Curncy</t>
  </si>
  <si>
    <t>JPY Curncy</t>
  </si>
  <si>
    <t>GBP Curncy</t>
  </si>
  <si>
    <t>DEM Curncy</t>
  </si>
  <si>
    <t>CHF Curncy</t>
  </si>
  <si>
    <t>FRF Curncy</t>
  </si>
  <si>
    <t>FWD_RT_1MO</t>
  </si>
  <si>
    <t>YLD_CHG_PCT_5D</t>
  </si>
  <si>
    <t>USSW2 Index</t>
  </si>
  <si>
    <t>USSW5 Index</t>
  </si>
  <si>
    <t>USSW10 Index</t>
  </si>
  <si>
    <t>USSW30 Index</t>
  </si>
  <si>
    <t>US0012M Index</t>
  </si>
  <si>
    <t>PRIME Index</t>
  </si>
  <si>
    <t>EGM Market Update</t>
  </si>
  <si>
    <t>Japan Governments</t>
  </si>
  <si>
    <t>TIBOR</t>
  </si>
  <si>
    <t>GJGB2 INDEX</t>
  </si>
  <si>
    <t>GJGB5 INDEX</t>
  </si>
  <si>
    <t>GJGB10 INDEX</t>
  </si>
  <si>
    <t>GJGB30 INDEX</t>
  </si>
  <si>
    <t>GJTB6MO INDEX</t>
  </si>
  <si>
    <t>GJTB3MO INDEX</t>
  </si>
  <si>
    <t>GJGB1 INDEX</t>
  </si>
  <si>
    <t>NA</t>
  </si>
  <si>
    <t>Ti0003M INDEX</t>
  </si>
  <si>
    <t>TI0006M INDEX</t>
  </si>
  <si>
    <t>TI0012M INDEX</t>
  </si>
  <si>
    <t>N/A</t>
  </si>
  <si>
    <t>Commodities</t>
  </si>
  <si>
    <t>Currencies</t>
  </si>
  <si>
    <t>$/AUD</t>
  </si>
  <si>
    <t>AUD Curncy</t>
  </si>
  <si>
    <t>CAD/$</t>
  </si>
  <si>
    <t>Yen/$</t>
  </si>
  <si>
    <t>DM/$</t>
  </si>
  <si>
    <t>CHF/$</t>
  </si>
  <si>
    <t>FRF/$</t>
  </si>
  <si>
    <t>Coal Spot Price Big Sandy ($/st)</t>
  </si>
  <si>
    <t>COALBGSD Index</t>
  </si>
  <si>
    <t>Coal Spot Price PRB, 8800 ($/st)</t>
  </si>
  <si>
    <t>Coal Spot Price PRB, 8400 ($/st)</t>
  </si>
  <si>
    <t>COALPWDR Index</t>
  </si>
  <si>
    <t>COALPR84 Index</t>
  </si>
  <si>
    <t>SO2 Emission Allowance ($/st)</t>
  </si>
  <si>
    <t>NOX Emission Allowance ($/st)</t>
  </si>
  <si>
    <t>Platinum Future ($/50 Troy Oz)</t>
  </si>
  <si>
    <t>Gold Future ($/100 Troy Ounce)</t>
  </si>
  <si>
    <t>LMAHDS03 Comdty</t>
  </si>
  <si>
    <t>LMPBDS03 Comdty</t>
  </si>
  <si>
    <t>LMNIDS03 Comdty</t>
  </si>
  <si>
    <t>Lumber ($/110,000 board ft)</t>
  </si>
  <si>
    <t>NYMEX UL (cents/Gal)</t>
  </si>
  <si>
    <t>Hot Rolled Steel ($/metric ton)</t>
  </si>
  <si>
    <t>Cold Rolled Steel ($/metric ton)</t>
  </si>
  <si>
    <t>MBSTUSCR Index</t>
  </si>
  <si>
    <t>MBSTUSHR Index</t>
  </si>
  <si>
    <t>LME 3MO Aluminum Future ($/25 tonnes)</t>
  </si>
  <si>
    <t>LME 3MO Lead Future ($/25 tonnes)</t>
  </si>
  <si>
    <t>LME 3MO Nickel Future ($/6 tonnes)</t>
  </si>
  <si>
    <t>Credit/Equity Markets</t>
  </si>
  <si>
    <t>EOTT (EOT)</t>
  </si>
  <si>
    <t>EOT US equity</t>
  </si>
  <si>
    <t>ENE Equity</t>
  </si>
  <si>
    <t>BPIY Index</t>
  </si>
  <si>
    <t>BMIY Index</t>
  </si>
  <si>
    <t>BCIY Index</t>
  </si>
  <si>
    <t>Baltic Handymax Index ($/day)</t>
  </si>
  <si>
    <t>Baltic Panamax Index ($/day)</t>
  </si>
  <si>
    <t>Baltix Capesize Index ($/day)</t>
  </si>
  <si>
    <t>Oct 12: Crude Oil, Gasoline Fall as Anthrax Cases Spur Concern Demand May Decline</t>
  </si>
  <si>
    <t>Oct 12: PG&amp;E's Post-Crisis Restructuring May Make It Better Investment Than Edison</t>
  </si>
  <si>
    <t>Oct 12: US Nuclear Regulators Shut Internet Site to Keep Data From Terrorists</t>
  </si>
  <si>
    <t>Oct 11: Initial Jobless Claims (OCT 6) [S: 510k A: 468k, P: 535k]</t>
  </si>
  <si>
    <t>Oct 12: Producer Price Index (SEP) [S: 0.0%, A: 0.4%, P: 0.4%]</t>
  </si>
  <si>
    <t>Oct 12: U. of Michigan Confidence (OCT) [S: 76.0, A: 83.4, P: 81.9]</t>
  </si>
  <si>
    <t>Oct 12: Germany - Retail Sales Real NSA (YoY) (AUG) [S: 0.7%, A: 0.4%, P: 0.9%]</t>
  </si>
  <si>
    <t>Oct 12: France - Gross Domestic Product (YoY) (SEP) [S: 0.3%, A: 0.3%, P: 0.4%]</t>
  </si>
  <si>
    <t>Oct 21: France - Consumer Price Index (YoY) (SEP) [S: 0.2%, A: 0.2%, P: 0.0%]</t>
  </si>
  <si>
    <t>Oct 11: New Housing Price Index (MoM) (AUG) [S: 0.3%, A: 0.2%, P: 0.3%]</t>
  </si>
  <si>
    <t>Oct 9: Ivey Purchasing Managers Index (SEP) [S: 49.0, A: 45.4, P: 53.5]</t>
  </si>
  <si>
    <t>Oct 10: Tokyo Condominium Sales (YoY) (SEP) [A: -4.2%, P: -4.2%]</t>
  </si>
  <si>
    <t>Oct 10: Bank Lending (YoY) (SEP) [S: -4.4%, A: -4.2%, P: -4.2%]</t>
  </si>
  <si>
    <t>Oct 10: Money Supply M2+CD (YoY) (SEP) [S: 3.4%, A: 3.7%, P: 3.4%]</t>
  </si>
  <si>
    <t>Oct 10: Employment Change (SEP) [S: -25.00, A: -48.50, P: 77.30]</t>
  </si>
  <si>
    <t>Oct 10: Housing Finance (AUG) [S: -0.5%, A: -2.1%, P: 3.0%]</t>
  </si>
  <si>
    <t>Oct 19: California Governor Working to Renegotiate Power Contracts Amid Criticism</t>
  </si>
  <si>
    <t>Oct 19: Enron Shares Fall for Third Day on Concern Over Partnerships Linked to CFO</t>
  </si>
  <si>
    <t>Oct 18: Initial Jobless Claims (OCT 13) [S: 480k, A: 490k, P: 484k]</t>
  </si>
  <si>
    <t>Oct 18: Philadelphia Fed. (OCT) [S: -15.0, A: -27.4, P: -7.3]</t>
  </si>
  <si>
    <t>Oct 19: Consumer Price Index (SEP) [S: 0.3%, A: 0.4%, P: 0.1%]</t>
  </si>
  <si>
    <t>Oct 19: France - Current Account (Euros) (AUG) [A: 4.1B, P: 4.0B]</t>
  </si>
  <si>
    <t>Oct 19: Germany - Construction Orders (BBK) (MoM) (AUG) [A: 4.3%, P: -9.7%]</t>
  </si>
  <si>
    <t>Oct 19: Netherlands - Retail Sales (YoY) (AUG) [A: 8.1%, P: 4.3%]</t>
  </si>
  <si>
    <t>Oct 18: Consumer Price Index (SEP) [S: 0.1%, A: 0.3%, P: 0.0%]</t>
  </si>
  <si>
    <t>Oct 19: Wholesale Sales (AUG) [S: C$5.2, A: C$4.4, P: C$5.4]</t>
  </si>
  <si>
    <t>Oct 18: Crude Steel Products (YoY) (SEP) [A: -3.5%, P: -5.4%]</t>
  </si>
  <si>
    <t>Oct 18: Leading Economic Index (AUG) [S: 42.9%, A: 55.6%, P: 55.6%]</t>
  </si>
  <si>
    <t>Oct 19: Mfg. Electricity Usage (YoY) (SEP) [A: -6.0%, P: -4.5%]</t>
  </si>
  <si>
    <t>Oct 18: Export price index (QoQ) (Q3) [A: -0.9%, P: 4.3%]</t>
  </si>
  <si>
    <t>Oct 19: Nymex Crude Oil Rises for First timein Week as OPEC Committee to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</si>
</sst>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9" formatCode="0.0%"/>
    <numFmt numFmtId="188" formatCode="&quot;$&quot;#,##0.00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u/>
      <sz val="20"/>
      <color indexed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14" fontId="9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/>
    <xf numFmtId="14" fontId="9" fillId="2" borderId="3" xfId="0" applyNumberFormat="1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4" fontId="9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10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8" xfId="0" applyFont="1" applyFill="1" applyBorder="1" applyAlignment="1"/>
    <xf numFmtId="10" fontId="6" fillId="3" borderId="8" xfId="0" applyNumberFormat="1" applyFont="1" applyFill="1" applyBorder="1" applyAlignment="1">
      <alignment horizontal="right"/>
    </xf>
    <xf numFmtId="1" fontId="6" fillId="3" borderId="10" xfId="0" applyNumberFormat="1" applyFont="1" applyFill="1" applyBorder="1" applyAlignment="1">
      <alignment horizontal="center"/>
    </xf>
    <xf numFmtId="17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10" fontId="6" fillId="3" borderId="7" xfId="0" applyNumberFormat="1" applyFont="1" applyFill="1" applyBorder="1" applyAlignment="1"/>
    <xf numFmtId="10" fontId="6" fillId="3" borderId="8" xfId="0" applyNumberFormat="1" applyFont="1" applyFill="1" applyBorder="1" applyAlignment="1"/>
    <xf numFmtId="0" fontId="9" fillId="0" borderId="4" xfId="0" applyFont="1" applyBorder="1" applyAlignment="1"/>
    <xf numFmtId="169" fontId="6" fillId="0" borderId="11" xfId="0" applyNumberFormat="1" applyFont="1" applyFill="1" applyBorder="1" applyAlignment="1">
      <alignment horizontal="center"/>
    </xf>
    <xf numFmtId="10" fontId="6" fillId="3" borderId="8" xfId="1" applyNumberFormat="1" applyFont="1" applyFill="1" applyBorder="1" applyAlignment="1">
      <alignment horizontal="center"/>
    </xf>
    <xf numFmtId="0" fontId="10" fillId="0" borderId="0" xfId="0" applyFont="1"/>
    <xf numFmtId="2" fontId="6" fillId="3" borderId="8" xfId="0" applyNumberFormat="1" applyFont="1" applyFill="1" applyBorder="1" applyAlignment="1"/>
    <xf numFmtId="169" fontId="6" fillId="3" borderId="10" xfId="0" applyNumberFormat="1" applyFont="1" applyFill="1" applyBorder="1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  <xf numFmtId="0" fontId="6" fillId="0" borderId="0" xfId="0" applyFont="1" applyFill="1" applyBorder="1"/>
    <xf numFmtId="0" fontId="6" fillId="3" borderId="12" xfId="0" applyFont="1" applyFill="1" applyBorder="1" applyAlignment="1"/>
    <xf numFmtId="0" fontId="6" fillId="0" borderId="0" xfId="0" applyFont="1" applyBorder="1"/>
    <xf numFmtId="0" fontId="8" fillId="2" borderId="13" xfId="0" applyFont="1" applyFill="1" applyBorder="1"/>
    <xf numFmtId="0" fontId="8" fillId="2" borderId="14" xfId="0" applyFont="1" applyFill="1" applyBorder="1"/>
    <xf numFmtId="0" fontId="6" fillId="0" borderId="15" xfId="0" applyFont="1" applyBorder="1"/>
    <xf numFmtId="0" fontId="12" fillId="0" borderId="13" xfId="0" applyFont="1" applyFill="1" applyBorder="1"/>
    <xf numFmtId="0" fontId="12" fillId="0" borderId="14" xfId="0" applyFont="1" applyFill="1" applyBorder="1"/>
    <xf numFmtId="0" fontId="6" fillId="0" borderId="14" xfId="0" applyFont="1" applyFill="1" applyBorder="1"/>
    <xf numFmtId="0" fontId="6" fillId="0" borderId="14" xfId="0" applyFont="1" applyBorder="1"/>
    <xf numFmtId="0" fontId="12" fillId="0" borderId="16" xfId="0" applyFont="1" applyBorder="1"/>
    <xf numFmtId="0" fontId="12" fillId="0" borderId="14" xfId="0" applyFont="1" applyBorder="1"/>
    <xf numFmtId="0" fontId="6" fillId="0" borderId="17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18" xfId="0" applyFont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18" xfId="0" applyFont="1" applyBorder="1"/>
    <xf numFmtId="0" fontId="6" fillId="0" borderId="19" xfId="0" applyFont="1" applyBorder="1"/>
    <xf numFmtId="0" fontId="12" fillId="0" borderId="0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 applyBorder="1" applyAlignment="1">
      <alignment horizontal="left"/>
    </xf>
    <xf numFmtId="0" fontId="6" fillId="0" borderId="2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6" fillId="2" borderId="22" xfId="0" applyFont="1" applyFill="1" applyBorder="1"/>
    <xf numFmtId="2" fontId="6" fillId="3" borderId="24" xfId="0" applyNumberFormat="1" applyFont="1" applyFill="1" applyBorder="1" applyAlignment="1"/>
    <xf numFmtId="0" fontId="6" fillId="2" borderId="17" xfId="0" applyFont="1" applyFill="1" applyBorder="1"/>
    <xf numFmtId="169" fontId="6" fillId="3" borderId="8" xfId="0" applyNumberFormat="1" applyFont="1" applyFill="1" applyBorder="1" applyAlignment="1">
      <alignment horizontal="center"/>
    </xf>
    <xf numFmtId="0" fontId="12" fillId="0" borderId="18" xfId="0" applyFont="1" applyBorder="1"/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0" fillId="0" borderId="15" xfId="0" applyBorder="1"/>
    <xf numFmtId="0" fontId="6" fillId="3" borderId="25" xfId="0" applyFont="1" applyFill="1" applyBorder="1" applyAlignment="1"/>
    <xf numFmtId="0" fontId="0" fillId="0" borderId="18" xfId="0" applyBorder="1"/>
    <xf numFmtId="0" fontId="6" fillId="3" borderId="26" xfId="0" applyFont="1" applyFill="1" applyBorder="1" applyAlignment="1"/>
    <xf numFmtId="0" fontId="6" fillId="3" borderId="27" xfId="0" applyFont="1" applyFill="1" applyBorder="1" applyAlignment="1"/>
    <xf numFmtId="0" fontId="6" fillId="3" borderId="15" xfId="0" applyFont="1" applyFill="1" applyBorder="1" applyAlignment="1"/>
    <xf numFmtId="169" fontId="6" fillId="3" borderId="24" xfId="0" applyNumberFormat="1" applyFont="1" applyFill="1" applyBorder="1" applyAlignment="1">
      <alignment horizontal="center"/>
    </xf>
    <xf numFmtId="16" fontId="6" fillId="0" borderId="4" xfId="0" applyNumberFormat="1" applyFont="1" applyFill="1" applyBorder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188" fontId="6" fillId="0" borderId="0" xfId="0" applyNumberFormat="1" applyFont="1"/>
    <xf numFmtId="0" fontId="9" fillId="0" borderId="11" xfId="0" applyNumberFormat="1" applyFont="1" applyFill="1" applyBorder="1" applyAlignment="1"/>
    <xf numFmtId="0" fontId="6" fillId="0" borderId="11" xfId="0" applyNumberFormat="1" applyFont="1" applyFill="1" applyBorder="1" applyAlignment="1"/>
    <xf numFmtId="0" fontId="6" fillId="3" borderId="31" xfId="0" applyFont="1" applyFill="1" applyBorder="1" applyAlignment="1"/>
    <xf numFmtId="0" fontId="6" fillId="3" borderId="32" xfId="0" applyFont="1" applyFill="1" applyBorder="1" applyAlignment="1"/>
    <xf numFmtId="0" fontId="6" fillId="3" borderId="24" xfId="0" applyFont="1" applyFill="1" applyBorder="1" applyAlignment="1"/>
    <xf numFmtId="0" fontId="6" fillId="3" borderId="24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6" fillId="0" borderId="35" xfId="0" applyFont="1" applyBorder="1"/>
    <xf numFmtId="0" fontId="6" fillId="0" borderId="36" xfId="0" applyFont="1" applyBorder="1"/>
    <xf numFmtId="0" fontId="0" fillId="0" borderId="5" xfId="0" applyBorder="1"/>
    <xf numFmtId="0" fontId="9" fillId="0" borderId="11" xfId="0" applyFont="1" applyBorder="1" applyAlignment="1"/>
    <xf numFmtId="0" fontId="6" fillId="0" borderId="11" xfId="0" applyFont="1" applyBorder="1" applyAlignment="1"/>
    <xf numFmtId="14" fontId="9" fillId="0" borderId="1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18181873569586168"/>
          <c:y val="3.4261295703902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9502708837702"/>
          <c:y val="0.1605998236120427"/>
          <c:w val="0.82887953037819284"/>
          <c:h val="0.61456199168875003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UNLNK!$L$5:$L$11</c:f>
              <c:numCache>
                <c:formatCode>0.00%</c:formatCode>
                <c:ptCount val="7"/>
                <c:pt idx="0">
                  <c:v>2.1960000000000004E-2</c:v>
                </c:pt>
                <c:pt idx="1">
                  <c:v>2.1570000000000002E-2</c:v>
                </c:pt>
                <c:pt idx="2">
                  <c:v>2.3259999999999999E-2</c:v>
                </c:pt>
                <c:pt idx="3">
                  <c:v>2.7540000000000002E-2</c:v>
                </c:pt>
                <c:pt idx="4">
                  <c:v>3.8170000000000003E-2</c:v>
                </c:pt>
                <c:pt idx="5">
                  <c:v>4.6210000000000008E-2</c:v>
                </c:pt>
                <c:pt idx="6">
                  <c:v>5.3579999999999996E-2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1-48DA-8D50-0EC1807DDE3B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UNLNK!$L$13:$L$19</c:f>
              <c:numCache>
                <c:formatCode>0.00%</c:formatCode>
                <c:ptCount val="7"/>
                <c:pt idx="0">
                  <c:v>2.36625E-2</c:v>
                </c:pt>
                <c:pt idx="1">
                  <c:v>2.32125E-2</c:v>
                </c:pt>
                <c:pt idx="2">
                  <c:v>2.5024999999999999E-2</c:v>
                </c:pt>
                <c:pt idx="3">
                  <c:v>3.2200000300000003E-2</c:v>
                </c:pt>
                <c:pt idx="4">
                  <c:v>4.5429999800000002E-2</c:v>
                </c:pt>
                <c:pt idx="5">
                  <c:v>5.2960000000000007E-2</c:v>
                </c:pt>
                <c:pt idx="6">
                  <c:v>5.8779997799999997E-2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01-48DA-8D50-0EC1807D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4192"/>
        <c:axId val="1"/>
      </c:scatterChart>
      <c:valAx>
        <c:axId val="155424192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276430261518485"/>
              <c:y val="0.884369695356981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06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241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253357814199276"/>
          <c:y val="0.8886523573199695"/>
          <c:w val="0.2067742484384309"/>
          <c:h val="0.100642556130213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879472534474628"/>
          <c:y val="3.44086202162194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8441251325947"/>
          <c:y val="0.14193555839190525"/>
          <c:w val="0.73581639912533503"/>
          <c:h val="0.58064546614870327"/>
        </c:manualLayout>
      </c:layout>
      <c:lineChart>
        <c:grouping val="standard"/>
        <c:varyColors val="0"/>
        <c:ser>
          <c:idx val="0"/>
          <c:order val="0"/>
          <c:tx>
            <c:strRef>
              <c:f>UNLNK!$W$23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UNLNK!$W$25:$W$29</c:f>
              <c:numCache>
                <c:formatCode>m/d/yyyy</c:formatCode>
                <c:ptCount val="5"/>
                <c:pt idx="0">
                  <c:v>37179</c:v>
                </c:pt>
                <c:pt idx="1">
                  <c:v>37180</c:v>
                </c:pt>
                <c:pt idx="2">
                  <c:v>37181</c:v>
                </c:pt>
                <c:pt idx="3">
                  <c:v>37182</c:v>
                </c:pt>
                <c:pt idx="4">
                  <c:v>37183</c:v>
                </c:pt>
              </c:numCache>
            </c:numRef>
          </c:cat>
          <c:val>
            <c:numRef>
              <c:f>UNLNK!$X$25:$X$29</c:f>
              <c:numCache>
                <c:formatCode>"$"#,##0.00</c:formatCode>
                <c:ptCount val="5"/>
                <c:pt idx="0">
                  <c:v>33.17</c:v>
                </c:pt>
                <c:pt idx="1">
                  <c:v>33.840000000000003</c:v>
                </c:pt>
                <c:pt idx="2">
                  <c:v>32.200000000000003</c:v>
                </c:pt>
                <c:pt idx="3">
                  <c:v>29</c:v>
                </c:pt>
                <c:pt idx="4">
                  <c:v>26.05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F-4361-A9B5-C053B6381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47728"/>
        <c:axId val="1"/>
      </c:lineChart>
      <c:dateAx>
        <c:axId val="18634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695087075834963"/>
              <c:y val="0.9268822070744113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347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21269849512435485"/>
          <c:y val="3.60360855736061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58734095491574"/>
          <c:y val="0.21171200274493621"/>
          <c:w val="0.85238128269983982"/>
          <c:h val="0.5382890282557421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LNK!$L$5:$L$11</c:f>
              <c:numCache>
                <c:formatCode>0.00%</c:formatCode>
                <c:ptCount val="7"/>
                <c:pt idx="0">
                  <c:v>2.1960000000000004E-2</c:v>
                </c:pt>
                <c:pt idx="1">
                  <c:v>2.1570000000000002E-2</c:v>
                </c:pt>
                <c:pt idx="2">
                  <c:v>2.3259999999999999E-2</c:v>
                </c:pt>
                <c:pt idx="3">
                  <c:v>2.7540000000000002E-2</c:v>
                </c:pt>
                <c:pt idx="4">
                  <c:v>3.8170000000000003E-2</c:v>
                </c:pt>
                <c:pt idx="5">
                  <c:v>4.6210000000000008E-2</c:v>
                </c:pt>
                <c:pt idx="6">
                  <c:v>5.3579999999999996E-2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B-4B00-98F4-3F5AA30738F5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LNK!$L$13:$L$19</c:f>
              <c:numCache>
                <c:formatCode>0.00%</c:formatCode>
                <c:ptCount val="7"/>
                <c:pt idx="0">
                  <c:v>2.36625E-2</c:v>
                </c:pt>
                <c:pt idx="1">
                  <c:v>2.32125E-2</c:v>
                </c:pt>
                <c:pt idx="2">
                  <c:v>2.5024999999999999E-2</c:v>
                </c:pt>
                <c:pt idx="3">
                  <c:v>3.2200000300000003E-2</c:v>
                </c:pt>
                <c:pt idx="4">
                  <c:v>4.5429999800000002E-2</c:v>
                </c:pt>
                <c:pt idx="5">
                  <c:v>5.2960000000000007E-2</c:v>
                </c:pt>
                <c:pt idx="6">
                  <c:v>5.8779997799999997E-2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CB-4B00-98F4-3F5AA307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6088"/>
        <c:axId val="1"/>
      </c:scatterChart>
      <c:valAx>
        <c:axId val="186616088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714303429712089"/>
              <c:y val="0.869370564463248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160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301617257881194"/>
          <c:y val="0.86261379841819752"/>
          <c:w val="0.20000007750499038"/>
          <c:h val="0.114865022765869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7282837928943785"/>
          <c:y val="3.4325000321238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4835951131688"/>
          <c:y val="0.19679666850843239"/>
          <c:w val="0.77093325886968489"/>
          <c:h val="0.44622500417609667"/>
        </c:manualLayout>
      </c:layout>
      <c:lineChart>
        <c:grouping val="standard"/>
        <c:varyColors val="0"/>
        <c:ser>
          <c:idx val="0"/>
          <c:order val="0"/>
          <c:tx>
            <c:strRef>
              <c:f>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LNK!$W$25:$W$29</c:f>
              <c:numCache>
                <c:formatCode>m/d/yyyy</c:formatCode>
                <c:ptCount val="5"/>
                <c:pt idx="0">
                  <c:v>37182</c:v>
                </c:pt>
                <c:pt idx="1">
                  <c:v>37183</c:v>
                </c:pt>
                <c:pt idx="2">
                  <c:v>37184</c:v>
                </c:pt>
                <c:pt idx="3">
                  <c:v>37185</c:v>
                </c:pt>
                <c:pt idx="4">
                  <c:v>37186</c:v>
                </c:pt>
              </c:numCache>
            </c:numRef>
          </c:cat>
          <c:val>
            <c:numRef>
              <c:f>LNK!$X$25:$X$29</c:f>
              <c:numCache>
                <c:formatCode>"$"#,##0.00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6-45D8-9EE4-4DFABF62E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26960"/>
        <c:axId val="1"/>
      </c:lineChart>
      <c:dateAx>
        <c:axId val="18672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077481791632403"/>
              <c:y val="0.8901616749974440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7269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99060</xdr:colOff>
      <xdr:row>1</xdr:row>
      <xdr:rowOff>129540</xdr:rowOff>
    </xdr:from>
    <xdr:to>
      <xdr:col>19</xdr:col>
      <xdr:colOff>22860</xdr:colOff>
      <xdr:row>22</xdr:row>
      <xdr:rowOff>129540</xdr:rowOff>
    </xdr:to>
    <xdr:graphicFrame macro="">
      <xdr:nvGraphicFramePr>
        <xdr:cNvPr id="3122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23</xdr:row>
      <xdr:rowOff>137160</xdr:rowOff>
    </xdr:from>
    <xdr:to>
      <xdr:col>19</xdr:col>
      <xdr:colOff>22860</xdr:colOff>
      <xdr:row>44</xdr:row>
      <xdr:rowOff>160020</xdr:rowOff>
    </xdr:to>
    <xdr:graphicFrame macro="">
      <xdr:nvGraphicFramePr>
        <xdr:cNvPr id="3132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2</xdr:row>
      <xdr:rowOff>0</xdr:rowOff>
    </xdr:from>
    <xdr:to>
      <xdr:col>19</xdr:col>
      <xdr:colOff>563880</xdr:colOff>
      <xdr:row>22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274320</xdr:colOff>
          <xdr:row>0</xdr:row>
          <xdr:rowOff>68580</xdr:rowOff>
        </xdr:from>
        <xdr:to>
          <xdr:col>20</xdr:col>
          <xdr:colOff>792480</xdr:colOff>
          <xdr:row>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Pre-Saver</a:t>
              </a:r>
            </a:p>
          </xdr:txBody>
        </xdr:sp>
        <xdr:clientData fPrintsWithSheet="0"/>
      </xdr:twoCellAnchor>
    </mc:Choice>
    <mc:Fallback/>
  </mc:AlternateContent>
  <xdr:twoCellAnchor>
    <xdr:from>
      <xdr:col>13</xdr:col>
      <xdr:colOff>114300</xdr:colOff>
      <xdr:row>23</xdr:row>
      <xdr:rowOff>60960</xdr:rowOff>
    </xdr:from>
    <xdr:to>
      <xdr:col>19</xdr:col>
      <xdr:colOff>586740</xdr:colOff>
      <xdr:row>43</xdr:row>
      <xdr:rowOff>38100</xdr:rowOff>
    </xdr:to>
    <xdr:graphicFrame macro="">
      <xdr:nvGraphicFramePr>
        <xdr:cNvPr id="1052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LP" ddeTopic="M">
    <ddeItems>
      <ddeItem name="AUD Curncy,[CHG_NET_5D]" advise="1">
        <values>
          <value>
            <val>3.1000099999999998E-3</val>
          </value>
        </values>
      </ddeItem>
      <ddeItem name="AUD Curncy,[FWD_RT_1MO]" advise="1">
        <values>
          <value>
            <val>0.50800000000000001</val>
          </value>
        </values>
      </ddeItem>
      <ddeItem name="BCIY Index,[PX_CLOSE_5D]" advise="1">
        <values>
          <value>
            <val>981</val>
          </value>
        </values>
      </ddeItem>
      <ddeItem name="BCIY Index,[PX_LAST]" advise="1">
        <values>
          <value>
            <val>1040</val>
          </value>
        </values>
      </ddeItem>
      <ddeItem name="BMIY Index,[PX_CLOSE_5D]" advise="1">
        <values>
          <value>
            <val>7147</val>
          </value>
        </values>
      </ddeItem>
      <ddeItem name="BMIY Index,[PX_LAST]" advise="1">
        <values>
          <value>
            <val>7107</val>
          </value>
        </values>
      </ddeItem>
      <ddeItem name="BPIY Index,[PX_CLOSE_5D]" advise="1">
        <values>
          <value>
            <val>888</val>
          </value>
        </values>
      </ddeItem>
      <ddeItem name="BPIY Index,[PX_LAST]" advise="1">
        <values>
          <value>
            <val>888</val>
          </value>
        </values>
      </ddeItem>
      <ddeItem name="cac Index,[PX_close_5d]" advise="1">
        <values>
          <value>
            <val>4336.88</val>
          </value>
        </values>
      </ddeItem>
      <ddeItem name="cac Index,[PX_last]" advise="1">
        <values>
          <value>
            <val>4264.8900000000003</val>
          </value>
        </values>
      </ddeItem>
      <ddeItem name="'CAD Curncy,[CHG_NET_5D]'" advise="1">
        <values>
          <value>
            <val>1.140004E-2</val>
          </value>
        </values>
      </ddeItem>
      <ddeItem name="'CAD Curncy,[FWD_RT_1MO]'" advise="1">
        <values>
          <value>
            <val>1.5753622599999999</val>
          </value>
        </values>
      </ddeItem>
      <ddeItem name="'CB03 Govt,&lt;CUSIP&gt;[YLD_YTM_MID]'" advise="1">
        <values>
          <value>
            <val>2.1960000000000002</val>
          </value>
        </values>
      </ddeItem>
      <ddeItem name="'CB06 Govt,&lt;CUSIP&gt;[YLD_YTM_MID]'" advise="1">
        <values>
          <value>
            <val>2.157</val>
          </value>
        </values>
      </ddeItem>
      <ddeItem name="'CB12 Govt,&lt;CUSIP&gt;[YLD_YTM_MID]'" advise="1">
        <values>
          <value>
            <val>2.3260000000000001</val>
          </value>
        </values>
      </ddeItem>
      <ddeItem name="ccmp Index,[PX_close_5d]" advise="1">
        <values>
          <value>
            <val>1703.4</val>
          </value>
        </values>
      </ddeItem>
      <ddeItem name="ccmp Index,[PX_last]" advise="1">
        <values>
          <value>
            <val>1671.31</val>
          </value>
        </values>
      </ddeItem>
      <ddeItem name="'CHF Curncy,[CHG_NET_5D]'" advise="1">
        <values>
          <value>
            <val>1.6799990000000001E-2</val>
          </value>
        </values>
      </ddeItem>
      <ddeItem name="'CHF Curncy,[FWD_RT_1MO]'" advise="1">
        <values>
          <value>
            <val>1.6422099999999999</val>
          </value>
        </values>
      </ddeItem>
      <ddeItem name="CL1 Comdty,[PX_close_5d]" advise="1">
        <values>
          <value>
            <val>22.5</val>
          </value>
        </values>
      </ddeItem>
      <ddeItem name="CL1 Comdty,[PX_SETTLE]" advise="1">
        <values>
          <value>
            <val>21.83</val>
          </value>
        </values>
      </ddeItem>
      <ddeItem name="CO1 Comdty,[PX_close_5d]" advise="1">
        <values>
          <value>
            <val>21.73</val>
          </value>
        </values>
      </ddeItem>
      <ddeItem name="CO1 Comdty,[PX_SETTLE]" advise="1">
        <values>
          <value>
            <val>21.35</val>
          </value>
        </values>
      </ddeItem>
      <ddeItem name="COALBGSD Index,[PX_CLOSE_5D]" advise="1">
        <values>
          <value>
            <val>36</val>
          </value>
        </values>
      </ddeItem>
      <ddeItem name="COALBGSD Index,[PX_LAST]" advise="1">
        <values>
          <value>
            <val>35</val>
          </value>
        </values>
      </ddeItem>
      <ddeItem name="COALPR84 Index,[PX_CLOSE_5D]" advise="1">
        <values>
          <value>
            <val>7</val>
          </value>
        </values>
      </ddeItem>
      <ddeItem name="COALPR84 Index,[PX_LAST]" advise="1">
        <values>
          <value>
            <val>6.63</val>
          </value>
        </values>
      </ddeItem>
      <ddeItem name="COALPWDR Index,[PX_CLOSE_5D]" advise="1">
        <values>
          <value>
            <val>8.5</val>
          </value>
        </values>
      </ddeItem>
      <ddeItem name="COALPWDR Index,[PX_LAST]" advise="1">
        <values>
          <value>
            <val>8.1300000000000008</val>
          </value>
        </values>
      </ddeItem>
      <ddeItem name="'CT02 Govt,&lt;CUSIP&gt;[YLD_YTM_MID]'" advise="1">
        <values>
          <value>
            <val>2.754</val>
          </value>
        </values>
      </ddeItem>
      <ddeItem name="'CT05 Govt,&lt;CUSIP&gt;[YLD_YTM_MID]'" advise="1">
        <values>
          <value>
            <val>3.8170000000000002</val>
          </value>
        </values>
      </ddeItem>
      <ddeItem name="'CT10 Govt,&lt;CUSIP&gt;[YLD_YTM_MID]'" advise="1">
        <values>
          <value>
            <val>4.6210000000000004</val>
          </value>
        </values>
      </ddeItem>
      <ddeItem name="'CT30 Govt,&lt;CUSIP&gt;[YLD_YTM_MID]'" advise="1">
        <values>
          <value>
            <val>5.3579999999999997</val>
          </value>
        </values>
      </ddeItem>
      <ddeItem name="dax Index,[PX_close_5d]" advise="1">
        <values>
          <value>
            <val>4625.13</val>
          </value>
        </values>
      </ddeItem>
      <ddeItem name="dax Index,[PX_last]" advise="1">
        <values>
          <value>
            <val>4513.53</val>
          </value>
        </values>
      </ddeItem>
      <ddeItem name="'DEM Curncy,[CHG_NET_5D]'" advise="1">
        <values>
          <value>
            <val>2.96061E-2</val>
          </value>
        </values>
      </ddeItem>
      <ddeItem name="'DEM Curncy,[FWD_RT_1MO]'" advise="1">
        <values>
          <value>
            <val>2.1782699999999999</val>
          </value>
        </values>
      </ddeItem>
      <ddeItem name="ELEANOX4 Index,[PX_CLOSE_5D]" advise="1">
        <values>
          <value>
            <val>917</val>
          </value>
        </values>
      </ddeItem>
      <ddeItem name="ELEANOX4 Index,[PX_LAST]" advise="1">
        <values>
          <value>
            <val>900</val>
          </value>
        </values>
      </ddeItem>
      <ddeItem name="ELEASO21 Index,[PX_CLOSE_5D]" advise="1">
        <values>
          <value>
            <val>206.25</val>
          </value>
        </values>
      </ddeItem>
      <ddeItem name="ELEASO21 Index,[PX_LAST]" advise="1">
        <values>
          <value>
            <val>199</val>
          </value>
        </values>
      </ddeItem>
      <ddeItem name="'ENE US Equity,[PX_CLOSE_5D]'" advise="1">
        <values>
          <value>
            <val>35.81</val>
          </value>
        </values>
      </ddeItem>
      <ddeItem name="'ENE US Equity,[PX_LAST]'" advise="1">
        <values>
          <value>
            <val>26.05</val>
          </value>
        </values>
      </ddeItem>
      <ddeItem name="'EOG US Equity,[PX_CLOSE_5D]'" advise="1">
        <values>
          <value>
            <val>34.01</val>
          </value>
        </values>
      </ddeItem>
      <ddeItem name="'EOG US Equity,[PX_LAST]'" advise="1">
        <values>
          <value>
            <val>34</val>
          </value>
        </values>
      </ddeItem>
      <ddeItem name="EOT US Equity,[PX_CLOSE_5D]" advise="1">
        <values>
          <value>
            <val>21.05</val>
          </value>
        </values>
      </ddeItem>
      <ddeItem name="EOT US Equity,[PX_LAST]" advise="1">
        <values>
          <value>
            <val>21.35</val>
          </value>
        </values>
      </ddeItem>
      <ddeItem name="'EUR Curncy,[CHG_NET_5D]'" advise="1">
        <values>
          <value>
            <val>-1.259997E-2</val>
          </value>
        </values>
      </ddeItem>
      <ddeItem name="'EUR Curncy,[FWD_RT_1MO]'" advise="1">
        <values>
          <value>
            <val>0.89785000000000004</val>
          </value>
        </values>
      </ddeItem>
      <ddeItem name="'FRF Curncy,[CHG_NET_5D]'" advise="1">
        <values>
          <value>
            <val>9.9293950000000006E-2</val>
          </value>
        </values>
      </ddeItem>
      <ddeItem name="'FRF Curncy,[FWD_RT_1MO]'" advise="1">
        <values>
          <value>
            <val>7.3056000000000001</val>
          </value>
        </values>
      </ddeItem>
      <ddeItem name="'GBP Curncy,[CHG_NET_5D]'" advise="1">
        <values>
          <value>
            <val>-2.0750049999999999E-2</val>
          </value>
        </values>
      </ddeItem>
      <ddeItem name="'GBP Curncy,[FWD_RT_1MO]'" advise="1">
        <values>
          <value>
            <val>1.429705</val>
          </value>
        </values>
      </ddeItem>
      <ddeItem name="GC1 Comdty,[PX_CLOSE_5D]" advise="1">
        <values>
          <value>
            <val>284.89999999999998</val>
          </value>
        </values>
      </ddeItem>
      <ddeItem name="GC1 Comdty,[PX_SETTLE]" advise="1">
        <values>
          <value>
            <val>280.10000000000002</val>
          </value>
        </values>
      </ddeItem>
      <ddeItem name="GJGB1 Index,[PX_CLOSE_5D]" advise="1">
        <values>
          <value>
            <val>4.4999999999999998E-2</val>
          </value>
        </values>
      </ddeItem>
      <ddeItem name="GJGB1 Index,[PX_LAST]" advise="1">
        <values>
          <value>
            <val>4.3999999999999997E-2</val>
          </value>
        </values>
      </ddeItem>
      <ddeItem name="GJGB10 Index,[PX_CLOSE_5D]" advise="1">
        <values>
          <value>
            <val>1.3839999999999999</val>
          </value>
        </values>
      </ddeItem>
      <ddeItem name="GJGB10 Index,[PX_LAST]" advise="1">
        <values>
          <value>
            <val>1.3640000000000001</val>
          </value>
        </values>
      </ddeItem>
      <ddeItem name="GJGB2 Index,[PX_CLOSE_5D]" advise="1">
        <values>
          <value>
            <val>0.115</val>
          </value>
        </values>
      </ddeItem>
      <ddeItem name="GJGB2 Index,[PX_LAST]" advise="1">
        <values>
          <value>
            <val>0.11899999999999999</val>
          </value>
        </values>
      </ddeItem>
      <ddeItem name="GJGB30 Index,[PX_CLOSE_5D]" advise="1">
        <values>
          <value>
            <val>2.532</val>
          </value>
        </values>
      </ddeItem>
      <ddeItem name="GJGB30 Index,[PX_LAST]" advise="1">
        <values>
          <value>
            <val>2.5379999999999998</val>
          </value>
        </values>
      </ddeItem>
      <ddeItem name="GJGB5 Index,[PX_CLOSE_5D]" advise="1">
        <values>
          <value>
            <val>0.48899999999999999</val>
          </value>
        </values>
      </ddeItem>
      <ddeItem name="GJGB5 Index,[PX_LAST]" advise="1">
        <values>
          <value>
            <val>0.47399999999999998</val>
          </value>
        </values>
      </ddeItem>
      <ddeItem name="GJTB3MO Index,[PX_LAST]" advise="1">
        <values>
          <value>
            <val>0</val>
          </value>
        </values>
      </ddeItem>
      <ddeItem name="GJTB6MO Index,[PX_CLOSE_5D]" advise="1">
        <values>
          <value>
            <val>8.9999999999999993E-3</val>
          </value>
        </values>
      </ddeItem>
      <ddeItem name="GJTB6MO Index,[PX_LAST]" advise="1">
        <values>
          <value>
            <val>8.9999999999999993E-3</val>
          </value>
        </values>
      </ddeItem>
      <ddeItem name="HO1 Comdty,[PX_close_5d]" advise="1">
        <values>
          <value>
            <val>63.84</val>
          </value>
        </values>
      </ddeItem>
      <ddeItem name="HO1 Comdty,[PX_SETTLE]" advise="1">
        <values>
          <value>
            <val>62.63</val>
          </value>
        </values>
      </ddeItem>
      <ddeItem name="HU1 Comdty,[PX_close_5d]" advise="1">
        <values>
          <value>
            <val>60.1</val>
          </value>
        </values>
      </ddeItem>
      <ddeItem name="HU1 Comdty,[PX_SETTLE]" advise="1">
        <values>
          <value>
            <val>59.52</val>
          </value>
        </values>
      </ddeItem>
      <ddeItem name="INDU Index,[PX_close_5d]" advise="1">
        <values>
          <value>
            <val>9344.16</val>
          </value>
        </values>
      </ddeItem>
      <ddeItem name="INDU Index,[PX_last]" advise="1">
        <values>
          <value>
            <val>9204.11</val>
          </value>
        </values>
      </ddeItem>
      <ddeItem name="'JPY Curncy,[CHG_NET_5D]'" advise="1">
        <values>
          <value>
            <val>0.10500336</val>
          </value>
        </values>
      </ddeItem>
      <ddeItem name="'JPY Curncy,[FWD_RT_1MO]'" advise="1">
        <values>
          <value>
            <val>120.93256452</val>
          </value>
        </values>
      </ddeItem>
      <ddeItem name="LB1 Comdty,[PX_CLOSE_5D]" advise="1">
        <values>
          <value>
            <val>225.3</val>
          </value>
        </values>
      </ddeItem>
      <ddeItem name="LB1 Comdty,[PX_SETTLE]" advise="1">
        <values>
          <value>
            <val>219.6</val>
          </value>
        </values>
      </ddeItem>
      <ddeItem name="LMAHDS03 Comdty,[PX_CLOSE_5D]" advise="1">
        <values>
          <value>
            <val>1305.5</val>
          </value>
        </values>
      </ddeItem>
      <ddeItem name="LMAHDS03 Comdty,[PX_LAST]" advise="1">
        <values>
          <value>
            <val>1284.5</val>
          </value>
        </values>
      </ddeItem>
      <ddeItem name="LMNIDS03 Comdty,[PX_CLOSE_5D]" advise="1">
        <values>
          <value>
            <val>5420</val>
          </value>
        </values>
      </ddeItem>
      <ddeItem name="LMNIDS03 Comdty,[PX_LAST]" advise="1">
        <values>
          <value>
            <val>4590</val>
          </value>
        </values>
      </ddeItem>
      <ddeItem name="LMPBDS03 Comdty,[PX_CLOSE_5D]" advise="1">
        <values>
          <value>
            <val>485</val>
          </value>
        </values>
      </ddeItem>
      <ddeItem name="LMPBDS03 Comdty,[PX_LAST]" advise="1">
        <values>
          <value>
            <val>467</val>
          </value>
        </values>
      </ddeItem>
      <ddeItem name="MBSTUSCR Index,[PX_CLOSE_5D]" advise="1">
        <values>
          <value>
            <val>280</val>
          </value>
        </values>
      </ddeItem>
      <ddeItem name="MBSTUSCR Index,[PX_LAST]" advise="1">
        <values>
          <value>
            <val>280</val>
          </value>
        </values>
      </ddeItem>
      <ddeItem name="MBSTUSHR Index,[PX_CLOSE_5D]" advise="1">
        <values>
          <value>
            <val>215</val>
          </value>
        </values>
      </ddeItem>
      <ddeItem name="MBSTUSHR Index,[PX_LAST]" advise="1">
        <values>
          <value>
            <val>215</val>
          </value>
        </values>
      </ddeItem>
      <ddeItem name="'NBP US Equity,[PX_CLOSE_5D]'" advise="1">
        <values>
          <value>
            <val>40.090000000000003</val>
          </value>
        </values>
      </ddeItem>
      <ddeItem name="'NBP US Equity,[PX_LAST]'" advise="1">
        <values>
          <value>
            <val>41.01</val>
          </value>
        </values>
      </ddeItem>
      <ddeItem name="ndq Index,[PX_close_5d]" advise="1">
        <values>
          <value>
            <val>1393.84</val>
          </value>
        </values>
      </ddeItem>
      <ddeItem name="ndq Index,[PX_last]" advise="1">
        <values>
          <value>
            <val>1347.59</val>
          </value>
        </values>
      </ddeItem>
      <ddeItem name="NG1 Comdty,[PX_close_5d]" advise="1">
        <values>
          <value>
            <val>2.4300000000000002</val>
          </value>
        </values>
      </ddeItem>
      <ddeItem name="NG1 Comdty,[PX_SETTLE]" advise="1">
        <values>
          <value>
            <val>2.681</val>
          </value>
        </values>
      </ddeItem>
      <ddeItem name="nky Index,[PX_close_5d]" advise="1">
        <values>
          <value>
            <val>10632.35</val>
          </value>
        </values>
      </ddeItem>
      <ddeItem name="nky Index,[PX_last]" advise="1">
        <values>
          <value>
            <val>10538.79</val>
          </value>
        </values>
      </ddeItem>
      <ddeItem name="'NPW US Equity,[PX_CLOSE_5D]'" advise="1">
        <values>
          <value>
            <val>1.9</val>
          </value>
        </values>
      </ddeItem>
      <ddeItem name="'NPW US Equity,[PX_LAST]'" advise="1">
        <values>
          <value>
            <val>1.25</val>
          </value>
        </values>
      </ddeItem>
      <ddeItem name="OW1 Comdty,[PX_Close_5d]" advise="1">
        <values>
          <value>
            <val>31.5</val>
          </value>
        </values>
      </ddeItem>
      <ddeItem name="OW1 Comdty,[PX_SETTLE]" advise="1">
        <values>
          <value>
            <val>29</val>
          </value>
        </values>
      </ddeItem>
      <ddeItem name="PL1 Comdty,[PX_CLOSE_5D]" advise="1">
        <values>
          <value>
            <val>450</val>
          </value>
        </values>
      </ddeItem>
      <ddeItem name="PL1 Comdty,[PX_SETTLE]" advise="1">
        <values>
          <value>
            <val>437</val>
          </value>
        </values>
      </ddeItem>
      <ddeItem name="'PRIME Index,[PX_CLOSE_5D]'" advise="1">
        <values>
          <value>
            <val>5.5</val>
          </value>
        </values>
      </ddeItem>
      <ddeItem name="'PRIME Index,[PX_LAST]'" advise="1">
        <values>
          <value>
            <val>5.5</val>
          </value>
        </values>
      </ddeItem>
      <ddeItem name="rty Index,[PX_close_5d]" advise="1">
        <values>
          <value>
            <val>428.59</val>
          </value>
        </values>
      </ddeItem>
      <ddeItem name="rty Index,[PX_last]" advise="1">
        <values>
          <value>
            <val>425.7</val>
          </value>
        </values>
      </ddeItem>
      <ddeItem name="spx Index,[PX_close_5d]" advise="1">
        <values>
          <value>
            <val>1091.6500000000001</val>
          </value>
        </values>
      </ddeItem>
      <ddeItem name="spx Index,[PX_last]" advise="1">
        <values>
          <value>
            <val>1073.48</val>
          </value>
        </values>
      </ddeItem>
      <ddeItem name="StdDocumentName" ole="1" advise="1"/>
      <ddeItem name="TI0003M Index,[PX_CLOSE_5D]" advise="1">
        <values>
          <value>
            <val>8.1540000000000001E-2</val>
          </value>
        </values>
      </ddeItem>
      <ddeItem name="TI0003M Index,[PX_LAST]" advise="1">
        <values>
          <value>
            <val>8.1540000000000001E-2</val>
          </value>
        </values>
      </ddeItem>
      <ddeItem name="TI0006M Index,[PX_CLOSE_5D]" advise="1">
        <values>
          <value>
            <val>9.3079999999999996E-2</val>
          </value>
        </values>
      </ddeItem>
      <ddeItem name="TI0006M Index,[PX_LAST]" advise="1">
        <values>
          <value>
            <val>9.2310000000000003E-2</val>
          </value>
        </values>
      </ddeItem>
      <ddeItem name="TI0012M Index,[PX_CLOSE_5D]" advise="1">
        <values>
          <value>
            <val>9.6920000000000006E-2</val>
          </value>
        </values>
      </ddeItem>
      <ddeItem name="TI0012M Index,[PX_LAST]" advise="1">
        <values>
          <value>
            <val>9.6149999999999999E-2</val>
          </value>
        </values>
      </ddeItem>
      <ddeItem name="tmw Index,[PX_close_5d]" advise="1">
        <values>
          <value>
            <val>10049.120000000001</val>
          </value>
        </values>
      </ddeItem>
      <ddeItem name="tmw Index,[PX_last]" advise="1">
        <values>
          <value>
            <val>9894.9</val>
          </value>
        </values>
      </ddeItem>
      <ddeItem name="ts300 Index,[PX_close_5d]" advise="1">
        <values>
          <value>
            <val>7031.03</val>
          </value>
        </values>
      </ddeItem>
      <ddeItem name="ts300 Index,[PX_last]" advise="1">
        <values>
          <value>
            <val>6910.96</val>
          </value>
        </values>
      </ddeItem>
      <ddeItem name="ukx Index,[PX_close_5d]" advise="1">
        <values>
          <value>
            <val>5145.5</val>
          </value>
        </values>
      </ddeItem>
      <ddeItem name="ukx Index,[PX_last]" advise="1">
        <values>
          <value>
            <val>5017.7</val>
          </value>
        </values>
      </ddeItem>
      <ddeItem name="'US0003M Index,[PX_CLOSE_5D]'" advise="1">
        <values>
          <value>
            <val>2.4562499999999998</val>
          </value>
        </values>
      </ddeItem>
      <ddeItem name="'US0003M Index,[PX_LAST]'" advise="1">
        <values>
          <value>
            <val>2.36625</val>
          </value>
        </values>
      </ddeItem>
      <ddeItem name="'US0006M Index,[PX_CLOSE_5D]'" advise="1">
        <values>
          <value>
            <val>2.4224999999999999</val>
          </value>
        </values>
      </ddeItem>
      <ddeItem name="'US0006M Index,[PX_LAST]'" advise="1">
        <values>
          <value>
            <val>2.32125</val>
          </value>
        </values>
      </ddeItem>
      <ddeItem name="'US0012M Index,[PX_CLOSE_5D]'" advise="1">
        <values>
          <value>
            <val>2.6237499999999998</val>
          </value>
        </values>
      </ddeItem>
      <ddeItem name="'US0012M Index,[PX_LAST]'" advise="1">
        <values>
          <value>
            <val>2.5024999999999999</val>
          </value>
        </values>
      </ddeItem>
      <ddeItem name="'USSW10 Index,[PX_CLOSE_5D]'" advise="1">
        <values>
          <value>
            <val>5.3720002200000003</val>
          </value>
        </values>
      </ddeItem>
      <ddeItem name="'USSW10 Index,[PX_LAST]'" advise="1">
        <values>
          <value>
            <val>5.2960000000000003</val>
          </value>
        </values>
      </ddeItem>
      <ddeItem name="'USSW2 Index,[PX_CLOSE_5D]'" advise="1">
        <values>
          <value>
            <val>3.3499998999999998</val>
          </value>
        </values>
      </ddeItem>
      <ddeItem name="'USSW2 Index,[PX_LAST]'" advise="1">
        <values>
          <value>
            <val>3.22000003</val>
          </value>
        </values>
      </ddeItem>
      <ddeItem name="'USSW30 Index,[PX_CLOSE_5D]'" advise="1">
        <values>
          <value>
            <val>5.9390001300000002</val>
          </value>
        </values>
      </ddeItem>
      <ddeItem name="'USSW30 Index,[PX_LAST]'" advise="1">
        <values>
          <value>
            <val>5.8779997799999997</val>
          </value>
        </values>
      </ddeItem>
      <ddeItem name="'USSW5 Index,[PX_CLOSE_5D]'" advise="1">
        <values>
          <value>
            <val>4.6160001800000003</val>
          </value>
        </values>
      </ddeItem>
      <ddeItem name="'USSW5 Index,[PX_LAST]'" advise="1">
        <values>
          <value>
            <val>4.5429999800000003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definedNames>
      <definedName name="BLP" refersTo="='Main'!$A$23"/>
    </definedNames>
    <sheetDataSet>
      <sheetData sheetId="0">
        <row r="23">
          <cell r="A23" t="b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PFunctions"/>
      <sheetName val="Sheet1"/>
    </sheetNames>
    <definedNames>
      <definedName name="blpsh"/>
    </defined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LP" ddeTopic="H">
    <ddeItems>
      <ddeItem name="ENE Equity,[PX_LAST],ST=20011015 END=20011015 PD=D" advise="1">
        <values cols="2">
          <value t="str">
            <val>10/15/2001</val>
          </value>
          <value>
            <val>33.17</val>
          </value>
        </values>
      </ddeItem>
      <ddeItem name="ENE Equity,[PX_LAST],ST=20011016 END=20011016 PD=D" advise="1">
        <values cols="2">
          <value t="str">
            <val>10/16/2001</val>
          </value>
          <value>
            <val>33.840000000000003</val>
          </value>
        </values>
      </ddeItem>
      <ddeItem name="ENE Equity,[PX_LAST],ST=20011017 END=20011017 PD=D" advise="1">
        <values cols="2">
          <value t="str">
            <val>10/17/2001</val>
          </value>
          <value>
            <val>32.200000000000003</val>
          </value>
        </values>
      </ddeItem>
      <ddeItem name="ENE Equity,[PX_LAST],ST=20011018 END=20011018 PD=D" advise="1">
        <values cols="2">
          <value t="str">
            <val>10/18/2001</val>
          </value>
          <value>
            <val>29</val>
          </value>
        </values>
      </ddeItem>
      <ddeItem name="ENE Equity,[PX_LAST],ST=20011019 END=20011019 PD=D" advise="1">
        <values cols="2">
          <value t="str">
            <val>10/19/2001</val>
          </value>
          <value>
            <val>26.05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X68"/>
  <sheetViews>
    <sheetView showGridLines="0" tabSelected="1" view="pageBreakPreview" zoomScale="70" zoomScaleNormal="75" workbookViewId="0">
      <selection activeCell="K40" sqref="K40"/>
    </sheetView>
  </sheetViews>
  <sheetFormatPr defaultColWidth="9.109375" defaultRowHeight="13.2" x14ac:dyDescent="0.25"/>
  <cols>
    <col min="1" max="1" width="2.6640625" style="1" customWidth="1"/>
    <col min="2" max="2" width="37" style="1" customWidth="1"/>
    <col min="3" max="3" width="33.5546875" style="1" hidden="1" customWidth="1"/>
    <col min="4" max="5" width="15.109375" style="1" bestFit="1" customWidth="1"/>
    <col min="6" max="6" width="11" style="1" bestFit="1" customWidth="1"/>
    <col min="7" max="7" width="2.33203125" style="1" customWidth="1"/>
    <col min="8" max="8" width="9.88671875" style="1" customWidth="1"/>
    <col min="9" max="9" width="20.44140625" style="1" customWidth="1"/>
    <col min="10" max="10" width="17.109375" style="1" hidden="1" customWidth="1"/>
    <col min="11" max="12" width="15.33203125" style="1" bestFit="1" customWidth="1"/>
    <col min="13" max="13" width="13.33203125" style="1" customWidth="1"/>
    <col min="14" max="14" width="9.5546875" style="1" bestFit="1" customWidth="1"/>
    <col min="15" max="15" width="10.44140625" style="1" bestFit="1" customWidth="1"/>
    <col min="16" max="16" width="9.33203125" style="1" bestFit="1" customWidth="1"/>
    <col min="17" max="18" width="9.109375" style="1"/>
    <col min="19" max="19" width="15.88671875" style="1" customWidth="1"/>
    <col min="20" max="20" width="9.109375" style="1"/>
    <col min="21" max="21" width="12.6640625" style="1" customWidth="1"/>
    <col min="22" max="22" width="9.109375" style="1"/>
    <col min="23" max="23" width="10.6640625" style="1" bestFit="1" customWidth="1"/>
    <col min="24" max="24" width="9.33203125" style="1" bestFit="1" customWidth="1"/>
    <col min="25" max="16384" width="9.109375" style="1"/>
  </cols>
  <sheetData>
    <row r="1" spans="2:23" ht="24.6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8" thickBot="1" x14ac:dyDescent="0.3"/>
    <row r="3" spans="2:23" ht="15.6" x14ac:dyDescent="0.3">
      <c r="B3" s="4" t="s">
        <v>28</v>
      </c>
      <c r="C3" s="5"/>
      <c r="D3" s="6">
        <v>37176</v>
      </c>
      <c r="E3" s="6">
        <v>37183</v>
      </c>
      <c r="F3" s="6" t="s">
        <v>12</v>
      </c>
      <c r="G3" s="7"/>
      <c r="H3" s="5" t="s">
        <v>151</v>
      </c>
      <c r="I3" s="7"/>
      <c r="J3" s="7"/>
      <c r="K3" s="6">
        <v>37176</v>
      </c>
      <c r="L3" s="6">
        <v>37183</v>
      </c>
      <c r="M3" s="8" t="s">
        <v>16</v>
      </c>
    </row>
    <row r="4" spans="2:23" x14ac:dyDescent="0.25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5">
      <c r="B5" s="16" t="s">
        <v>0</v>
      </c>
      <c r="C5" s="17" t="s">
        <v>49</v>
      </c>
      <c r="D5" s="32">
        <v>9344.16</v>
      </c>
      <c r="E5" s="32">
        <v>9204.11</v>
      </c>
      <c r="F5" s="18">
        <v>-1.4987971096385258E-2</v>
      </c>
      <c r="G5" s="14"/>
      <c r="H5" s="19" t="s">
        <v>5</v>
      </c>
      <c r="I5" s="17"/>
      <c r="J5" s="20" t="s">
        <v>80</v>
      </c>
      <c r="K5" s="21">
        <v>2.2490000000000003E-2</v>
      </c>
      <c r="L5" s="21">
        <v>2.1960000000000004E-2</v>
      </c>
      <c r="M5" s="22">
        <v>-5.2999999999999918</v>
      </c>
    </row>
    <row r="6" spans="2:23" x14ac:dyDescent="0.25">
      <c r="B6" s="16" t="s">
        <v>1</v>
      </c>
      <c r="C6" s="17" t="s">
        <v>50</v>
      </c>
      <c r="D6" s="32">
        <v>1703.4</v>
      </c>
      <c r="E6" s="32">
        <v>1671.31</v>
      </c>
      <c r="F6" s="18">
        <v>-1.8838793002230916E-2</v>
      </c>
      <c r="G6" s="14"/>
      <c r="H6" s="19" t="s">
        <v>6</v>
      </c>
      <c r="I6" s="17"/>
      <c r="J6" s="20" t="s">
        <v>81</v>
      </c>
      <c r="K6" s="21">
        <v>2.2259999999999999E-2</v>
      </c>
      <c r="L6" s="21">
        <v>2.1570000000000002E-2</v>
      </c>
      <c r="M6" s="22">
        <v>-6.8999999999999613</v>
      </c>
      <c r="W6" s="23"/>
    </row>
    <row r="7" spans="2:23" x14ac:dyDescent="0.25">
      <c r="B7" s="16" t="s">
        <v>2</v>
      </c>
      <c r="C7" s="17" t="s">
        <v>51</v>
      </c>
      <c r="D7" s="32">
        <v>1393.84</v>
      </c>
      <c r="E7" s="32">
        <v>1347.59</v>
      </c>
      <c r="F7" s="18">
        <v>-3.3181713826551114E-2</v>
      </c>
      <c r="G7" s="14"/>
      <c r="H7" s="19" t="s">
        <v>7</v>
      </c>
      <c r="I7" s="17"/>
      <c r="J7" s="20" t="s">
        <v>82</v>
      </c>
      <c r="K7" s="21">
        <v>2.3100000000000002E-2</v>
      </c>
      <c r="L7" s="21">
        <v>2.3259999999999999E-2</v>
      </c>
      <c r="M7" s="22">
        <v>1.5999999999999694</v>
      </c>
    </row>
    <row r="8" spans="2:23" x14ac:dyDescent="0.25">
      <c r="B8" s="16" t="s">
        <v>3</v>
      </c>
      <c r="C8" s="17" t="s">
        <v>52</v>
      </c>
      <c r="D8" s="32">
        <v>1091.6500000000001</v>
      </c>
      <c r="E8" s="32">
        <v>1073.48</v>
      </c>
      <c r="F8" s="18">
        <v>-1.6644528924105777E-2</v>
      </c>
      <c r="G8" s="14"/>
      <c r="H8" s="19" t="s">
        <v>8</v>
      </c>
      <c r="I8" s="17"/>
      <c r="J8" s="20" t="s">
        <v>83</v>
      </c>
      <c r="K8" s="21">
        <v>2.7949999999999999E-2</v>
      </c>
      <c r="L8" s="21">
        <v>2.7540000000000002E-2</v>
      </c>
      <c r="M8" s="22">
        <v>-4.0999999999999721</v>
      </c>
    </row>
    <row r="9" spans="2:23" x14ac:dyDescent="0.25">
      <c r="B9" s="16" t="s">
        <v>17</v>
      </c>
      <c r="C9" s="17" t="s">
        <v>53</v>
      </c>
      <c r="D9" s="32">
        <v>428.59</v>
      </c>
      <c r="E9" s="32">
        <v>425.7</v>
      </c>
      <c r="F9" s="18">
        <v>-6.7430411348841238E-3</v>
      </c>
      <c r="G9" s="14"/>
      <c r="H9" s="19" t="s">
        <v>9</v>
      </c>
      <c r="I9" s="17"/>
      <c r="J9" s="20" t="s">
        <v>84</v>
      </c>
      <c r="K9" s="21">
        <v>3.8640000000000001E-2</v>
      </c>
      <c r="L9" s="21">
        <v>3.8170000000000003E-2</v>
      </c>
      <c r="M9" s="22">
        <v>-4.6999999999999815</v>
      </c>
    </row>
    <row r="10" spans="2:23" x14ac:dyDescent="0.25">
      <c r="B10" s="16" t="s">
        <v>33</v>
      </c>
      <c r="C10" s="17" t="s">
        <v>54</v>
      </c>
      <c r="D10" s="32">
        <v>10049.120000000001</v>
      </c>
      <c r="E10" s="32">
        <v>9894.9</v>
      </c>
      <c r="F10" s="18">
        <v>-1.5346617415256376E-2</v>
      </c>
      <c r="G10" s="14"/>
      <c r="H10" s="19" t="s">
        <v>10</v>
      </c>
      <c r="I10" s="17"/>
      <c r="J10" s="20" t="s">
        <v>85</v>
      </c>
      <c r="K10" s="21">
        <v>4.6630000000000005E-2</v>
      </c>
      <c r="L10" s="21">
        <v>4.6210000000000008E-2</v>
      </c>
      <c r="M10" s="22">
        <v>-4.1999999999999673</v>
      </c>
    </row>
    <row r="11" spans="2:23" x14ac:dyDescent="0.25">
      <c r="B11" s="16" t="s">
        <v>34</v>
      </c>
      <c r="C11" s="17" t="s">
        <v>55</v>
      </c>
      <c r="D11" s="32">
        <v>7031.03</v>
      </c>
      <c r="E11" s="32">
        <v>6910.96</v>
      </c>
      <c r="F11" s="18">
        <v>-1.7077156547475932E-2</v>
      </c>
      <c r="G11" s="14"/>
      <c r="H11" s="19" t="s">
        <v>11</v>
      </c>
      <c r="I11" s="17"/>
      <c r="J11" s="20" t="s">
        <v>86</v>
      </c>
      <c r="K11" s="21">
        <v>5.425E-2</v>
      </c>
      <c r="L11" s="21">
        <v>5.3579999999999996E-2</v>
      </c>
      <c r="M11" s="22">
        <v>-6.7000000000000393</v>
      </c>
    </row>
    <row r="12" spans="2:23" x14ac:dyDescent="0.25">
      <c r="B12" s="16" t="s">
        <v>19</v>
      </c>
      <c r="C12" s="17" t="s">
        <v>56</v>
      </c>
      <c r="D12" s="32">
        <v>5145.5</v>
      </c>
      <c r="E12" s="32">
        <v>5017.7</v>
      </c>
      <c r="F12" s="18">
        <v>-2.4837236420173003E-2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5">
      <c r="B13" s="16" t="s">
        <v>20</v>
      </c>
      <c r="C13" s="17" t="s">
        <v>57</v>
      </c>
      <c r="D13" s="32">
        <v>10632.35</v>
      </c>
      <c r="E13" s="32">
        <v>10538.79</v>
      </c>
      <c r="F13" s="18">
        <v>-8.7995598339030874E-3</v>
      </c>
      <c r="G13" s="14"/>
      <c r="H13" s="19" t="s">
        <v>5</v>
      </c>
      <c r="I13" s="26"/>
      <c r="J13" s="27" t="s">
        <v>88</v>
      </c>
      <c r="K13" s="21">
        <v>2.4562499999999998E-2</v>
      </c>
      <c r="L13" s="21">
        <v>2.36625E-2</v>
      </c>
      <c r="M13" s="22">
        <v>-8.9999999999999805</v>
      </c>
    </row>
    <row r="14" spans="2:23" x14ac:dyDescent="0.25">
      <c r="B14" s="16" t="s">
        <v>21</v>
      </c>
      <c r="C14" s="17" t="s">
        <v>58</v>
      </c>
      <c r="D14" s="32">
        <v>4625.13</v>
      </c>
      <c r="E14" s="32">
        <v>4513.53</v>
      </c>
      <c r="F14" s="18">
        <v>-2.4129051507741483E-2</v>
      </c>
      <c r="G14" s="14"/>
      <c r="H14" s="19" t="s">
        <v>6</v>
      </c>
      <c r="I14" s="26"/>
      <c r="J14" s="27" t="s">
        <v>89</v>
      </c>
      <c r="K14" s="21">
        <v>2.4225E-2</v>
      </c>
      <c r="L14" s="21">
        <v>2.32125E-2</v>
      </c>
      <c r="M14" s="22">
        <v>-10.125</v>
      </c>
    </row>
    <row r="15" spans="2:23" x14ac:dyDescent="0.25">
      <c r="B15" s="16" t="s">
        <v>22</v>
      </c>
      <c r="C15" s="17" t="s">
        <v>59</v>
      </c>
      <c r="D15" s="32">
        <v>4336.88</v>
      </c>
      <c r="E15" s="32">
        <v>4264.8900000000003</v>
      </c>
      <c r="F15" s="18">
        <v>-1.6599490878234993E-2</v>
      </c>
      <c r="G15" s="14"/>
      <c r="H15" s="19" t="s">
        <v>7</v>
      </c>
      <c r="I15" s="26"/>
      <c r="J15" s="27" t="s">
        <v>103</v>
      </c>
      <c r="K15" s="21">
        <v>2.6237499999999997E-2</v>
      </c>
      <c r="L15" s="21">
        <v>2.5024999999999999E-2</v>
      </c>
      <c r="M15" s="22">
        <v>-12.125</v>
      </c>
    </row>
    <row r="16" spans="2:23" x14ac:dyDescent="0.25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v>3.3499998999999996E-2</v>
      </c>
      <c r="L16" s="21">
        <v>3.2200000300000003E-2</v>
      </c>
      <c r="M16" s="22">
        <v>-12.999986999999921</v>
      </c>
    </row>
    <row r="17" spans="1:24" x14ac:dyDescent="0.25">
      <c r="B17" s="16" t="s">
        <v>29</v>
      </c>
      <c r="C17" s="17" t="s">
        <v>60</v>
      </c>
      <c r="D17" s="32">
        <v>31.5</v>
      </c>
      <c r="E17" s="32">
        <v>29</v>
      </c>
      <c r="F17" s="30">
        <v>-7.9365079365079361E-2</v>
      </c>
      <c r="G17" s="14"/>
      <c r="H17" s="19" t="s">
        <v>9</v>
      </c>
      <c r="I17" s="26"/>
      <c r="J17" s="27" t="s">
        <v>100</v>
      </c>
      <c r="K17" s="21">
        <v>4.6160001800000003E-2</v>
      </c>
      <c r="L17" s="21">
        <v>4.5429999800000002E-2</v>
      </c>
      <c r="M17" s="22">
        <v>-7.3000200000000044</v>
      </c>
    </row>
    <row r="18" spans="1:24" x14ac:dyDescent="0.25">
      <c r="B18" s="16" t="s">
        <v>30</v>
      </c>
      <c r="C18" s="17" t="s">
        <v>61</v>
      </c>
      <c r="D18" s="32">
        <v>22.5</v>
      </c>
      <c r="E18" s="32">
        <v>21.83</v>
      </c>
      <c r="F18" s="30">
        <v>-2.9777777777777854E-2</v>
      </c>
      <c r="G18" s="14"/>
      <c r="H18" s="19" t="s">
        <v>10</v>
      </c>
      <c r="I18" s="17"/>
      <c r="J18" s="27" t="s">
        <v>101</v>
      </c>
      <c r="K18" s="21">
        <v>5.3720002200000005E-2</v>
      </c>
      <c r="L18" s="21">
        <v>5.2960000000000007E-2</v>
      </c>
      <c r="M18" s="22">
        <v>-7.6000219999999841</v>
      </c>
      <c r="W18" s="1">
        <v>0.25</v>
      </c>
    </row>
    <row r="19" spans="1:24" x14ac:dyDescent="0.25">
      <c r="B19" s="16" t="s">
        <v>41</v>
      </c>
      <c r="C19" s="17" t="s">
        <v>62</v>
      </c>
      <c r="D19" s="32">
        <v>21.73</v>
      </c>
      <c r="E19" s="32">
        <v>21.35</v>
      </c>
      <c r="F19" s="30">
        <v>-1.7487344684767557E-2</v>
      </c>
      <c r="G19" s="14"/>
      <c r="H19" s="19" t="s">
        <v>11</v>
      </c>
      <c r="I19" s="17"/>
      <c r="J19" s="27" t="s">
        <v>102</v>
      </c>
      <c r="K19" s="21">
        <v>5.9390001300000002E-2</v>
      </c>
      <c r="L19" s="21">
        <v>5.8779997799999997E-2</v>
      </c>
      <c r="M19" s="22">
        <v>-6.1000350000000454</v>
      </c>
      <c r="W19" s="1">
        <v>0.5</v>
      </c>
    </row>
    <row r="20" spans="1:24" x14ac:dyDescent="0.25">
      <c r="B20" s="16" t="s">
        <v>143</v>
      </c>
      <c r="C20" s="17" t="s">
        <v>63</v>
      </c>
      <c r="D20" s="32">
        <v>60.1</v>
      </c>
      <c r="E20" s="32">
        <v>59.52</v>
      </c>
      <c r="F20" s="30">
        <v>-9.6505823627287563E-3</v>
      </c>
      <c r="G20" s="14"/>
      <c r="M20" s="52"/>
      <c r="W20" s="1">
        <v>0.75</v>
      </c>
    </row>
    <row r="21" spans="1:24" x14ac:dyDescent="0.25">
      <c r="B21" s="16" t="s">
        <v>42</v>
      </c>
      <c r="C21" s="17" t="s">
        <v>65</v>
      </c>
      <c r="D21" s="32">
        <v>63.84</v>
      </c>
      <c r="E21" s="32">
        <v>62.63</v>
      </c>
      <c r="F21" s="30">
        <v>-1.8953634085213045E-2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5">
      <c r="B22" s="16" t="s">
        <v>48</v>
      </c>
      <c r="C22" s="74" t="s">
        <v>64</v>
      </c>
      <c r="D22" s="32">
        <v>2.4300000000000002</v>
      </c>
      <c r="E22" s="32">
        <v>2.681</v>
      </c>
      <c r="F22" s="30">
        <v>0.1032921810699588</v>
      </c>
      <c r="G22" s="14"/>
      <c r="H22" s="19" t="s">
        <v>5</v>
      </c>
      <c r="I22" s="17"/>
      <c r="J22" s="21" t="s">
        <v>113</v>
      </c>
      <c r="K22" s="21" t="s">
        <v>119</v>
      </c>
      <c r="L22" s="21">
        <v>0</v>
      </c>
      <c r="M22" s="22" t="s">
        <v>115</v>
      </c>
    </row>
    <row r="23" spans="1:24" x14ac:dyDescent="0.25">
      <c r="B23" s="16" t="s">
        <v>129</v>
      </c>
      <c r="C23" s="20" t="s">
        <v>130</v>
      </c>
      <c r="D23" s="32">
        <v>36</v>
      </c>
      <c r="E23" s="32">
        <v>35</v>
      </c>
      <c r="F23" s="30">
        <v>-2.7777777777777776E-2</v>
      </c>
      <c r="G23" s="14"/>
      <c r="H23" s="19" t="s">
        <v>6</v>
      </c>
      <c r="I23" s="17"/>
      <c r="J23" s="21" t="s">
        <v>112</v>
      </c>
      <c r="K23" s="21">
        <v>8.9999999999999992E-5</v>
      </c>
      <c r="L23" s="21">
        <v>8.9999999999999992E-5</v>
      </c>
      <c r="M23" s="22">
        <v>0</v>
      </c>
      <c r="N23" s="31">
        <v>0.25</v>
      </c>
      <c r="W23" s="1" t="s">
        <v>154</v>
      </c>
    </row>
    <row r="24" spans="1:24" x14ac:dyDescent="0.25">
      <c r="B24" s="16" t="s">
        <v>131</v>
      </c>
      <c r="C24" s="72" t="s">
        <v>133</v>
      </c>
      <c r="D24" s="32">
        <v>8.5</v>
      </c>
      <c r="E24" s="32">
        <v>8.1300000000000008</v>
      </c>
      <c r="F24" s="30">
        <v>-4.3529411764705789E-2</v>
      </c>
      <c r="G24" s="14"/>
      <c r="H24" s="19" t="s">
        <v>7</v>
      </c>
      <c r="I24" s="17"/>
      <c r="J24" s="21" t="s">
        <v>114</v>
      </c>
      <c r="K24" s="21">
        <v>4.4999999999999999E-4</v>
      </c>
      <c r="L24" s="21">
        <v>4.3999999999999996E-4</v>
      </c>
      <c r="M24" s="22">
        <v>-0.1</v>
      </c>
      <c r="N24" s="31">
        <v>0.5</v>
      </c>
    </row>
    <row r="25" spans="1:24" x14ac:dyDescent="0.25">
      <c r="B25" s="16" t="s">
        <v>132</v>
      </c>
      <c r="C25" s="72" t="s">
        <v>134</v>
      </c>
      <c r="D25" s="32">
        <v>7</v>
      </c>
      <c r="E25" s="32">
        <v>6.63</v>
      </c>
      <c r="F25" s="30">
        <v>-5.2857142857142873E-2</v>
      </c>
      <c r="G25" s="14"/>
      <c r="H25" s="19" t="s">
        <v>8</v>
      </c>
      <c r="I25" s="17"/>
      <c r="J25" s="21" t="s">
        <v>108</v>
      </c>
      <c r="K25" s="21">
        <v>1.15E-3</v>
      </c>
      <c r="L25" s="21">
        <v>1.1899999999999999E-3</v>
      </c>
      <c r="M25" s="22">
        <v>0.39999999999999886</v>
      </c>
      <c r="N25" s="31">
        <v>1</v>
      </c>
      <c r="W25" s="34">
        <v>37179</v>
      </c>
      <c r="X25" s="83">
        <v>33.17</v>
      </c>
    </row>
    <row r="26" spans="1:24" x14ac:dyDescent="0.25">
      <c r="B26" s="16" t="s">
        <v>135</v>
      </c>
      <c r="C26" s="17" t="s">
        <v>66</v>
      </c>
      <c r="D26" s="32">
        <v>206.25</v>
      </c>
      <c r="E26" s="32">
        <v>199</v>
      </c>
      <c r="F26" s="67">
        <v>-3.5151515151515149E-2</v>
      </c>
      <c r="G26" s="14"/>
      <c r="H26" s="19" t="s">
        <v>9</v>
      </c>
      <c r="I26" s="17"/>
      <c r="J26" s="21" t="s">
        <v>109</v>
      </c>
      <c r="K26" s="21">
        <v>4.8900000000000002E-3</v>
      </c>
      <c r="L26" s="21">
        <v>4.7400000000000003E-3</v>
      </c>
      <c r="M26" s="22">
        <v>-1.5</v>
      </c>
      <c r="N26" s="31">
        <v>2</v>
      </c>
      <c r="W26" s="34">
        <v>37180</v>
      </c>
      <c r="X26" s="83">
        <v>33.840000000000003</v>
      </c>
    </row>
    <row r="27" spans="1:24" x14ac:dyDescent="0.25">
      <c r="B27" s="16" t="s">
        <v>136</v>
      </c>
      <c r="C27" s="17" t="s">
        <v>67</v>
      </c>
      <c r="D27" s="32">
        <v>917</v>
      </c>
      <c r="E27" s="32">
        <v>900</v>
      </c>
      <c r="F27" s="67">
        <v>-1.8538713195201745E-2</v>
      </c>
      <c r="G27" s="14"/>
      <c r="H27" s="19" t="s">
        <v>10</v>
      </c>
      <c r="I27" s="17"/>
      <c r="J27" s="21" t="s">
        <v>110</v>
      </c>
      <c r="K27" s="21">
        <v>1.384E-2</v>
      </c>
      <c r="L27" s="21">
        <v>1.3640000000000001E-2</v>
      </c>
      <c r="M27" s="22">
        <v>-1.999999999999988</v>
      </c>
      <c r="N27" s="31">
        <v>5</v>
      </c>
      <c r="W27" s="34">
        <v>37181</v>
      </c>
      <c r="X27" s="83">
        <v>32.200000000000003</v>
      </c>
    </row>
    <row r="28" spans="1:24" x14ac:dyDescent="0.25">
      <c r="B28" s="16" t="s">
        <v>158</v>
      </c>
      <c r="C28" s="17" t="s">
        <v>156</v>
      </c>
      <c r="D28" s="32">
        <v>7147</v>
      </c>
      <c r="E28" s="32">
        <v>7107</v>
      </c>
      <c r="F28" s="67">
        <v>-5.5967538827480061E-3</v>
      </c>
      <c r="G28" s="14"/>
      <c r="H28" s="19" t="s">
        <v>11</v>
      </c>
      <c r="I28" s="17"/>
      <c r="J28" s="21" t="s">
        <v>111</v>
      </c>
      <c r="K28" s="21">
        <v>2.5320000000000002E-2</v>
      </c>
      <c r="L28" s="21">
        <v>2.538E-2</v>
      </c>
      <c r="M28" s="22">
        <v>0.59999999999997555</v>
      </c>
      <c r="N28" s="31">
        <v>10</v>
      </c>
      <c r="W28" s="34">
        <v>37182</v>
      </c>
      <c r="X28" s="83">
        <v>29</v>
      </c>
    </row>
    <row r="29" spans="1:24" x14ac:dyDescent="0.25">
      <c r="B29" s="16" t="s">
        <v>159</v>
      </c>
      <c r="C29" s="17" t="s">
        <v>155</v>
      </c>
      <c r="D29" s="32">
        <v>888</v>
      </c>
      <c r="E29" s="32">
        <v>888</v>
      </c>
      <c r="F29" s="67">
        <v>0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37183</v>
      </c>
      <c r="X29" s="83">
        <v>26.05</v>
      </c>
    </row>
    <row r="30" spans="1:24" x14ac:dyDescent="0.25">
      <c r="A30" s="36"/>
      <c r="B30" s="16" t="s">
        <v>160</v>
      </c>
      <c r="C30" s="17" t="s">
        <v>157</v>
      </c>
      <c r="D30" s="32">
        <v>981</v>
      </c>
      <c r="E30" s="32">
        <v>1040</v>
      </c>
      <c r="F30" s="67">
        <v>6.0142711518858305E-2</v>
      </c>
      <c r="G30" s="14"/>
      <c r="H30" s="19" t="s">
        <v>5</v>
      </c>
      <c r="I30" s="17"/>
      <c r="J30" s="21" t="s">
        <v>116</v>
      </c>
      <c r="K30" s="21">
        <v>8.1539999999999998E-4</v>
      </c>
      <c r="L30" s="21">
        <v>8.1539999999999998E-4</v>
      </c>
      <c r="M30" s="22">
        <v>0</v>
      </c>
      <c r="O30" s="34"/>
    </row>
    <row r="31" spans="1:24" x14ac:dyDescent="0.25">
      <c r="A31" s="36"/>
      <c r="B31" s="16" t="s">
        <v>138</v>
      </c>
      <c r="C31" s="17" t="s">
        <v>68</v>
      </c>
      <c r="D31" s="32">
        <v>284.89999999999998</v>
      </c>
      <c r="E31" s="32">
        <v>280.10000000000002</v>
      </c>
      <c r="F31" s="67">
        <v>-1.6848016848016689E-2</v>
      </c>
      <c r="G31" s="14"/>
      <c r="H31" s="19" t="s">
        <v>6</v>
      </c>
      <c r="I31" s="17"/>
      <c r="J31" s="21" t="s">
        <v>117</v>
      </c>
      <c r="K31" s="21">
        <v>9.3079999999999997E-4</v>
      </c>
      <c r="L31" s="21">
        <v>9.2310000000000005E-4</v>
      </c>
      <c r="M31" s="22">
        <v>-7.6999999999999166E-2</v>
      </c>
      <c r="O31" s="34"/>
      <c r="P31" s="35"/>
    </row>
    <row r="32" spans="1:24" x14ac:dyDescent="0.25">
      <c r="A32" s="36"/>
      <c r="B32" s="16" t="s">
        <v>137</v>
      </c>
      <c r="C32" s="17" t="s">
        <v>69</v>
      </c>
      <c r="D32" s="32">
        <v>450</v>
      </c>
      <c r="E32" s="32">
        <v>437</v>
      </c>
      <c r="F32" s="67">
        <v>-2.8888888888888888E-2</v>
      </c>
      <c r="G32" s="14"/>
      <c r="H32" s="19" t="s">
        <v>7</v>
      </c>
      <c r="I32" s="17"/>
      <c r="J32" s="21" t="s">
        <v>118</v>
      </c>
      <c r="K32" s="21">
        <v>9.6920000000000003E-4</v>
      </c>
      <c r="L32" s="21">
        <v>9.6150000000000001E-4</v>
      </c>
      <c r="M32" s="22">
        <v>-7.7000000000000249E-2</v>
      </c>
      <c r="O32" s="34"/>
      <c r="P32" s="35"/>
    </row>
    <row r="33" spans="1:21" x14ac:dyDescent="0.25">
      <c r="A33" s="36"/>
      <c r="B33" s="16" t="s">
        <v>148</v>
      </c>
      <c r="C33" s="17" t="s">
        <v>139</v>
      </c>
      <c r="D33" s="32">
        <v>1305.5</v>
      </c>
      <c r="E33" s="32">
        <v>1284.5</v>
      </c>
      <c r="F33" s="67">
        <v>-1.6085790884718499E-2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5">
      <c r="A34" s="36"/>
      <c r="B34" s="16" t="s">
        <v>149</v>
      </c>
      <c r="C34" s="17" t="s">
        <v>140</v>
      </c>
      <c r="D34" s="32">
        <v>485</v>
      </c>
      <c r="E34" s="32">
        <v>467</v>
      </c>
      <c r="F34" s="67">
        <v>-3.711340206185567E-2</v>
      </c>
      <c r="G34" s="14"/>
      <c r="H34" s="20" t="s">
        <v>38</v>
      </c>
      <c r="I34" s="20"/>
      <c r="J34" s="20" t="s">
        <v>104</v>
      </c>
      <c r="K34" s="21">
        <v>5.5E-2</v>
      </c>
      <c r="L34" s="21">
        <v>5.5E-2</v>
      </c>
      <c r="M34" s="22">
        <v>0</v>
      </c>
      <c r="O34" s="34"/>
      <c r="P34" s="35"/>
    </row>
    <row r="35" spans="1:21" x14ac:dyDescent="0.25">
      <c r="A35" s="36"/>
      <c r="B35" s="16" t="s">
        <v>150</v>
      </c>
      <c r="C35" s="17" t="s">
        <v>141</v>
      </c>
      <c r="D35" s="32">
        <v>5420</v>
      </c>
      <c r="E35" s="32">
        <v>4590</v>
      </c>
      <c r="F35" s="67">
        <v>-0.15313653136531366</v>
      </c>
      <c r="G35" s="14"/>
      <c r="M35" s="52"/>
      <c r="O35" s="34"/>
      <c r="P35" s="35"/>
    </row>
    <row r="36" spans="1:21" x14ac:dyDescent="0.25">
      <c r="A36" s="36"/>
      <c r="B36" s="16" t="s">
        <v>142</v>
      </c>
      <c r="C36" s="17" t="s">
        <v>70</v>
      </c>
      <c r="D36" s="32">
        <v>225.3</v>
      </c>
      <c r="E36" s="32">
        <v>219.6</v>
      </c>
      <c r="F36" s="67">
        <v>-2.5299600532623243E-2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5">
      <c r="A37" s="36"/>
      <c r="B37" s="16" t="s">
        <v>144</v>
      </c>
      <c r="C37" s="17" t="s">
        <v>147</v>
      </c>
      <c r="D37" s="32">
        <v>215</v>
      </c>
      <c r="E37" s="32">
        <v>215</v>
      </c>
      <c r="F37" s="67">
        <v>0</v>
      </c>
      <c r="G37" s="14"/>
      <c r="H37" s="20" t="s">
        <v>44</v>
      </c>
      <c r="I37" s="20"/>
      <c r="J37" s="20" t="s">
        <v>76</v>
      </c>
      <c r="K37" s="32">
        <v>35.81</v>
      </c>
      <c r="L37" s="32">
        <v>26.05</v>
      </c>
      <c r="M37" s="33">
        <v>-0.27254956716001122</v>
      </c>
      <c r="O37" s="34"/>
      <c r="P37" s="35"/>
    </row>
    <row r="38" spans="1:21" x14ac:dyDescent="0.25">
      <c r="A38" s="36"/>
      <c r="B38" s="16" t="s">
        <v>145</v>
      </c>
      <c r="C38" s="17" t="s">
        <v>146</v>
      </c>
      <c r="D38" s="32">
        <v>280</v>
      </c>
      <c r="E38" s="32">
        <v>280</v>
      </c>
      <c r="F38" s="67">
        <v>0</v>
      </c>
      <c r="G38" s="14"/>
      <c r="H38" s="20" t="s">
        <v>45</v>
      </c>
      <c r="I38" s="20"/>
      <c r="J38" s="20" t="s">
        <v>77</v>
      </c>
      <c r="K38" s="32">
        <v>34.01</v>
      </c>
      <c r="L38" s="32">
        <v>34</v>
      </c>
      <c r="M38" s="33">
        <v>-2.9403116730367573E-4</v>
      </c>
      <c r="O38" s="34"/>
      <c r="P38" s="35"/>
    </row>
    <row r="39" spans="1:21" x14ac:dyDescent="0.25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v>1.9</v>
      </c>
      <c r="L39" s="32">
        <v>1.25</v>
      </c>
      <c r="M39" s="33">
        <v>-0.34210526315789469</v>
      </c>
    </row>
    <row r="40" spans="1:21" x14ac:dyDescent="0.25">
      <c r="A40" s="36"/>
      <c r="B40" s="16" t="s">
        <v>14</v>
      </c>
      <c r="C40" s="37" t="s">
        <v>90</v>
      </c>
      <c r="D40" s="32">
        <v>0.88525003000000002</v>
      </c>
      <c r="E40" s="32">
        <v>0.89785000000000004</v>
      </c>
      <c r="F40" s="67">
        <v>1.4233233067498473E-2</v>
      </c>
      <c r="G40" s="70"/>
      <c r="H40" s="20" t="s">
        <v>47</v>
      </c>
      <c r="I40" s="20"/>
      <c r="J40" s="20" t="s">
        <v>78</v>
      </c>
      <c r="K40" s="32">
        <v>40.090000000000003</v>
      </c>
      <c r="L40" s="32">
        <v>41.01</v>
      </c>
      <c r="M40" s="33">
        <v>2.2948366176103629E-2</v>
      </c>
    </row>
    <row r="41" spans="1:21" x14ac:dyDescent="0.25">
      <c r="A41" s="36"/>
      <c r="B41" s="16" t="s">
        <v>124</v>
      </c>
      <c r="C41" s="37" t="s">
        <v>91</v>
      </c>
      <c r="D41" s="32">
        <v>1.5867623</v>
      </c>
      <c r="E41" s="32">
        <v>1.5753622599999999</v>
      </c>
      <c r="F41" s="67">
        <v>-7.1844661295520163E-3</v>
      </c>
      <c r="G41" s="38"/>
      <c r="H41" s="20" t="s">
        <v>152</v>
      </c>
      <c r="I41" s="20"/>
      <c r="J41" s="20" t="s">
        <v>153</v>
      </c>
      <c r="K41" s="32">
        <v>21.05</v>
      </c>
      <c r="L41" s="32">
        <v>21.35</v>
      </c>
      <c r="M41" s="33">
        <v>1.4251781472684119E-2</v>
      </c>
    </row>
    <row r="42" spans="1:21" x14ac:dyDescent="0.25">
      <c r="A42" s="36"/>
      <c r="B42" s="16" t="s">
        <v>125</v>
      </c>
      <c r="C42" s="37" t="s">
        <v>92</v>
      </c>
      <c r="D42" s="32">
        <v>121.03756788</v>
      </c>
      <c r="E42" s="32">
        <v>120.93256452</v>
      </c>
      <c r="F42" s="67">
        <v>-8.6752701528256925E-4</v>
      </c>
      <c r="G42" s="38"/>
      <c r="H42" s="92"/>
      <c r="I42" s="92"/>
      <c r="J42" s="92"/>
      <c r="K42" s="92"/>
      <c r="L42" s="92"/>
      <c r="M42" s="93"/>
    </row>
    <row r="43" spans="1:21" customFormat="1" x14ac:dyDescent="0.25">
      <c r="A43" s="36"/>
      <c r="B43" s="16" t="s">
        <v>15</v>
      </c>
      <c r="C43" s="37" t="s">
        <v>93</v>
      </c>
      <c r="D43" s="32">
        <v>1.40895495</v>
      </c>
      <c r="E43" s="32">
        <v>1.429705</v>
      </c>
      <c r="F43" s="67">
        <v>1.4727262926327037E-2</v>
      </c>
      <c r="G43" s="69"/>
      <c r="H43" s="38"/>
      <c r="I43" s="38"/>
      <c r="J43" s="38"/>
      <c r="K43" s="38"/>
      <c r="L43" s="38"/>
      <c r="M43" s="52"/>
    </row>
    <row r="44" spans="1:21" customFormat="1" x14ac:dyDescent="0.25">
      <c r="A44" s="36"/>
      <c r="B44" s="16" t="s">
        <v>126</v>
      </c>
      <c r="C44" s="37" t="s">
        <v>94</v>
      </c>
      <c r="D44" s="32">
        <v>2.2078761</v>
      </c>
      <c r="E44" s="32">
        <v>2.1782699999999999</v>
      </c>
      <c r="F44" s="67">
        <v>-1.3409312234504499E-2</v>
      </c>
      <c r="G44" s="1"/>
      <c r="H44" s="69"/>
      <c r="I44" s="69"/>
      <c r="J44" s="69"/>
      <c r="K44" s="69"/>
      <c r="L44" s="69"/>
      <c r="M44" s="94"/>
    </row>
    <row r="45" spans="1:21" x14ac:dyDescent="0.25">
      <c r="B45" s="16" t="s">
        <v>127</v>
      </c>
      <c r="C45" s="37" t="s">
        <v>95</v>
      </c>
      <c r="D45" s="32">
        <v>1.6590099899999999</v>
      </c>
      <c r="E45" s="32">
        <v>1.6422099999999999</v>
      </c>
      <c r="F45" s="67">
        <v>-1.0126515271918277E-2</v>
      </c>
      <c r="H45" s="95" t="s">
        <v>31</v>
      </c>
      <c r="I45" s="96"/>
      <c r="J45" s="96"/>
      <c r="K45" s="97">
        <v>37169</v>
      </c>
      <c r="L45" s="97">
        <v>37176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5">
      <c r="B46" s="16" t="s">
        <v>128</v>
      </c>
      <c r="C46" s="37" t="s">
        <v>96</v>
      </c>
      <c r="D46" s="32">
        <v>7.4048939499999999</v>
      </c>
      <c r="E46" s="32">
        <v>7.3056000000000001</v>
      </c>
      <c r="F46" s="67">
        <v>-1.3409233227438706E-2</v>
      </c>
      <c r="G46" s="73"/>
      <c r="H46" s="79" t="s">
        <v>24</v>
      </c>
      <c r="I46" s="72"/>
      <c r="J46" s="80"/>
      <c r="K46" s="81">
        <v>537</v>
      </c>
      <c r="L46" s="81">
        <v>510</v>
      </c>
      <c r="M46" s="82">
        <v>-27</v>
      </c>
      <c r="N46" s="38"/>
      <c r="O46" s="38"/>
      <c r="P46" s="38"/>
      <c r="Q46" s="38"/>
      <c r="R46" s="38"/>
      <c r="S46" s="38"/>
      <c r="T46" s="38"/>
      <c r="U46" s="38"/>
    </row>
    <row r="47" spans="1:21" ht="13.8" thickBot="1" x14ac:dyDescent="0.3">
      <c r="B47" s="75" t="s">
        <v>122</v>
      </c>
      <c r="C47" s="76" t="s">
        <v>123</v>
      </c>
      <c r="D47" s="65">
        <v>0.51110001000000005</v>
      </c>
      <c r="E47" s="65">
        <v>0.50800000000000001</v>
      </c>
      <c r="F47" s="77">
        <v>-6.0653686936927307E-3</v>
      </c>
      <c r="G47" s="71"/>
      <c r="H47" s="86" t="s">
        <v>25</v>
      </c>
      <c r="I47" s="87"/>
      <c r="J47" s="88"/>
      <c r="K47" s="89">
        <v>902</v>
      </c>
      <c r="L47" s="89">
        <v>862</v>
      </c>
      <c r="M47" s="90">
        <v>-40</v>
      </c>
    </row>
    <row r="48" spans="1:21" ht="13.8" thickBot="1" x14ac:dyDescent="0.3"/>
    <row r="49" spans="2:19" ht="16.2" thickBot="1" x14ac:dyDescent="0.35">
      <c r="B49" s="39" t="s">
        <v>32</v>
      </c>
      <c r="C49" s="40"/>
      <c r="D49" s="66"/>
    </row>
    <row r="50" spans="2:19" ht="15.6" x14ac:dyDescent="0.3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5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5">
      <c r="B52" s="53" t="s">
        <v>177</v>
      </c>
      <c r="C52" s="36"/>
      <c r="D52" s="38"/>
      <c r="E52" s="38"/>
      <c r="F52" s="38"/>
      <c r="G52" s="54" t="s">
        <v>182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5">
      <c r="B53" s="78" t="s">
        <v>191</v>
      </c>
      <c r="C53" s="36"/>
      <c r="D53" s="38"/>
      <c r="E53" s="38"/>
      <c r="F53" s="38"/>
      <c r="G53" s="54" t="s">
        <v>183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5">
      <c r="B54" s="53" t="s">
        <v>178</v>
      </c>
      <c r="C54" s="36"/>
      <c r="D54" s="38"/>
      <c r="E54" s="38"/>
      <c r="F54" s="38"/>
      <c r="G54" s="54" t="s">
        <v>184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6" x14ac:dyDescent="0.3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5">
      <c r="B56" s="53" t="s">
        <v>179</v>
      </c>
      <c r="C56" s="38"/>
      <c r="D56" s="38"/>
      <c r="E56" s="38"/>
      <c r="F56" s="38"/>
      <c r="G56" s="51" t="s">
        <v>18</v>
      </c>
      <c r="H56" s="50"/>
      <c r="I56" s="38"/>
      <c r="J56" s="38"/>
      <c r="K56" s="38"/>
      <c r="L56" s="38"/>
      <c r="M56" s="55"/>
      <c r="N56" s="51" t="s">
        <v>18</v>
      </c>
      <c r="O56" s="38"/>
      <c r="P56" s="38"/>
      <c r="Q56" s="38"/>
      <c r="R56" s="38"/>
      <c r="S56" s="52"/>
    </row>
    <row r="57" spans="2:19" x14ac:dyDescent="0.25">
      <c r="B57" s="53" t="s">
        <v>180</v>
      </c>
      <c r="C57" s="38"/>
      <c r="D57" s="38"/>
      <c r="E57" s="38"/>
      <c r="F57" s="38"/>
      <c r="G57" s="54" t="s">
        <v>185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8" thickBot="1" x14ac:dyDescent="0.3">
      <c r="B58" s="61" t="s">
        <v>181</v>
      </c>
      <c r="C58" s="41"/>
      <c r="D58" s="41"/>
      <c r="E58" s="41"/>
      <c r="F58" s="41"/>
      <c r="G58" s="58" t="s">
        <v>186</v>
      </c>
      <c r="H58" s="41"/>
      <c r="I58" s="41"/>
      <c r="J58" s="41"/>
      <c r="K58" s="41"/>
      <c r="L58" s="41"/>
      <c r="M58" s="57"/>
      <c r="N58" s="41"/>
      <c r="O58" s="41"/>
      <c r="P58" s="41"/>
      <c r="Q58" s="41"/>
      <c r="R58" s="41"/>
      <c r="S58" s="59"/>
    </row>
    <row r="59" spans="2:19" ht="16.2" thickBot="1" x14ac:dyDescent="0.3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6" x14ac:dyDescent="0.3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5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5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5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5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6" x14ac:dyDescent="0.3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5">
      <c r="B66" s="53" t="s">
        <v>164</v>
      </c>
      <c r="C66" s="38"/>
      <c r="D66" s="38"/>
      <c r="E66" s="38"/>
      <c r="F66" s="38"/>
      <c r="G66" s="51" t="s">
        <v>18</v>
      </c>
      <c r="H66" s="50"/>
      <c r="I66" s="38"/>
      <c r="J66" s="38"/>
      <c r="K66" s="38"/>
      <c r="L66" s="38"/>
      <c r="M66" s="55"/>
      <c r="N66" s="51" t="s">
        <v>18</v>
      </c>
      <c r="O66" s="38"/>
      <c r="P66" s="38"/>
      <c r="Q66" s="38"/>
      <c r="R66" s="38"/>
      <c r="S66" s="52"/>
    </row>
    <row r="67" spans="2:19" x14ac:dyDescent="0.25">
      <c r="B67" s="53" t="s">
        <v>165</v>
      </c>
      <c r="C67" s="38"/>
      <c r="D67" s="38"/>
      <c r="E67" s="38"/>
      <c r="F67" s="38"/>
      <c r="G67" s="54" t="s">
        <v>171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8" thickBot="1" x14ac:dyDescent="0.3">
      <c r="B68" s="61" t="s">
        <v>166</v>
      </c>
      <c r="C68" s="41"/>
      <c r="D68" s="41"/>
      <c r="E68" s="41"/>
      <c r="F68" s="41"/>
      <c r="G68" s="58" t="s">
        <v>170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15" priority="1" stopIfTrue="1" operator="greaterThan">
      <formula>0.001</formula>
    </cfRule>
    <cfRule type="cellIs" dxfId="14" priority="2" stopIfTrue="1" operator="lessThan">
      <formula>-0.001</formula>
    </cfRule>
  </conditionalFormatting>
  <conditionalFormatting sqref="F16">
    <cfRule type="cellIs" dxfId="13" priority="3" stopIfTrue="1" operator="greaterThan">
      <formula>0</formula>
    </cfRule>
    <cfRule type="cellIs" dxfId="12" priority="4" stopIfTrue="1" operator="lessThan">
      <formula>0</formula>
    </cfRule>
  </conditionalFormatting>
  <conditionalFormatting sqref="F41:F48 F26:F39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M34 M12">
    <cfRule type="cellIs" dxfId="9" priority="7" stopIfTrue="1" operator="greaterThan">
      <formula>0</formula>
    </cfRule>
  </conditionalFormatting>
  <conditionalFormatting sqref="M5:M11 M13:M19 M22:M28 M30:M32">
    <cfRule type="cellIs" dxfId="8" priority="8" stopIfTrue="1" operator="lessThan">
      <formula>0</formula>
    </cfRule>
  </conditionalFormatting>
  <pageMargins left="0" right="0" top="0.5" bottom="0.5" header="0.5" footer="0.25"/>
  <pageSetup scale="58" orientation="landscape" r:id="rId1"/>
  <headerFooter alignWithMargins="0">
    <oddFooter>&amp;L&amp;F&amp;R&amp;D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68"/>
  <sheetViews>
    <sheetView showGridLines="0" view="pageBreakPreview" topLeftCell="I1" zoomScale="60" zoomScaleNormal="85" workbookViewId="0">
      <selection activeCell="B54" sqref="B54"/>
    </sheetView>
  </sheetViews>
  <sheetFormatPr defaultColWidth="9.109375" defaultRowHeight="13.2" x14ac:dyDescent="0.25"/>
  <cols>
    <col min="1" max="1" width="2.6640625" style="1" customWidth="1"/>
    <col min="2" max="2" width="37" style="1" customWidth="1"/>
    <col min="3" max="3" width="33.5546875" style="1" customWidth="1"/>
    <col min="4" max="5" width="15.109375" style="1" bestFit="1" customWidth="1"/>
    <col min="6" max="6" width="11" style="1" bestFit="1" customWidth="1"/>
    <col min="7" max="7" width="2.33203125" style="1" customWidth="1"/>
    <col min="8" max="8" width="9.88671875" style="1" customWidth="1"/>
    <col min="9" max="9" width="20.44140625" style="1" customWidth="1"/>
    <col min="10" max="10" width="17.109375" style="1" customWidth="1"/>
    <col min="11" max="12" width="15.33203125" style="1" bestFit="1" customWidth="1"/>
    <col min="13" max="13" width="13.33203125" style="1" customWidth="1"/>
    <col min="14" max="14" width="9.5546875" style="1" bestFit="1" customWidth="1"/>
    <col min="15" max="15" width="10.44140625" style="1" bestFit="1" customWidth="1"/>
    <col min="16" max="16" width="9.33203125" style="1" bestFit="1" customWidth="1"/>
    <col min="17" max="18" width="9.109375" style="1"/>
    <col min="19" max="19" width="15.88671875" style="1" customWidth="1"/>
    <col min="20" max="20" width="9.109375" style="1"/>
    <col min="21" max="21" width="12.6640625" style="1" customWidth="1"/>
    <col min="22" max="22" width="9.109375" style="1"/>
    <col min="23" max="23" width="10.6640625" style="1" bestFit="1" customWidth="1"/>
    <col min="24" max="24" width="10.109375" style="1" bestFit="1" customWidth="1"/>
    <col min="25" max="16384" width="9.109375" style="1"/>
  </cols>
  <sheetData>
    <row r="1" spans="2:23" ht="24.6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8" thickBot="1" x14ac:dyDescent="0.3"/>
    <row r="3" spans="2:23" ht="15.6" x14ac:dyDescent="0.3">
      <c r="B3" s="4" t="s">
        <v>28</v>
      </c>
      <c r="C3" s="5"/>
      <c r="D3" s="6">
        <f ca="1">E3-7</f>
        <v>37179</v>
      </c>
      <c r="E3" s="6">
        <f ca="1">TODAY()</f>
        <v>37186</v>
      </c>
      <c r="F3" s="6" t="s">
        <v>12</v>
      </c>
      <c r="G3" s="7"/>
      <c r="H3" s="5" t="s">
        <v>151</v>
      </c>
      <c r="I3" s="7"/>
      <c r="J3" s="7"/>
      <c r="K3" s="6">
        <f ca="1">D3</f>
        <v>37179</v>
      </c>
      <c r="L3" s="6">
        <f ca="1">E3</f>
        <v>37186</v>
      </c>
      <c r="M3" s="8" t="s">
        <v>16</v>
      </c>
    </row>
    <row r="4" spans="2:23" x14ac:dyDescent="0.25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5">
      <c r="B5" s="16" t="s">
        <v>0</v>
      </c>
      <c r="C5" s="17" t="s">
        <v>49</v>
      </c>
      <c r="D5" s="32">
        <f>[1]!'INDU Index,[PX_close_5d]'</f>
        <v>9344.16</v>
      </c>
      <c r="E5" s="32">
        <f>[1]!'INDU Index,[PX_last]'</f>
        <v>9204.11</v>
      </c>
      <c r="F5" s="18">
        <f t="shared" ref="F5:F15" si="0">(E5-D5)/D5</f>
        <v>-1.4987971096385258E-2</v>
      </c>
      <c r="G5" s="14"/>
      <c r="H5" s="19" t="s">
        <v>5</v>
      </c>
      <c r="I5" s="17"/>
      <c r="J5" s="20" t="s">
        <v>80</v>
      </c>
      <c r="K5" s="21">
        <v>2.2490000000000003E-2</v>
      </c>
      <c r="L5" s="21">
        <f>(1/100)*[1]!'''CB03 Govt,&lt;CUSIP&gt;[YLD_YTM_MID]'''</f>
        <v>2.1960000000000004E-2</v>
      </c>
      <c r="M5" s="22">
        <f>(L5-K5)*10000</f>
        <v>-5.2999999999999918</v>
      </c>
    </row>
    <row r="6" spans="2:23" x14ac:dyDescent="0.25">
      <c r="B6" s="16" t="s">
        <v>1</v>
      </c>
      <c r="C6" s="17" t="s">
        <v>50</v>
      </c>
      <c r="D6" s="32">
        <f>[1]!'ccmp Index,[PX_close_5d]'</f>
        <v>1703.4</v>
      </c>
      <c r="E6" s="32">
        <f>[1]!'ccmp Index,[PX_last]'</f>
        <v>1671.31</v>
      </c>
      <c r="F6" s="18">
        <f t="shared" si="0"/>
        <v>-1.8838793002230916E-2</v>
      </c>
      <c r="G6" s="14"/>
      <c r="H6" s="19" t="s">
        <v>6</v>
      </c>
      <c r="I6" s="17"/>
      <c r="J6" s="20" t="s">
        <v>81</v>
      </c>
      <c r="K6" s="21">
        <v>2.2259999999999999E-2</v>
      </c>
      <c r="L6" s="21">
        <f>(1/100)*[1]!'''CB06 Govt,&lt;CUSIP&gt;[YLD_YTM_MID]'''</f>
        <v>2.1570000000000002E-2</v>
      </c>
      <c r="M6" s="22">
        <f t="shared" ref="M6:M11" si="1">(L6-K6)*10000</f>
        <v>-6.8999999999999613</v>
      </c>
      <c r="W6" s="23"/>
    </row>
    <row r="7" spans="2:23" x14ac:dyDescent="0.25">
      <c r="B7" s="16" t="s">
        <v>2</v>
      </c>
      <c r="C7" s="17" t="s">
        <v>51</v>
      </c>
      <c r="D7" s="32">
        <f>[1]!'ndq Index,[PX_close_5d]'</f>
        <v>1393.84</v>
      </c>
      <c r="E7" s="32">
        <f>[1]!'ndq Index,[PX_last]'</f>
        <v>1347.59</v>
      </c>
      <c r="F7" s="18">
        <f t="shared" si="0"/>
        <v>-3.3181713826551114E-2</v>
      </c>
      <c r="G7" s="14"/>
      <c r="H7" s="19" t="s">
        <v>7</v>
      </c>
      <c r="I7" s="17"/>
      <c r="J7" s="20" t="s">
        <v>82</v>
      </c>
      <c r="K7" s="21">
        <v>2.3100000000000002E-2</v>
      </c>
      <c r="L7" s="21">
        <f>(1/100)*[1]!'''CB12 Govt,&lt;CUSIP&gt;[YLD_YTM_MID]'''</f>
        <v>2.3259999999999999E-2</v>
      </c>
      <c r="M7" s="22">
        <f t="shared" si="1"/>
        <v>1.5999999999999694</v>
      </c>
    </row>
    <row r="8" spans="2:23" x14ac:dyDescent="0.25">
      <c r="B8" s="16" t="s">
        <v>3</v>
      </c>
      <c r="C8" s="17" t="s">
        <v>52</v>
      </c>
      <c r="D8" s="32">
        <f>[1]!'spx Index,[PX_close_5d]'</f>
        <v>1091.6500000000001</v>
      </c>
      <c r="E8" s="32">
        <f>[1]!'spx Index,[PX_last]'</f>
        <v>1073.48</v>
      </c>
      <c r="F8" s="18">
        <f t="shared" si="0"/>
        <v>-1.6644528924105777E-2</v>
      </c>
      <c r="G8" s="14"/>
      <c r="H8" s="19" t="s">
        <v>8</v>
      </c>
      <c r="I8" s="17"/>
      <c r="J8" s="20" t="s">
        <v>83</v>
      </c>
      <c r="K8" s="21">
        <v>2.7949999999999999E-2</v>
      </c>
      <c r="L8" s="21">
        <f>(1/100)*[1]!'''CT02 Govt,&lt;CUSIP&gt;[YLD_YTM_MID]'''</f>
        <v>2.7540000000000002E-2</v>
      </c>
      <c r="M8" s="22">
        <f t="shared" si="1"/>
        <v>-4.0999999999999721</v>
      </c>
    </row>
    <row r="9" spans="2:23" x14ac:dyDescent="0.25">
      <c r="B9" s="16" t="s">
        <v>17</v>
      </c>
      <c r="C9" s="17" t="s">
        <v>53</v>
      </c>
      <c r="D9" s="32">
        <f>[1]!'rty Index,[PX_close_5d]'</f>
        <v>428.59</v>
      </c>
      <c r="E9" s="32">
        <f>[1]!'rty Index,[PX_last]'</f>
        <v>425.7</v>
      </c>
      <c r="F9" s="18">
        <f t="shared" si="0"/>
        <v>-6.7430411348841238E-3</v>
      </c>
      <c r="G9" s="14"/>
      <c r="H9" s="19" t="s">
        <v>9</v>
      </c>
      <c r="I9" s="17"/>
      <c r="J9" s="20" t="s">
        <v>84</v>
      </c>
      <c r="K9" s="21">
        <v>3.8640000000000001E-2</v>
      </c>
      <c r="L9" s="21">
        <f>(1/100)*[1]!'''CT05 Govt,&lt;CUSIP&gt;[YLD_YTM_MID]'''</f>
        <v>3.8170000000000003E-2</v>
      </c>
      <c r="M9" s="22">
        <f t="shared" si="1"/>
        <v>-4.6999999999999815</v>
      </c>
    </row>
    <row r="10" spans="2:23" x14ac:dyDescent="0.25">
      <c r="B10" s="16" t="s">
        <v>33</v>
      </c>
      <c r="C10" s="17" t="s">
        <v>54</v>
      </c>
      <c r="D10" s="32">
        <f>[1]!'tmw Index,[PX_close_5d]'</f>
        <v>10049.120000000001</v>
      </c>
      <c r="E10" s="32">
        <f>[1]!'tmw Index,[PX_last]'</f>
        <v>9894.9</v>
      </c>
      <c r="F10" s="18">
        <f t="shared" si="0"/>
        <v>-1.5346617415256376E-2</v>
      </c>
      <c r="G10" s="14"/>
      <c r="H10" s="19" t="s">
        <v>10</v>
      </c>
      <c r="I10" s="17"/>
      <c r="J10" s="20" t="s">
        <v>85</v>
      </c>
      <c r="K10" s="21">
        <v>4.6630000000000005E-2</v>
      </c>
      <c r="L10" s="21">
        <f>(1/100)*[1]!'''CT10 Govt,&lt;CUSIP&gt;[YLD_YTM_MID]'''</f>
        <v>4.6210000000000008E-2</v>
      </c>
      <c r="M10" s="22">
        <f t="shared" si="1"/>
        <v>-4.1999999999999673</v>
      </c>
    </row>
    <row r="11" spans="2:23" x14ac:dyDescent="0.25">
      <c r="B11" s="16" t="s">
        <v>34</v>
      </c>
      <c r="C11" s="17" t="s">
        <v>55</v>
      </c>
      <c r="D11" s="32">
        <f>[1]!'ts300 Index,[PX_close_5d]'</f>
        <v>7031.03</v>
      </c>
      <c r="E11" s="32">
        <f>[1]!'ts300 Index,[PX_last]'</f>
        <v>6910.96</v>
      </c>
      <c r="F11" s="18">
        <f t="shared" si="0"/>
        <v>-1.7077156547475932E-2</v>
      </c>
      <c r="G11" s="14"/>
      <c r="H11" s="19" t="s">
        <v>11</v>
      </c>
      <c r="I11" s="17"/>
      <c r="J11" s="20" t="s">
        <v>86</v>
      </c>
      <c r="K11" s="21">
        <v>5.425E-2</v>
      </c>
      <c r="L11" s="21">
        <f>(1/100)*[1]!'''CT30 Govt,&lt;CUSIP&gt;[YLD_YTM_MID]'''</f>
        <v>5.3579999999999996E-2</v>
      </c>
      <c r="M11" s="22">
        <f t="shared" si="1"/>
        <v>-6.7000000000000393</v>
      </c>
    </row>
    <row r="12" spans="2:23" x14ac:dyDescent="0.25">
      <c r="B12" s="16" t="s">
        <v>19</v>
      </c>
      <c r="C12" s="17" t="s">
        <v>56</v>
      </c>
      <c r="D12" s="32">
        <f>[1]!'ukx Index,[PX_close_5d]'</f>
        <v>5145.5</v>
      </c>
      <c r="E12" s="32">
        <f>[1]!'ukx Index,[PX_last]'</f>
        <v>5017.7</v>
      </c>
      <c r="F12" s="18">
        <f t="shared" si="0"/>
        <v>-2.4837236420173003E-2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5">
      <c r="B13" s="16" t="s">
        <v>20</v>
      </c>
      <c r="C13" s="17" t="s">
        <v>57</v>
      </c>
      <c r="D13" s="32">
        <f>[1]!'nky Index,[PX_close_5d]'</f>
        <v>10632.35</v>
      </c>
      <c r="E13" s="32">
        <f>[1]!'nky Index,[PX_last]'</f>
        <v>10538.79</v>
      </c>
      <c r="F13" s="18">
        <f t="shared" si="0"/>
        <v>-8.7995598339030874E-3</v>
      </c>
      <c r="G13" s="14"/>
      <c r="H13" s="19" t="s">
        <v>5</v>
      </c>
      <c r="I13" s="26"/>
      <c r="J13" s="27" t="s">
        <v>88</v>
      </c>
      <c r="K13" s="21">
        <f>(1/100)*[1]!'''US0003M Index,[PX_CLOSE_5D]'''</f>
        <v>2.4562499999999998E-2</v>
      </c>
      <c r="L13" s="21">
        <f>(1/100)*[1]!'''US0003M Index,[PX_LAST]'''</f>
        <v>2.36625E-2</v>
      </c>
      <c r="M13" s="22">
        <f t="shared" ref="M13:M19" si="2">(L13-K13)*10000</f>
        <v>-8.9999999999999805</v>
      </c>
    </row>
    <row r="14" spans="2:23" x14ac:dyDescent="0.25">
      <c r="B14" s="16" t="s">
        <v>21</v>
      </c>
      <c r="C14" s="17" t="s">
        <v>58</v>
      </c>
      <c r="D14" s="32">
        <f>[1]!'dax Index,[PX_close_5d]'</f>
        <v>4625.13</v>
      </c>
      <c r="E14" s="32">
        <f>[1]!'dax Index,[PX_last]'</f>
        <v>4513.53</v>
      </c>
      <c r="F14" s="18">
        <f t="shared" si="0"/>
        <v>-2.4129051507741483E-2</v>
      </c>
      <c r="G14" s="14"/>
      <c r="H14" s="19" t="s">
        <v>6</v>
      </c>
      <c r="I14" s="26"/>
      <c r="J14" s="27" t="s">
        <v>89</v>
      </c>
      <c r="K14" s="21">
        <f>(1/100)*[1]!'''US0006M Index,[PX_CLOSE_5D]'''</f>
        <v>2.4225E-2</v>
      </c>
      <c r="L14" s="21">
        <f>(1/100)*[1]!'''US0006M Index,[PX_LAST]'''</f>
        <v>2.32125E-2</v>
      </c>
      <c r="M14" s="22">
        <f t="shared" si="2"/>
        <v>-10.124999999999995</v>
      </c>
    </row>
    <row r="15" spans="2:23" x14ac:dyDescent="0.25">
      <c r="B15" s="16" t="s">
        <v>22</v>
      </c>
      <c r="C15" s="17" t="s">
        <v>59</v>
      </c>
      <c r="D15" s="32">
        <f>[1]!'cac Index,[PX_close_5d]'</f>
        <v>4336.88</v>
      </c>
      <c r="E15" s="32">
        <f>[1]!'cac Index,[PX_last]'</f>
        <v>4264.8900000000003</v>
      </c>
      <c r="F15" s="18">
        <f t="shared" si="0"/>
        <v>-1.6599490878234993E-2</v>
      </c>
      <c r="G15" s="14"/>
      <c r="H15" s="19" t="s">
        <v>7</v>
      </c>
      <c r="I15" s="26"/>
      <c r="J15" s="27" t="s">
        <v>103</v>
      </c>
      <c r="K15" s="21">
        <f>(1/100)*[1]!'''US0012M Index,[PX_CLOSE_5D]'''</f>
        <v>2.6237499999999997E-2</v>
      </c>
      <c r="L15" s="21">
        <f>(1/100)*[1]!'''US0012M Index,[PX_LAST]'''</f>
        <v>2.5024999999999999E-2</v>
      </c>
      <c r="M15" s="22">
        <f t="shared" si="2"/>
        <v>-12.124999999999982</v>
      </c>
    </row>
    <row r="16" spans="2:23" x14ac:dyDescent="0.25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f>(1/100)*[1]!'''USSW2 Index,[PX_CLOSE_5D]'''</f>
        <v>3.3499998999999996E-2</v>
      </c>
      <c r="L16" s="21">
        <f>(1/100)*[1]!'''USSW2 Index,[PX_LAST]'''</f>
        <v>3.2200000300000003E-2</v>
      </c>
      <c r="M16" s="22">
        <f t="shared" si="2"/>
        <v>-12.999986999999921</v>
      </c>
    </row>
    <row r="17" spans="1:24" x14ac:dyDescent="0.25">
      <c r="B17" s="16" t="s">
        <v>29</v>
      </c>
      <c r="C17" s="17" t="s">
        <v>60</v>
      </c>
      <c r="D17" s="32">
        <f>[1]!'OW1 Comdty,[PX_Close_5d]'</f>
        <v>31.5</v>
      </c>
      <c r="E17" s="32">
        <f>[1]!'OW1 Comdty,[PX_SETTLE]'</f>
        <v>29</v>
      </c>
      <c r="F17" s="30">
        <f t="shared" ref="F17:F25" si="3">(E17-D17)/D17</f>
        <v>-7.9365079365079361E-2</v>
      </c>
      <c r="G17" s="14"/>
      <c r="H17" s="19" t="s">
        <v>9</v>
      </c>
      <c r="I17" s="26"/>
      <c r="J17" s="27" t="s">
        <v>100</v>
      </c>
      <c r="K17" s="21">
        <f>(1/100)*[1]!'''USSW5 Index,[PX_CLOSE_5D]'''</f>
        <v>4.6160001800000003E-2</v>
      </c>
      <c r="L17" s="21">
        <f>(1/100)*[1]!'''USSW5 Index,[PX_LAST]'''</f>
        <v>4.5429999800000002E-2</v>
      </c>
      <c r="M17" s="22">
        <f t="shared" si="2"/>
        <v>-7.3000200000000044</v>
      </c>
    </row>
    <row r="18" spans="1:24" x14ac:dyDescent="0.25">
      <c r="B18" s="16" t="s">
        <v>30</v>
      </c>
      <c r="C18" s="17" t="s">
        <v>61</v>
      </c>
      <c r="D18" s="32">
        <f>[1]!'CL1 Comdty,[PX_close_5d]'</f>
        <v>22.5</v>
      </c>
      <c r="E18" s="32">
        <f>[1]!'CL1 Comdty,[PX_SETTLE]'</f>
        <v>21.83</v>
      </c>
      <c r="F18" s="30">
        <f t="shared" si="3"/>
        <v>-2.9777777777777854E-2</v>
      </c>
      <c r="G18" s="14"/>
      <c r="H18" s="19" t="s">
        <v>10</v>
      </c>
      <c r="I18" s="17"/>
      <c r="J18" s="27" t="s">
        <v>101</v>
      </c>
      <c r="K18" s="21">
        <f>(1/100)*[1]!'''USSW10 Index,[PX_CLOSE_5D]'''</f>
        <v>5.3720002200000005E-2</v>
      </c>
      <c r="L18" s="21">
        <f>(1/100)*[1]!'''USSW10 Index,[PX_LAST]'''</f>
        <v>5.2960000000000007E-2</v>
      </c>
      <c r="M18" s="22">
        <f t="shared" si="2"/>
        <v>-7.6000219999999841</v>
      </c>
      <c r="W18" s="1">
        <v>0.25</v>
      </c>
    </row>
    <row r="19" spans="1:24" x14ac:dyDescent="0.25">
      <c r="B19" s="16" t="s">
        <v>41</v>
      </c>
      <c r="C19" s="17" t="s">
        <v>62</v>
      </c>
      <c r="D19" s="32">
        <f>[1]!'CO1 Comdty,[PX_close_5d]'</f>
        <v>21.73</v>
      </c>
      <c r="E19" s="32">
        <f>[1]!'CO1 Comdty,[PX_SETTLE]'</f>
        <v>21.35</v>
      </c>
      <c r="F19" s="30">
        <f t="shared" si="3"/>
        <v>-1.7487344684767557E-2</v>
      </c>
      <c r="G19" s="14"/>
      <c r="H19" s="19" t="s">
        <v>11</v>
      </c>
      <c r="I19" s="17"/>
      <c r="J19" s="27" t="s">
        <v>102</v>
      </c>
      <c r="K19" s="21">
        <f>(1/100)*[1]!'''USSW30 Index,[PX_CLOSE_5D]'''</f>
        <v>5.9390001300000002E-2</v>
      </c>
      <c r="L19" s="21">
        <f>(1/100)*[1]!'''USSW30 Index,[PX_LAST]'''</f>
        <v>5.8779997799999997E-2</v>
      </c>
      <c r="M19" s="22">
        <f t="shared" si="2"/>
        <v>-6.1000350000000454</v>
      </c>
      <c r="W19" s="1">
        <v>0.5</v>
      </c>
    </row>
    <row r="20" spans="1:24" x14ac:dyDescent="0.25">
      <c r="B20" s="16" t="s">
        <v>143</v>
      </c>
      <c r="C20" s="17" t="s">
        <v>63</v>
      </c>
      <c r="D20" s="32">
        <f>[1]!'HU1 Comdty,[PX_close_5d]'</f>
        <v>60.1</v>
      </c>
      <c r="E20" s="32">
        <f>[1]!'HU1 Comdty,[PX_SETTLE]'</f>
        <v>59.52</v>
      </c>
      <c r="F20" s="30">
        <f t="shared" si="3"/>
        <v>-9.6505823627287563E-3</v>
      </c>
      <c r="G20" s="14"/>
      <c r="M20" s="52"/>
      <c r="W20" s="1">
        <v>0.75</v>
      </c>
    </row>
    <row r="21" spans="1:24" x14ac:dyDescent="0.25">
      <c r="B21" s="16" t="s">
        <v>42</v>
      </c>
      <c r="C21" s="17" t="s">
        <v>65</v>
      </c>
      <c r="D21" s="32">
        <f>[1]!'HO1 Comdty,[PX_close_5d]'</f>
        <v>63.84</v>
      </c>
      <c r="E21" s="32">
        <f>[1]!'HO1 Comdty,[PX_SETTLE]'</f>
        <v>62.63</v>
      </c>
      <c r="F21" s="30">
        <f t="shared" si="3"/>
        <v>-1.8953634085213045E-2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5">
      <c r="B22" s="16" t="s">
        <v>48</v>
      </c>
      <c r="C22" s="74" t="s">
        <v>64</v>
      </c>
      <c r="D22" s="32">
        <f>[1]!'NG1 Comdty,[PX_close_5d]'</f>
        <v>2.4300000000000002</v>
      </c>
      <c r="E22" s="32">
        <f>[1]!'NG1 Comdty,[PX_SETTLE]'</f>
        <v>2.681</v>
      </c>
      <c r="F22" s="30">
        <f t="shared" si="3"/>
        <v>0.1032921810699588</v>
      </c>
      <c r="G22" s="14"/>
      <c r="H22" s="19" t="s">
        <v>5</v>
      </c>
      <c r="I22" s="17"/>
      <c r="J22" s="21" t="s">
        <v>113</v>
      </c>
      <c r="K22" s="21" t="s">
        <v>119</v>
      </c>
      <c r="L22" s="21" t="e">
        <f ca="1">1/100*[2]!BLP(J22,REF!B2,,,[1]!'GJTB3MO Index,[PX_LAST]')</f>
        <v>#REF!</v>
      </c>
      <c r="M22" s="22" t="s">
        <v>115</v>
      </c>
    </row>
    <row r="23" spans="1:24" x14ac:dyDescent="0.25">
      <c r="B23" s="16" t="s">
        <v>129</v>
      </c>
      <c r="C23" s="20" t="s">
        <v>130</v>
      </c>
      <c r="D23" s="32" t="e">
        <f t="array" aca="1" ref="D23" ca="1">[2]!BLP(C23,REF!$B$3,,,[1]!'COALBGSD Index,[PX_CLOSE_5D]')</f>
        <v>#REF!</v>
      </c>
      <c r="E23" s="32" t="e">
        <f t="array" aca="1" ref="E23" ca="1">[2]!BLP(C23,REF!$B$2,,,[1]!'COALBGSD Index,[PX_LAST]')</f>
        <v>#REF!</v>
      </c>
      <c r="F23" s="30" t="e">
        <f t="shared" ca="1" si="3"/>
        <v>#REF!</v>
      </c>
      <c r="G23" s="14"/>
      <c r="H23" s="19" t="s">
        <v>6</v>
      </c>
      <c r="I23" s="17"/>
      <c r="J23" s="21" t="s">
        <v>112</v>
      </c>
      <c r="K23" s="21" t="e">
        <f t="array" aca="1" ref="K23" ca="1">1/100*[2]!BLP(J23,REF!$B$3,,,[1]!'GJTB6MO Index,[PX_CLOSE_5D]')</f>
        <v>#REF!</v>
      </c>
      <c r="L23" s="21" t="e">
        <f t="array" aca="1" ref="L23" ca="1">1/100*[2]!BLP(J23,REF!$B$2,,,[1]!'GJTB6MO Index,[PX_LAST]')</f>
        <v>#REF!</v>
      </c>
      <c r="M23" s="22" t="e">
        <f t="shared" ref="M23:M32" ca="1" si="4">(L23-K23)*10000</f>
        <v>#REF!</v>
      </c>
      <c r="N23" s="31">
        <v>0.25</v>
      </c>
      <c r="W23" s="1" t="s">
        <v>154</v>
      </c>
    </row>
    <row r="24" spans="1:24" x14ac:dyDescent="0.25">
      <c r="B24" s="16" t="s">
        <v>131</v>
      </c>
      <c r="C24" s="72" t="s">
        <v>133</v>
      </c>
      <c r="D24" s="32" t="e">
        <f t="array" aca="1" ref="D24" ca="1">[2]!BLP(C24,REF!$B$3,,,[1]!'COALPWDR Index,[PX_CLOSE_5D]')</f>
        <v>#REF!</v>
      </c>
      <c r="E24" s="32" t="e">
        <f ca="1">[2]!BLP(C24,REF!$B$2,,,[1]!'COALPWDR Index,[PX_LAST]')</f>
        <v>#REF!</v>
      </c>
      <c r="F24" s="30" t="e">
        <f t="shared" ca="1" si="3"/>
        <v>#REF!</v>
      </c>
      <c r="G24" s="14"/>
      <c r="H24" s="19" t="s">
        <v>7</v>
      </c>
      <c r="I24" s="17"/>
      <c r="J24" s="21" t="s">
        <v>114</v>
      </c>
      <c r="K24" s="21" t="e">
        <f t="array" aca="1" ref="K24" ca="1">1/100*[2]!BLP(J24,REF!$B$3,,,[1]!'GJGB1 Index,[PX_CLOSE_5D]')</f>
        <v>#REF!</v>
      </c>
      <c r="L24" s="21" t="e">
        <f t="array" aca="1" ref="L24" ca="1">1/100*[2]!BLP(J24,REF!$B$2,,,[1]!'GJGB1 Index,[PX_LAST]')</f>
        <v>#REF!</v>
      </c>
      <c r="M24" s="22" t="e">
        <f t="shared" ca="1" si="4"/>
        <v>#REF!</v>
      </c>
      <c r="N24" s="31">
        <v>0.5</v>
      </c>
    </row>
    <row r="25" spans="1:24" x14ac:dyDescent="0.25">
      <c r="B25" s="16" t="s">
        <v>132</v>
      </c>
      <c r="C25" s="72" t="s">
        <v>134</v>
      </c>
      <c r="D25" s="32" t="e">
        <f t="array" aca="1" ref="D25" ca="1">[2]!BLP(C25,REF!$B$3,,,[1]!'COALPR84 Index,[PX_CLOSE_5D]')</f>
        <v>#REF!</v>
      </c>
      <c r="E25" s="32" t="e">
        <f t="array" aca="1" ref="E25" ca="1">[2]!BLP(C25,REF!$B$2,,,[1]!'COALPR84 Index,[PX_LAST]')</f>
        <v>#REF!</v>
      </c>
      <c r="F25" s="30" t="e">
        <f t="shared" ca="1" si="3"/>
        <v>#REF!</v>
      </c>
      <c r="G25" s="14"/>
      <c r="H25" s="19" t="s">
        <v>8</v>
      </c>
      <c r="I25" s="17"/>
      <c r="J25" s="21" t="s">
        <v>108</v>
      </c>
      <c r="K25" s="21" t="e">
        <f t="array" aca="1" ref="K25" ca="1">1/100*[2]!BLP(J25,REF!$B$3,,,[1]!'GJGB2 Index,[PX_CLOSE_5D]')</f>
        <v>#REF!</v>
      </c>
      <c r="L25" s="21" t="e">
        <f t="array" aca="1" ref="L25" ca="1">1/100*[2]!BLP(J25,REF!$B$2,,,[1]!'GJGB2 Index,[PX_LAST]')</f>
        <v>#REF!</v>
      </c>
      <c r="M25" s="22" t="e">
        <f t="shared" ca="1" si="4"/>
        <v>#REF!</v>
      </c>
      <c r="N25" s="31">
        <v>1</v>
      </c>
      <c r="W25" s="34">
        <f ca="1">W26-1</f>
        <v>37182</v>
      </c>
      <c r="X25" s="83" t="e">
        <f t="array" aca="1" ref="X25" ca="1">[3]!blpsh($W$23,REF!$B$2,LNK!W25,,,[4]!'ENE Equity,[PX_LAST],ST=20011015 END=20011015 PD=D')</f>
        <v>#NAME?</v>
      </c>
    </row>
    <row r="26" spans="1:24" x14ac:dyDescent="0.25">
      <c r="B26" s="16" t="s">
        <v>135</v>
      </c>
      <c r="C26" s="17" t="s">
        <v>66</v>
      </c>
      <c r="D26" s="32">
        <f>[1]!'ELEASO21 Index,[PX_CLOSE_5D]'</f>
        <v>206.25</v>
      </c>
      <c r="E26" s="32">
        <f>[1]!'ELEASO21 Index,[PX_LAST]'</f>
        <v>199</v>
      </c>
      <c r="F26" s="67">
        <f t="shared" ref="F26:F38" si="5">(E26-D26)/D26</f>
        <v>-3.5151515151515149E-2</v>
      </c>
      <c r="G26" s="14"/>
      <c r="H26" s="19" t="s">
        <v>9</v>
      </c>
      <c r="I26" s="17"/>
      <c r="J26" s="21" t="s">
        <v>109</v>
      </c>
      <c r="K26" s="21" t="e">
        <f t="array" aca="1" ref="K26" ca="1">1/100*[2]!BLP(J26,REF!$B$3,,,[1]!'GJGB5 Index,[PX_CLOSE_5D]')</f>
        <v>#REF!</v>
      </c>
      <c r="L26" s="21" t="e">
        <f t="array" aca="1" ref="L26" ca="1">1/100*[2]!BLP(J26,REF!$B$2,,,[1]!'GJGB5 Index,[PX_LAST]')</f>
        <v>#REF!</v>
      </c>
      <c r="M26" s="22" t="e">
        <f t="shared" ca="1" si="4"/>
        <v>#REF!</v>
      </c>
      <c r="N26" s="31">
        <v>2</v>
      </c>
      <c r="W26" s="34">
        <f ca="1">W27-1</f>
        <v>37183</v>
      </c>
      <c r="X26" s="83" t="e">
        <f t="array" aca="1" ref="X26" ca="1">[3]!blpsh($W$23,REF!$B$2,LNK!W26,,,[4]!'ENE Equity,[PX_LAST],ST=20011016 END=20011016 PD=D')</f>
        <v>#NAME?</v>
      </c>
    </row>
    <row r="27" spans="1:24" x14ac:dyDescent="0.25">
      <c r="B27" s="16" t="s">
        <v>136</v>
      </c>
      <c r="C27" s="17" t="s">
        <v>67</v>
      </c>
      <c r="D27" s="32">
        <f>[1]!'ELEANOX4 Index,[PX_CLOSE_5D]'</f>
        <v>917</v>
      </c>
      <c r="E27" s="32">
        <f>[1]!'ELEANOX4 Index,[PX_LAST]'</f>
        <v>900</v>
      </c>
      <c r="F27" s="67">
        <f t="shared" si="5"/>
        <v>-1.8538713195201745E-2</v>
      </c>
      <c r="G27" s="14"/>
      <c r="H27" s="19" t="s">
        <v>10</v>
      </c>
      <c r="I27" s="17"/>
      <c r="J27" s="21" t="s">
        <v>110</v>
      </c>
      <c r="K27" s="21" t="e">
        <f t="array" aca="1" ref="K27" ca="1">1/100*[2]!BLP(J27,REF!$B$3,,,[1]!'GJGB10 Index,[PX_CLOSE_5D]')</f>
        <v>#REF!</v>
      </c>
      <c r="L27" s="21" t="e">
        <f t="array" aca="1" ref="L27" ca="1">1/100*[2]!BLP(J27,REF!$B$2,,,[1]!'GJGB10 Index,[PX_LAST]')</f>
        <v>#REF!</v>
      </c>
      <c r="M27" s="22" t="e">
        <f t="shared" ca="1" si="4"/>
        <v>#REF!</v>
      </c>
      <c r="N27" s="31">
        <v>5</v>
      </c>
      <c r="W27" s="34">
        <f ca="1">W28-1</f>
        <v>37184</v>
      </c>
      <c r="X27" s="83" t="e">
        <f t="array" aca="1" ref="X27" ca="1">[3]!blpsh($W$23,REF!$B$2,LNK!W27,,,[4]!'ENE Equity,[PX_LAST],ST=20011017 END=20011017 PD=D')</f>
        <v>#NAME?</v>
      </c>
    </row>
    <row r="28" spans="1:24" x14ac:dyDescent="0.25">
      <c r="B28" s="16" t="s">
        <v>158</v>
      </c>
      <c r="C28" s="17" t="s">
        <v>156</v>
      </c>
      <c r="D28" s="32" t="e">
        <f t="array" aca="1" ref="D28" ca="1">[2]!BLP(C28,REF!$B$3,,,[1]!'BMIY Index,[PX_CLOSE_5D]')</f>
        <v>#REF!</v>
      </c>
      <c r="E28" s="32" t="e">
        <f ca="1">[2]!BLP(C28,REF!$B$2,,,[1]!'BMIY Index,[PX_LAST]')</f>
        <v>#REF!</v>
      </c>
      <c r="F28" s="67" t="e">
        <f ca="1">(E28-D28)/D28</f>
        <v>#REF!</v>
      </c>
      <c r="G28" s="14"/>
      <c r="H28" s="19" t="s">
        <v>11</v>
      </c>
      <c r="I28" s="17"/>
      <c r="J28" s="21" t="s">
        <v>111</v>
      </c>
      <c r="K28" s="21" t="e">
        <f t="array" aca="1" ref="K28" ca="1">1/100*[2]!BLP(J28,REF!$B$3,,,[1]!'GJGB30 Index,[PX_CLOSE_5D]')</f>
        <v>#REF!</v>
      </c>
      <c r="L28" s="21" t="e">
        <f t="array" aca="1" ref="L28" ca="1">1/100*[2]!BLP(J28,REF!$B$2,,,[1]!'GJGB30 Index,[PX_LAST]')</f>
        <v>#REF!</v>
      </c>
      <c r="M28" s="22" t="e">
        <f t="shared" ca="1" si="4"/>
        <v>#REF!</v>
      </c>
      <c r="N28" s="31">
        <v>10</v>
      </c>
      <c r="W28" s="34">
        <f ca="1">W29-1</f>
        <v>37185</v>
      </c>
      <c r="X28" s="83" t="e">
        <f t="array" aca="1" ref="X28" ca="1">[3]!blpsh($W$23,REF!$B$2,LNK!W28,,,[4]!'ENE Equity,[PX_LAST],ST=20011018 END=20011018 PD=D')</f>
        <v>#NAME?</v>
      </c>
    </row>
    <row r="29" spans="1:24" x14ac:dyDescent="0.25">
      <c r="B29" s="16" t="s">
        <v>159</v>
      </c>
      <c r="C29" s="17" t="s">
        <v>155</v>
      </c>
      <c r="D29" s="32" t="e">
        <f ca="1">[2]!BLP(C29,REF!$B$3,,,[1]!'BPIY Index,[PX_CLOSE_5D]')</f>
        <v>#REF!</v>
      </c>
      <c r="E29" s="32" t="e">
        <f ca="1">[2]!BLP(C29,REF!B2,,,[1]!'BPIY Index,[PX_LAST]')</f>
        <v>#REF!</v>
      </c>
      <c r="F29" s="67" t="e">
        <f t="shared" ca="1" si="5"/>
        <v>#REF!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f ca="1">L3</f>
        <v>37186</v>
      </c>
      <c r="X29" s="83" t="e">
        <f t="array" aca="1" ref="X29" ca="1">[3]!blpsh($W$23,REF!$B$2,LNK!W29,,,[4]!'ENE Equity,[PX_LAST],ST=20011019 END=20011019 PD=D')</f>
        <v>#NAME?</v>
      </c>
    </row>
    <row r="30" spans="1:24" x14ac:dyDescent="0.25">
      <c r="A30" s="36"/>
      <c r="B30" s="16" t="s">
        <v>160</v>
      </c>
      <c r="C30" s="17" t="s">
        <v>157</v>
      </c>
      <c r="D30" s="32" t="e">
        <f ca="1">[2]!BLP(C30,REF!$B$3,,,[1]!'BCIY Index,[PX_CLOSE_5D]')</f>
        <v>#REF!</v>
      </c>
      <c r="E30" s="32" t="e">
        <f ca="1">[2]!BLP(C30,REF!$B$2,,,[1]!'BCIY Index,[PX_LAST]')</f>
        <v>#REF!</v>
      </c>
      <c r="F30" s="67" t="e">
        <f ca="1">(E30-D30)/D30</f>
        <v>#REF!</v>
      </c>
      <c r="G30" s="14"/>
      <c r="H30" s="19" t="s">
        <v>5</v>
      </c>
      <c r="I30" s="17"/>
      <c r="J30" s="21" t="s">
        <v>116</v>
      </c>
      <c r="K30" s="21" t="e">
        <f t="array" aca="1" ref="K30" ca="1">1/100*[2]!BLP(LNK!J30,REF!$B$3,,,[1]!'TI0003M Index,[PX_CLOSE_5D]')</f>
        <v>#REF!</v>
      </c>
      <c r="L30" s="21" t="e">
        <f t="array" aca="1" ref="L30" ca="1">1/100*[2]!BLP(J30,REF!$B$2,,,[1]!'TI0003M Index,[PX_LAST]')</f>
        <v>#REF!</v>
      </c>
      <c r="M30" s="22" t="e">
        <f t="shared" ca="1" si="4"/>
        <v>#REF!</v>
      </c>
      <c r="O30" s="34"/>
    </row>
    <row r="31" spans="1:24" x14ac:dyDescent="0.25">
      <c r="A31" s="36"/>
      <c r="B31" s="16" t="s">
        <v>138</v>
      </c>
      <c r="C31" s="17" t="s">
        <v>68</v>
      </c>
      <c r="D31" s="32">
        <f>[1]!'GC1 Comdty,[PX_CLOSE_5D]'</f>
        <v>284.89999999999998</v>
      </c>
      <c r="E31" s="32">
        <f>[1]!'GC1 Comdty,[PX_SETTLE]'</f>
        <v>280.10000000000002</v>
      </c>
      <c r="F31" s="67">
        <f t="shared" si="5"/>
        <v>-1.6848016848016689E-2</v>
      </c>
      <c r="G31" s="14"/>
      <c r="H31" s="19" t="s">
        <v>6</v>
      </c>
      <c r="I31" s="17"/>
      <c r="J31" s="21" t="s">
        <v>117</v>
      </c>
      <c r="K31" s="21" t="e">
        <f t="array" aca="1" ref="K31" ca="1">1/100*[2]!BLP(LNK!J31,REF!$B$3,,,[1]!'TI0006M Index,[PX_CLOSE_5D]')</f>
        <v>#REF!</v>
      </c>
      <c r="L31" s="21" t="e">
        <f t="array" aca="1" ref="L31" ca="1">1/100*[2]!BLP(J31,REF!$B$2,,,[1]!'TI0006M Index,[PX_LAST]')</f>
        <v>#REF!</v>
      </c>
      <c r="M31" s="22" t="e">
        <f t="shared" ca="1" si="4"/>
        <v>#REF!</v>
      </c>
      <c r="O31" s="34"/>
      <c r="P31" s="35"/>
    </row>
    <row r="32" spans="1:24" x14ac:dyDescent="0.25">
      <c r="A32" s="36"/>
      <c r="B32" s="16" t="s">
        <v>137</v>
      </c>
      <c r="C32" s="17" t="s">
        <v>69</v>
      </c>
      <c r="D32" s="32">
        <f>[1]!'PL1 Comdty,[PX_CLOSE_5D]'</f>
        <v>450</v>
      </c>
      <c r="E32" s="32">
        <f>[1]!'PL1 Comdty,[PX_SETTLE]'</f>
        <v>437</v>
      </c>
      <c r="F32" s="67">
        <f t="shared" si="5"/>
        <v>-2.8888888888888888E-2</v>
      </c>
      <c r="G32" s="14"/>
      <c r="H32" s="19" t="s">
        <v>7</v>
      </c>
      <c r="I32" s="17"/>
      <c r="J32" s="21" t="s">
        <v>118</v>
      </c>
      <c r="K32" s="21" t="e">
        <f t="array" aca="1" ref="K32" ca="1">1/100*[2]!BLP(LNK!J32,REF!$B$3,,,[1]!'TI0012M Index,[PX_CLOSE_5D]')</f>
        <v>#REF!</v>
      </c>
      <c r="L32" s="21" t="e">
        <f t="array" aca="1" ref="L32" ca="1">1/100*[2]!BLP(J32,REF!$B$2,,,[1]!'TI0012M Index,[PX_LAST]')</f>
        <v>#REF!</v>
      </c>
      <c r="M32" s="22" t="e">
        <f t="shared" ca="1" si="4"/>
        <v>#REF!</v>
      </c>
      <c r="O32" s="34"/>
      <c r="P32" s="35"/>
    </row>
    <row r="33" spans="1:21" x14ac:dyDescent="0.25">
      <c r="A33" s="36"/>
      <c r="B33" s="16" t="s">
        <v>148</v>
      </c>
      <c r="C33" s="17" t="s">
        <v>139</v>
      </c>
      <c r="D33" s="32" t="e">
        <f t="array" aca="1" ref="D33" ca="1">[2]!BLP(C33,REF!$B$3,,,[1]!'LMAHDS03 Comdty,[PX_CLOSE_5D]')</f>
        <v>#REF!</v>
      </c>
      <c r="E33" s="32" t="e">
        <f t="array" aca="1" ref="E33" ca="1">[2]!BLP(C33,REF!$B$2,,,[1]!'LMAHDS03 Comdty,[PX_LAST]')</f>
        <v>#REF!</v>
      </c>
      <c r="F33" s="67" t="e">
        <f t="shared" ca="1" si="5"/>
        <v>#REF!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5">
      <c r="A34" s="36"/>
      <c r="B34" s="16" t="s">
        <v>149</v>
      </c>
      <c r="C34" s="17" t="s">
        <v>140</v>
      </c>
      <c r="D34" s="32" t="e">
        <f t="array" aca="1" ref="D34" ca="1">[2]!BLP(C34,REF!$B$3,,,[1]!'LMPBDS03 Comdty,[PX_CLOSE_5D]')</f>
        <v>#REF!</v>
      </c>
      <c r="E34" s="32" t="e">
        <f t="array" aca="1" ref="E34" ca="1">[2]!BLP(C34,REF!$B$2,,,[1]!'LMPBDS03 Comdty,[PX_LAST]')</f>
        <v>#REF!</v>
      </c>
      <c r="F34" s="67" t="e">
        <f t="shared" ca="1" si="5"/>
        <v>#REF!</v>
      </c>
      <c r="G34" s="14"/>
      <c r="H34" s="20" t="s">
        <v>38</v>
      </c>
      <c r="I34" s="20"/>
      <c r="J34" s="20" t="s">
        <v>104</v>
      </c>
      <c r="K34" s="21">
        <f>(1/100)*[1]!'''PRIME Index,[PX_CLOSE_5D]'''</f>
        <v>5.5E-2</v>
      </c>
      <c r="L34" s="21">
        <f>(1/100)*[1]!'''PRIME Index,[PX_LAST]'''</f>
        <v>5.5E-2</v>
      </c>
      <c r="M34" s="22">
        <f>(L34-K34)*10000</f>
        <v>0</v>
      </c>
      <c r="O34" s="34"/>
      <c r="P34" s="35"/>
    </row>
    <row r="35" spans="1:21" x14ac:dyDescent="0.25">
      <c r="A35" s="36"/>
      <c r="B35" s="16" t="s">
        <v>150</v>
      </c>
      <c r="C35" s="17" t="s">
        <v>141</v>
      </c>
      <c r="D35" s="32" t="e">
        <f t="array" aca="1" ref="D35" ca="1">[2]!BLP(C35,REF!$B$3,,,[1]!'LMNIDS03 Comdty,[PX_CLOSE_5D]')</f>
        <v>#REF!</v>
      </c>
      <c r="E35" s="32" t="e">
        <f t="array" aca="1" ref="E35" ca="1">[2]!BLP(C35,REF!$B$2,,,[1]!'LMNIDS03 Comdty,[PX_LAST]')</f>
        <v>#REF!</v>
      </c>
      <c r="F35" s="67" t="e">
        <f t="shared" ca="1" si="5"/>
        <v>#REF!</v>
      </c>
      <c r="G35" s="14"/>
      <c r="M35" s="52"/>
      <c r="O35" s="34"/>
      <c r="P35" s="35"/>
    </row>
    <row r="36" spans="1:21" x14ac:dyDescent="0.25">
      <c r="A36" s="36"/>
      <c r="B36" s="16" t="s">
        <v>142</v>
      </c>
      <c r="C36" s="17" t="s">
        <v>70</v>
      </c>
      <c r="D36" s="32">
        <f>[1]!'LB1 Comdty,[PX_CLOSE_5D]'</f>
        <v>225.3</v>
      </c>
      <c r="E36" s="32">
        <f>[1]!'LB1 Comdty,[PX_SETTLE]'</f>
        <v>219.6</v>
      </c>
      <c r="F36" s="67">
        <f t="shared" si="5"/>
        <v>-2.5299600532623243E-2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5">
      <c r="A37" s="36"/>
      <c r="B37" s="16" t="s">
        <v>144</v>
      </c>
      <c r="C37" s="17" t="s">
        <v>147</v>
      </c>
      <c r="D37" s="32" t="e">
        <f t="array" aca="1" ref="D37" ca="1">[2]!BLP(C37,REF!$B$3,,,[1]!'MBSTUSHR Index,[PX_CLOSE_5D]')</f>
        <v>#REF!</v>
      </c>
      <c r="E37" s="32" t="e">
        <f t="array" aca="1" ref="E37" ca="1">[2]!BLP(C37,REF!$B$2,,,[1]!'MBSTUSHR Index,[PX_LAST]')</f>
        <v>#REF!</v>
      </c>
      <c r="F37" s="67" t="e">
        <f t="shared" ca="1" si="5"/>
        <v>#REF!</v>
      </c>
      <c r="G37" s="14"/>
      <c r="H37" s="20" t="s">
        <v>44</v>
      </c>
      <c r="I37" s="20"/>
      <c r="J37" s="20" t="s">
        <v>76</v>
      </c>
      <c r="K37" s="32">
        <f>[1]!'''ENE US Equity,[PX_CLOSE_5D]'''</f>
        <v>35.81</v>
      </c>
      <c r="L37" s="32">
        <f>[1]!'''ENE US Equity,[PX_LAST]'''</f>
        <v>26.05</v>
      </c>
      <c r="M37" s="33">
        <f>(L37-K37)/K37</f>
        <v>-0.27254956716001122</v>
      </c>
      <c r="O37" s="34"/>
      <c r="P37" s="35"/>
    </row>
    <row r="38" spans="1:21" x14ac:dyDescent="0.25">
      <c r="A38" s="36"/>
      <c r="B38" s="16" t="s">
        <v>145</v>
      </c>
      <c r="C38" s="17" t="s">
        <v>146</v>
      </c>
      <c r="D38" s="32" t="e">
        <f t="array" aca="1" ref="D38" ca="1">[2]!BLP(C38,REF!$B$3,,,[1]!'MBSTUSCR Index,[PX_CLOSE_5D]')</f>
        <v>#REF!</v>
      </c>
      <c r="E38" s="32" t="e">
        <f t="array" aca="1" ref="E38" ca="1">[2]!BLP(C38,REF!$B$2,,,[1]!'MBSTUSCR Index,[PX_LAST]')</f>
        <v>#REF!</v>
      </c>
      <c r="F38" s="67" t="e">
        <f t="shared" ca="1" si="5"/>
        <v>#REF!</v>
      </c>
      <c r="G38" s="14"/>
      <c r="H38" s="20" t="s">
        <v>45</v>
      </c>
      <c r="I38" s="20"/>
      <c r="J38" s="20" t="s">
        <v>77</v>
      </c>
      <c r="K38" s="32">
        <f>[1]!'''EOG US Equity,[PX_CLOSE_5D]'''</f>
        <v>34.01</v>
      </c>
      <c r="L38" s="32">
        <f>[1]!'''EOG US Equity,[PX_LAST]'''</f>
        <v>34</v>
      </c>
      <c r="M38" s="33">
        <f>(L38-K38)/K38</f>
        <v>-2.9403116730367573E-4</v>
      </c>
      <c r="O38" s="34"/>
      <c r="P38" s="35"/>
    </row>
    <row r="39" spans="1:21" x14ac:dyDescent="0.25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f>[1]!'''NPW US Equity,[PX_CLOSE_5D]'''</f>
        <v>1.9</v>
      </c>
      <c r="L39" s="32">
        <f>[1]!'''NPW US Equity,[PX_LAST]'''</f>
        <v>1.25</v>
      </c>
      <c r="M39" s="33">
        <f>(L39-K39)/K39</f>
        <v>-0.34210526315789469</v>
      </c>
    </row>
    <row r="40" spans="1:21" x14ac:dyDescent="0.25">
      <c r="A40" s="36"/>
      <c r="B40" s="16" t="s">
        <v>14</v>
      </c>
      <c r="C40" s="37" t="s">
        <v>90</v>
      </c>
      <c r="D40" s="32">
        <f>E40+[1]!'''EUR Curncy,[CHG_NET_5D]'''</f>
        <v>0.88525003000000002</v>
      </c>
      <c r="E40" s="32">
        <f>[1]!'''EUR Curncy,[FWD_RT_1MO]'''</f>
        <v>0.89785000000000004</v>
      </c>
      <c r="F40" s="67">
        <f t="shared" ref="F40:F47" si="6">(E40-D40)/D40</f>
        <v>1.4233233067498473E-2</v>
      </c>
      <c r="G40" s="70"/>
      <c r="H40" s="20" t="s">
        <v>47</v>
      </c>
      <c r="I40" s="20"/>
      <c r="J40" s="20" t="s">
        <v>78</v>
      </c>
      <c r="K40" s="32">
        <f>[1]!'''NBP US Equity,[PX_CLOSE_5D]'''</f>
        <v>40.090000000000003</v>
      </c>
      <c r="L40" s="32">
        <f>[1]!'''NBP US Equity,[PX_LAST]'''</f>
        <v>41.01</v>
      </c>
      <c r="M40" s="33">
        <f>(L40-K40)/K40</f>
        <v>2.2948366176103629E-2</v>
      </c>
    </row>
    <row r="41" spans="1:21" x14ac:dyDescent="0.25">
      <c r="A41" s="36"/>
      <c r="B41" s="16" t="s">
        <v>124</v>
      </c>
      <c r="C41" s="37" t="s">
        <v>91</v>
      </c>
      <c r="D41" s="32">
        <f>E41+[1]!'''CAD Curncy,[CHG_NET_5D]'''</f>
        <v>1.5867623</v>
      </c>
      <c r="E41" s="32">
        <f>[1]!'''CAD Curncy,[FWD_RT_1MO]'''</f>
        <v>1.5753622599999999</v>
      </c>
      <c r="F41" s="67">
        <f t="shared" si="6"/>
        <v>-7.1844661295520163E-3</v>
      </c>
      <c r="G41" s="38"/>
      <c r="H41" s="20" t="s">
        <v>152</v>
      </c>
      <c r="I41" s="20"/>
      <c r="J41" s="20" t="s">
        <v>153</v>
      </c>
      <c r="K41" s="32" t="e">
        <f t="array" aca="1" ref="K41" ca="1">[2]!BLP(J41,REF!$B$3,,,[1]!'EOT US Equity,[PX_CLOSE_5D]')</f>
        <v>#REF!</v>
      </c>
      <c r="L41" s="32" t="e">
        <f t="array" aca="1" ref="L41" ca="1">[2]!BLP(J41,REF!$B$2,,,[1]!'EOT US Equity,[PX_LAST]')</f>
        <v>#REF!</v>
      </c>
      <c r="M41" s="33" t="e">
        <f ca="1">(L41-K41)/K41</f>
        <v>#REF!</v>
      </c>
    </row>
    <row r="42" spans="1:21" x14ac:dyDescent="0.25">
      <c r="A42" s="36"/>
      <c r="B42" s="16" t="s">
        <v>125</v>
      </c>
      <c r="C42" s="37" t="s">
        <v>92</v>
      </c>
      <c r="D42" s="32">
        <f>E42+[1]!'''JPY Curncy,[CHG_NET_5D]'''</f>
        <v>121.03756788</v>
      </c>
      <c r="E42" s="32">
        <f>[1]!'''JPY Curncy,[FWD_RT_1MO]'''</f>
        <v>120.93256452</v>
      </c>
      <c r="F42" s="67">
        <f t="shared" si="6"/>
        <v>-8.6752701528256925E-4</v>
      </c>
      <c r="G42" s="38"/>
      <c r="H42" s="92"/>
      <c r="I42" s="92"/>
      <c r="J42" s="92"/>
      <c r="K42" s="92"/>
      <c r="L42" s="92"/>
      <c r="M42" s="93"/>
    </row>
    <row r="43" spans="1:21" customFormat="1" x14ac:dyDescent="0.25">
      <c r="A43" s="36"/>
      <c r="B43" s="16" t="s">
        <v>15</v>
      </c>
      <c r="C43" s="37" t="s">
        <v>93</v>
      </c>
      <c r="D43" s="32">
        <f>E43+[1]!'''GBP Curncy,[CHG_NET_5D]'''</f>
        <v>1.40895495</v>
      </c>
      <c r="E43" s="32">
        <f>[1]!'''GBP Curncy,[FWD_RT_1MO]'''</f>
        <v>1.429705</v>
      </c>
      <c r="F43" s="67">
        <f t="shared" si="6"/>
        <v>1.4727262926327037E-2</v>
      </c>
      <c r="G43" s="69"/>
      <c r="H43" s="38"/>
      <c r="I43" s="38"/>
      <c r="J43" s="38"/>
      <c r="K43" s="38"/>
      <c r="L43" s="38"/>
      <c r="M43" s="52"/>
    </row>
    <row r="44" spans="1:21" customFormat="1" x14ac:dyDescent="0.25">
      <c r="A44" s="36"/>
      <c r="B44" s="16" t="s">
        <v>126</v>
      </c>
      <c r="C44" s="37" t="s">
        <v>94</v>
      </c>
      <c r="D44" s="32">
        <f>E44+[1]!'''DEM Curncy,[CHG_NET_5D]'''</f>
        <v>2.2078761</v>
      </c>
      <c r="E44" s="32">
        <f>[1]!'''DEM Curncy,[FWD_RT_1MO]'''</f>
        <v>2.1782699999999999</v>
      </c>
      <c r="F44" s="67">
        <f t="shared" si="6"/>
        <v>-1.3409312234504499E-2</v>
      </c>
      <c r="G44" s="1"/>
      <c r="H44" s="69"/>
      <c r="I44" s="69"/>
      <c r="J44" s="69"/>
      <c r="K44" s="69"/>
      <c r="L44" s="69"/>
      <c r="M44" s="94"/>
    </row>
    <row r="45" spans="1:21" x14ac:dyDescent="0.25">
      <c r="B45" s="16" t="s">
        <v>127</v>
      </c>
      <c r="C45" s="37" t="s">
        <v>95</v>
      </c>
      <c r="D45" s="32">
        <f>E45+[1]!'''CHF Curncy,[CHG_NET_5D]'''</f>
        <v>1.6590099899999999</v>
      </c>
      <c r="E45" s="32">
        <f>[1]!'''CHF Curncy,[FWD_RT_1MO]'''</f>
        <v>1.6422099999999999</v>
      </c>
      <c r="F45" s="67">
        <f t="shared" si="6"/>
        <v>-1.0126515271918277E-2</v>
      </c>
      <c r="H45" s="95" t="s">
        <v>31</v>
      </c>
      <c r="I45" s="96"/>
      <c r="J45" s="96"/>
      <c r="K45" s="97">
        <v>37169</v>
      </c>
      <c r="L45" s="97">
        <v>37176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5">
      <c r="B46" s="16" t="s">
        <v>128</v>
      </c>
      <c r="C46" s="37" t="s">
        <v>96</v>
      </c>
      <c r="D46" s="32">
        <f>E46+[1]!'''FRF Curncy,[CHG_NET_5D]'''</f>
        <v>7.4048939499999999</v>
      </c>
      <c r="E46" s="32">
        <f>[1]!'''FRF Curncy,[FWD_RT_1MO]'''</f>
        <v>7.3056000000000001</v>
      </c>
      <c r="F46" s="67">
        <f t="shared" si="6"/>
        <v>-1.3409233227438706E-2</v>
      </c>
      <c r="G46" s="73"/>
      <c r="H46" s="79" t="s">
        <v>24</v>
      </c>
      <c r="I46" s="72"/>
      <c r="J46" s="80"/>
      <c r="K46" s="81">
        <v>537</v>
      </c>
      <c r="L46" s="81">
        <v>510</v>
      </c>
      <c r="M46" s="82">
        <f>L46-K46</f>
        <v>-27</v>
      </c>
      <c r="N46" s="38"/>
      <c r="O46" s="38"/>
      <c r="P46" s="38"/>
      <c r="Q46" s="38"/>
      <c r="R46" s="38"/>
      <c r="S46" s="38"/>
      <c r="T46" s="38"/>
      <c r="U46" s="38"/>
    </row>
    <row r="47" spans="1:21" ht="13.8" thickBot="1" x14ac:dyDescent="0.3">
      <c r="B47" s="75" t="s">
        <v>122</v>
      </c>
      <c r="C47" s="76" t="s">
        <v>123</v>
      </c>
      <c r="D47" s="65" t="e">
        <f t="array" aca="1" ref="D47" ca="1">E47+[2]!BLP(C47,REF!$B$6,,,[1]!'AUD Curncy,[CHG_NET_5D]')</f>
        <v>#REF!</v>
      </c>
      <c r="E47" s="65" t="e">
        <f t="array" aca="1" ref="E47" ca="1">[2]!BLP(C47,REF!$B$5,,,[1]!'AUD Curncy,[FWD_RT_1MO]')</f>
        <v>#REF!</v>
      </c>
      <c r="F47" s="77" t="e">
        <f t="shared" ca="1" si="6"/>
        <v>#REF!</v>
      </c>
      <c r="G47" s="71"/>
      <c r="H47" s="86" t="s">
        <v>25</v>
      </c>
      <c r="I47" s="87"/>
      <c r="J47" s="88"/>
      <c r="K47" s="89">
        <v>902</v>
      </c>
      <c r="L47" s="89">
        <v>862</v>
      </c>
      <c r="M47" s="90">
        <f>L47-K47</f>
        <v>-40</v>
      </c>
    </row>
    <row r="48" spans="1:21" ht="13.8" thickBot="1" x14ac:dyDescent="0.3"/>
    <row r="49" spans="2:19" ht="16.2" thickBot="1" x14ac:dyDescent="0.35">
      <c r="B49" s="39" t="s">
        <v>32</v>
      </c>
      <c r="C49" s="40"/>
      <c r="D49" s="66"/>
    </row>
    <row r="50" spans="2:19" ht="15.6" x14ac:dyDescent="0.3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5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5">
      <c r="B52" s="53" t="s">
        <v>177</v>
      </c>
      <c r="C52" s="36"/>
      <c r="D52" s="38"/>
      <c r="E52" s="38"/>
      <c r="F52" s="38"/>
      <c r="G52" s="54" t="s">
        <v>182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5">
      <c r="B53" s="78" t="s">
        <v>191</v>
      </c>
      <c r="C53" s="36"/>
      <c r="D53" s="38"/>
      <c r="E53" s="38"/>
      <c r="F53" s="38"/>
      <c r="G53" s="54" t="s">
        <v>183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5">
      <c r="B54" s="53" t="s">
        <v>178</v>
      </c>
      <c r="C54" s="36"/>
      <c r="D54" s="38"/>
      <c r="E54" s="38"/>
      <c r="F54" s="38"/>
      <c r="G54" s="54" t="s">
        <v>184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6" x14ac:dyDescent="0.3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5">
      <c r="B56" s="53" t="s">
        <v>179</v>
      </c>
      <c r="C56" s="38"/>
      <c r="D56" s="38"/>
      <c r="E56" s="38"/>
      <c r="F56" s="38"/>
      <c r="G56" s="51" t="str">
        <f>G51</f>
        <v>Economic Data</v>
      </c>
      <c r="H56" s="50"/>
      <c r="I56" s="38"/>
      <c r="J56" s="38"/>
      <c r="K56" s="38"/>
      <c r="L56" s="38"/>
      <c r="M56" s="55"/>
      <c r="N56" s="51" t="str">
        <f>G56</f>
        <v>Economic Data</v>
      </c>
      <c r="O56" s="38"/>
      <c r="P56" s="38"/>
      <c r="Q56" s="38"/>
      <c r="R56" s="38"/>
      <c r="S56" s="52"/>
    </row>
    <row r="57" spans="2:19" x14ac:dyDescent="0.25">
      <c r="B57" s="53" t="s">
        <v>180</v>
      </c>
      <c r="C57" s="38"/>
      <c r="D57" s="38"/>
      <c r="E57" s="38"/>
      <c r="F57" s="38"/>
      <c r="G57" s="54" t="s">
        <v>185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8" thickBot="1" x14ac:dyDescent="0.3">
      <c r="B58" s="61" t="s">
        <v>181</v>
      </c>
      <c r="C58" s="41"/>
      <c r="D58" s="41"/>
      <c r="E58" s="41"/>
      <c r="F58" s="41"/>
      <c r="G58" s="58" t="s">
        <v>186</v>
      </c>
      <c r="H58" s="41"/>
      <c r="I58" s="41"/>
      <c r="J58" s="41"/>
      <c r="K58" s="41"/>
      <c r="L58" s="41"/>
      <c r="M58" s="57"/>
      <c r="N58" s="41"/>
      <c r="O58" s="41"/>
      <c r="P58" s="41"/>
      <c r="Q58" s="41"/>
      <c r="R58" s="41"/>
      <c r="S58" s="59"/>
    </row>
    <row r="59" spans="2:19" ht="16.2" thickBot="1" x14ac:dyDescent="0.3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6" x14ac:dyDescent="0.3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5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5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5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5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6" x14ac:dyDescent="0.3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5">
      <c r="B66" s="53" t="s">
        <v>164</v>
      </c>
      <c r="C66" s="38"/>
      <c r="D66" s="38"/>
      <c r="E66" s="38"/>
      <c r="F66" s="38"/>
      <c r="G66" s="51" t="str">
        <f>G61</f>
        <v>Economic Data</v>
      </c>
      <c r="H66" s="50"/>
      <c r="I66" s="38"/>
      <c r="J66" s="38"/>
      <c r="K66" s="38"/>
      <c r="L66" s="38"/>
      <c r="M66" s="55"/>
      <c r="N66" s="51" t="str">
        <f>G66</f>
        <v>Economic Data</v>
      </c>
      <c r="O66" s="38"/>
      <c r="P66" s="38"/>
      <c r="Q66" s="38"/>
      <c r="R66" s="38"/>
      <c r="S66" s="52"/>
    </row>
    <row r="67" spans="2:19" x14ac:dyDescent="0.25">
      <c r="B67" s="53" t="s">
        <v>165</v>
      </c>
      <c r="C67" s="38"/>
      <c r="D67" s="38"/>
      <c r="E67" s="38"/>
      <c r="F67" s="38"/>
      <c r="G67" s="54" t="s">
        <v>171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8" thickBot="1" x14ac:dyDescent="0.3">
      <c r="B68" s="61" t="s">
        <v>166</v>
      </c>
      <c r="C68" s="41"/>
      <c r="D68" s="41"/>
      <c r="E68" s="41"/>
      <c r="F68" s="41"/>
      <c r="G68" s="58" t="s">
        <v>170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7" priority="1" stopIfTrue="1" operator="greaterThan">
      <formula>0.001</formula>
    </cfRule>
    <cfRule type="cellIs" dxfId="6" priority="2" stopIfTrue="1" operator="lessThan">
      <formula>-0.001</formula>
    </cfRule>
  </conditionalFormatting>
  <conditionalFormatting sqref="F16">
    <cfRule type="cellIs" dxfId="5" priority="3" stopIfTrue="1" operator="greaterThan">
      <formula>0</formula>
    </cfRule>
    <cfRule type="cellIs" dxfId="4" priority="4" stopIfTrue="1" operator="lessThan">
      <formula>0</formula>
    </cfRule>
  </conditionalFormatting>
  <conditionalFormatting sqref="M34 M12">
    <cfRule type="cellIs" dxfId="3" priority="5" stopIfTrue="1" operator="greaterThan">
      <formula>0</formula>
    </cfRule>
  </conditionalFormatting>
  <conditionalFormatting sqref="M5:M11 M13:M19 M22:M28 M30:M32">
    <cfRule type="cellIs" dxfId="2" priority="6" stopIfTrue="1" operator="lessThan">
      <formula>0</formula>
    </cfRule>
  </conditionalFormatting>
  <conditionalFormatting sqref="F41:F48 F26:F39">
    <cfRule type="cellIs" dxfId="1" priority="7" stopIfTrue="1" operator="greaterThan">
      <formula>0</formula>
    </cfRule>
    <cfRule type="cellIs" dxfId="0" priority="8" stopIfTrue="1" operator="lessThan">
      <formula>0</formula>
    </cfRule>
  </conditionalFormatting>
  <pageMargins left="0.25" right="0.25" top="0.25" bottom="0.25" header="0.5" footer="0.5"/>
  <pageSetup scale="46" orientation="landscape" r:id="rId1"/>
  <headerFooter alignWithMargins="0">
    <oddFooter>&amp;LEGM
Finance &amp; Structuring&amp;R&amp;F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eSaver2">
                <anchor moveWithCells="1" sizeWithCells="1">
                  <from>
                    <xdr:col>18</xdr:col>
                    <xdr:colOff>274320</xdr:colOff>
                    <xdr:row>0</xdr:row>
                    <xdr:rowOff>68580</xdr:rowOff>
                  </from>
                  <to>
                    <xdr:col>20</xdr:col>
                    <xdr:colOff>792480</xdr:colOff>
                    <xdr:row>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6"/>
  <sheetViews>
    <sheetView workbookViewId="0">
      <selection activeCell="B3" sqref="B3"/>
    </sheetView>
  </sheetViews>
  <sheetFormatPr defaultRowHeight="13.2" x14ac:dyDescent="0.25"/>
  <sheetData>
    <row r="2" spans="2:4" x14ac:dyDescent="0.25">
      <c r="B2" t="s">
        <v>71</v>
      </c>
      <c r="D2" t="s">
        <v>72</v>
      </c>
    </row>
    <row r="3" spans="2:4" x14ac:dyDescent="0.25">
      <c r="B3" t="s">
        <v>73</v>
      </c>
      <c r="D3" t="s">
        <v>87</v>
      </c>
    </row>
    <row r="4" spans="2:4" x14ac:dyDescent="0.25">
      <c r="B4" t="s">
        <v>74</v>
      </c>
      <c r="D4" t="s">
        <v>98</v>
      </c>
    </row>
    <row r="5" spans="2:4" x14ac:dyDescent="0.25">
      <c r="B5" t="s">
        <v>97</v>
      </c>
    </row>
    <row r="6" spans="2:4" x14ac:dyDescent="0.25">
      <c r="B6" t="s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UNLNK</vt:lpstr>
      <vt:lpstr>LNK</vt:lpstr>
      <vt:lpstr>REF</vt:lpstr>
      <vt:lpstr>LNK!Print_Area</vt:lpstr>
      <vt:lpstr>UNLNK!Print_Area</vt:lpstr>
    </vt:vector>
  </TitlesOfParts>
  <Company>Enron Global Markets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EGM Market Update</dc:title>
  <dc:creator>Ethan Schultz</dc:creator>
  <cp:lastModifiedBy>Havlíček Jan</cp:lastModifiedBy>
  <cp:lastPrinted>2001-10-22T13:03:40Z</cp:lastPrinted>
  <dcterms:created xsi:type="dcterms:W3CDTF">2000-03-20T14:40:52Z</dcterms:created>
  <dcterms:modified xsi:type="dcterms:W3CDTF">2023-09-10T11:11:27Z</dcterms:modified>
</cp:coreProperties>
</file>